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tables/table4.xml" ContentType="application/vnd.openxmlformats-officedocument.spreadsheetml.table+xml"/>
  <Override PartName="/xl/pivotTables/pivotTable2.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Z:\YourFile\AVP SOLUTIONS\"/>
    </mc:Choice>
  </mc:AlternateContent>
  <xr:revisionPtr revIDLastSave="0" documentId="13_ncr:1_{334DA705-19C6-499A-8409-490E305CC6E7}" xr6:coauthVersionLast="47" xr6:coauthVersionMax="47" xr10:uidLastSave="{00000000-0000-0000-0000-000000000000}"/>
  <bookViews>
    <workbookView xWindow="-120" yWindow="-120" windowWidth="29040" windowHeight="15840" xr2:uid="{00000000-000D-0000-FFFF-FFFF00000000}"/>
  </bookViews>
  <sheets>
    <sheet name="Main Screen" sheetId="5" r:id="rId1"/>
    <sheet name="ShipMarieville" sheetId="19" state="veryHidden" r:id="rId2"/>
    <sheet name="Marieville" sheetId="17" state="veryHidden" r:id="rId3"/>
    <sheet name="Daily" sheetId="6" state="veryHidden" r:id="rId4"/>
    <sheet name="DailySales" sheetId="13" state="veryHidden" r:id="rId5"/>
    <sheet name="PartControl" sheetId="10" state="veryHidden" r:id="rId6"/>
    <sheet name="WeeklySales" sheetId="15" state="veryHidden" r:id="rId7"/>
    <sheet name="Printout" sheetId="18" state="veryHidden" r:id="rId8"/>
    <sheet name="ClientList" sheetId="12" state="veryHidden" r:id="rId9"/>
    <sheet name="WeeklyFinancial" sheetId="16" state="veryHidden" r:id="rId10"/>
    <sheet name="Check" sheetId="4" state="veryHidden" r:id="rId11"/>
  </sheets>
  <externalReferences>
    <externalReference r:id="rId12"/>
  </externalReferences>
  <definedNames>
    <definedName name="clientlist">Table6[Client List]</definedName>
    <definedName name="employeelist">Table7[Employees]</definedName>
    <definedName name="machinelist">MACHINE[Machine]</definedName>
    <definedName name="partlist">PartControl!$A$2:$A$564</definedName>
    <definedName name="_xlnm.Print_Area" localSheetId="3">Daily!$A:$W</definedName>
    <definedName name="_xlnm.Print_Area" localSheetId="4">DailySales!$A:$C</definedName>
    <definedName name="_xlnm.Print_Area" localSheetId="2">Marieville!$A:$K</definedName>
    <definedName name="_xlnm.Print_Area" localSheetId="7">Printout!$A$1:$E$6</definedName>
    <definedName name="_xlnm.Print_Area" localSheetId="6">WeeklySales!$A:$C</definedName>
    <definedName name="_xlnm.Print_Titles" localSheetId="3">Daily!$1:$6</definedName>
    <definedName name="_xlnm.Print_Titles" localSheetId="4">DailySales!$1:$4</definedName>
    <definedName name="_xlnm.Print_Titles" localSheetId="2">Marieville!$1:$5</definedName>
    <definedName name="_xlnm.Print_Titles" localSheetId="6">WeeklySales!$1:$4</definedName>
    <definedName name="shipmarieville">Table9[Ship Marieville]</definedName>
    <definedName name="Slicer_Date">#N/A</definedName>
    <definedName name="Slicer_Date1">#N/A</definedName>
    <definedName name="Slicer_Shipped">#N/A</definedName>
  </definedNames>
  <calcPr calcId="191029"/>
  <pivotCaches>
    <pivotCache cacheId="0" r:id="rId13"/>
    <pivotCache cacheId="401" r:id="rId14"/>
  </pivotCaches>
  <fileRecoveryPr autoRecover="0"/>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20" i="6" l="1"/>
  <c r="F3020" i="6"/>
  <c r="X3020" i="6"/>
  <c r="Z3020" i="6" s="1"/>
  <c r="E3009" i="6"/>
  <c r="Y3008" i="6"/>
  <c r="X3005" i="6"/>
  <c r="X3006" i="6"/>
  <c r="X3007" i="6"/>
  <c r="X3008" i="6"/>
  <c r="Z3008" i="6" s="1"/>
  <c r="X3009" i="6"/>
  <c r="X3010" i="6"/>
  <c r="X3011" i="6"/>
  <c r="X3012" i="6"/>
  <c r="X3013" i="6"/>
  <c r="X3014" i="6"/>
  <c r="X3015" i="6"/>
  <c r="X3016" i="6"/>
  <c r="X3017" i="6"/>
  <c r="X3018" i="6"/>
  <c r="X3019" i="6"/>
  <c r="G3019" i="6"/>
  <c r="G3018" i="6"/>
  <c r="G3017" i="6"/>
  <c r="G3016" i="6"/>
  <c r="G3015" i="6"/>
  <c r="G3014" i="6"/>
  <c r="G3013" i="6"/>
  <c r="G3012" i="6"/>
  <c r="G3011" i="6"/>
  <c r="G3010" i="6"/>
  <c r="G3009" i="6"/>
  <c r="G3008" i="6"/>
  <c r="G3007" i="6"/>
  <c r="G3006" i="6"/>
  <c r="G3005" i="6"/>
  <c r="Y2998" i="6"/>
  <c r="E2999" i="6"/>
  <c r="Y2970" i="6"/>
  <c r="Y2972" i="6"/>
  <c r="Y2975" i="6"/>
  <c r="Y2977" i="6"/>
  <c r="F2978" i="6"/>
  <c r="E2976" i="6"/>
  <c r="E2973" i="6"/>
  <c r="E2971" i="6"/>
  <c r="F2970" i="6"/>
  <c r="E2969" i="6"/>
  <c r="Y2960" i="6"/>
  <c r="Y2963" i="6"/>
  <c r="Y2965" i="6"/>
  <c r="E2966" i="6"/>
  <c r="E2963" i="6"/>
  <c r="E2956" i="6"/>
  <c r="Y2952" i="6"/>
  <c r="E2953" i="6"/>
  <c r="F2952" i="6"/>
  <c r="E2951" i="6"/>
  <c r="E2948" i="6"/>
  <c r="E2943" i="6"/>
  <c r="Y2941" i="6"/>
  <c r="E2942" i="6"/>
  <c r="E2941" i="6"/>
  <c r="E2939" i="6"/>
  <c r="E2938" i="6"/>
  <c r="E2934" i="6"/>
  <c r="Y2919" i="6"/>
  <c r="X2973" i="6"/>
  <c r="X2974" i="6"/>
  <c r="X2975" i="6"/>
  <c r="Z2975" i="6" s="1"/>
  <c r="X2976" i="6"/>
  <c r="X2977" i="6"/>
  <c r="Z2977" i="6" s="1"/>
  <c r="X2978" i="6"/>
  <c r="Y2978" i="6" s="1"/>
  <c r="X2979" i="6"/>
  <c r="X2980" i="6"/>
  <c r="X2981" i="6"/>
  <c r="X2982" i="6"/>
  <c r="X2983" i="6"/>
  <c r="X2984" i="6"/>
  <c r="X2985" i="6"/>
  <c r="X2986" i="6"/>
  <c r="Y2986" i="6" s="1"/>
  <c r="X2987" i="6"/>
  <c r="Y2987" i="6" s="1"/>
  <c r="X2988" i="6"/>
  <c r="Y2988" i="6" s="1"/>
  <c r="X2989" i="6"/>
  <c r="X2990" i="6"/>
  <c r="X2991" i="6"/>
  <c r="X2992" i="6"/>
  <c r="X2993" i="6"/>
  <c r="X2994" i="6"/>
  <c r="X2995" i="6"/>
  <c r="X2996" i="6"/>
  <c r="X2997" i="6"/>
  <c r="X2998" i="6"/>
  <c r="Z2998" i="6" s="1"/>
  <c r="X2999" i="6"/>
  <c r="X3000" i="6"/>
  <c r="X3001" i="6"/>
  <c r="X3002" i="6"/>
  <c r="X3003" i="6"/>
  <c r="X3004" i="6"/>
  <c r="Z2978" i="6"/>
  <c r="Z2986" i="6"/>
  <c r="Z2987" i="6"/>
  <c r="Z2988" i="6"/>
  <c r="G3004" i="6"/>
  <c r="G3003" i="6"/>
  <c r="G3002" i="6"/>
  <c r="G3001" i="6"/>
  <c r="G3000" i="6"/>
  <c r="G2999" i="6"/>
  <c r="G2998" i="6"/>
  <c r="G2997" i="6"/>
  <c r="G2996" i="6"/>
  <c r="G2995" i="6"/>
  <c r="G2994" i="6"/>
  <c r="G2993" i="6"/>
  <c r="G2992" i="6"/>
  <c r="G2991" i="6"/>
  <c r="G2990" i="6"/>
  <c r="G2989" i="6"/>
  <c r="G2988" i="6"/>
  <c r="G2987" i="6"/>
  <c r="G2986" i="6"/>
  <c r="G2985" i="6"/>
  <c r="G2984" i="6"/>
  <c r="G2983" i="6"/>
  <c r="G2982" i="6"/>
  <c r="G2981" i="6"/>
  <c r="G2980" i="6"/>
  <c r="G2979" i="6"/>
  <c r="G2978" i="6"/>
  <c r="G2977" i="6"/>
  <c r="G2976" i="6"/>
  <c r="G2975" i="6"/>
  <c r="G2974" i="6"/>
  <c r="G2973" i="6"/>
  <c r="X2931" i="6"/>
  <c r="X2932" i="6"/>
  <c r="X2933" i="6"/>
  <c r="X2934" i="6"/>
  <c r="X2935" i="6"/>
  <c r="X2936" i="6"/>
  <c r="X2937" i="6"/>
  <c r="X2938" i="6"/>
  <c r="X2939" i="6"/>
  <c r="X2940" i="6"/>
  <c r="Y2940" i="6" s="1"/>
  <c r="X2941" i="6"/>
  <c r="Z2941" i="6" s="1"/>
  <c r="X2942" i="6"/>
  <c r="X2943" i="6"/>
  <c r="X2944" i="6"/>
  <c r="X2945" i="6"/>
  <c r="X2946" i="6"/>
  <c r="X2947" i="6"/>
  <c r="X2948" i="6"/>
  <c r="X2949" i="6"/>
  <c r="X2950" i="6"/>
  <c r="X2951" i="6"/>
  <c r="X2952" i="6"/>
  <c r="Z2952" i="6" s="1"/>
  <c r="X2953" i="6"/>
  <c r="X2954" i="6"/>
  <c r="Y2954" i="6" s="1"/>
  <c r="X2955" i="6"/>
  <c r="Y2955" i="6" s="1"/>
  <c r="X2956" i="6"/>
  <c r="X2957" i="6"/>
  <c r="X2958" i="6"/>
  <c r="X2959" i="6"/>
  <c r="X2960" i="6"/>
  <c r="Z2960" i="6" s="1"/>
  <c r="X2961" i="6"/>
  <c r="X2962" i="6"/>
  <c r="X2963" i="6"/>
  <c r="Z2963" i="6" s="1"/>
  <c r="X2964" i="6"/>
  <c r="X2965" i="6"/>
  <c r="Z2965" i="6" s="1"/>
  <c r="X2966" i="6"/>
  <c r="X2967" i="6"/>
  <c r="X2968" i="6"/>
  <c r="X2969" i="6"/>
  <c r="X2970" i="6"/>
  <c r="Z2970" i="6" s="1"/>
  <c r="X2971" i="6"/>
  <c r="X2972" i="6"/>
  <c r="Z2972" i="6" s="1"/>
  <c r="Z2940" i="6"/>
  <c r="Z2954" i="6"/>
  <c r="Z2955" i="6"/>
  <c r="G2972" i="6"/>
  <c r="G2971" i="6"/>
  <c r="G2970" i="6"/>
  <c r="G2969" i="6"/>
  <c r="G2968" i="6"/>
  <c r="G2967" i="6"/>
  <c r="G2966" i="6"/>
  <c r="G2965" i="6"/>
  <c r="G2964" i="6"/>
  <c r="G2963" i="6"/>
  <c r="G2962" i="6"/>
  <c r="G2961" i="6"/>
  <c r="G2960" i="6"/>
  <c r="G2959" i="6"/>
  <c r="G2958" i="6"/>
  <c r="G2957" i="6"/>
  <c r="G2956" i="6"/>
  <c r="G2955" i="6"/>
  <c r="G2954" i="6"/>
  <c r="G2953" i="6"/>
  <c r="G2952" i="6"/>
  <c r="G2951" i="6"/>
  <c r="G2950" i="6"/>
  <c r="G2949" i="6"/>
  <c r="G2948" i="6"/>
  <c r="G2947" i="6"/>
  <c r="G2946" i="6"/>
  <c r="G2945" i="6"/>
  <c r="G2944" i="6"/>
  <c r="G2943" i="6"/>
  <c r="G2942" i="6"/>
  <c r="G2941" i="6"/>
  <c r="G2940" i="6"/>
  <c r="G2939" i="6"/>
  <c r="G2938" i="6"/>
  <c r="G2937" i="6"/>
  <c r="G2936" i="6"/>
  <c r="G2935" i="6"/>
  <c r="G2934" i="6"/>
  <c r="G2933" i="6"/>
  <c r="G2932" i="6"/>
  <c r="G2931" i="6"/>
  <c r="E2930" i="6"/>
  <c r="G2930" i="6" s="1"/>
  <c r="X2930" i="6"/>
  <c r="B564" i="10"/>
  <c r="X2922" i="6"/>
  <c r="Y2922" i="6" s="1"/>
  <c r="Z2922" i="6"/>
  <c r="X2923" i="6"/>
  <c r="Y2923" i="6" s="1"/>
  <c r="Z2923" i="6"/>
  <c r="X2924" i="6"/>
  <c r="Y2924" i="6" s="1"/>
  <c r="Z2924" i="6"/>
  <c r="X2925" i="6"/>
  <c r="Y2925" i="6" s="1"/>
  <c r="Z2925" i="6"/>
  <c r="X2926" i="6"/>
  <c r="Y2926" i="6" s="1"/>
  <c r="Z2926" i="6"/>
  <c r="X2927" i="6"/>
  <c r="Y2927" i="6" s="1"/>
  <c r="Z2927" i="6"/>
  <c r="X2928" i="6"/>
  <c r="Y2928" i="6" s="1"/>
  <c r="Z2928" i="6"/>
  <c r="X2929" i="6"/>
  <c r="Y2929" i="6" s="1"/>
  <c r="Z2929" i="6"/>
  <c r="X2911" i="6"/>
  <c r="Y2911" i="6" s="1"/>
  <c r="Z2911" i="6"/>
  <c r="X2912" i="6"/>
  <c r="Y2912" i="6" s="1"/>
  <c r="Z2912" i="6"/>
  <c r="X2913" i="6"/>
  <c r="Y2913" i="6" s="1"/>
  <c r="Z2913" i="6"/>
  <c r="X2914" i="6"/>
  <c r="Y2914" i="6" s="1"/>
  <c r="Z2914" i="6"/>
  <c r="X2915" i="6"/>
  <c r="Y2915" i="6" s="1"/>
  <c r="Z2915" i="6"/>
  <c r="X2916" i="6"/>
  <c r="Y2916" i="6" s="1"/>
  <c r="Z2916" i="6"/>
  <c r="X2917" i="6"/>
  <c r="X2918" i="6"/>
  <c r="X2919" i="6"/>
  <c r="Z2919" i="6"/>
  <c r="X2920" i="6"/>
  <c r="X2921" i="6"/>
  <c r="Y2894" i="6"/>
  <c r="X2899" i="6"/>
  <c r="Y2899" i="6" s="1"/>
  <c r="X2900" i="6"/>
  <c r="Y2900" i="6" s="1"/>
  <c r="X2901" i="6"/>
  <c r="Y2901" i="6" s="1"/>
  <c r="X2902" i="6"/>
  <c r="X2903" i="6"/>
  <c r="X2904" i="6"/>
  <c r="X2905" i="6"/>
  <c r="X2906" i="6"/>
  <c r="X2907" i="6"/>
  <c r="X2908" i="6"/>
  <c r="X2909" i="6"/>
  <c r="X2910" i="6"/>
  <c r="Z2899" i="6"/>
  <c r="Z2900" i="6"/>
  <c r="Z2901" i="6"/>
  <c r="X2893" i="6"/>
  <c r="X2894" i="6"/>
  <c r="Z2894" i="6"/>
  <c r="X2895" i="6"/>
  <c r="X2896" i="6"/>
  <c r="X2897" i="6"/>
  <c r="X2898" i="6"/>
  <c r="Y2873" i="6"/>
  <c r="Y2875" i="6"/>
  <c r="Y2881" i="6"/>
  <c r="Y2883" i="6"/>
  <c r="Y2885" i="6"/>
  <c r="X2886" i="6"/>
  <c r="X2887" i="6"/>
  <c r="X2888" i="6"/>
  <c r="X2889" i="6"/>
  <c r="X2890" i="6"/>
  <c r="X2891" i="6"/>
  <c r="X2892" i="6"/>
  <c r="X2885" i="6"/>
  <c r="Z2885" i="6"/>
  <c r="X2884" i="6"/>
  <c r="Y2864" i="6"/>
  <c r="Y2860" i="6"/>
  <c r="Y2857" i="6"/>
  <c r="Y2855" i="6"/>
  <c r="Y2849" i="6"/>
  <c r="Y2846" i="6"/>
  <c r="Y2844" i="6"/>
  <c r="Y2842" i="6"/>
  <c r="X2864" i="6"/>
  <c r="Z2864" i="6"/>
  <c r="X2865" i="6"/>
  <c r="X2866" i="6"/>
  <c r="X2867" i="6"/>
  <c r="X2868" i="6"/>
  <c r="X2869" i="6"/>
  <c r="X2870" i="6"/>
  <c r="Y2870" i="6"/>
  <c r="X2871" i="6"/>
  <c r="X2872" i="6"/>
  <c r="X2873" i="6"/>
  <c r="Z2873" i="6"/>
  <c r="X2874" i="6"/>
  <c r="X2875" i="6"/>
  <c r="Z2875" i="6"/>
  <c r="X2876" i="6"/>
  <c r="X2877" i="6"/>
  <c r="X2878" i="6"/>
  <c r="X2879" i="6"/>
  <c r="X2880" i="6"/>
  <c r="X2881" i="6"/>
  <c r="Z2881" i="6"/>
  <c r="X2882" i="6"/>
  <c r="X2883" i="6"/>
  <c r="Z2883" i="6"/>
  <c r="Z2870" i="6"/>
  <c r="X2843" i="6"/>
  <c r="X2844" i="6"/>
  <c r="Z2844" i="6"/>
  <c r="X2845" i="6"/>
  <c r="X2846" i="6"/>
  <c r="Z2846" i="6"/>
  <c r="X2847" i="6"/>
  <c r="X2848" i="6"/>
  <c r="X2849" i="6"/>
  <c r="Z2849" i="6"/>
  <c r="X2850" i="6"/>
  <c r="X2851" i="6"/>
  <c r="X2852" i="6"/>
  <c r="X2853" i="6"/>
  <c r="X2854" i="6"/>
  <c r="X2855" i="6"/>
  <c r="Z2855" i="6"/>
  <c r="X2856" i="6"/>
  <c r="X2857" i="6"/>
  <c r="Z2857" i="6"/>
  <c r="X2858" i="6"/>
  <c r="X2859" i="6"/>
  <c r="X2860" i="6"/>
  <c r="Z2860" i="6"/>
  <c r="X2861" i="6"/>
  <c r="X2862" i="6"/>
  <c r="X2863" i="6"/>
  <c r="X2842" i="6"/>
  <c r="Z2842" i="6"/>
  <c r="X2841" i="6"/>
  <c r="X2840" i="6"/>
  <c r="Z2840" i="6" s="1"/>
  <c r="Y2798" i="6"/>
  <c r="Y2801" i="6"/>
  <c r="Y2803" i="6"/>
  <c r="Y2808" i="6"/>
  <c r="Y2811" i="6"/>
  <c r="Y2814" i="6"/>
  <c r="Y2815" i="6"/>
  <c r="Y2819" i="6"/>
  <c r="Y2834" i="6"/>
  <c r="X2839" i="6"/>
  <c r="X2827" i="6"/>
  <c r="X2828" i="6"/>
  <c r="X2829" i="6"/>
  <c r="X2830" i="6"/>
  <c r="X2831" i="6"/>
  <c r="X2832" i="6"/>
  <c r="X2833" i="6"/>
  <c r="X2834" i="6"/>
  <c r="Z2834" i="6"/>
  <c r="X2835" i="6"/>
  <c r="X2836" i="6"/>
  <c r="X2837" i="6"/>
  <c r="X2838" i="6"/>
  <c r="X2813" i="6"/>
  <c r="X2814" i="6"/>
  <c r="Z2814" i="6"/>
  <c r="X2815" i="6"/>
  <c r="Z2815" i="6"/>
  <c r="X2816" i="6"/>
  <c r="X2817" i="6"/>
  <c r="X2818" i="6"/>
  <c r="X2819" i="6"/>
  <c r="X2820" i="6"/>
  <c r="X2821" i="6"/>
  <c r="X2822" i="6"/>
  <c r="X2823" i="6"/>
  <c r="X2824" i="6"/>
  <c r="X2825" i="6"/>
  <c r="X2826" i="6"/>
  <c r="X2809" i="6"/>
  <c r="X2810" i="6"/>
  <c r="X2811" i="6"/>
  <c r="Z2811" i="6"/>
  <c r="X2812" i="6"/>
  <c r="Y2792" i="6"/>
  <c r="Y2791" i="6"/>
  <c r="Y2787" i="6"/>
  <c r="Y2785" i="6"/>
  <c r="Y2783" i="6"/>
  <c r="Y2781" i="6"/>
  <c r="Y2780" i="6"/>
  <c r="Y2774" i="6"/>
  <c r="Y2770" i="6"/>
  <c r="Y2767" i="6"/>
  <c r="Y2764" i="6"/>
  <c r="X2791" i="6"/>
  <c r="Z2791" i="6"/>
  <c r="X2792" i="6"/>
  <c r="Z2792" i="6"/>
  <c r="X2793" i="6"/>
  <c r="X2794" i="6"/>
  <c r="X2795" i="6"/>
  <c r="X2796" i="6"/>
  <c r="X2797" i="6"/>
  <c r="X2798" i="6"/>
  <c r="X2799" i="6"/>
  <c r="X2800" i="6"/>
  <c r="X2801" i="6"/>
  <c r="Z2801" i="6"/>
  <c r="X2802" i="6"/>
  <c r="X2803" i="6"/>
  <c r="Z2803" i="6"/>
  <c r="X2804" i="6"/>
  <c r="Z2804" i="6"/>
  <c r="Y2804" i="6"/>
  <c r="X2805" i="6"/>
  <c r="X2806" i="6"/>
  <c r="Z2806" i="6" s="1"/>
  <c r="X2807" i="6"/>
  <c r="X2808" i="6"/>
  <c r="Z2808" i="6"/>
  <c r="X2765" i="6"/>
  <c r="X2766" i="6"/>
  <c r="X2767" i="6"/>
  <c r="Z2767" i="6"/>
  <c r="X2768" i="6"/>
  <c r="X2769" i="6"/>
  <c r="X2770" i="6"/>
  <c r="Z2770" i="6"/>
  <c r="X2771" i="6"/>
  <c r="X2772" i="6"/>
  <c r="X2773" i="6"/>
  <c r="X2774" i="6"/>
  <c r="Z2774" i="6"/>
  <c r="X2775" i="6"/>
  <c r="X2776" i="6"/>
  <c r="X2777" i="6"/>
  <c r="X2778" i="6"/>
  <c r="X2779" i="6"/>
  <c r="X2780" i="6"/>
  <c r="Z2780" i="6"/>
  <c r="X2781" i="6"/>
  <c r="Z2781" i="6"/>
  <c r="X2782" i="6"/>
  <c r="X2783" i="6"/>
  <c r="Z2783" i="6"/>
  <c r="X2784" i="6"/>
  <c r="X2785" i="6"/>
  <c r="Z2785" i="6"/>
  <c r="X2786" i="6"/>
  <c r="X2787" i="6"/>
  <c r="Z2787" i="6"/>
  <c r="X2788" i="6"/>
  <c r="X2789" i="6"/>
  <c r="X2790" i="6"/>
  <c r="X2764" i="6"/>
  <c r="Z2764" i="6"/>
  <c r="X2763" i="6"/>
  <c r="Z2763" i="6" s="1"/>
  <c r="Y2753" i="6"/>
  <c r="Y2756" i="6"/>
  <c r="Y2759" i="6"/>
  <c r="Y2762" i="6"/>
  <c r="X2741" i="6"/>
  <c r="X2742" i="6"/>
  <c r="X2743" i="6"/>
  <c r="Y2743" i="6" s="1"/>
  <c r="X2744" i="6"/>
  <c r="X2745" i="6"/>
  <c r="X2746" i="6"/>
  <c r="X2747" i="6"/>
  <c r="X2748" i="6"/>
  <c r="X2749" i="6"/>
  <c r="X2750" i="6"/>
  <c r="X2751" i="6"/>
  <c r="X2752" i="6"/>
  <c r="Y2752" i="6"/>
  <c r="X2753" i="6"/>
  <c r="X2754" i="6"/>
  <c r="X2755" i="6"/>
  <c r="X2756" i="6"/>
  <c r="Z2756" i="6"/>
  <c r="X2757" i="6"/>
  <c r="X2758" i="6"/>
  <c r="X2759" i="6"/>
  <c r="Z2759" i="6"/>
  <c r="X2760" i="6"/>
  <c r="X2761" i="6"/>
  <c r="X2762" i="6"/>
  <c r="Z2762" i="6"/>
  <c r="Z2743" i="6"/>
  <c r="Z2752" i="6"/>
  <c r="Z2753" i="6"/>
  <c r="X2732" i="6"/>
  <c r="Y2732" i="6" s="1"/>
  <c r="X2733" i="6"/>
  <c r="X2734" i="6"/>
  <c r="X2735" i="6"/>
  <c r="X2736" i="6"/>
  <c r="X2737" i="6"/>
  <c r="X2738" i="6"/>
  <c r="X2739" i="6"/>
  <c r="X2740" i="6"/>
  <c r="Z2732" i="6"/>
  <c r="X2731" i="6"/>
  <c r="X2730" i="6"/>
  <c r="X2729" i="6"/>
  <c r="X2728" i="6"/>
  <c r="X2727" i="6"/>
  <c r="Y2697" i="6"/>
  <c r="Y2701" i="6"/>
  <c r="Y2703" i="6"/>
  <c r="Y2709" i="6"/>
  <c r="Y2711" i="6"/>
  <c r="Y2715" i="6"/>
  <c r="Y2717" i="6"/>
  <c r="Y2726" i="6"/>
  <c r="Y2690" i="6"/>
  <c r="Y2687" i="6"/>
  <c r="Y2683" i="6"/>
  <c r="Y2681" i="6"/>
  <c r="Y2678" i="6"/>
  <c r="X2675" i="6"/>
  <c r="Y2675" i="6" s="1"/>
  <c r="X2676" i="6"/>
  <c r="Y2676" i="6" s="1"/>
  <c r="X2677" i="6"/>
  <c r="Y2677" i="6"/>
  <c r="X2678" i="6"/>
  <c r="Z2678" i="6"/>
  <c r="X2679" i="6"/>
  <c r="Y2679" i="6"/>
  <c r="X2680" i="6"/>
  <c r="Y2680" i="6" s="1"/>
  <c r="X2681" i="6"/>
  <c r="Z2681" i="6"/>
  <c r="X2682" i="6"/>
  <c r="Y2682" i="6" s="1"/>
  <c r="X2683" i="6"/>
  <c r="Z2683" i="6"/>
  <c r="X2684" i="6"/>
  <c r="X2685" i="6"/>
  <c r="Y2685" i="6" s="1"/>
  <c r="X2686" i="6"/>
  <c r="Y2686" i="6"/>
  <c r="X2687" i="6"/>
  <c r="X2688" i="6"/>
  <c r="X2689" i="6"/>
  <c r="X2690" i="6"/>
  <c r="Z2690" i="6"/>
  <c r="X2691" i="6"/>
  <c r="X2692" i="6"/>
  <c r="X2693" i="6"/>
  <c r="X2694" i="6"/>
  <c r="X2695" i="6"/>
  <c r="X2696" i="6"/>
  <c r="X2697" i="6"/>
  <c r="Z2697" i="6"/>
  <c r="X2698" i="6"/>
  <c r="X2699" i="6"/>
  <c r="Y2699" i="6" s="1"/>
  <c r="X2700" i="6"/>
  <c r="Y2700" i="6" s="1"/>
  <c r="X2701" i="6"/>
  <c r="X2702" i="6"/>
  <c r="X2703" i="6"/>
  <c r="Z2703" i="6"/>
  <c r="X2704" i="6"/>
  <c r="X2705" i="6"/>
  <c r="X2706" i="6"/>
  <c r="Y2706" i="6" s="1"/>
  <c r="X2707" i="6"/>
  <c r="X2708" i="6"/>
  <c r="X2709" i="6"/>
  <c r="Z2709" i="6"/>
  <c r="X2710" i="6"/>
  <c r="X2711" i="6"/>
  <c r="Z2711" i="6"/>
  <c r="X2712" i="6"/>
  <c r="X2713" i="6"/>
  <c r="Y2713" i="6" s="1"/>
  <c r="X2714" i="6"/>
  <c r="X2715" i="6"/>
  <c r="Z2715" i="6"/>
  <c r="X2716" i="6"/>
  <c r="X2717" i="6"/>
  <c r="Z2717" i="6"/>
  <c r="X2718" i="6"/>
  <c r="X2719" i="6"/>
  <c r="X2720" i="6"/>
  <c r="X2721" i="6"/>
  <c r="X2722" i="6"/>
  <c r="X2723" i="6"/>
  <c r="X2724" i="6"/>
  <c r="X2725" i="6"/>
  <c r="X2726" i="6"/>
  <c r="Z2726" i="6"/>
  <c r="Z2675" i="6"/>
  <c r="Z2676" i="6"/>
  <c r="Z2677" i="6"/>
  <c r="Z2679" i="6"/>
  <c r="Z2680" i="6"/>
  <c r="Z2682" i="6"/>
  <c r="Z2685" i="6"/>
  <c r="Z2686" i="6"/>
  <c r="Z2687" i="6"/>
  <c r="Z2699" i="6"/>
  <c r="Z2700" i="6"/>
  <c r="Z2701" i="6"/>
  <c r="Z2706" i="6"/>
  <c r="Z2713" i="6"/>
  <c r="X2674" i="6"/>
  <c r="Z2674" i="6" s="1"/>
  <c r="Y2661" i="6"/>
  <c r="Y2623" i="6"/>
  <c r="Y2625" i="6"/>
  <c r="Y2628" i="6"/>
  <c r="Y2632" i="6"/>
  <c r="Y2637" i="6"/>
  <c r="Y2640" i="6"/>
  <c r="Y2641" i="6"/>
  <c r="Y2645" i="6"/>
  <c r="X2640" i="6"/>
  <c r="Z2640" i="6"/>
  <c r="X2641" i="6"/>
  <c r="Z2641" i="6"/>
  <c r="X2642" i="6"/>
  <c r="X2643" i="6"/>
  <c r="X2644" i="6"/>
  <c r="X2645" i="6"/>
  <c r="Z2645" i="6"/>
  <c r="X2646" i="6"/>
  <c r="X2647" i="6"/>
  <c r="X2648" i="6"/>
  <c r="X2649" i="6"/>
  <c r="X2650" i="6"/>
  <c r="X2651" i="6"/>
  <c r="X2652" i="6"/>
  <c r="X2653" i="6"/>
  <c r="Y2653" i="6" s="1"/>
  <c r="X2654" i="6"/>
  <c r="Y2654" i="6" s="1"/>
  <c r="X2655" i="6"/>
  <c r="Y2655" i="6" s="1"/>
  <c r="X2656" i="6"/>
  <c r="Y2656" i="6" s="1"/>
  <c r="X2657" i="6"/>
  <c r="X2658" i="6"/>
  <c r="X2659" i="6"/>
  <c r="X2660" i="6"/>
  <c r="X2661" i="6"/>
  <c r="Z2661" i="6"/>
  <c r="X2662" i="6"/>
  <c r="X2663" i="6"/>
  <c r="X2664" i="6"/>
  <c r="Z2664" i="6" s="1"/>
  <c r="X2665" i="6"/>
  <c r="Z2665" i="6" s="1"/>
  <c r="X2666" i="6"/>
  <c r="Z2666" i="6" s="1"/>
  <c r="X2667" i="6"/>
  <c r="X2668" i="6"/>
  <c r="Z2668" i="6"/>
  <c r="X2669" i="6"/>
  <c r="Z2669" i="6" s="1"/>
  <c r="X2670" i="6"/>
  <c r="X2671" i="6"/>
  <c r="X2672" i="6"/>
  <c r="X2673" i="6"/>
  <c r="Z2673" i="6"/>
  <c r="Z2653" i="6"/>
  <c r="Z2654" i="6"/>
  <c r="Z2655" i="6"/>
  <c r="Z2656" i="6"/>
  <c r="Z2667" i="6"/>
  <c r="Z2670" i="6"/>
  <c r="Z2671" i="6"/>
  <c r="Z2672" i="6"/>
  <c r="X2624" i="6"/>
  <c r="X2625" i="6"/>
  <c r="Z2625" i="6"/>
  <c r="X2626" i="6"/>
  <c r="X2627" i="6"/>
  <c r="X2628" i="6"/>
  <c r="Z2628" i="6"/>
  <c r="X2629" i="6"/>
  <c r="X2630" i="6"/>
  <c r="X2631" i="6"/>
  <c r="X2632" i="6"/>
  <c r="Z2632" i="6"/>
  <c r="X2633" i="6"/>
  <c r="X2634" i="6"/>
  <c r="X2635" i="6"/>
  <c r="X2636" i="6"/>
  <c r="X2637" i="6"/>
  <c r="Z2637" i="6"/>
  <c r="X2638" i="6"/>
  <c r="X2639" i="6"/>
  <c r="X2623" i="6"/>
  <c r="Z2623" i="6"/>
  <c r="X2622" i="6"/>
  <c r="Y2611" i="6"/>
  <c r="Y2613" i="6"/>
  <c r="Y2616" i="6"/>
  <c r="Y2621" i="6"/>
  <c r="Y2608" i="6"/>
  <c r="Y2606" i="6"/>
  <c r="Y2604" i="6"/>
  <c r="Y2602" i="6"/>
  <c r="Y2600" i="6"/>
  <c r="Y2598" i="6"/>
  <c r="X2599" i="6"/>
  <c r="X2600" i="6"/>
  <c r="X2601" i="6"/>
  <c r="X2602" i="6"/>
  <c r="X2603" i="6"/>
  <c r="Y2603" i="6" s="1"/>
  <c r="X2604" i="6"/>
  <c r="X2605" i="6"/>
  <c r="Y2605" i="6" s="1"/>
  <c r="X2606" i="6"/>
  <c r="Z2606" i="6"/>
  <c r="X2607" i="6"/>
  <c r="X2608" i="6"/>
  <c r="Z2608" i="6"/>
  <c r="X2609" i="6"/>
  <c r="X2610" i="6"/>
  <c r="X2611" i="6"/>
  <c r="Z2611" i="6"/>
  <c r="X2612" i="6"/>
  <c r="X2613" i="6"/>
  <c r="X2614" i="6"/>
  <c r="X2615" i="6"/>
  <c r="X2616" i="6"/>
  <c r="X2617" i="6"/>
  <c r="X2618" i="6"/>
  <c r="X2619" i="6"/>
  <c r="Y2619" i="6" s="1"/>
  <c r="X2620" i="6"/>
  <c r="Y2620" i="6" s="1"/>
  <c r="X2621" i="6"/>
  <c r="Z2600" i="6"/>
  <c r="Z2602" i="6"/>
  <c r="Z2603" i="6"/>
  <c r="Z2604" i="6"/>
  <c r="Z2605" i="6"/>
  <c r="Z2613" i="6"/>
  <c r="Z2616" i="6"/>
  <c r="Z2619" i="6"/>
  <c r="Z2620" i="6"/>
  <c r="Z2621" i="6"/>
  <c r="X2598" i="6"/>
  <c r="Z2598" i="6"/>
  <c r="X2597" i="6"/>
  <c r="X2596" i="6"/>
  <c r="X2595" i="6"/>
  <c r="Z2595" i="6"/>
  <c r="Y2594" i="6"/>
  <c r="Y2532" i="6"/>
  <c r="Y2534" i="6"/>
  <c r="Y2535" i="6"/>
  <c r="Y2539" i="6"/>
  <c r="Y2542" i="6"/>
  <c r="Y2544" i="6"/>
  <c r="Y2546" i="6"/>
  <c r="Y2548" i="6"/>
  <c r="Y2551" i="6"/>
  <c r="Y2553" i="6"/>
  <c r="Y2555" i="6"/>
  <c r="Y2565" i="6"/>
  <c r="Y2566" i="6"/>
  <c r="X2585" i="6"/>
  <c r="Y2585" i="6" s="1"/>
  <c r="X2586" i="6"/>
  <c r="Y2586" i="6" s="1"/>
  <c r="X2587" i="6"/>
  <c r="Y2587" i="6" s="1"/>
  <c r="X2588" i="6"/>
  <c r="X2589" i="6"/>
  <c r="X2590" i="6"/>
  <c r="X2591" i="6"/>
  <c r="X2592" i="6"/>
  <c r="X2593" i="6"/>
  <c r="X2594" i="6"/>
  <c r="Z2594" i="6"/>
  <c r="Z2585" i="6"/>
  <c r="Z2586" i="6"/>
  <c r="Z2587" i="6"/>
  <c r="X2563" i="6"/>
  <c r="X2564" i="6"/>
  <c r="X2565" i="6"/>
  <c r="Z2565" i="6"/>
  <c r="X2566" i="6"/>
  <c r="Z2566" i="6"/>
  <c r="X2567" i="6"/>
  <c r="X2568" i="6"/>
  <c r="X2569" i="6"/>
  <c r="X2570" i="6"/>
  <c r="Y2570" i="6" s="1"/>
  <c r="X2571" i="6"/>
  <c r="X2572" i="6"/>
  <c r="X2573" i="6"/>
  <c r="X2574" i="6"/>
  <c r="X2575" i="6"/>
  <c r="X2576" i="6"/>
  <c r="X2577" i="6"/>
  <c r="X2578" i="6"/>
  <c r="X2579" i="6"/>
  <c r="X2580" i="6"/>
  <c r="X2581" i="6"/>
  <c r="X2582" i="6"/>
  <c r="X2583" i="6"/>
  <c r="X2584" i="6"/>
  <c r="Z2570" i="6"/>
  <c r="Y2504" i="6"/>
  <c r="Y2507" i="6"/>
  <c r="Y2509" i="6"/>
  <c r="Y2511" i="6"/>
  <c r="Y2512" i="6"/>
  <c r="Y2515" i="6"/>
  <c r="Y2516" i="6"/>
  <c r="Y2520" i="6"/>
  <c r="Y2524" i="6"/>
  <c r="Y2527" i="6"/>
  <c r="Y2530" i="6"/>
  <c r="X2513" i="6"/>
  <c r="X2514" i="6"/>
  <c r="X2515" i="6"/>
  <c r="Z2515" i="6"/>
  <c r="X2539" i="6"/>
  <c r="Z2539" i="6"/>
  <c r="X2540" i="6"/>
  <c r="Y2540" i="6" s="1"/>
  <c r="X2541" i="6"/>
  <c r="Y2541" i="6" s="1"/>
  <c r="X2542" i="6"/>
  <c r="X2543" i="6"/>
  <c r="X2544" i="6"/>
  <c r="Z2544" i="6"/>
  <c r="X2545" i="6"/>
  <c r="X2546" i="6"/>
  <c r="Z2546" i="6"/>
  <c r="X2547" i="6"/>
  <c r="X2548" i="6"/>
  <c r="Z2548" i="6"/>
  <c r="X2549" i="6"/>
  <c r="X2550" i="6"/>
  <c r="X2551" i="6"/>
  <c r="Z2551" i="6"/>
  <c r="X2552" i="6"/>
  <c r="X2553" i="6"/>
  <c r="Z2553" i="6"/>
  <c r="X2554" i="6"/>
  <c r="X2555" i="6"/>
  <c r="Z2555" i="6"/>
  <c r="X2556" i="6"/>
  <c r="X2557" i="6"/>
  <c r="X2558" i="6"/>
  <c r="X2559" i="6"/>
  <c r="X2560" i="6"/>
  <c r="X2561" i="6"/>
  <c r="X2562" i="6"/>
  <c r="Z2540" i="6"/>
  <c r="Z2541" i="6"/>
  <c r="Z2542" i="6"/>
  <c r="X2512" i="6"/>
  <c r="Z2512" i="6"/>
  <c r="X2516" i="6"/>
  <c r="Z2516" i="6"/>
  <c r="X2517" i="6"/>
  <c r="X2518" i="6"/>
  <c r="Y2518" i="6" s="1"/>
  <c r="X2519" i="6"/>
  <c r="Y2519" i="6" s="1"/>
  <c r="X2520" i="6"/>
  <c r="X2521" i="6"/>
  <c r="X2522" i="6"/>
  <c r="Y2522" i="6" s="1"/>
  <c r="X2523" i="6"/>
  <c r="X2524" i="6"/>
  <c r="X2525" i="6"/>
  <c r="X2526" i="6"/>
  <c r="X2527" i="6"/>
  <c r="Z2527" i="6"/>
  <c r="X2528" i="6"/>
  <c r="X2529" i="6"/>
  <c r="X2530" i="6"/>
  <c r="Z2530" i="6"/>
  <c r="X2531" i="6"/>
  <c r="X2532" i="6"/>
  <c r="Z2532" i="6"/>
  <c r="X2533" i="6"/>
  <c r="X2534" i="6"/>
  <c r="Z2534" i="6"/>
  <c r="X2535" i="6"/>
  <c r="Z2535" i="6"/>
  <c r="X2536" i="6"/>
  <c r="X2537" i="6"/>
  <c r="X2538" i="6"/>
  <c r="Z2518" i="6"/>
  <c r="Z2519" i="6"/>
  <c r="Z2520" i="6"/>
  <c r="Z2522" i="6"/>
  <c r="Z2524" i="6"/>
  <c r="X2505" i="6"/>
  <c r="X2506" i="6"/>
  <c r="X2507" i="6"/>
  <c r="Z2507" i="6"/>
  <c r="X2508" i="6"/>
  <c r="X2509" i="6"/>
  <c r="Z2509" i="6"/>
  <c r="X2510" i="6"/>
  <c r="X2511" i="6"/>
  <c r="Z2511" i="6"/>
  <c r="X2504" i="6"/>
  <c r="Z2504" i="6"/>
  <c r="X2503" i="6"/>
  <c r="Y2500" i="6"/>
  <c r="Y2502" i="6"/>
  <c r="Y2481" i="6"/>
  <c r="Y2457" i="6"/>
  <c r="Y2458" i="6"/>
  <c r="X2477" i="6"/>
  <c r="X2478" i="6"/>
  <c r="X2479" i="6"/>
  <c r="X2480" i="6"/>
  <c r="X2481" i="6"/>
  <c r="Z2481" i="6"/>
  <c r="X2482" i="6"/>
  <c r="X2483" i="6"/>
  <c r="Y2483" i="6" s="1"/>
  <c r="X2484" i="6"/>
  <c r="X2485" i="6"/>
  <c r="X2486" i="6"/>
  <c r="X2487" i="6"/>
  <c r="X2488" i="6"/>
  <c r="X2489" i="6"/>
  <c r="X2490" i="6"/>
  <c r="X2491" i="6"/>
  <c r="X2492" i="6"/>
  <c r="X2493" i="6"/>
  <c r="X2494" i="6"/>
  <c r="X2495" i="6"/>
  <c r="X2496" i="6"/>
  <c r="X2497" i="6"/>
  <c r="X2498" i="6"/>
  <c r="X2499" i="6"/>
  <c r="X2500" i="6"/>
  <c r="Z2500" i="6"/>
  <c r="X2501" i="6"/>
  <c r="X2502" i="6"/>
  <c r="Z2502" i="6"/>
  <c r="Z2483" i="6"/>
  <c r="X2458" i="6"/>
  <c r="Z2458" i="6"/>
  <c r="X2459" i="6"/>
  <c r="X2460" i="6"/>
  <c r="X2461" i="6"/>
  <c r="X2462" i="6"/>
  <c r="X2463" i="6"/>
  <c r="X2464" i="6"/>
  <c r="X2465" i="6"/>
  <c r="X2466" i="6"/>
  <c r="X2467" i="6"/>
  <c r="X2468" i="6"/>
  <c r="Y2468" i="6" s="1"/>
  <c r="X2469" i="6"/>
  <c r="X2470" i="6"/>
  <c r="X2471" i="6"/>
  <c r="X2472" i="6"/>
  <c r="X2473" i="6"/>
  <c r="X2474" i="6"/>
  <c r="X2475" i="6"/>
  <c r="X2476" i="6"/>
  <c r="Z2468" i="6"/>
  <c r="X2457" i="6"/>
  <c r="Z2457" i="6"/>
  <c r="Y2456" i="6"/>
  <c r="Y2443" i="6"/>
  <c r="Y2444" i="6"/>
  <c r="Y2450" i="6"/>
  <c r="Y2454" i="6"/>
  <c r="Y2424" i="6"/>
  <c r="Y2432" i="6"/>
  <c r="Y2434" i="6"/>
  <c r="Y2436" i="6"/>
  <c r="Y2419" i="6"/>
  <c r="Y2416" i="6"/>
  <c r="Y2413" i="6"/>
  <c r="Y2410" i="6"/>
  <c r="Y2407" i="6"/>
  <c r="X2444" i="6"/>
  <c r="Z2444" i="6"/>
  <c r="X2445" i="6"/>
  <c r="X2446" i="6"/>
  <c r="X2447" i="6"/>
  <c r="X2448" i="6"/>
  <c r="X2449" i="6"/>
  <c r="X2450" i="6"/>
  <c r="Z2450" i="6"/>
  <c r="X2451" i="6"/>
  <c r="X2452" i="6"/>
  <c r="X2453" i="6"/>
  <c r="Y2453" i="6" s="1"/>
  <c r="X2454" i="6"/>
  <c r="X2455" i="6"/>
  <c r="X2456" i="6"/>
  <c r="Z2456" i="6"/>
  <c r="Z2453" i="6"/>
  <c r="Z2454" i="6"/>
  <c r="X2427" i="6"/>
  <c r="X2428" i="6"/>
  <c r="Y2428" i="6" s="1"/>
  <c r="X2429" i="6"/>
  <c r="Y2429" i="6" s="1"/>
  <c r="X2430" i="6"/>
  <c r="X2431" i="6"/>
  <c r="X2432" i="6"/>
  <c r="Z2432" i="6"/>
  <c r="X2433" i="6"/>
  <c r="X2434" i="6"/>
  <c r="Z2434" i="6"/>
  <c r="X2435" i="6"/>
  <c r="X2436" i="6"/>
  <c r="Z2436" i="6"/>
  <c r="X2437" i="6"/>
  <c r="X2438" i="6"/>
  <c r="X2439" i="6"/>
  <c r="X2440" i="6"/>
  <c r="X2441" i="6"/>
  <c r="X2442" i="6"/>
  <c r="X2443" i="6"/>
  <c r="Z2443" i="6"/>
  <c r="Z2428" i="6"/>
  <c r="Z2429" i="6"/>
  <c r="X2412" i="6"/>
  <c r="X2413" i="6"/>
  <c r="Z2413" i="6"/>
  <c r="X2414" i="6"/>
  <c r="X2415" i="6"/>
  <c r="X2416" i="6"/>
  <c r="Z2416" i="6"/>
  <c r="X2417" i="6"/>
  <c r="X2418" i="6"/>
  <c r="X2419" i="6"/>
  <c r="Z2419" i="6"/>
  <c r="X2420" i="6"/>
  <c r="X2421" i="6"/>
  <c r="X2422" i="6"/>
  <c r="X2423" i="6"/>
  <c r="Y2423" i="6" s="1"/>
  <c r="X2424" i="6"/>
  <c r="Z2424" i="6"/>
  <c r="X2425" i="6"/>
  <c r="X2426" i="6"/>
  <c r="Z2423" i="6"/>
  <c r="X2408" i="6"/>
  <c r="X2409" i="6"/>
  <c r="X2410" i="6"/>
  <c r="Z2410" i="6"/>
  <c r="X2411" i="6"/>
  <c r="X2405" i="6"/>
  <c r="Y2405" i="6" s="1"/>
  <c r="X2406" i="6"/>
  <c r="Y2406" i="6" s="1"/>
  <c r="X2407" i="6"/>
  <c r="Z2405" i="6"/>
  <c r="Z2406" i="6"/>
  <c r="Z2407" i="6"/>
  <c r="X2404" i="6"/>
  <c r="Z2404" i="6" s="1"/>
  <c r="Y2384" i="6"/>
  <c r="Y2393" i="6"/>
  <c r="X2390" i="6"/>
  <c r="X2391" i="6"/>
  <c r="X2392" i="6"/>
  <c r="X2393" i="6"/>
  <c r="Z2393" i="6"/>
  <c r="X2394" i="6"/>
  <c r="X2395" i="6"/>
  <c r="X2396" i="6"/>
  <c r="X2397" i="6"/>
  <c r="X2398" i="6"/>
  <c r="X2399" i="6"/>
  <c r="X2400" i="6"/>
  <c r="X2401" i="6"/>
  <c r="X2402" i="6"/>
  <c r="X2403" i="6"/>
  <c r="Y2376" i="6"/>
  <c r="Y2361" i="6"/>
  <c r="Y2362" i="6"/>
  <c r="Y2365" i="6"/>
  <c r="Y2367" i="6"/>
  <c r="Y2368" i="6"/>
  <c r="Y2342" i="6"/>
  <c r="Y2346" i="6"/>
  <c r="Y2349" i="6"/>
  <c r="Y2353" i="6"/>
  <c r="Y2356" i="6"/>
  <c r="X2369" i="6"/>
  <c r="X2370" i="6"/>
  <c r="X2371" i="6"/>
  <c r="X2372" i="6"/>
  <c r="X2373" i="6"/>
  <c r="X2374" i="6"/>
  <c r="X2375" i="6"/>
  <c r="X2376" i="6"/>
  <c r="Z2376" i="6"/>
  <c r="X2377" i="6"/>
  <c r="X2378" i="6"/>
  <c r="X2379" i="6"/>
  <c r="X2380" i="6"/>
  <c r="X2381" i="6"/>
  <c r="X2382" i="6"/>
  <c r="X2383" i="6"/>
  <c r="X2384" i="6"/>
  <c r="Z2384" i="6"/>
  <c r="X2385" i="6"/>
  <c r="X2386" i="6"/>
  <c r="X2387" i="6"/>
  <c r="X2388" i="6"/>
  <c r="X2389" i="6"/>
  <c r="X2352" i="6"/>
  <c r="X2353" i="6"/>
  <c r="Z2353" i="6"/>
  <c r="X2354" i="6"/>
  <c r="X2355" i="6"/>
  <c r="X2356" i="6"/>
  <c r="Z2356" i="6"/>
  <c r="X2357" i="6"/>
  <c r="X2358" i="6"/>
  <c r="X2359" i="6"/>
  <c r="X2360" i="6"/>
  <c r="X2361" i="6"/>
  <c r="Z2361" i="6"/>
  <c r="X2362" i="6"/>
  <c r="Z2362" i="6"/>
  <c r="X2363" i="6"/>
  <c r="X2364" i="6"/>
  <c r="X2365" i="6"/>
  <c r="Z2365" i="6"/>
  <c r="X2366" i="6"/>
  <c r="X2367" i="6"/>
  <c r="Z2367" i="6"/>
  <c r="X2368" i="6"/>
  <c r="Z2368" i="6"/>
  <c r="X2343" i="6"/>
  <c r="X2344" i="6"/>
  <c r="X2345" i="6"/>
  <c r="X2346" i="6"/>
  <c r="Z2346" i="6"/>
  <c r="X2347" i="6"/>
  <c r="X2348" i="6"/>
  <c r="X2349" i="6"/>
  <c r="Z2349" i="6"/>
  <c r="X2350" i="6"/>
  <c r="X2351" i="6"/>
  <c r="X2342" i="6"/>
  <c r="Z2342" i="6"/>
  <c r="Y2330" i="6"/>
  <c r="Y2332" i="6"/>
  <c r="Y2335" i="6"/>
  <c r="Y2336" i="6"/>
  <c r="Y2338" i="6"/>
  <c r="Y2339" i="6"/>
  <c r="X2341" i="6"/>
  <c r="X2340" i="6"/>
  <c r="X2339" i="6"/>
  <c r="Z2339" i="6"/>
  <c r="Y2323" i="6"/>
  <c r="Y2325" i="6"/>
  <c r="Y2315" i="6"/>
  <c r="Y2318" i="6"/>
  <c r="Y2321" i="6"/>
  <c r="X2325" i="6"/>
  <c r="Z2325" i="6"/>
  <c r="X2326" i="6"/>
  <c r="X2327" i="6"/>
  <c r="X2328" i="6"/>
  <c r="X2329" i="6"/>
  <c r="X2330" i="6"/>
  <c r="Z2330" i="6"/>
  <c r="X2331" i="6"/>
  <c r="X2332" i="6"/>
  <c r="Z2332" i="6"/>
  <c r="X2333" i="6"/>
  <c r="X2334" i="6"/>
  <c r="X2335" i="6"/>
  <c r="Z2335" i="6"/>
  <c r="X2336" i="6"/>
  <c r="Z2336" i="6"/>
  <c r="X2337" i="6"/>
  <c r="X2338" i="6"/>
  <c r="Z2338" i="6"/>
  <c r="X2316" i="6"/>
  <c r="X2317" i="6"/>
  <c r="X2318" i="6"/>
  <c r="Z2318" i="6"/>
  <c r="X2319" i="6"/>
  <c r="X2320" i="6"/>
  <c r="X2321" i="6"/>
  <c r="Z2321" i="6"/>
  <c r="X2322" i="6"/>
  <c r="X2323" i="6"/>
  <c r="Z2323" i="6"/>
  <c r="X2324" i="6"/>
  <c r="X2315" i="6"/>
  <c r="Z2315" i="6"/>
  <c r="X2314" i="6"/>
  <c r="Y2310" i="6"/>
  <c r="Y2290" i="6"/>
  <c r="Y2295" i="6"/>
  <c r="X2296" i="6"/>
  <c r="X2297" i="6"/>
  <c r="X2298" i="6"/>
  <c r="X2299" i="6"/>
  <c r="X2300" i="6"/>
  <c r="X2301" i="6"/>
  <c r="X2302" i="6"/>
  <c r="X2303" i="6"/>
  <c r="X2304" i="6"/>
  <c r="X2305" i="6"/>
  <c r="X2306" i="6"/>
  <c r="X2307" i="6"/>
  <c r="X2308" i="6"/>
  <c r="X2309" i="6"/>
  <c r="X2310" i="6"/>
  <c r="Z2310" i="6"/>
  <c r="X2311" i="6"/>
  <c r="X2312" i="6"/>
  <c r="X2313" i="6"/>
  <c r="Y2256" i="6"/>
  <c r="Y2258" i="6"/>
  <c r="Y2262" i="6"/>
  <c r="Y2266" i="6"/>
  <c r="Y2268" i="6"/>
  <c r="Y2269" i="6"/>
  <c r="Y2247" i="6"/>
  <c r="Y2248" i="6"/>
  <c r="Y2251" i="6"/>
  <c r="Y2253" i="6"/>
  <c r="Y2231" i="6"/>
  <c r="Y2233" i="6"/>
  <c r="Y2237" i="6"/>
  <c r="Y2241" i="6"/>
  <c r="Y2226" i="6"/>
  <c r="Y2223" i="6"/>
  <c r="Y2219" i="6"/>
  <c r="Y2217" i="6"/>
  <c r="X2271" i="6"/>
  <c r="X2272" i="6"/>
  <c r="X2273" i="6"/>
  <c r="X2274" i="6"/>
  <c r="X2275" i="6"/>
  <c r="X2276" i="6"/>
  <c r="X2277" i="6"/>
  <c r="X2278" i="6"/>
  <c r="X2279" i="6"/>
  <c r="X2280" i="6"/>
  <c r="X2281" i="6"/>
  <c r="X2282" i="6"/>
  <c r="X2283" i="6"/>
  <c r="X2284" i="6"/>
  <c r="X2285" i="6"/>
  <c r="X2286" i="6"/>
  <c r="X2287" i="6"/>
  <c r="X2288" i="6"/>
  <c r="X2289" i="6"/>
  <c r="X2290" i="6"/>
  <c r="Z2290" i="6"/>
  <c r="X2291" i="6"/>
  <c r="X2292" i="6"/>
  <c r="X2293" i="6"/>
  <c r="X2294" i="6"/>
  <c r="X2295" i="6"/>
  <c r="Z2295" i="6"/>
  <c r="X2249" i="6"/>
  <c r="X2250" i="6"/>
  <c r="X2251" i="6"/>
  <c r="Z2251" i="6"/>
  <c r="X2252" i="6"/>
  <c r="X2253" i="6"/>
  <c r="Z2253" i="6"/>
  <c r="X2254" i="6"/>
  <c r="X2255" i="6"/>
  <c r="X2256" i="6"/>
  <c r="Z2256" i="6"/>
  <c r="X2257" i="6"/>
  <c r="X2258" i="6"/>
  <c r="Z2258" i="6"/>
  <c r="X2259" i="6"/>
  <c r="X2260" i="6"/>
  <c r="X2261" i="6"/>
  <c r="Y2261" i="6" s="1"/>
  <c r="X2262" i="6"/>
  <c r="X2263" i="6"/>
  <c r="X2264" i="6"/>
  <c r="X2265" i="6"/>
  <c r="X2266" i="6"/>
  <c r="Z2266" i="6"/>
  <c r="X2267" i="6"/>
  <c r="X2268" i="6"/>
  <c r="Z2268" i="6"/>
  <c r="X2269" i="6"/>
  <c r="Z2269" i="6"/>
  <c r="X2270" i="6"/>
  <c r="Z2261" i="6"/>
  <c r="Z2262" i="6"/>
  <c r="X2228" i="6"/>
  <c r="X2229" i="6"/>
  <c r="X2230" i="6"/>
  <c r="Y2230" i="6" s="1"/>
  <c r="X2231" i="6"/>
  <c r="X2232" i="6"/>
  <c r="X2233" i="6"/>
  <c r="Z2233" i="6"/>
  <c r="X2234" i="6"/>
  <c r="X2235" i="6"/>
  <c r="X2236" i="6"/>
  <c r="X2237" i="6"/>
  <c r="Z2237" i="6"/>
  <c r="X2238" i="6"/>
  <c r="X2239" i="6"/>
  <c r="X2240" i="6"/>
  <c r="X2241" i="6"/>
  <c r="Z2241" i="6"/>
  <c r="X2242" i="6"/>
  <c r="X2243" i="6"/>
  <c r="X2244" i="6"/>
  <c r="X2245" i="6"/>
  <c r="X2246" i="6"/>
  <c r="X2247" i="6"/>
  <c r="Z2247" i="6"/>
  <c r="X2248" i="6"/>
  <c r="Z2248" i="6"/>
  <c r="Z2230" i="6"/>
  <c r="Z2231" i="6"/>
  <c r="X2218" i="6"/>
  <c r="X2219" i="6"/>
  <c r="Z2219" i="6"/>
  <c r="X2220" i="6"/>
  <c r="X2221" i="6"/>
  <c r="X2222" i="6"/>
  <c r="X2223" i="6"/>
  <c r="Z2223" i="6"/>
  <c r="X2224" i="6"/>
  <c r="X2225" i="6"/>
  <c r="X2226" i="6"/>
  <c r="Z2226" i="6"/>
  <c r="X2227" i="6"/>
  <c r="X2217" i="6"/>
  <c r="Z2217" i="6"/>
  <c r="X2216" i="6"/>
  <c r="Z2216" i="6" s="1"/>
  <c r="X2215" i="6"/>
  <c r="Y2215" i="6"/>
  <c r="Z2215" i="6"/>
  <c r="X2211" i="6"/>
  <c r="Y2211" i="6" s="1"/>
  <c r="X2212" i="6"/>
  <c r="X2213" i="6"/>
  <c r="X2214" i="6"/>
  <c r="Y2214" i="6"/>
  <c r="Z2211" i="6"/>
  <c r="Z2214" i="6"/>
  <c r="X2210" i="6"/>
  <c r="X2209" i="6"/>
  <c r="X2207" i="6"/>
  <c r="X2208" i="6"/>
  <c r="Y2180" i="6"/>
  <c r="Y2190" i="6"/>
  <c r="Y2174" i="6"/>
  <c r="Y2176" i="6"/>
  <c r="X2187" i="6"/>
  <c r="Y2187" i="6" s="1"/>
  <c r="X2188" i="6"/>
  <c r="X2189" i="6"/>
  <c r="X2190" i="6"/>
  <c r="X2191" i="6"/>
  <c r="Y2191" i="6" s="1"/>
  <c r="X2192" i="6"/>
  <c r="X2193" i="6"/>
  <c r="X2194" i="6"/>
  <c r="X2195" i="6"/>
  <c r="Y2195" i="6" s="1"/>
  <c r="X2196" i="6"/>
  <c r="X2197" i="6"/>
  <c r="X2198" i="6"/>
  <c r="Y2198" i="6" s="1"/>
  <c r="X2199" i="6"/>
  <c r="X2200" i="6"/>
  <c r="Y2200" i="6" s="1"/>
  <c r="X2201" i="6"/>
  <c r="Y2201" i="6" s="1"/>
  <c r="X2202" i="6"/>
  <c r="X2203" i="6"/>
  <c r="X2204" i="6"/>
  <c r="X2205" i="6"/>
  <c r="Y2205" i="6" s="1"/>
  <c r="X2206" i="6"/>
  <c r="Y2206" i="6" s="1"/>
  <c r="Z2187" i="6"/>
  <c r="Z2190" i="6"/>
  <c r="Z2191" i="6"/>
  <c r="Z2195" i="6"/>
  <c r="Z2198" i="6"/>
  <c r="Z2200" i="6"/>
  <c r="Z2201" i="6"/>
  <c r="Z2205" i="6"/>
  <c r="Z2206" i="6"/>
  <c r="X2176" i="6"/>
  <c r="Z2176" i="6"/>
  <c r="X2177" i="6"/>
  <c r="X2178" i="6"/>
  <c r="Y2178" i="6" s="1"/>
  <c r="X2179" i="6"/>
  <c r="X2180" i="6"/>
  <c r="X2181" i="6"/>
  <c r="X2182" i="6"/>
  <c r="Y2182" i="6" s="1"/>
  <c r="X2183" i="6"/>
  <c r="Y2183" i="6" s="1"/>
  <c r="X2184" i="6"/>
  <c r="Y2184" i="6" s="1"/>
  <c r="X2185" i="6"/>
  <c r="Y2185" i="6" s="1"/>
  <c r="X2186" i="6"/>
  <c r="Z2178" i="6"/>
  <c r="Z2180" i="6"/>
  <c r="Z2182" i="6"/>
  <c r="Z2183" i="6"/>
  <c r="Z2184" i="6"/>
  <c r="Z2185" i="6"/>
  <c r="Y2157" i="6"/>
  <c r="Y2158" i="6"/>
  <c r="Y2162" i="6"/>
  <c r="Y2145" i="6"/>
  <c r="Y2148" i="6"/>
  <c r="Y2150" i="6"/>
  <c r="Y2133" i="6"/>
  <c r="Y2131" i="6"/>
  <c r="Y2128" i="6"/>
  <c r="Y2126" i="6"/>
  <c r="Y2124" i="6"/>
  <c r="X2158" i="6"/>
  <c r="X2159" i="6"/>
  <c r="X2160" i="6"/>
  <c r="Y2160" i="6" s="1"/>
  <c r="X2161" i="6"/>
  <c r="Y2161" i="6" s="1"/>
  <c r="X2162" i="6"/>
  <c r="X2163" i="6"/>
  <c r="Y2163" i="6" s="1"/>
  <c r="X2164" i="6"/>
  <c r="X2165" i="6"/>
  <c r="Y2165" i="6" s="1"/>
  <c r="X2166" i="6"/>
  <c r="X2167" i="6"/>
  <c r="X2168" i="6"/>
  <c r="X2169" i="6"/>
  <c r="Y2169" i="6" s="1"/>
  <c r="X2170" i="6"/>
  <c r="X2171" i="6"/>
  <c r="X2172" i="6"/>
  <c r="X2173" i="6"/>
  <c r="X2174" i="6"/>
  <c r="Z2174" i="6"/>
  <c r="X2175" i="6"/>
  <c r="Y2175" i="6" s="1"/>
  <c r="Z2158" i="6"/>
  <c r="Z2160" i="6"/>
  <c r="Z2161" i="6"/>
  <c r="Z2162" i="6"/>
  <c r="Z2163" i="6"/>
  <c r="Z2165" i="6"/>
  <c r="Z2169" i="6"/>
  <c r="Z2175" i="6"/>
  <c r="X2132" i="6"/>
  <c r="Y2132" i="6" s="1"/>
  <c r="X2133" i="6"/>
  <c r="X2134" i="6"/>
  <c r="X2135" i="6"/>
  <c r="X2136" i="6"/>
  <c r="X2137" i="6"/>
  <c r="X2138" i="6"/>
  <c r="X2139" i="6"/>
  <c r="X2140" i="6"/>
  <c r="X2141" i="6"/>
  <c r="X2142" i="6"/>
  <c r="X2143" i="6"/>
  <c r="Y2143" i="6" s="1"/>
  <c r="X2144" i="6"/>
  <c r="Y2144" i="6" s="1"/>
  <c r="X2145" i="6"/>
  <c r="X2146" i="6"/>
  <c r="X2147" i="6"/>
  <c r="Y2147" i="6" s="1"/>
  <c r="X2148" i="6"/>
  <c r="Z2148" i="6"/>
  <c r="X2149" i="6"/>
  <c r="X2150" i="6"/>
  <c r="Z2150" i="6"/>
  <c r="X2151" i="6"/>
  <c r="X2152" i="6"/>
  <c r="X2153" i="6"/>
  <c r="X2154" i="6"/>
  <c r="Y2154" i="6" s="1"/>
  <c r="X2155" i="6"/>
  <c r="Y2155" i="6" s="1"/>
  <c r="X2156" i="6"/>
  <c r="Y2156" i="6" s="1"/>
  <c r="X2157" i="6"/>
  <c r="Z2132" i="6"/>
  <c r="Z2133" i="6"/>
  <c r="Z2143" i="6"/>
  <c r="Z2144" i="6"/>
  <c r="Z2145" i="6"/>
  <c r="Z2147" i="6"/>
  <c r="Z2154" i="6"/>
  <c r="Z2155" i="6"/>
  <c r="Z2156" i="6"/>
  <c r="Z2157" i="6"/>
  <c r="X2125" i="6"/>
  <c r="Y2125" i="6" s="1"/>
  <c r="X2126" i="6"/>
  <c r="X2127" i="6"/>
  <c r="Y2127" i="6" s="1"/>
  <c r="X2128" i="6"/>
  <c r="X2129" i="6"/>
  <c r="X2130" i="6"/>
  <c r="X2131" i="6"/>
  <c r="Z2125" i="6"/>
  <c r="Z2126" i="6"/>
  <c r="Z2127" i="6"/>
  <c r="Z2128" i="6"/>
  <c r="Z2131" i="6"/>
  <c r="X2124" i="6"/>
  <c r="Z2124" i="6"/>
  <c r="X2123" i="6"/>
  <c r="X2122" i="6"/>
  <c r="Z2122" i="6" s="1"/>
  <c r="X2106" i="6"/>
  <c r="X2107" i="6"/>
  <c r="Y2107" i="6" s="1"/>
  <c r="X2108" i="6"/>
  <c r="X2109" i="6"/>
  <c r="Y2109" i="6" s="1"/>
  <c r="X2110" i="6"/>
  <c r="Y2110" i="6" s="1"/>
  <c r="X2111" i="6"/>
  <c r="Y2111" i="6"/>
  <c r="X2112" i="6"/>
  <c r="Y2112" i="6" s="1"/>
  <c r="X2113" i="6"/>
  <c r="Y2113" i="6" s="1"/>
  <c r="X2114" i="6"/>
  <c r="Y2114" i="6" s="1"/>
  <c r="X2115" i="6"/>
  <c r="Y2115" i="6" s="1"/>
  <c r="X2116" i="6"/>
  <c r="X2117" i="6"/>
  <c r="Y2117" i="6" s="1"/>
  <c r="X2118" i="6"/>
  <c r="X2119" i="6"/>
  <c r="Y2119" i="6" s="1"/>
  <c r="X2120" i="6"/>
  <c r="X2121" i="6"/>
  <c r="Y2121" i="6"/>
  <c r="Z2107" i="6"/>
  <c r="Z2109" i="6"/>
  <c r="Z2110" i="6"/>
  <c r="Z2111" i="6"/>
  <c r="Z2112" i="6"/>
  <c r="Z2113" i="6"/>
  <c r="Z2114" i="6"/>
  <c r="Z2115" i="6"/>
  <c r="Z2117" i="6"/>
  <c r="Z2119" i="6"/>
  <c r="Z2121" i="6"/>
  <c r="Y2091" i="6"/>
  <c r="Y2093" i="6"/>
  <c r="Y2094" i="6"/>
  <c r="Y2082" i="6"/>
  <c r="Y2064" i="6"/>
  <c r="Y2066" i="6"/>
  <c r="Y2068" i="6"/>
  <c r="Y2058" i="6"/>
  <c r="Y2057" i="6"/>
  <c r="Y2052" i="6"/>
  <c r="Y2050" i="6"/>
  <c r="Y2049" i="6"/>
  <c r="X2081" i="6"/>
  <c r="X2082" i="6"/>
  <c r="X2083" i="6"/>
  <c r="X2084" i="6"/>
  <c r="Y2084" i="6" s="1"/>
  <c r="X2085" i="6"/>
  <c r="Y2085" i="6" s="1"/>
  <c r="X2086" i="6"/>
  <c r="Y2086" i="6"/>
  <c r="X2087" i="6"/>
  <c r="Y2087" i="6"/>
  <c r="X2088" i="6"/>
  <c r="X2089" i="6"/>
  <c r="Y2089" i="6"/>
  <c r="X2090" i="6"/>
  <c r="X2091" i="6"/>
  <c r="X2092" i="6"/>
  <c r="Y2092" i="6" s="1"/>
  <c r="X2093" i="6"/>
  <c r="X2094" i="6"/>
  <c r="X2095" i="6"/>
  <c r="Y2095" i="6" s="1"/>
  <c r="X2096" i="6"/>
  <c r="X2097" i="6"/>
  <c r="X2098" i="6"/>
  <c r="Y2098" i="6" s="1"/>
  <c r="X2099" i="6"/>
  <c r="X2100" i="6"/>
  <c r="Y2100" i="6" s="1"/>
  <c r="X2101" i="6"/>
  <c r="Y2101" i="6"/>
  <c r="X2102" i="6"/>
  <c r="Y2102" i="6" s="1"/>
  <c r="X2103" i="6"/>
  <c r="Y2103" i="6" s="1"/>
  <c r="X2104" i="6"/>
  <c r="Y2104" i="6" s="1"/>
  <c r="X2105" i="6"/>
  <c r="Y2105" i="6" s="1"/>
  <c r="Z2082" i="6"/>
  <c r="Z2084" i="6"/>
  <c r="Z2085" i="6"/>
  <c r="Z2086" i="6"/>
  <c r="Z2087" i="6"/>
  <c r="Z2089" i="6"/>
  <c r="Z2091" i="6"/>
  <c r="Z2092" i="6"/>
  <c r="Z2093" i="6"/>
  <c r="Z2094" i="6"/>
  <c r="Z2095" i="6"/>
  <c r="Z2098" i="6"/>
  <c r="Z2100" i="6"/>
  <c r="Z2101" i="6"/>
  <c r="Z2102" i="6"/>
  <c r="Z2103" i="6"/>
  <c r="Z2104" i="6"/>
  <c r="Z2105" i="6"/>
  <c r="X2058" i="6"/>
  <c r="X2059" i="6"/>
  <c r="X2060" i="6"/>
  <c r="X2061" i="6"/>
  <c r="X2062" i="6"/>
  <c r="Y2062" i="6"/>
  <c r="X2063" i="6"/>
  <c r="X2064" i="6"/>
  <c r="X2065" i="6"/>
  <c r="X2066" i="6"/>
  <c r="X2067" i="6"/>
  <c r="X2068" i="6"/>
  <c r="X2069" i="6"/>
  <c r="X2070" i="6"/>
  <c r="X2071" i="6"/>
  <c r="Y2071" i="6"/>
  <c r="X2072" i="6"/>
  <c r="X2073" i="6"/>
  <c r="X2074" i="6"/>
  <c r="X2075" i="6"/>
  <c r="X2076" i="6"/>
  <c r="Y2076" i="6" s="1"/>
  <c r="X2077" i="6"/>
  <c r="Y2077" i="6" s="1"/>
  <c r="X2078" i="6"/>
  <c r="Y2078" i="6"/>
  <c r="X2079" i="6"/>
  <c r="Y2079" i="6"/>
  <c r="X2080" i="6"/>
  <c r="Y2080" i="6" s="1"/>
  <c r="Z2058" i="6"/>
  <c r="Z2062" i="6"/>
  <c r="Z2064" i="6"/>
  <c r="Z2066" i="6"/>
  <c r="Z2068" i="6"/>
  <c r="Z2071" i="6"/>
  <c r="Z2076" i="6"/>
  <c r="Z2077" i="6"/>
  <c r="Z2078" i="6"/>
  <c r="Z2079" i="6"/>
  <c r="Z2080" i="6"/>
  <c r="X2050" i="6"/>
  <c r="X2051" i="6"/>
  <c r="Y2051" i="6" s="1"/>
  <c r="X2052" i="6"/>
  <c r="X2053" i="6"/>
  <c r="Y2053" i="6" s="1"/>
  <c r="X2054" i="6"/>
  <c r="X2055" i="6"/>
  <c r="Y2055" i="6" s="1"/>
  <c r="X2056" i="6"/>
  <c r="Y2056" i="6" s="1"/>
  <c r="X2057" i="6"/>
  <c r="Z2050" i="6"/>
  <c r="Z2051" i="6"/>
  <c r="Z2052" i="6"/>
  <c r="Z2053" i="6"/>
  <c r="Z2055" i="6"/>
  <c r="Z2056" i="6"/>
  <c r="Z2057" i="6"/>
  <c r="X2049" i="6"/>
  <c r="Z2049" i="6"/>
  <c r="X2048" i="6"/>
  <c r="X2047" i="6"/>
  <c r="Z2047" i="6"/>
  <c r="Y2045" i="6"/>
  <c r="Y2046" i="6"/>
  <c r="X2046" i="6"/>
  <c r="Z2046" i="6"/>
  <c r="Y2043" i="6"/>
  <c r="Y2004" i="6"/>
  <c r="Y2000" i="6"/>
  <c r="X2028" i="6"/>
  <c r="X2029" i="6"/>
  <c r="X2030" i="6"/>
  <c r="X2031" i="6"/>
  <c r="X2032" i="6"/>
  <c r="X2033" i="6"/>
  <c r="X2034" i="6"/>
  <c r="X2035" i="6"/>
  <c r="X2036" i="6"/>
  <c r="X2037" i="6"/>
  <c r="X2038" i="6"/>
  <c r="X2039" i="6"/>
  <c r="X2040" i="6"/>
  <c r="X2041" i="6"/>
  <c r="X2042" i="6"/>
  <c r="Y2042" i="6" s="1"/>
  <c r="X2043" i="6"/>
  <c r="X2044" i="6"/>
  <c r="X2045" i="6"/>
  <c r="Z2045" i="6"/>
  <c r="Z2042" i="6"/>
  <c r="Z2043" i="6"/>
  <c r="X2000" i="6"/>
  <c r="X2001" i="6"/>
  <c r="Y2001" i="6" s="1"/>
  <c r="X2002" i="6"/>
  <c r="Y2002" i="6" s="1"/>
  <c r="X2003" i="6"/>
  <c r="Y2003" i="6" s="1"/>
  <c r="X2004" i="6"/>
  <c r="Z2004" i="6"/>
  <c r="X2005" i="6"/>
  <c r="Y2005" i="6" s="1"/>
  <c r="X2006" i="6"/>
  <c r="Y2006" i="6" s="1"/>
  <c r="X2007" i="6"/>
  <c r="X2008" i="6"/>
  <c r="X2009" i="6"/>
  <c r="X2010" i="6"/>
  <c r="Y2010" i="6" s="1"/>
  <c r="X2011" i="6"/>
  <c r="Y2011" i="6" s="1"/>
  <c r="X2012" i="6"/>
  <c r="Y2012" i="6" s="1"/>
  <c r="X2013" i="6"/>
  <c r="Y2013" i="6" s="1"/>
  <c r="X2014" i="6"/>
  <c r="Y2014" i="6" s="1"/>
  <c r="X2015" i="6"/>
  <c r="Y2015" i="6" s="1"/>
  <c r="X2016" i="6"/>
  <c r="X2017" i="6"/>
  <c r="X2018" i="6"/>
  <c r="X2019" i="6"/>
  <c r="X2020" i="6"/>
  <c r="X2021" i="6"/>
  <c r="X2022" i="6"/>
  <c r="X2023" i="6"/>
  <c r="X2024" i="6"/>
  <c r="X2025" i="6"/>
  <c r="X2026" i="6"/>
  <c r="X2027" i="6"/>
  <c r="Z2000" i="6"/>
  <c r="Z2001" i="6"/>
  <c r="Z2002" i="6"/>
  <c r="Z2003" i="6"/>
  <c r="Z2005" i="6"/>
  <c r="Z2006" i="6"/>
  <c r="Z2010" i="6"/>
  <c r="Z2011" i="6"/>
  <c r="Z2012" i="6"/>
  <c r="Z2013" i="6"/>
  <c r="Z2014" i="6"/>
  <c r="Z2015" i="6"/>
  <c r="Y1996" i="6"/>
  <c r="Y1994" i="6"/>
  <c r="Y1992" i="6"/>
  <c r="Y1990" i="6"/>
  <c r="Y1987" i="6"/>
  <c r="Y1981" i="6"/>
  <c r="Y1980" i="6"/>
  <c r="Y1976" i="6"/>
  <c r="Y1969" i="6"/>
  <c r="Y1967" i="6"/>
  <c r="Y1965" i="6"/>
  <c r="Y1962" i="6"/>
  <c r="Y1959" i="6"/>
  <c r="X1983" i="6"/>
  <c r="X1984" i="6"/>
  <c r="X1985" i="6"/>
  <c r="X1986" i="6"/>
  <c r="X1987" i="6"/>
  <c r="X1988" i="6"/>
  <c r="X1989" i="6"/>
  <c r="Y1989" i="6" s="1"/>
  <c r="X1990" i="6"/>
  <c r="Z1990" i="6"/>
  <c r="X1991" i="6"/>
  <c r="Y1991" i="6" s="1"/>
  <c r="X1992" i="6"/>
  <c r="X1993" i="6"/>
  <c r="Y1993" i="6" s="1"/>
  <c r="X1994" i="6"/>
  <c r="X1995" i="6"/>
  <c r="Y1995" i="6" s="1"/>
  <c r="X1996" i="6"/>
  <c r="Z1996" i="6"/>
  <c r="X1997" i="6"/>
  <c r="X1998" i="6"/>
  <c r="X1999" i="6"/>
  <c r="Z1987" i="6"/>
  <c r="Z1989" i="6"/>
  <c r="Z1991" i="6"/>
  <c r="Z1992" i="6"/>
  <c r="Z1993" i="6"/>
  <c r="Z1994" i="6"/>
  <c r="Z1995" i="6"/>
  <c r="X1968" i="6"/>
  <c r="Y1968" i="6" s="1"/>
  <c r="X1969" i="6"/>
  <c r="X1970" i="6"/>
  <c r="X1971" i="6"/>
  <c r="Y1971" i="6" s="1"/>
  <c r="X1972" i="6"/>
  <c r="Y1972" i="6"/>
  <c r="X1973" i="6"/>
  <c r="X1974" i="6"/>
  <c r="Y1974" i="6" s="1"/>
  <c r="X1975" i="6"/>
  <c r="Y1975" i="6" s="1"/>
  <c r="X1976" i="6"/>
  <c r="X1977" i="6"/>
  <c r="Y1977" i="6" s="1"/>
  <c r="X1978" i="6"/>
  <c r="Y1978" i="6" s="1"/>
  <c r="X1979" i="6"/>
  <c r="X1980" i="6"/>
  <c r="X1981" i="6"/>
  <c r="X1982" i="6"/>
  <c r="Y1982" i="6" s="1"/>
  <c r="Z1968" i="6"/>
  <c r="Z1969" i="6"/>
  <c r="Z1971" i="6"/>
  <c r="Z1972" i="6"/>
  <c r="Z1974" i="6"/>
  <c r="Z1975" i="6"/>
  <c r="Z1976" i="6"/>
  <c r="Z1977" i="6"/>
  <c r="Z1978" i="6"/>
  <c r="Z1980" i="6"/>
  <c r="Z1981" i="6"/>
  <c r="Z1982" i="6"/>
  <c r="X1960" i="6"/>
  <c r="X1961" i="6"/>
  <c r="X1962" i="6"/>
  <c r="X1963" i="6"/>
  <c r="Y1963" i="6" s="1"/>
  <c r="X1964" i="6"/>
  <c r="Y1964" i="6" s="1"/>
  <c r="X1965" i="6"/>
  <c r="X1966" i="6"/>
  <c r="Y1966" i="6" s="1"/>
  <c r="X1967" i="6"/>
  <c r="Z1962" i="6"/>
  <c r="Z1963" i="6"/>
  <c r="Z1964" i="6"/>
  <c r="Z1965" i="6"/>
  <c r="Z1966" i="6"/>
  <c r="Z1967" i="6"/>
  <c r="X1959" i="6"/>
  <c r="Z1959" i="6"/>
  <c r="X1958" i="6"/>
  <c r="X1957" i="6"/>
  <c r="Z1957" i="6" s="1"/>
  <c r="Y1955" i="6"/>
  <c r="Y1956" i="6"/>
  <c r="X1945" i="6"/>
  <c r="Y1945" i="6" s="1"/>
  <c r="X1946" i="6"/>
  <c r="X1947" i="6"/>
  <c r="Y1947" i="6" s="1"/>
  <c r="X1948" i="6"/>
  <c r="X1949" i="6"/>
  <c r="Y1949" i="6" s="1"/>
  <c r="X1950" i="6"/>
  <c r="Y1950" i="6" s="1"/>
  <c r="X1951" i="6"/>
  <c r="Y1951" i="6" s="1"/>
  <c r="X1952" i="6"/>
  <c r="X1953" i="6"/>
  <c r="Y1953" i="6" s="1"/>
  <c r="X1954" i="6"/>
  <c r="X1955" i="6"/>
  <c r="X1956" i="6"/>
  <c r="Z1945" i="6"/>
  <c r="Z1947" i="6"/>
  <c r="Z1949" i="6"/>
  <c r="Z1950" i="6"/>
  <c r="Z1951" i="6"/>
  <c r="Z1953" i="6"/>
  <c r="Z1955" i="6"/>
  <c r="Z1956" i="6"/>
  <c r="X1938" i="6"/>
  <c r="Y1938" i="6" s="1"/>
  <c r="X1939" i="6"/>
  <c r="Y1939" i="6" s="1"/>
  <c r="X1940" i="6"/>
  <c r="X1941" i="6"/>
  <c r="Y1941" i="6" s="1"/>
  <c r="X1942" i="6"/>
  <c r="Y1942" i="6" s="1"/>
  <c r="X1943" i="6"/>
  <c r="Y1943" i="6" s="1"/>
  <c r="X1944" i="6"/>
  <c r="Y1944" i="6" s="1"/>
  <c r="Z1938" i="6"/>
  <c r="Z1939" i="6"/>
  <c r="Z1941" i="6"/>
  <c r="Z1942" i="6"/>
  <c r="Z1943" i="6"/>
  <c r="Z1944" i="6"/>
  <c r="X1932" i="6"/>
  <c r="X1933" i="6"/>
  <c r="Z1933" i="6" s="1"/>
  <c r="X1934" i="6"/>
  <c r="X1935" i="6"/>
  <c r="X1936" i="6"/>
  <c r="X1937" i="6"/>
  <c r="Y1933" i="6"/>
  <c r="X1931" i="6"/>
  <c r="X1930" i="6"/>
  <c r="X1929" i="6"/>
  <c r="Y1928" i="6"/>
  <c r="Y1919" i="6"/>
  <c r="Y1921" i="6"/>
  <c r="Y1903" i="6"/>
  <c r="Y1908" i="6"/>
  <c r="Y1910" i="6"/>
  <c r="Y1912" i="6"/>
  <c r="Y1898" i="6"/>
  <c r="Y1882" i="6"/>
  <c r="Y1879" i="6"/>
  <c r="Y1878" i="6"/>
  <c r="Y1876" i="6"/>
  <c r="Y1873" i="6"/>
  <c r="Y1871" i="6"/>
  <c r="X1921" i="6"/>
  <c r="X1922" i="6"/>
  <c r="X1923" i="6"/>
  <c r="X1924" i="6"/>
  <c r="X1925" i="6"/>
  <c r="X1926" i="6"/>
  <c r="X1927" i="6"/>
  <c r="X1928" i="6"/>
  <c r="Z1928" i="6"/>
  <c r="Z1921" i="6"/>
  <c r="X1902" i="6"/>
  <c r="X1903" i="6"/>
  <c r="X1904" i="6"/>
  <c r="X1905" i="6"/>
  <c r="X1906" i="6"/>
  <c r="X1907" i="6"/>
  <c r="X1908" i="6"/>
  <c r="X1909" i="6"/>
  <c r="X1910" i="6"/>
  <c r="X1911" i="6"/>
  <c r="X1912" i="6"/>
  <c r="X1913" i="6"/>
  <c r="X1914" i="6"/>
  <c r="X1915" i="6"/>
  <c r="X1916" i="6"/>
  <c r="X1917" i="6"/>
  <c r="X1918" i="6"/>
  <c r="X1919" i="6"/>
  <c r="X1920" i="6"/>
  <c r="Z1903" i="6"/>
  <c r="Z1908" i="6"/>
  <c r="Z1910" i="6"/>
  <c r="Z1912" i="6"/>
  <c r="Z1919" i="6"/>
  <c r="X1885" i="6"/>
  <c r="X1886" i="6"/>
  <c r="X1887" i="6"/>
  <c r="X1888" i="6"/>
  <c r="Y1888" i="6"/>
  <c r="X1889" i="6"/>
  <c r="X1890" i="6"/>
  <c r="X1891" i="6"/>
  <c r="X1892" i="6"/>
  <c r="X1893" i="6"/>
  <c r="X1894" i="6"/>
  <c r="X1895" i="6"/>
  <c r="X1896" i="6"/>
  <c r="X1897" i="6"/>
  <c r="X1898" i="6"/>
  <c r="X1899" i="6"/>
  <c r="X1900" i="6"/>
  <c r="X1901" i="6"/>
  <c r="Z1888" i="6"/>
  <c r="Z1898" i="6"/>
  <c r="X1872" i="6"/>
  <c r="X1873" i="6"/>
  <c r="X1874" i="6"/>
  <c r="X1875" i="6"/>
  <c r="X1876" i="6"/>
  <c r="X1877" i="6"/>
  <c r="X1878" i="6"/>
  <c r="X1879" i="6"/>
  <c r="X1880" i="6"/>
  <c r="X1881" i="6"/>
  <c r="X1882" i="6"/>
  <c r="X1883" i="6"/>
  <c r="X1884" i="6"/>
  <c r="Z1873" i="6"/>
  <c r="Z1876" i="6"/>
  <c r="Z1878" i="6"/>
  <c r="Z1879" i="6"/>
  <c r="Z1882" i="6"/>
  <c r="X1871" i="6"/>
  <c r="Z1871" i="6"/>
  <c r="X1870" i="6"/>
  <c r="Z1870" i="6" s="1"/>
  <c r="Y1853" i="6"/>
  <c r="X1850" i="6"/>
  <c r="X1851" i="6"/>
  <c r="X1852" i="6"/>
  <c r="X1853" i="6"/>
  <c r="X1854" i="6"/>
  <c r="X1855" i="6"/>
  <c r="X1856" i="6"/>
  <c r="X1857" i="6"/>
  <c r="X1858" i="6"/>
  <c r="X1859" i="6"/>
  <c r="X1860" i="6"/>
  <c r="X1861" i="6"/>
  <c r="X1862" i="6"/>
  <c r="X1863" i="6"/>
  <c r="X1864" i="6"/>
  <c r="X1865" i="6"/>
  <c r="X1866" i="6"/>
  <c r="X1867" i="6"/>
  <c r="X1868" i="6"/>
  <c r="X1869" i="6"/>
  <c r="Z1853" i="6"/>
  <c r="Y1838" i="6"/>
  <c r="Y1840" i="6"/>
  <c r="Y1844" i="6"/>
  <c r="Y1845" i="6"/>
  <c r="Y1846" i="6"/>
  <c r="Y1832" i="6"/>
  <c r="Y1834" i="6"/>
  <c r="Y1830" i="6"/>
  <c r="Y1807" i="6"/>
  <c r="X1831" i="6"/>
  <c r="X1832" i="6"/>
  <c r="X1833" i="6"/>
  <c r="X1834" i="6"/>
  <c r="X1835" i="6"/>
  <c r="X1836" i="6"/>
  <c r="X1837" i="6"/>
  <c r="X1838" i="6"/>
  <c r="X1839" i="6"/>
  <c r="X1840" i="6"/>
  <c r="X1841" i="6"/>
  <c r="X1842" i="6"/>
  <c r="X1843" i="6"/>
  <c r="X1844" i="6"/>
  <c r="X1845" i="6"/>
  <c r="Z1845" i="6"/>
  <c r="X1846" i="6"/>
  <c r="X1847" i="6"/>
  <c r="X1848" i="6"/>
  <c r="X1849" i="6"/>
  <c r="Z1832" i="6"/>
  <c r="Z1834" i="6"/>
  <c r="Z1838" i="6"/>
  <c r="Z1840" i="6"/>
  <c r="Z1844" i="6"/>
  <c r="Z1846" i="6"/>
  <c r="X1813" i="6"/>
  <c r="X1814" i="6"/>
  <c r="X1815" i="6"/>
  <c r="X1816" i="6"/>
  <c r="X1817" i="6"/>
  <c r="X1818" i="6"/>
  <c r="X1819" i="6"/>
  <c r="X1820" i="6"/>
  <c r="Y1820" i="6" s="1"/>
  <c r="X1821" i="6"/>
  <c r="X1822" i="6"/>
  <c r="X1823" i="6"/>
  <c r="X1824" i="6"/>
  <c r="X1825" i="6"/>
  <c r="X1826" i="6"/>
  <c r="X1827" i="6"/>
  <c r="X1828" i="6"/>
  <c r="X1829" i="6"/>
  <c r="X1830" i="6"/>
  <c r="Z1830" i="6"/>
  <c r="X1808" i="6"/>
  <c r="X1809" i="6"/>
  <c r="X1810" i="6"/>
  <c r="X1811" i="6"/>
  <c r="X1812" i="6"/>
  <c r="X1807" i="6"/>
  <c r="Z1807" i="6"/>
  <c r="Y1784" i="6"/>
  <c r="Y1785" i="6"/>
  <c r="Y1789" i="6"/>
  <c r="Y1793" i="6"/>
  <c r="Y1795" i="6"/>
  <c r="Y1780" i="6"/>
  <c r="Y1777" i="6"/>
  <c r="Y1775" i="6"/>
  <c r="Y1773" i="6"/>
  <c r="Y1771" i="6"/>
  <c r="Y1769" i="6"/>
  <c r="X1787" i="6"/>
  <c r="X1788" i="6"/>
  <c r="X1789" i="6"/>
  <c r="X1790" i="6"/>
  <c r="X1791" i="6"/>
  <c r="X1792" i="6"/>
  <c r="X1793" i="6"/>
  <c r="X1794" i="6"/>
  <c r="X1795" i="6"/>
  <c r="X1796" i="6"/>
  <c r="X1797" i="6"/>
  <c r="X1798" i="6"/>
  <c r="Y1798" i="6"/>
  <c r="X1799" i="6"/>
  <c r="X1800" i="6"/>
  <c r="Y1800" i="6"/>
  <c r="X1801" i="6"/>
  <c r="X1802" i="6"/>
  <c r="X1803" i="6"/>
  <c r="X1804" i="6"/>
  <c r="X1805" i="6"/>
  <c r="X1806" i="6"/>
  <c r="Z1789" i="6"/>
  <c r="Z1793" i="6"/>
  <c r="Z1795" i="6"/>
  <c r="Z1798" i="6"/>
  <c r="Z1800" i="6"/>
  <c r="X1778" i="6"/>
  <c r="X1779" i="6"/>
  <c r="X1780" i="6"/>
  <c r="X1781" i="6"/>
  <c r="X1782" i="6"/>
  <c r="X1783" i="6"/>
  <c r="X1784" i="6"/>
  <c r="X1785" i="6"/>
  <c r="X1786" i="6"/>
  <c r="Z1780" i="6"/>
  <c r="Z1784" i="6"/>
  <c r="Z1785" i="6"/>
  <c r="X1777" i="6"/>
  <c r="Z1777" i="6"/>
  <c r="X1776" i="6"/>
  <c r="X1770" i="6"/>
  <c r="X1771" i="6"/>
  <c r="X1772" i="6"/>
  <c r="X1773" i="6"/>
  <c r="X1774" i="6"/>
  <c r="X1775" i="6"/>
  <c r="Z1771" i="6"/>
  <c r="Z1773" i="6"/>
  <c r="Z1775" i="6"/>
  <c r="X1769" i="6"/>
  <c r="Z1769" i="6"/>
  <c r="X1768" i="6"/>
  <c r="X1767" i="6"/>
  <c r="Z1767" i="6" s="1"/>
  <c r="Y1766" i="6"/>
  <c r="Y1751" i="6"/>
  <c r="X1755" i="6"/>
  <c r="X1756" i="6"/>
  <c r="X1757" i="6"/>
  <c r="X1758" i="6"/>
  <c r="X1759" i="6"/>
  <c r="Y1759" i="6"/>
  <c r="X1760" i="6"/>
  <c r="X1761" i="6"/>
  <c r="X1762" i="6"/>
  <c r="Y1762" i="6" s="1"/>
  <c r="X1763" i="6"/>
  <c r="X1764" i="6"/>
  <c r="X1765" i="6"/>
  <c r="X1766" i="6"/>
  <c r="Z1766" i="6"/>
  <c r="Z1759" i="6"/>
  <c r="Z1762" i="6"/>
  <c r="X1747" i="6"/>
  <c r="X1748" i="6"/>
  <c r="X1749" i="6"/>
  <c r="X1750" i="6"/>
  <c r="X1751" i="6"/>
  <c r="X1752" i="6"/>
  <c r="X1753" i="6"/>
  <c r="X1754" i="6"/>
  <c r="Z1751" i="6"/>
  <c r="X1746" i="6"/>
  <c r="Y1731" i="6"/>
  <c r="Y1717" i="6"/>
  <c r="Y1719" i="6"/>
  <c r="Y1722" i="6"/>
  <c r="Y1700" i="6"/>
  <c r="Y1704" i="6"/>
  <c r="Y1706" i="6"/>
  <c r="Y1708" i="6"/>
  <c r="X1739" i="6"/>
  <c r="X1740" i="6"/>
  <c r="X1741" i="6"/>
  <c r="X1742" i="6"/>
  <c r="X1743" i="6"/>
  <c r="X1744" i="6"/>
  <c r="X1745" i="6"/>
  <c r="X1732" i="6"/>
  <c r="X1733" i="6"/>
  <c r="X1734" i="6"/>
  <c r="X1735" i="6"/>
  <c r="X1736" i="6"/>
  <c r="X1737" i="6"/>
  <c r="X1738" i="6"/>
  <c r="X1727" i="6"/>
  <c r="X1728" i="6"/>
  <c r="X1729" i="6"/>
  <c r="X1730" i="6"/>
  <c r="X1731" i="6"/>
  <c r="Z1731" i="6"/>
  <c r="X1724" i="6"/>
  <c r="Y1724" i="6"/>
  <c r="X1725" i="6"/>
  <c r="X1726" i="6"/>
  <c r="Z1724" i="6"/>
  <c r="X1710" i="6"/>
  <c r="X1711" i="6"/>
  <c r="X1712" i="6"/>
  <c r="X1713" i="6"/>
  <c r="X1714" i="6"/>
  <c r="Y1714" i="6"/>
  <c r="X1715" i="6"/>
  <c r="X1716" i="6"/>
  <c r="X1717" i="6"/>
  <c r="X1718" i="6"/>
  <c r="X1719" i="6"/>
  <c r="X1720" i="6"/>
  <c r="X1721" i="6"/>
  <c r="X1722" i="6"/>
  <c r="X1723" i="6"/>
  <c r="Z1714" i="6"/>
  <c r="Z1717" i="6"/>
  <c r="Z1719" i="6"/>
  <c r="Z1722" i="6"/>
  <c r="X1703" i="6"/>
  <c r="X1704" i="6"/>
  <c r="X1705" i="6"/>
  <c r="X1706" i="6"/>
  <c r="X1707" i="6"/>
  <c r="X1708" i="6"/>
  <c r="X1709" i="6"/>
  <c r="Z1704" i="6"/>
  <c r="Z1706" i="6"/>
  <c r="Z1708" i="6"/>
  <c r="Y1686" i="6"/>
  <c r="Y1687" i="6"/>
  <c r="Y1691" i="6"/>
  <c r="Y1695" i="6"/>
  <c r="Y1681" i="6"/>
  <c r="Y1678" i="6"/>
  <c r="Y1676" i="6"/>
  <c r="Y1673" i="6"/>
  <c r="Y1670" i="6"/>
  <c r="X1671" i="6"/>
  <c r="X1672" i="6"/>
  <c r="X1673" i="6"/>
  <c r="X1674" i="6"/>
  <c r="X1675" i="6"/>
  <c r="X1676" i="6"/>
  <c r="X1677" i="6"/>
  <c r="X1678" i="6"/>
  <c r="X1679" i="6"/>
  <c r="X1680" i="6"/>
  <c r="X1681" i="6"/>
  <c r="X1682" i="6"/>
  <c r="X1683" i="6"/>
  <c r="X1684" i="6"/>
  <c r="Y1684" i="6"/>
  <c r="X1685" i="6"/>
  <c r="X1686" i="6"/>
  <c r="X1687" i="6"/>
  <c r="X1688" i="6"/>
  <c r="X1689" i="6"/>
  <c r="X1690" i="6"/>
  <c r="X1691" i="6"/>
  <c r="X1692" i="6"/>
  <c r="X1693" i="6"/>
  <c r="X1694" i="6"/>
  <c r="X1695" i="6"/>
  <c r="X1696" i="6"/>
  <c r="X1697" i="6"/>
  <c r="Y1697" i="6"/>
  <c r="X1698" i="6"/>
  <c r="X1699" i="6"/>
  <c r="X1700" i="6"/>
  <c r="X1701" i="6"/>
  <c r="X1702" i="6"/>
  <c r="Z1673" i="6"/>
  <c r="Z1676" i="6"/>
  <c r="Z1678" i="6"/>
  <c r="Z1681" i="6"/>
  <c r="Z1684" i="6"/>
  <c r="Z1686" i="6"/>
  <c r="Z1687" i="6"/>
  <c r="Z1691" i="6"/>
  <c r="Z1695" i="6"/>
  <c r="Z1697" i="6"/>
  <c r="Z1700" i="6"/>
  <c r="X1670" i="6"/>
  <c r="Z1670" i="6"/>
  <c r="X1669" i="6"/>
  <c r="Z1669" i="6" s="1"/>
  <c r="Y1668" i="6"/>
  <c r="X1668" i="6"/>
  <c r="Z1668" i="6"/>
  <c r="X1667" i="6"/>
  <c r="X1664" i="6"/>
  <c r="X1665" i="6"/>
  <c r="X1666" i="6"/>
  <c r="Z1666" i="6"/>
  <c r="Y1666" i="6"/>
  <c r="X1660" i="6"/>
  <c r="X1661" i="6"/>
  <c r="X1662" i="6"/>
  <c r="X1663" i="6"/>
  <c r="Y1650" i="6"/>
  <c r="Y1632" i="6"/>
  <c r="X1650" i="6"/>
  <c r="Z1650" i="6"/>
  <c r="X1651" i="6"/>
  <c r="X1652" i="6"/>
  <c r="X1653" i="6"/>
  <c r="X1654" i="6"/>
  <c r="X1655" i="6"/>
  <c r="X1656" i="6"/>
  <c r="X1657" i="6"/>
  <c r="X1658" i="6"/>
  <c r="X1659" i="6"/>
  <c r="X1635" i="6"/>
  <c r="X1636" i="6"/>
  <c r="X1637" i="6"/>
  <c r="Y1637" i="6" s="1"/>
  <c r="X1638" i="6"/>
  <c r="X1639" i="6"/>
  <c r="X1640" i="6"/>
  <c r="X1641" i="6"/>
  <c r="X1642" i="6"/>
  <c r="X1643" i="6"/>
  <c r="X1644" i="6"/>
  <c r="X1645" i="6"/>
  <c r="X1646" i="6"/>
  <c r="X1647" i="6"/>
  <c r="X1648" i="6"/>
  <c r="X1649" i="6"/>
  <c r="Z1637" i="6"/>
  <c r="Y1617" i="6"/>
  <c r="Y1620" i="6"/>
  <c r="Y1621" i="6"/>
  <c r="X1617" i="6"/>
  <c r="X1618" i="6"/>
  <c r="X1619" i="6"/>
  <c r="X1620" i="6"/>
  <c r="X1621" i="6"/>
  <c r="X1622" i="6"/>
  <c r="X1623" i="6"/>
  <c r="Y1623" i="6"/>
  <c r="X1624" i="6"/>
  <c r="X1625" i="6"/>
  <c r="X1626" i="6"/>
  <c r="X1627" i="6"/>
  <c r="X1628" i="6"/>
  <c r="X1629" i="6"/>
  <c r="X1630" i="6"/>
  <c r="X1631" i="6"/>
  <c r="X1632" i="6"/>
  <c r="X1633" i="6"/>
  <c r="X1634" i="6"/>
  <c r="Z1617" i="6"/>
  <c r="Z1620" i="6"/>
  <c r="Z1621" i="6"/>
  <c r="Z1623" i="6"/>
  <c r="Z1632" i="6"/>
  <c r="Y1606" i="6"/>
  <c r="Y1608" i="6"/>
  <c r="Y1611" i="6"/>
  <c r="Y1585" i="6"/>
  <c r="Y1586" i="6"/>
  <c r="Y1591" i="6"/>
  <c r="Y1594" i="6"/>
  <c r="X1598" i="6"/>
  <c r="X1599" i="6"/>
  <c r="X1600" i="6"/>
  <c r="X1601" i="6"/>
  <c r="X1602" i="6"/>
  <c r="X1603" i="6"/>
  <c r="X1604" i="6"/>
  <c r="X1605" i="6"/>
  <c r="X1606" i="6"/>
  <c r="X1607" i="6"/>
  <c r="X1608" i="6"/>
  <c r="X1609" i="6"/>
  <c r="X1610" i="6"/>
  <c r="X1611" i="6"/>
  <c r="Z1611" i="6"/>
  <c r="X1612" i="6"/>
  <c r="X1613" i="6"/>
  <c r="X1614" i="6"/>
  <c r="X1615" i="6"/>
  <c r="X1616" i="6"/>
  <c r="Z1606" i="6"/>
  <c r="Z1608" i="6"/>
  <c r="X1584" i="6"/>
  <c r="X1585" i="6"/>
  <c r="X1586" i="6"/>
  <c r="X1587" i="6"/>
  <c r="X1588" i="6"/>
  <c r="X1589" i="6"/>
  <c r="X1590" i="6"/>
  <c r="X1591" i="6"/>
  <c r="X1592" i="6"/>
  <c r="X1593" i="6"/>
  <c r="X1594" i="6"/>
  <c r="X1595" i="6"/>
  <c r="X1596" i="6"/>
  <c r="Y1596" i="6"/>
  <c r="X1597" i="6"/>
  <c r="Z1585" i="6"/>
  <c r="Z1586" i="6"/>
  <c r="Z1591" i="6"/>
  <c r="Z1594" i="6"/>
  <c r="Z1596" i="6"/>
  <c r="X1583" i="6"/>
  <c r="X1582" i="6"/>
  <c r="Y1581" i="6"/>
  <c r="Y1579" i="6"/>
  <c r="Y1577" i="6"/>
  <c r="Y1574" i="6"/>
  <c r="Y1571" i="6"/>
  <c r="X1578" i="6"/>
  <c r="X1579" i="6"/>
  <c r="X1580" i="6"/>
  <c r="X1581" i="6"/>
  <c r="Z1579" i="6"/>
  <c r="Z1581" i="6"/>
  <c r="X1572" i="6"/>
  <c r="X1573" i="6"/>
  <c r="X1574" i="6"/>
  <c r="X1575" i="6"/>
  <c r="X1576" i="6"/>
  <c r="X1577" i="6"/>
  <c r="Z1577" i="6"/>
  <c r="Z1574" i="6"/>
  <c r="X1570" i="6"/>
  <c r="X1571" i="6"/>
  <c r="Z1571" i="6"/>
  <c r="X1569" i="6"/>
  <c r="Z1569" i="6" s="1"/>
  <c r="Y1536" i="6"/>
  <c r="Y1382" i="6"/>
  <c r="Y1407" i="6"/>
  <c r="Y1443" i="6"/>
  <c r="Y1301" i="6"/>
  <c r="Y1352" i="6"/>
  <c r="Y1285" i="6"/>
  <c r="Y1298" i="6"/>
  <c r="Y1482" i="6"/>
  <c r="Y1448" i="6"/>
  <c r="Y1401" i="6"/>
  <c r="Y1473" i="6"/>
  <c r="Y1489" i="6"/>
  <c r="Y1379" i="6"/>
  <c r="X1543" i="6"/>
  <c r="X1542" i="6"/>
  <c r="Y1542" i="6"/>
  <c r="X1561" i="6"/>
  <c r="X1563" i="6"/>
  <c r="X1564" i="6"/>
  <c r="Y1564" i="6" s="1"/>
  <c r="X1562" i="6"/>
  <c r="Z1542" i="6"/>
  <c r="Z1564" i="6"/>
  <c r="X1443" i="6"/>
  <c r="X1515" i="6"/>
  <c r="X1520" i="6"/>
  <c r="X1512" i="6"/>
  <c r="X1525" i="6"/>
  <c r="X1516" i="6"/>
  <c r="X1511" i="6"/>
  <c r="X1539" i="6"/>
  <c r="X1540" i="6"/>
  <c r="X1538" i="6"/>
  <c r="X1537" i="6"/>
  <c r="X1535" i="6"/>
  <c r="X1541" i="6"/>
  <c r="Y1541" i="6" s="1"/>
  <c r="X1536" i="6"/>
  <c r="X1548" i="6"/>
  <c r="X1544" i="6"/>
  <c r="X1559" i="6"/>
  <c r="X1560" i="6"/>
  <c r="X1557" i="6"/>
  <c r="Z1443" i="6"/>
  <c r="Z1541" i="6"/>
  <c r="Z1536" i="6"/>
  <c r="X1300" i="6"/>
  <c r="Y1300" i="6"/>
  <c r="X1319" i="6"/>
  <c r="X1301" i="6"/>
  <c r="X1351" i="6"/>
  <c r="X1342" i="6"/>
  <c r="X1337" i="6"/>
  <c r="X1358" i="6"/>
  <c r="X1357" i="6"/>
  <c r="X1352" i="6"/>
  <c r="X1420" i="6"/>
  <c r="X1440" i="6"/>
  <c r="X1436" i="6"/>
  <c r="X1430" i="6"/>
  <c r="X1384" i="6"/>
  <c r="X1383" i="6"/>
  <c r="X1382" i="6"/>
  <c r="X1407" i="6"/>
  <c r="X1447" i="6"/>
  <c r="Z1300" i="6"/>
  <c r="Z1301" i="6"/>
  <c r="Z1352" i="6"/>
  <c r="Z1382" i="6"/>
  <c r="Z1407" i="6"/>
  <c r="X1294" i="6"/>
  <c r="X1364" i="6"/>
  <c r="X1362" i="6"/>
  <c r="Y1362" i="6"/>
  <c r="X1490" i="6"/>
  <c r="X1286" i="6"/>
  <c r="X1285" i="6"/>
  <c r="X1334" i="6"/>
  <c r="X1331" i="6"/>
  <c r="X1297" i="6"/>
  <c r="X1298" i="6"/>
  <c r="X1488" i="6"/>
  <c r="X1322" i="6"/>
  <c r="X1328" i="6"/>
  <c r="X1329" i="6"/>
  <c r="Y1329" i="6"/>
  <c r="X1299" i="6"/>
  <c r="Z1362" i="6"/>
  <c r="Z1285" i="6"/>
  <c r="Z1298" i="6"/>
  <c r="Z1329" i="6"/>
  <c r="X1394" i="6"/>
  <c r="X1392" i="6"/>
  <c r="X1391" i="6"/>
  <c r="X1401" i="6"/>
  <c r="X1473" i="6"/>
  <c r="X1489" i="6"/>
  <c r="X1380" i="6"/>
  <c r="X1379" i="6"/>
  <c r="Z1401" i="6"/>
  <c r="Z1473" i="6"/>
  <c r="Z1489" i="6"/>
  <c r="Z1379" i="6"/>
  <c r="X1448" i="6"/>
  <c r="Z1448" i="6"/>
  <c r="X1389" i="6"/>
  <c r="X1387" i="6"/>
  <c r="X1482" i="6"/>
  <c r="Z1482" i="6"/>
  <c r="X1481" i="6"/>
  <c r="X1483" i="6"/>
  <c r="Z1483" i="6"/>
  <c r="Y1321" i="6"/>
  <c r="Y1483" i="6"/>
  <c r="X1321" i="6"/>
  <c r="Z1321" i="6"/>
  <c r="X1545" i="6"/>
  <c r="X1530" i="6"/>
  <c r="X1527" i="6"/>
  <c r="X1496" i="6"/>
  <c r="X1327" i="6"/>
  <c r="X1467" i="6"/>
  <c r="X1464" i="6"/>
  <c r="X1501" i="6"/>
  <c r="X1499" i="6"/>
  <c r="X1497" i="6"/>
  <c r="Y1293" i="6"/>
  <c r="X1293" i="6"/>
  <c r="Z1293" i="6"/>
  <c r="X1495" i="6"/>
  <c r="Y1333" i="6"/>
  <c r="Y1534" i="6"/>
  <c r="Y1439" i="6"/>
  <c r="Y1558" i="6"/>
  <c r="X1528" i="6"/>
  <c r="X1531" i="6"/>
  <c r="X1367" i="6"/>
  <c r="X1377" i="6"/>
  <c r="X1317" i="6"/>
  <c r="X1556" i="6"/>
  <c r="X1566" i="6"/>
  <c r="X1551" i="6"/>
  <c r="Y1551" i="6" s="1"/>
  <c r="X1552" i="6"/>
  <c r="Y1552" i="6" s="1"/>
  <c r="X1498" i="6"/>
  <c r="X1500" i="6"/>
  <c r="X1502" i="6"/>
  <c r="X1465" i="6"/>
  <c r="X1487" i="6"/>
  <c r="X1486" i="6"/>
  <c r="Z1551" i="6"/>
  <c r="Z1552" i="6"/>
  <c r="X1439" i="6"/>
  <c r="X1381" i="6"/>
  <c r="X1558" i="6"/>
  <c r="X1507" i="6"/>
  <c r="X1554" i="6"/>
  <c r="X1553" i="6"/>
  <c r="X1326" i="6"/>
  <c r="X1529" i="6"/>
  <c r="X1493" i="6"/>
  <c r="X1494" i="6"/>
  <c r="X1568" i="6"/>
  <c r="X1333" i="6"/>
  <c r="X1503" i="6"/>
  <c r="X1491" i="6"/>
  <c r="X1492" i="6"/>
  <c r="X1567" i="6"/>
  <c r="X1378" i="6"/>
  <c r="X1296" i="6"/>
  <c r="X1565" i="6"/>
  <c r="X1555" i="6"/>
  <c r="X1466" i="6"/>
  <c r="Z1439" i="6"/>
  <c r="Z1558" i="6"/>
  <c r="Z1333" i="6"/>
  <c r="X1323" i="6"/>
  <c r="X1426" i="6"/>
  <c r="X1315" i="6"/>
  <c r="X1390" i="6"/>
  <c r="X1408" i="6"/>
  <c r="X1404" i="6"/>
  <c r="X1445" i="6"/>
  <c r="X1534" i="6"/>
  <c r="Z1534" i="6"/>
  <c r="X1303" i="6"/>
  <c r="Y1435" i="6"/>
  <c r="X1435" i="6"/>
  <c r="Z1435" i="6"/>
  <c r="X1438" i="6"/>
  <c r="Y1547" i="6"/>
  <c r="Y1510" i="6"/>
  <c r="Y1519" i="6"/>
  <c r="Y1514" i="6"/>
  <c r="Y1472" i="6"/>
  <c r="Y1344" i="6"/>
  <c r="Y1386" i="6"/>
  <c r="Y1393" i="6"/>
  <c r="X1514" i="6"/>
  <c r="X1418" i="6"/>
  <c r="X1547" i="6"/>
  <c r="X1305" i="6"/>
  <c r="X1287" i="6"/>
  <c r="X1450" i="6"/>
  <c r="X1427" i="6"/>
  <c r="X1518" i="6"/>
  <c r="X1509" i="6"/>
  <c r="X1510" i="6"/>
  <c r="X1523" i="6"/>
  <c r="X1513" i="6"/>
  <c r="X1519" i="6"/>
  <c r="X1283" i="6"/>
  <c r="X1284" i="6"/>
  <c r="Y1284" i="6"/>
  <c r="Z1514" i="6"/>
  <c r="Z1547" i="6"/>
  <c r="Z1510" i="6"/>
  <c r="Z1519" i="6"/>
  <c r="Z1284" i="6"/>
  <c r="X1421" i="6"/>
  <c r="X1422" i="6"/>
  <c r="X1291" i="6"/>
  <c r="X1386" i="6"/>
  <c r="X1360" i="6"/>
  <c r="X1363" i="6"/>
  <c r="X1361" i="6"/>
  <c r="Y1361" i="6" s="1"/>
  <c r="X1344" i="6"/>
  <c r="X1470" i="6"/>
  <c r="X1471" i="6"/>
  <c r="X1472" i="6"/>
  <c r="Z1472" i="6"/>
  <c r="X1456" i="6"/>
  <c r="Z1386" i="6"/>
  <c r="Z1361" i="6"/>
  <c r="Z1344" i="6"/>
  <c r="X1424" i="6"/>
  <c r="X1398" i="6"/>
  <c r="X1433" i="6"/>
  <c r="X1393" i="6"/>
  <c r="Z1393" i="6"/>
  <c r="X1396" i="6"/>
  <c r="Y1429" i="6"/>
  <c r="Y1480" i="6"/>
  <c r="Y1524" i="6"/>
  <c r="Y1336" i="6"/>
  <c r="Y1406" i="6"/>
  <c r="X1399" i="6"/>
  <c r="X1429" i="6"/>
  <c r="Z1429" i="6"/>
  <c r="X1400" i="6"/>
  <c r="X1341" i="6"/>
  <c r="X1480" i="6"/>
  <c r="Z1480" i="6"/>
  <c r="X1522" i="6"/>
  <c r="X1524" i="6"/>
  <c r="Z1524" i="6"/>
  <c r="X1526" i="6"/>
  <c r="X1336" i="6"/>
  <c r="Z1336" i="6"/>
  <c r="X1338" i="6"/>
  <c r="X1428" i="6"/>
  <c r="X1406" i="6"/>
  <c r="Z1406" i="6"/>
  <c r="X1403" i="6"/>
  <c r="Z1403" i="6"/>
  <c r="Y1320" i="6"/>
  <c r="Y1282" i="6"/>
  <c r="X1354" i="6"/>
  <c r="X1410" i="6"/>
  <c r="X1295" i="6"/>
  <c r="X1376" i="6"/>
  <c r="X1320" i="6"/>
  <c r="X1282" i="6"/>
  <c r="Z1320" i="6"/>
  <c r="Z1282" i="6"/>
  <c r="Y1316" i="6"/>
  <c r="Y1506" i="6"/>
  <c r="Y1437" i="6"/>
  <c r="Y1302" i="6"/>
  <c r="Y1314" i="6"/>
  <c r="X1475" i="6"/>
  <c r="X1350" i="6"/>
  <c r="X1388" i="6"/>
  <c r="X1355" i="6"/>
  <c r="X1356" i="6"/>
  <c r="X1504" i="6"/>
  <c r="X1506" i="6"/>
  <c r="X1549" i="6"/>
  <c r="X1370" i="6"/>
  <c r="X1414" i="6"/>
  <c r="X1533" i="6"/>
  <c r="X1532" i="6"/>
  <c r="X1477" i="6"/>
  <c r="X1405" i="6"/>
  <c r="X1292" i="6"/>
  <c r="X1371" i="6"/>
  <c r="X1505" i="6"/>
  <c r="X1431" i="6"/>
  <c r="X1432" i="6"/>
  <c r="X1365" i="6"/>
  <c r="X1374" i="6"/>
  <c r="X1372" i="6"/>
  <c r="X1550" i="6"/>
  <c r="X1343" i="6"/>
  <c r="X1413" i="6"/>
  <c r="X1479" i="6"/>
  <c r="X1349" i="6"/>
  <c r="X1508" i="6"/>
  <c r="X1316" i="6"/>
  <c r="X1546" i="6"/>
  <c r="X1288" i="6"/>
  <c r="X1476" i="6"/>
  <c r="Y1476" i="6" s="1"/>
  <c r="X1353" i="6"/>
  <c r="X1478" i="6"/>
  <c r="X1397" i="6"/>
  <c r="X1434" i="6"/>
  <c r="X1375" i="6"/>
  <c r="X1373" i="6"/>
  <c r="X1318" i="6"/>
  <c r="X1368" i="6"/>
  <c r="X1366" i="6"/>
  <c r="X1369" i="6"/>
  <c r="X1419" i="6"/>
  <c r="Z1506" i="6"/>
  <c r="Z1316" i="6"/>
  <c r="Z1476" i="6"/>
  <c r="X1314" i="6"/>
  <c r="X1415" i="6"/>
  <c r="X1441" i="6"/>
  <c r="X1442" i="6"/>
  <c r="X1444" i="6"/>
  <c r="X1409" i="6"/>
  <c r="X1411" i="6"/>
  <c r="X1412" i="6"/>
  <c r="Z1314" i="6"/>
  <c r="Y1290" i="6"/>
  <c r="Y1395" i="6"/>
  <c r="Y1455" i="6"/>
  <c r="Y1517" i="6"/>
  <c r="Y1417" i="6"/>
  <c r="Y1304" i="6"/>
  <c r="X1309" i="6"/>
  <c r="X1308" i="6"/>
  <c r="X1395" i="6"/>
  <c r="X1459" i="6"/>
  <c r="X1455" i="6"/>
  <c r="X1325" i="6"/>
  <c r="X1346" i="6"/>
  <c r="X1425" i="6"/>
  <c r="Y1425" i="6"/>
  <c r="X1446" i="6"/>
  <c r="X1437" i="6"/>
  <c r="X1302" i="6"/>
  <c r="X1313" i="6"/>
  <c r="X1332" i="6"/>
  <c r="X1330" i="6"/>
  <c r="Z1395" i="6"/>
  <c r="Z1455" i="6"/>
  <c r="Z1425" i="6"/>
  <c r="Z1437" i="6"/>
  <c r="Z1302" i="6"/>
  <c r="X1484" i="6"/>
  <c r="X1423" i="6"/>
  <c r="Y1423" i="6"/>
  <c r="X1347" i="6"/>
  <c r="X1348" i="6"/>
  <c r="X1359" i="6"/>
  <c r="Y1359" i="6"/>
  <c r="X1385" i="6"/>
  <c r="X1289" i="6"/>
  <c r="X1290" i="6"/>
  <c r="X1306" i="6"/>
  <c r="Z1423" i="6"/>
  <c r="Z1359" i="6"/>
  <c r="Z1290" i="6"/>
  <c r="Y1402" i="6"/>
  <c r="Y1281" i="6"/>
  <c r="X1460" i="6"/>
  <c r="X1458" i="6"/>
  <c r="X1454" i="6"/>
  <c r="X1461" i="6"/>
  <c r="X1457" i="6"/>
  <c r="X1517" i="6"/>
  <c r="X1416" i="6"/>
  <c r="X1417" i="6"/>
  <c r="X1304" i="6"/>
  <c r="X1468" i="6"/>
  <c r="X1469" i="6"/>
  <c r="Y1469" i="6"/>
  <c r="X1452" i="6"/>
  <c r="X1451" i="6"/>
  <c r="X1485" i="6"/>
  <c r="Z1517" i="6"/>
  <c r="Z1417" i="6"/>
  <c r="Z1304" i="6"/>
  <c r="Z1469" i="6"/>
  <c r="X1462" i="6"/>
  <c r="X1453" i="6"/>
  <c r="X1474" i="6"/>
  <c r="X1335" i="6"/>
  <c r="X1340" i="6"/>
  <c r="X1463" i="6"/>
  <c r="X1521" i="6"/>
  <c r="Y1521" i="6"/>
  <c r="X1345" i="6"/>
  <c r="X1312" i="6"/>
  <c r="X1307" i="6"/>
  <c r="X1311" i="6"/>
  <c r="X1310" i="6"/>
  <c r="X1402" i="6"/>
  <c r="X1449" i="6"/>
  <c r="Y1449" i="6"/>
  <c r="Z1521" i="6"/>
  <c r="Z1402" i="6"/>
  <c r="Z1449" i="6"/>
  <c r="X1339" i="6"/>
  <c r="X1324" i="6"/>
  <c r="X1281" i="6"/>
  <c r="Z1281" i="6"/>
  <c r="Y1273" i="6"/>
  <c r="X1196" i="6"/>
  <c r="Z1196" i="6"/>
  <c r="X1279" i="6"/>
  <c r="X1280" i="6"/>
  <c r="X1261" i="6"/>
  <c r="X1262" i="6"/>
  <c r="X1263" i="6"/>
  <c r="X1264" i="6"/>
  <c r="X1265" i="6"/>
  <c r="X1266" i="6"/>
  <c r="X1267" i="6"/>
  <c r="X1268" i="6"/>
  <c r="X1269" i="6"/>
  <c r="X1270" i="6"/>
  <c r="Y1270" i="6" s="1"/>
  <c r="X1271" i="6"/>
  <c r="Y1271" i="6" s="1"/>
  <c r="X1272" i="6"/>
  <c r="X1273" i="6"/>
  <c r="X1274" i="6"/>
  <c r="X1275" i="6"/>
  <c r="Y1275" i="6" s="1"/>
  <c r="X1276" i="6"/>
  <c r="X1277" i="6"/>
  <c r="X1278" i="6"/>
  <c r="Y1278" i="6" s="1"/>
  <c r="Z1270" i="6"/>
  <c r="Z1271" i="6"/>
  <c r="Z1273" i="6"/>
  <c r="Z1275" i="6"/>
  <c r="Z1278" i="6"/>
  <c r="X1251" i="6"/>
  <c r="X1252" i="6"/>
  <c r="Y1252" i="6"/>
  <c r="X1253" i="6"/>
  <c r="X1254" i="6"/>
  <c r="X1255" i="6"/>
  <c r="X1256" i="6"/>
  <c r="Y1256" i="6" s="1"/>
  <c r="X1257" i="6"/>
  <c r="X1258" i="6"/>
  <c r="X1259" i="6"/>
  <c r="Y1259" i="6" s="1"/>
  <c r="X1260" i="6"/>
  <c r="Z1252" i="6"/>
  <c r="Z1256" i="6"/>
  <c r="Z1259" i="6"/>
  <c r="X1249" i="6"/>
  <c r="X1250" i="6"/>
  <c r="X1248" i="6"/>
  <c r="X1247" i="6"/>
  <c r="X1246" i="6"/>
  <c r="Y1165" i="6"/>
  <c r="Y1167" i="6"/>
  <c r="Y1170" i="6"/>
  <c r="Y1172" i="6"/>
  <c r="Y1174" i="6"/>
  <c r="Y1176" i="6"/>
  <c r="Y1179" i="6"/>
  <c r="Y1181" i="6"/>
  <c r="Y1183" i="6"/>
  <c r="Y1188" i="6"/>
  <c r="Y1192" i="6"/>
  <c r="Y1199" i="6"/>
  <c r="X1238" i="6"/>
  <c r="X1239" i="6"/>
  <c r="X1240" i="6"/>
  <c r="X1241" i="6"/>
  <c r="X1242" i="6"/>
  <c r="X1243" i="6"/>
  <c r="X1244" i="6"/>
  <c r="X1245" i="6"/>
  <c r="X1213" i="6"/>
  <c r="X1214" i="6"/>
  <c r="X1215" i="6"/>
  <c r="Y1215" i="6"/>
  <c r="X1216" i="6"/>
  <c r="X1217" i="6"/>
  <c r="X1218" i="6"/>
  <c r="X1219" i="6"/>
  <c r="X1220" i="6"/>
  <c r="Y1220" i="6"/>
  <c r="X1221" i="6"/>
  <c r="X1222" i="6"/>
  <c r="X1223" i="6"/>
  <c r="Y1223" i="6"/>
  <c r="X1224" i="6"/>
  <c r="X1225" i="6"/>
  <c r="Y1225" i="6"/>
  <c r="X1226" i="6"/>
  <c r="X1227" i="6"/>
  <c r="X1228" i="6"/>
  <c r="X1229" i="6"/>
  <c r="Y1229" i="6"/>
  <c r="X1230" i="6"/>
  <c r="X1231" i="6"/>
  <c r="X1232" i="6"/>
  <c r="X1233" i="6"/>
  <c r="X1234" i="6"/>
  <c r="X1235" i="6"/>
  <c r="X1236" i="6"/>
  <c r="X1237" i="6"/>
  <c r="Z1215" i="6"/>
  <c r="Z1220" i="6"/>
  <c r="Z1223" i="6"/>
  <c r="Z1225" i="6"/>
  <c r="Z1229" i="6"/>
  <c r="X1207" i="6"/>
  <c r="X1208" i="6"/>
  <c r="X1209" i="6"/>
  <c r="X1210" i="6"/>
  <c r="X1211" i="6"/>
  <c r="Y1211" i="6"/>
  <c r="X1212" i="6"/>
  <c r="Z1211" i="6"/>
  <c r="X1206" i="6"/>
  <c r="X1205" i="6"/>
  <c r="X1204" i="6"/>
  <c r="X1203" i="6"/>
  <c r="X1202" i="6"/>
  <c r="X1201" i="6"/>
  <c r="X1200" i="6"/>
  <c r="X1199" i="6"/>
  <c r="Z1199" i="6"/>
  <c r="X1198" i="6"/>
  <c r="X1197" i="6"/>
  <c r="X1194" i="6"/>
  <c r="X1195" i="6"/>
  <c r="X1193" i="6"/>
  <c r="X1190" i="6"/>
  <c r="X1191" i="6"/>
  <c r="X1192" i="6"/>
  <c r="Z1192" i="6"/>
  <c r="X1189" i="6"/>
  <c r="X1178" i="6"/>
  <c r="X1179" i="6"/>
  <c r="X1180" i="6"/>
  <c r="X1181" i="6"/>
  <c r="X1182" i="6"/>
  <c r="X1183" i="6"/>
  <c r="X1184" i="6"/>
  <c r="X1185" i="6"/>
  <c r="X1186" i="6"/>
  <c r="X1187" i="6"/>
  <c r="X1188" i="6"/>
  <c r="Z1179" i="6"/>
  <c r="Z1181" i="6"/>
  <c r="Z1183" i="6"/>
  <c r="Z1188" i="6"/>
  <c r="X1168" i="6"/>
  <c r="X1169" i="6"/>
  <c r="X1170" i="6"/>
  <c r="X1171" i="6"/>
  <c r="Y1171" i="6" s="1"/>
  <c r="X1172" i="6"/>
  <c r="X1173" i="6"/>
  <c r="X1174" i="6"/>
  <c r="X1175" i="6"/>
  <c r="X1176" i="6"/>
  <c r="X1177" i="6"/>
  <c r="Z1170" i="6"/>
  <c r="Z1171" i="6"/>
  <c r="Z1172" i="6"/>
  <c r="Z1174" i="6"/>
  <c r="Z1176" i="6"/>
  <c r="X1167" i="6"/>
  <c r="Z1167" i="6"/>
  <c r="X1166" i="6"/>
  <c r="X1152" i="6"/>
  <c r="X1153" i="6"/>
  <c r="X1154" i="6"/>
  <c r="X1155" i="6"/>
  <c r="X1156" i="6"/>
  <c r="X1157" i="6"/>
  <c r="X1158" i="6"/>
  <c r="X1159" i="6"/>
  <c r="X1160" i="6"/>
  <c r="X1161" i="6"/>
  <c r="X1162" i="6"/>
  <c r="X1163" i="6"/>
  <c r="X1164" i="6"/>
  <c r="X1165" i="6"/>
  <c r="Z1165" i="6"/>
  <c r="X1144" i="6"/>
  <c r="X1145" i="6"/>
  <c r="X1146" i="6"/>
  <c r="X1147" i="6"/>
  <c r="X1148" i="6"/>
  <c r="X1149" i="6"/>
  <c r="X1150" i="6"/>
  <c r="X1151" i="6"/>
  <c r="X1142" i="6"/>
  <c r="X1143" i="6"/>
  <c r="X1141" i="6"/>
  <c r="X1140" i="6"/>
  <c r="X1139" i="6"/>
  <c r="Y1127" i="6"/>
  <c r="Y1130" i="6"/>
  <c r="Y1133" i="6"/>
  <c r="Y1137" i="6"/>
  <c r="Y1115" i="6"/>
  <c r="Y1125" i="6"/>
  <c r="X1115" i="6"/>
  <c r="X1116" i="6"/>
  <c r="X1117" i="6"/>
  <c r="X1118" i="6"/>
  <c r="X1119" i="6"/>
  <c r="X1120" i="6"/>
  <c r="X1121" i="6"/>
  <c r="X1122" i="6"/>
  <c r="X1123" i="6"/>
  <c r="X1124" i="6"/>
  <c r="X1125" i="6"/>
  <c r="Z1125" i="6"/>
  <c r="X1126" i="6"/>
  <c r="X1127" i="6"/>
  <c r="X1128" i="6"/>
  <c r="X1129" i="6"/>
  <c r="X1130" i="6"/>
  <c r="Z1130" i="6"/>
  <c r="X1131" i="6"/>
  <c r="X1132" i="6"/>
  <c r="X1133" i="6"/>
  <c r="Z1133" i="6"/>
  <c r="X1134" i="6"/>
  <c r="X1135" i="6"/>
  <c r="X1136" i="6"/>
  <c r="X1137" i="6"/>
  <c r="X1138" i="6"/>
  <c r="Z1115" i="6"/>
  <c r="Z1127" i="6"/>
  <c r="Z1137" i="6"/>
  <c r="Y1099" i="6"/>
  <c r="Y1102" i="6"/>
  <c r="Y1078" i="6"/>
  <c r="Y1082" i="6"/>
  <c r="Y1085" i="6"/>
  <c r="Y1066" i="6"/>
  <c r="Y1064" i="6"/>
  <c r="Y1062" i="6"/>
  <c r="Y1059" i="6"/>
  <c r="X1081" i="6"/>
  <c r="X1082" i="6"/>
  <c r="X1083" i="6"/>
  <c r="X1084" i="6"/>
  <c r="X1085" i="6"/>
  <c r="X1086" i="6"/>
  <c r="X1087" i="6"/>
  <c r="X1088" i="6"/>
  <c r="X1089" i="6"/>
  <c r="X1090" i="6"/>
  <c r="X1091" i="6"/>
  <c r="X1092" i="6"/>
  <c r="X1093" i="6"/>
  <c r="X1094" i="6"/>
  <c r="X1095" i="6"/>
  <c r="X1096" i="6"/>
  <c r="Y1096" i="6"/>
  <c r="X1097" i="6"/>
  <c r="X1098" i="6"/>
  <c r="X1099" i="6"/>
  <c r="Z1099" i="6"/>
  <c r="X1100" i="6"/>
  <c r="X1101" i="6"/>
  <c r="X1102" i="6"/>
  <c r="X1103" i="6"/>
  <c r="X1104" i="6"/>
  <c r="X1105" i="6"/>
  <c r="X1106" i="6"/>
  <c r="X1107" i="6"/>
  <c r="X1108" i="6"/>
  <c r="X1109" i="6"/>
  <c r="X1110" i="6"/>
  <c r="X1111" i="6"/>
  <c r="X1112" i="6"/>
  <c r="X1113" i="6"/>
  <c r="X1114" i="6"/>
  <c r="Z1082" i="6"/>
  <c r="Z1085" i="6"/>
  <c r="Z1096" i="6"/>
  <c r="Z1102" i="6"/>
  <c r="X1074" i="6"/>
  <c r="Y1074" i="6"/>
  <c r="X1075" i="6"/>
  <c r="X1076" i="6"/>
  <c r="X1077" i="6"/>
  <c r="X1078" i="6"/>
  <c r="X1079" i="6"/>
  <c r="X1080" i="6"/>
  <c r="Z1074" i="6"/>
  <c r="Z1078" i="6"/>
  <c r="X1067" i="6"/>
  <c r="X1068" i="6"/>
  <c r="Y1068" i="6"/>
  <c r="X1069" i="6"/>
  <c r="X1070" i="6"/>
  <c r="X1071" i="6"/>
  <c r="X1072" i="6"/>
  <c r="Y1072" i="6"/>
  <c r="X1073" i="6"/>
  <c r="Z1068" i="6"/>
  <c r="Z1072" i="6"/>
  <c r="X1066" i="6"/>
  <c r="Z1066" i="6"/>
  <c r="X1063" i="6"/>
  <c r="X1064" i="6"/>
  <c r="X1065" i="6"/>
  <c r="Z1064" i="6"/>
  <c r="X1062" i="6"/>
  <c r="Z1062" i="6"/>
  <c r="X1061" i="6"/>
  <c r="X1060" i="6"/>
  <c r="X1059" i="6"/>
  <c r="Z1059" i="6"/>
  <c r="Y1048" i="6"/>
  <c r="Y1050" i="6"/>
  <c r="Y1051" i="6"/>
  <c r="Y1052" i="6"/>
  <c r="Y1055" i="6"/>
  <c r="Y1057" i="6"/>
  <c r="X1058" i="6"/>
  <c r="X1049" i="6"/>
  <c r="X1050" i="6"/>
  <c r="X1051" i="6"/>
  <c r="X1052" i="6"/>
  <c r="X1053" i="6"/>
  <c r="X1054" i="6"/>
  <c r="X1055" i="6"/>
  <c r="X1056" i="6"/>
  <c r="X1057" i="6"/>
  <c r="Z1050" i="6"/>
  <c r="Z1051" i="6"/>
  <c r="Z1052" i="6"/>
  <c r="Z1055" i="6"/>
  <c r="Z1057" i="6"/>
  <c r="X1048" i="6"/>
  <c r="Z1048" i="6"/>
  <c r="X1047" i="6"/>
  <c r="Y1046" i="6"/>
  <c r="X1046" i="6"/>
  <c r="Z1046" i="6"/>
  <c r="X1045" i="6"/>
  <c r="X1044" i="6"/>
  <c r="Y1038" i="6"/>
  <c r="X1043" i="6"/>
  <c r="X1042" i="6"/>
  <c r="X1041" i="6"/>
  <c r="X1040" i="6"/>
  <c r="X1039" i="6"/>
  <c r="X1038" i="6"/>
  <c r="Z1038" i="6"/>
  <c r="X1037" i="6"/>
  <c r="X1036" i="6"/>
  <c r="X1035" i="6"/>
  <c r="Y1021" i="6"/>
  <c r="X1034" i="6"/>
  <c r="Y1034" i="6"/>
  <c r="Z1034" i="6"/>
  <c r="X1033" i="6"/>
  <c r="X1032" i="6"/>
  <c r="X1031" i="6"/>
  <c r="X1030" i="6"/>
  <c r="X1029" i="6"/>
  <c r="X1028" i="6"/>
  <c r="X1027" i="6"/>
  <c r="X1024" i="6"/>
  <c r="X1025" i="6"/>
  <c r="X1026" i="6"/>
  <c r="X1023" i="6"/>
  <c r="X1022" i="6"/>
  <c r="X1021" i="6"/>
  <c r="Z1021" i="6"/>
  <c r="X1020" i="6"/>
  <c r="X1019" i="6"/>
  <c r="X1018" i="6"/>
  <c r="X1017" i="6"/>
  <c r="X1016" i="6"/>
  <c r="X1015" i="6"/>
  <c r="Y996" i="6"/>
  <c r="Y998" i="6"/>
  <c r="Y1003" i="6"/>
  <c r="Y1004" i="6"/>
  <c r="Y1006" i="6"/>
  <c r="X995" i="6"/>
  <c r="X996" i="6"/>
  <c r="X997" i="6"/>
  <c r="X998" i="6"/>
  <c r="Z998" i="6"/>
  <c r="X999" i="6"/>
  <c r="X1000" i="6"/>
  <c r="X1001" i="6"/>
  <c r="X1002" i="6"/>
  <c r="X1003" i="6"/>
  <c r="X1004" i="6"/>
  <c r="X1005" i="6"/>
  <c r="X1006" i="6"/>
  <c r="X1007" i="6"/>
  <c r="X1008" i="6"/>
  <c r="X1009" i="6"/>
  <c r="X1010" i="6"/>
  <c r="X1011" i="6"/>
  <c r="X1012" i="6"/>
  <c r="X1013" i="6"/>
  <c r="X1014" i="6"/>
  <c r="Z996" i="6"/>
  <c r="Z1003" i="6"/>
  <c r="Z1004" i="6"/>
  <c r="Z1006" i="6"/>
  <c r="Y980" i="6"/>
  <c r="Y981" i="6"/>
  <c r="Y982" i="6"/>
  <c r="Y990" i="6"/>
  <c r="X973" i="6"/>
  <c r="X974" i="6"/>
  <c r="X975" i="6"/>
  <c r="X976" i="6"/>
  <c r="X977" i="6"/>
  <c r="X978" i="6"/>
  <c r="X979" i="6"/>
  <c r="X980" i="6"/>
  <c r="X981" i="6"/>
  <c r="X982" i="6"/>
  <c r="X983" i="6"/>
  <c r="X984" i="6"/>
  <c r="X985" i="6"/>
  <c r="X986" i="6"/>
  <c r="X987" i="6"/>
  <c r="Y987" i="6" s="1"/>
  <c r="X988" i="6"/>
  <c r="X989" i="6"/>
  <c r="X990" i="6"/>
  <c r="X991" i="6"/>
  <c r="X992" i="6"/>
  <c r="Y992" i="6"/>
  <c r="X993" i="6"/>
  <c r="X994" i="6"/>
  <c r="Z980" i="6"/>
  <c r="Z981" i="6"/>
  <c r="Z982" i="6"/>
  <c r="Z987" i="6"/>
  <c r="Z990" i="6"/>
  <c r="Z992" i="6"/>
  <c r="Y972" i="6"/>
  <c r="Y968" i="6"/>
  <c r="Y966" i="6"/>
  <c r="Y964" i="6"/>
  <c r="Y962" i="6"/>
  <c r="X972" i="6"/>
  <c r="Z972" i="6"/>
  <c r="X958" i="6"/>
  <c r="X959" i="6"/>
  <c r="X960" i="6"/>
  <c r="X961" i="6"/>
  <c r="X962" i="6"/>
  <c r="X963" i="6"/>
  <c r="X964" i="6"/>
  <c r="X965" i="6"/>
  <c r="X966" i="6"/>
  <c r="X967" i="6"/>
  <c r="X968" i="6"/>
  <c r="X969" i="6"/>
  <c r="X970" i="6"/>
  <c r="X971" i="6"/>
  <c r="Z962" i="6"/>
  <c r="Z964" i="6"/>
  <c r="Z966" i="6"/>
  <c r="Z968" i="6"/>
  <c r="X957" i="6"/>
  <c r="X956" i="6"/>
  <c r="Z956" i="6" s="1"/>
  <c r="Y955" i="6"/>
  <c r="X955" i="6"/>
  <c r="Z955" i="6"/>
  <c r="X954" i="6"/>
  <c r="X953" i="6"/>
  <c r="Y952" i="6"/>
  <c r="X936" i="6"/>
  <c r="X937" i="6"/>
  <c r="X938" i="6"/>
  <c r="X939" i="6"/>
  <c r="X940" i="6"/>
  <c r="X941" i="6"/>
  <c r="X942" i="6"/>
  <c r="X943" i="6"/>
  <c r="X944" i="6"/>
  <c r="Y944" i="6" s="1"/>
  <c r="X945" i="6"/>
  <c r="X946" i="6"/>
  <c r="X947" i="6"/>
  <c r="X948" i="6"/>
  <c r="X949" i="6"/>
  <c r="X950" i="6"/>
  <c r="X951" i="6"/>
  <c r="X952" i="6"/>
  <c r="Z944" i="6"/>
  <c r="Z952" i="6"/>
  <c r="Y908" i="6"/>
  <c r="Y909" i="6"/>
  <c r="Y917" i="6"/>
  <c r="X922" i="6"/>
  <c r="Y922" i="6" s="1"/>
  <c r="X923" i="6"/>
  <c r="X924" i="6"/>
  <c r="X925" i="6"/>
  <c r="X926" i="6"/>
  <c r="X927" i="6"/>
  <c r="X928" i="6"/>
  <c r="X929" i="6"/>
  <c r="X930" i="6"/>
  <c r="X931" i="6"/>
  <c r="X932" i="6"/>
  <c r="X933" i="6"/>
  <c r="X934" i="6"/>
  <c r="X935" i="6"/>
  <c r="Z922" i="6"/>
  <c r="X918" i="6"/>
  <c r="X919" i="6"/>
  <c r="X920" i="6"/>
  <c r="X921" i="6"/>
  <c r="X917" i="6"/>
  <c r="Z917" i="6"/>
  <c r="X916" i="6"/>
  <c r="X915" i="6"/>
  <c r="X909" i="6"/>
  <c r="X910" i="6"/>
  <c r="X911" i="6"/>
  <c r="X912" i="6"/>
  <c r="X913" i="6"/>
  <c r="X914" i="6"/>
  <c r="Z909" i="6"/>
  <c r="X908" i="6"/>
  <c r="Z908" i="6"/>
  <c r="Y899" i="6"/>
  <c r="Y878" i="6"/>
  <c r="Y881" i="6"/>
  <c r="Y886" i="6"/>
  <c r="Y874" i="6"/>
  <c r="Y869" i="6"/>
  <c r="Y867" i="6"/>
  <c r="Y865" i="6"/>
  <c r="Y864" i="6"/>
  <c r="Y861" i="6"/>
  <c r="Y859" i="6"/>
  <c r="X893" i="6"/>
  <c r="X894" i="6"/>
  <c r="X895" i="6"/>
  <c r="Y895" i="6"/>
  <c r="X896" i="6"/>
  <c r="X897" i="6"/>
  <c r="Y897" i="6"/>
  <c r="X898" i="6"/>
  <c r="X899" i="6"/>
  <c r="X900" i="6"/>
  <c r="X901" i="6"/>
  <c r="Y901" i="6"/>
  <c r="X902" i="6"/>
  <c r="X903" i="6"/>
  <c r="Y903" i="6"/>
  <c r="X904" i="6"/>
  <c r="X905" i="6"/>
  <c r="X906" i="6"/>
  <c r="X907" i="6"/>
  <c r="Z895" i="6"/>
  <c r="Z897" i="6"/>
  <c r="Z899" i="6"/>
  <c r="Z901" i="6"/>
  <c r="Z903" i="6"/>
  <c r="X884" i="6"/>
  <c r="X885" i="6"/>
  <c r="X886" i="6"/>
  <c r="Z886" i="6"/>
  <c r="X887" i="6"/>
  <c r="X888" i="6"/>
  <c r="X889" i="6"/>
  <c r="X890" i="6"/>
  <c r="X891" i="6"/>
  <c r="X892" i="6"/>
  <c r="X865" i="6"/>
  <c r="X866" i="6"/>
  <c r="X867" i="6"/>
  <c r="X868" i="6"/>
  <c r="X869" i="6"/>
  <c r="X870" i="6"/>
  <c r="X871" i="6"/>
  <c r="X872" i="6"/>
  <c r="X873" i="6"/>
  <c r="X874" i="6"/>
  <c r="X875" i="6"/>
  <c r="X876" i="6"/>
  <c r="X877" i="6"/>
  <c r="X878" i="6"/>
  <c r="X879" i="6"/>
  <c r="X880" i="6"/>
  <c r="Y880" i="6" s="1"/>
  <c r="X881" i="6"/>
  <c r="Z881" i="6"/>
  <c r="X882" i="6"/>
  <c r="X883" i="6"/>
  <c r="Z865" i="6"/>
  <c r="Z867" i="6"/>
  <c r="Z869" i="6"/>
  <c r="Z874" i="6"/>
  <c r="Z878" i="6"/>
  <c r="Z880" i="6"/>
  <c r="X863" i="6"/>
  <c r="X864" i="6"/>
  <c r="Z864" i="6"/>
  <c r="X862" i="6"/>
  <c r="X861" i="6"/>
  <c r="Z861" i="6"/>
  <c r="X860" i="6"/>
  <c r="X859" i="6"/>
  <c r="Z859" i="6"/>
  <c r="X858" i="6"/>
  <c r="Z858" i="6" s="1"/>
  <c r="Y857" i="6"/>
  <c r="X857" i="6"/>
  <c r="Z857" i="6"/>
  <c r="X856" i="6"/>
  <c r="X855" i="6"/>
  <c r="Y854" i="6"/>
  <c r="X854" i="6"/>
  <c r="Z854" i="6"/>
  <c r="X853" i="6"/>
  <c r="X852" i="6"/>
  <c r="X851" i="6"/>
  <c r="X850" i="6"/>
  <c r="X849" i="6"/>
  <c r="X848" i="6"/>
  <c r="X847" i="6"/>
  <c r="X846" i="6"/>
  <c r="X845" i="6"/>
  <c r="X844" i="6"/>
  <c r="X843" i="6"/>
  <c r="X842" i="6"/>
  <c r="Y836" i="6"/>
  <c r="X841" i="6"/>
  <c r="X840" i="6"/>
  <c r="X839" i="6"/>
  <c r="X838" i="6"/>
  <c r="X837" i="6"/>
  <c r="X836" i="6"/>
  <c r="Z836" i="6"/>
  <c r="Y835" i="6"/>
  <c r="X835" i="6"/>
  <c r="Z835" i="6"/>
  <c r="X834" i="6"/>
  <c r="X833" i="6"/>
  <c r="X832" i="6"/>
  <c r="X831" i="6"/>
  <c r="X830" i="6"/>
  <c r="X829" i="6"/>
  <c r="Y828" i="6"/>
  <c r="X828" i="6"/>
  <c r="Z828" i="6"/>
  <c r="X827" i="6"/>
  <c r="Y825" i="6"/>
  <c r="X826" i="6"/>
  <c r="X825" i="6"/>
  <c r="Z825" i="6"/>
  <c r="X824" i="6"/>
  <c r="X823" i="6"/>
  <c r="X822" i="6"/>
  <c r="X821" i="6"/>
  <c r="X820" i="6"/>
  <c r="X819" i="6"/>
  <c r="Y815" i="6"/>
  <c r="X817" i="6"/>
  <c r="X818" i="6"/>
  <c r="X816" i="6"/>
  <c r="X814" i="6"/>
  <c r="X815" i="6"/>
  <c r="Z815" i="6"/>
  <c r="X812" i="6"/>
  <c r="X813" i="6"/>
  <c r="Z812" i="6"/>
  <c r="Z813" i="6"/>
  <c r="Y788" i="6"/>
  <c r="Y789" i="6"/>
  <c r="Y798" i="6"/>
  <c r="Y802" i="6"/>
  <c r="Y804" i="6"/>
  <c r="Y812" i="6"/>
  <c r="Y813" i="6"/>
  <c r="X800" i="6"/>
  <c r="X801" i="6"/>
  <c r="X802" i="6"/>
  <c r="X803" i="6"/>
  <c r="X804" i="6"/>
  <c r="X805" i="6"/>
  <c r="X806" i="6"/>
  <c r="X807" i="6"/>
  <c r="X808" i="6"/>
  <c r="Y808" i="6"/>
  <c r="X809" i="6"/>
  <c r="X810" i="6"/>
  <c r="X811" i="6"/>
  <c r="Z802" i="6"/>
  <c r="Z804" i="6"/>
  <c r="Z808" i="6"/>
  <c r="X789" i="6"/>
  <c r="X790" i="6"/>
  <c r="X791" i="6"/>
  <c r="X792" i="6"/>
  <c r="X793" i="6"/>
  <c r="X794" i="6"/>
  <c r="X795" i="6"/>
  <c r="Y795" i="6" s="1"/>
  <c r="X796" i="6"/>
  <c r="Y796" i="6" s="1"/>
  <c r="X797" i="6"/>
  <c r="Y797" i="6" s="1"/>
  <c r="X798" i="6"/>
  <c r="X799" i="6"/>
  <c r="Z789" i="6"/>
  <c r="Z795" i="6"/>
  <c r="Z796" i="6"/>
  <c r="Z797" i="6"/>
  <c r="Z798" i="6"/>
  <c r="X788" i="6"/>
  <c r="Z788" i="6"/>
  <c r="Y786" i="6"/>
  <c r="Y784" i="6"/>
  <c r="Y782" i="6"/>
  <c r="Y780" i="6"/>
  <c r="Y778" i="6"/>
  <c r="Y776" i="6"/>
  <c r="Y773" i="6"/>
  <c r="X785" i="6"/>
  <c r="X786" i="6"/>
  <c r="X787" i="6"/>
  <c r="Z786" i="6"/>
  <c r="X784" i="6"/>
  <c r="Z784" i="6"/>
  <c r="X783" i="6"/>
  <c r="X777" i="6"/>
  <c r="X778" i="6"/>
  <c r="X779" i="6"/>
  <c r="Y779" i="6" s="1"/>
  <c r="X780" i="6"/>
  <c r="X781" i="6"/>
  <c r="X782" i="6"/>
  <c r="Z778" i="6"/>
  <c r="Z779" i="6"/>
  <c r="Z780" i="6"/>
  <c r="Z782" i="6"/>
  <c r="X775" i="6"/>
  <c r="X776" i="6"/>
  <c r="Z776" i="6"/>
  <c r="X774" i="6"/>
  <c r="X773" i="6"/>
  <c r="Z773" i="6"/>
  <c r="X772" i="6"/>
  <c r="Z772" i="6" s="1"/>
  <c r="Y771" i="6"/>
  <c r="Y766" i="6"/>
  <c r="Y725" i="6"/>
  <c r="Y748" i="6"/>
  <c r="X759" i="6"/>
  <c r="X760" i="6"/>
  <c r="X761" i="6"/>
  <c r="X762" i="6"/>
  <c r="Y762" i="6" s="1"/>
  <c r="X763" i="6"/>
  <c r="X764" i="6"/>
  <c r="X765" i="6"/>
  <c r="X766" i="6"/>
  <c r="X767" i="6"/>
  <c r="X768" i="6"/>
  <c r="X769" i="6"/>
  <c r="X770" i="6"/>
  <c r="X771" i="6"/>
  <c r="Z762" i="6"/>
  <c r="Z766" i="6"/>
  <c r="Z771" i="6"/>
  <c r="X740" i="6"/>
  <c r="X741" i="6"/>
  <c r="X742" i="6"/>
  <c r="X743" i="6"/>
  <c r="X744" i="6"/>
  <c r="X745" i="6"/>
  <c r="X746" i="6"/>
  <c r="X747" i="6"/>
  <c r="X748" i="6"/>
  <c r="X749" i="6"/>
  <c r="X750" i="6"/>
  <c r="X751" i="6"/>
  <c r="X752" i="6"/>
  <c r="X753" i="6"/>
  <c r="X754" i="6"/>
  <c r="Y754" i="6" s="1"/>
  <c r="X755" i="6"/>
  <c r="X756" i="6"/>
  <c r="X757" i="6"/>
  <c r="X758" i="6"/>
  <c r="Z748" i="6"/>
  <c r="Z754" i="6"/>
  <c r="X732" i="6"/>
  <c r="X733" i="6"/>
  <c r="X734" i="6"/>
  <c r="X735" i="6"/>
  <c r="X736" i="6"/>
  <c r="X737" i="6"/>
  <c r="X738" i="6"/>
  <c r="X739" i="6"/>
  <c r="X731" i="6"/>
  <c r="X730" i="6"/>
  <c r="X728" i="6"/>
  <c r="X729" i="6"/>
  <c r="X727" i="6"/>
  <c r="X726" i="6"/>
  <c r="X725" i="6"/>
  <c r="Z725" i="6"/>
  <c r="X724" i="6"/>
  <c r="Y716" i="6"/>
  <c r="X723" i="6"/>
  <c r="X722" i="6"/>
  <c r="X721" i="6"/>
  <c r="X718" i="6"/>
  <c r="X719" i="6"/>
  <c r="X720" i="6"/>
  <c r="X717" i="6"/>
  <c r="X715" i="6"/>
  <c r="X716" i="6"/>
  <c r="Z716" i="6"/>
  <c r="X714" i="6"/>
  <c r="X713" i="6"/>
  <c r="X712" i="6"/>
  <c r="Y709" i="6"/>
  <c r="Y703" i="6"/>
  <c r="Y701" i="6"/>
  <c r="Y699" i="6"/>
  <c r="Y695" i="6"/>
  <c r="Y691" i="6"/>
  <c r="Y689" i="6"/>
  <c r="Y682" i="6"/>
  <c r="X711" i="6"/>
  <c r="X710" i="6"/>
  <c r="X709" i="6"/>
  <c r="Z709" i="6"/>
  <c r="X708" i="6"/>
  <c r="X707" i="6"/>
  <c r="X706" i="6"/>
  <c r="X705" i="6"/>
  <c r="X704" i="6"/>
  <c r="X703" i="6"/>
  <c r="Z703" i="6"/>
  <c r="X702" i="6"/>
  <c r="X701" i="6"/>
  <c r="Z701" i="6"/>
  <c r="X682" i="6"/>
  <c r="X683" i="6"/>
  <c r="X684" i="6"/>
  <c r="X685" i="6"/>
  <c r="X686" i="6"/>
  <c r="X687" i="6"/>
  <c r="X688" i="6"/>
  <c r="X689" i="6"/>
  <c r="X690" i="6"/>
  <c r="X691" i="6"/>
  <c r="X692" i="6"/>
  <c r="X693" i="6"/>
  <c r="X694" i="6"/>
  <c r="X695" i="6"/>
  <c r="X696" i="6"/>
  <c r="X697" i="6"/>
  <c r="X698" i="6"/>
  <c r="X699" i="6"/>
  <c r="X700" i="6"/>
  <c r="Z682" i="6"/>
  <c r="Z689" i="6"/>
  <c r="Z691" i="6"/>
  <c r="Z695" i="6"/>
  <c r="Z699" i="6"/>
  <c r="X667" i="6"/>
  <c r="Z667" i="6" s="1"/>
  <c r="X668" i="6"/>
  <c r="Z668" i="6"/>
  <c r="X669" i="6"/>
  <c r="Z669" i="6" s="1"/>
  <c r="X670" i="6"/>
  <c r="Z670" i="6"/>
  <c r="X671" i="6"/>
  <c r="Z671" i="6" s="1"/>
  <c r="X672" i="6"/>
  <c r="Z672" i="6"/>
  <c r="X673" i="6"/>
  <c r="Z673" i="6" s="1"/>
  <c r="X674" i="6"/>
  <c r="Z674" i="6" s="1"/>
  <c r="X675" i="6"/>
  <c r="Z675" i="6"/>
  <c r="X676" i="6"/>
  <c r="Z676" i="6" s="1"/>
  <c r="X677" i="6"/>
  <c r="Z677" i="6" s="1"/>
  <c r="X678" i="6"/>
  <c r="Z678" i="6"/>
  <c r="X679" i="6"/>
  <c r="Z679" i="6" s="1"/>
  <c r="X680" i="6"/>
  <c r="Z680" i="6" s="1"/>
  <c r="X681" i="6"/>
  <c r="X666" i="6"/>
  <c r="Z666" i="6" s="1"/>
  <c r="X665" i="6"/>
  <c r="Z665" i="6" s="1"/>
  <c r="Y664" i="6"/>
  <c r="X664" i="6"/>
  <c r="Z664" i="6"/>
  <c r="X663" i="6"/>
  <c r="X662" i="6"/>
  <c r="X661" i="6"/>
  <c r="X660" i="6"/>
  <c r="X659" i="6"/>
  <c r="Y653" i="6"/>
  <c r="Y654" i="6"/>
  <c r="Y656" i="6"/>
  <c r="Y658" i="6"/>
  <c r="X653" i="6"/>
  <c r="X654" i="6"/>
  <c r="X655" i="6"/>
  <c r="X656" i="6"/>
  <c r="X657" i="6"/>
  <c r="X658" i="6"/>
  <c r="Z653" i="6"/>
  <c r="Z654" i="6"/>
  <c r="Z656" i="6"/>
  <c r="Z658" i="6"/>
  <c r="Y638" i="6"/>
  <c r="X645" i="6"/>
  <c r="X646" i="6"/>
  <c r="Y646" i="6" s="1"/>
  <c r="X647" i="6"/>
  <c r="X648" i="6"/>
  <c r="Y648" i="6"/>
  <c r="X649" i="6"/>
  <c r="X650" i="6"/>
  <c r="X651" i="6"/>
  <c r="X652" i="6"/>
  <c r="Z646" i="6"/>
  <c r="Z648" i="6"/>
  <c r="X640" i="6"/>
  <c r="X641" i="6"/>
  <c r="X642" i="6"/>
  <c r="X643" i="6"/>
  <c r="X644" i="6"/>
  <c r="X639" i="6"/>
  <c r="X638" i="6"/>
  <c r="Z638" i="6"/>
  <c r="X637" i="6"/>
  <c r="X636" i="6"/>
  <c r="X635" i="6"/>
  <c r="X634" i="6"/>
  <c r="X630" i="6"/>
  <c r="X631" i="6"/>
  <c r="X632" i="6"/>
  <c r="X633" i="6"/>
  <c r="Y623" i="6"/>
  <c r="X618" i="6"/>
  <c r="X619" i="6"/>
  <c r="X620" i="6"/>
  <c r="X621" i="6"/>
  <c r="X622" i="6"/>
  <c r="X623" i="6"/>
  <c r="X624" i="6"/>
  <c r="X625" i="6"/>
  <c r="X626" i="6"/>
  <c r="X627" i="6"/>
  <c r="X628" i="6"/>
  <c r="X629" i="6"/>
  <c r="Z623" i="6"/>
  <c r="Y606" i="6"/>
  <c r="Y611" i="6"/>
  <c r="X607" i="6"/>
  <c r="X608" i="6"/>
  <c r="X609" i="6"/>
  <c r="X610" i="6"/>
  <c r="X611" i="6"/>
  <c r="Z611" i="6"/>
  <c r="X612" i="6"/>
  <c r="X613" i="6"/>
  <c r="X614" i="6"/>
  <c r="X615" i="6"/>
  <c r="X616" i="6"/>
  <c r="X617" i="6"/>
  <c r="X606" i="6"/>
  <c r="Z606" i="6"/>
  <c r="Y584" i="6"/>
  <c r="Y586" i="6"/>
  <c r="Y589" i="6"/>
  <c r="X584" i="6"/>
  <c r="Z584" i="6"/>
  <c r="X585" i="6"/>
  <c r="X586" i="6"/>
  <c r="X587" i="6"/>
  <c r="X588" i="6"/>
  <c r="X589" i="6"/>
  <c r="X590" i="6"/>
  <c r="X591" i="6"/>
  <c r="X592" i="6"/>
  <c r="X593" i="6"/>
  <c r="X594" i="6"/>
  <c r="X595" i="6"/>
  <c r="X596" i="6"/>
  <c r="Y596" i="6" s="1"/>
  <c r="X597" i="6"/>
  <c r="Y597" i="6"/>
  <c r="X598" i="6"/>
  <c r="X599" i="6"/>
  <c r="X600" i="6"/>
  <c r="Y600" i="6"/>
  <c r="X601" i="6"/>
  <c r="X602" i="6"/>
  <c r="Y602" i="6"/>
  <c r="X603" i="6"/>
  <c r="X604" i="6"/>
  <c r="X605" i="6"/>
  <c r="Z586" i="6"/>
  <c r="Z589" i="6"/>
  <c r="Z596" i="6"/>
  <c r="Z597" i="6"/>
  <c r="Z600" i="6"/>
  <c r="Z602" i="6"/>
  <c r="X582" i="6"/>
  <c r="X583" i="6"/>
  <c r="Y567" i="6"/>
  <c r="X568" i="6"/>
  <c r="X569" i="6"/>
  <c r="Y569" i="6"/>
  <c r="X570" i="6"/>
  <c r="Y570" i="6"/>
  <c r="X571" i="6"/>
  <c r="X572" i="6"/>
  <c r="X573" i="6"/>
  <c r="X574" i="6"/>
  <c r="X575" i="6"/>
  <c r="X576" i="6"/>
  <c r="Y576" i="6"/>
  <c r="X577" i="6"/>
  <c r="X578" i="6"/>
  <c r="Y578" i="6"/>
  <c r="X579" i="6"/>
  <c r="X580" i="6"/>
  <c r="X581" i="6"/>
  <c r="Z569" i="6"/>
  <c r="Z570" i="6"/>
  <c r="Z576" i="6"/>
  <c r="Z578" i="6"/>
  <c r="X567" i="6"/>
  <c r="Z567" i="6"/>
  <c r="X566" i="6"/>
  <c r="Z566" i="6" s="1"/>
  <c r="Y565" i="6"/>
  <c r="X565" i="6"/>
  <c r="Z565" i="6"/>
  <c r="X564" i="6"/>
  <c r="X563" i="6"/>
  <c r="X562" i="6"/>
  <c r="Z562" i="6" s="1"/>
  <c r="X561" i="6"/>
  <c r="Z561" i="6" s="1"/>
  <c r="X553" i="6"/>
  <c r="X554" i="6"/>
  <c r="X555" i="6"/>
  <c r="X556" i="6"/>
  <c r="X557" i="6"/>
  <c r="X558" i="6"/>
  <c r="X559" i="6"/>
  <c r="X560" i="6"/>
  <c r="Y537" i="6"/>
  <c r="Y538" i="6"/>
  <c r="Y549" i="6"/>
  <c r="X535" i="6"/>
  <c r="X536" i="6"/>
  <c r="X537" i="6"/>
  <c r="Z537" i="6"/>
  <c r="X538" i="6"/>
  <c r="X514" i="6"/>
  <c r="X511" i="6"/>
  <c r="X400" i="6"/>
  <c r="X427" i="6"/>
  <c r="X540" i="6"/>
  <c r="X541" i="6"/>
  <c r="X525" i="6"/>
  <c r="X521" i="6"/>
  <c r="X546" i="6"/>
  <c r="X544" i="6"/>
  <c r="X547" i="6"/>
  <c r="X549" i="6"/>
  <c r="Z549" i="6"/>
  <c r="X551" i="6"/>
  <c r="X552" i="6"/>
  <c r="Z538" i="6"/>
  <c r="X534" i="6"/>
  <c r="X533" i="6"/>
  <c r="X532" i="6"/>
  <c r="X531" i="6"/>
  <c r="X530" i="6"/>
  <c r="Y429" i="6"/>
  <c r="Y502" i="6"/>
  <c r="Y505" i="6"/>
  <c r="Y507" i="6"/>
  <c r="X503" i="6"/>
  <c r="X504" i="6"/>
  <c r="X505" i="6"/>
  <c r="Z505" i="6"/>
  <c r="X506" i="6"/>
  <c r="X507" i="6"/>
  <c r="X508" i="6"/>
  <c r="X509" i="6"/>
  <c r="X515" i="6"/>
  <c r="X428" i="6"/>
  <c r="X512" i="6"/>
  <c r="X542" i="6"/>
  <c r="X527" i="6"/>
  <c r="X526" i="6"/>
  <c r="X545" i="6"/>
  <c r="X543" i="6"/>
  <c r="X550" i="6"/>
  <c r="X429" i="6"/>
  <c r="X529" i="6"/>
  <c r="X524" i="6"/>
  <c r="X539" i="6"/>
  <c r="X523" i="6"/>
  <c r="X548" i="6"/>
  <c r="X423" i="6"/>
  <c r="Y423" i="6"/>
  <c r="X426" i="6"/>
  <c r="X402" i="6"/>
  <c r="X401" i="6"/>
  <c r="X528" i="6"/>
  <c r="Z507" i="6"/>
  <c r="Z429" i="6"/>
  <c r="Z423" i="6"/>
  <c r="X502" i="6"/>
  <c r="Z502" i="6"/>
  <c r="X501" i="6"/>
  <c r="X500" i="6"/>
  <c r="X499" i="6"/>
  <c r="Z499" i="6"/>
  <c r="X498" i="6"/>
  <c r="Z498" i="6" s="1"/>
  <c r="X497" i="6"/>
  <c r="Z497" i="6" s="1"/>
  <c r="X496" i="6"/>
  <c r="Z496" i="6" s="1"/>
  <c r="X495" i="6"/>
  <c r="Z495" i="6" s="1"/>
  <c r="X494" i="6"/>
  <c r="Z494" i="6" s="1"/>
  <c r="X493" i="6"/>
  <c r="Z493" i="6" s="1"/>
  <c r="X492" i="6"/>
  <c r="Z492" i="6" s="1"/>
  <c r="X491" i="6"/>
  <c r="Z491" i="6"/>
  <c r="X490" i="6"/>
  <c r="Z490" i="6" s="1"/>
  <c r="X489" i="6"/>
  <c r="Z489" i="6"/>
  <c r="X488" i="6"/>
  <c r="Z488" i="6" s="1"/>
  <c r="X487" i="6"/>
  <c r="Z487" i="6" s="1"/>
  <c r="X486" i="6"/>
  <c r="Z486" i="6"/>
  <c r="X485" i="6"/>
  <c r="Z485" i="6" s="1"/>
  <c r="X484" i="6"/>
  <c r="Z484" i="6" s="1"/>
  <c r="X483" i="6"/>
  <c r="Z483" i="6"/>
  <c r="X482" i="6"/>
  <c r="Z482" i="6" s="1"/>
  <c r="X481" i="6"/>
  <c r="Z481" i="6"/>
  <c r="X480" i="6"/>
  <c r="Z480" i="6" s="1"/>
  <c r="X479" i="6"/>
  <c r="Z479" i="6" s="1"/>
  <c r="X478" i="6"/>
  <c r="Z478" i="6" s="1"/>
  <c r="X477" i="6"/>
  <c r="Z477" i="6" s="1"/>
  <c r="X476" i="6"/>
  <c r="Z476" i="6"/>
  <c r="X475" i="6"/>
  <c r="Z475" i="6"/>
  <c r="X474" i="6"/>
  <c r="Z474" i="6" s="1"/>
  <c r="X473" i="6"/>
  <c r="Z473" i="6" s="1"/>
  <c r="X472" i="6"/>
  <c r="Z472" i="6"/>
  <c r="X471" i="6"/>
  <c r="Z471" i="6" s="1"/>
  <c r="X470" i="6"/>
  <c r="Z470" i="6" s="1"/>
  <c r="X469" i="6"/>
  <c r="Z469" i="6" s="1"/>
  <c r="X468" i="6"/>
  <c r="Z468" i="6" s="1"/>
  <c r="X467" i="6"/>
  <c r="Z467" i="6" s="1"/>
  <c r="X466" i="6"/>
  <c r="Z466" i="6"/>
  <c r="X465" i="6"/>
  <c r="Z465" i="6" s="1"/>
  <c r="X464" i="6"/>
  <c r="Z464" i="6"/>
  <c r="X463" i="6"/>
  <c r="Z463" i="6" s="1"/>
  <c r="X462" i="6"/>
  <c r="Z462" i="6" s="1"/>
  <c r="X461" i="6"/>
  <c r="Z461" i="6" s="1"/>
  <c r="X460" i="6"/>
  <c r="Z460" i="6"/>
  <c r="X459" i="6"/>
  <c r="Z459" i="6" s="1"/>
  <c r="X458" i="6"/>
  <c r="Z458" i="6" s="1"/>
  <c r="X457" i="6"/>
  <c r="Z457" i="6" s="1"/>
  <c r="Y446" i="6"/>
  <c r="Y447" i="6"/>
  <c r="Y448" i="6"/>
  <c r="Y452" i="6"/>
  <c r="Y454" i="6"/>
  <c r="Y522" i="6"/>
  <c r="X432" i="6"/>
  <c r="X433" i="6"/>
  <c r="X434" i="6"/>
  <c r="X435" i="6"/>
  <c r="X436" i="6"/>
  <c r="Y436" i="6"/>
  <c r="X396" i="6"/>
  <c r="X519" i="6"/>
  <c r="X397" i="6"/>
  <c r="X424" i="6"/>
  <c r="X513" i="6"/>
  <c r="X442" i="6"/>
  <c r="X443" i="6"/>
  <c r="X444" i="6"/>
  <c r="X445" i="6"/>
  <c r="X446" i="6"/>
  <c r="X447" i="6"/>
  <c r="X448" i="6"/>
  <c r="X449" i="6"/>
  <c r="X450" i="6"/>
  <c r="X451" i="6"/>
  <c r="X452" i="6"/>
  <c r="Z452" i="6"/>
  <c r="X453" i="6"/>
  <c r="X454" i="6"/>
  <c r="X455" i="6"/>
  <c r="X456" i="6"/>
  <c r="Z436" i="6"/>
  <c r="Z446" i="6"/>
  <c r="Z447" i="6"/>
  <c r="Z448" i="6"/>
  <c r="Z454" i="6"/>
  <c r="Y415" i="6"/>
  <c r="Y417" i="6"/>
  <c r="X416" i="6"/>
  <c r="X417" i="6"/>
  <c r="X418" i="6"/>
  <c r="X419" i="6"/>
  <c r="X420" i="6"/>
  <c r="X421" i="6"/>
  <c r="Y421" i="6"/>
  <c r="X437" i="6"/>
  <c r="X516" i="6"/>
  <c r="X430" i="6"/>
  <c r="X518" i="6"/>
  <c r="X398" i="6"/>
  <c r="X510" i="6"/>
  <c r="X440" i="6"/>
  <c r="X425" i="6"/>
  <c r="X522" i="6"/>
  <c r="Z522" i="6"/>
  <c r="X431" i="6"/>
  <c r="Z417" i="6"/>
  <c r="Z421" i="6"/>
  <c r="X414" i="6"/>
  <c r="X415" i="6"/>
  <c r="Z415" i="6"/>
  <c r="Y394" i="6"/>
  <c r="Y395" i="6"/>
  <c r="X439" i="6"/>
  <c r="X403" i="6"/>
  <c r="X422" i="6"/>
  <c r="X404" i="6"/>
  <c r="X405" i="6"/>
  <c r="X406" i="6"/>
  <c r="X407" i="6"/>
  <c r="X408" i="6"/>
  <c r="X409" i="6"/>
  <c r="X410" i="6"/>
  <c r="Y410" i="6"/>
  <c r="X411" i="6"/>
  <c r="Y411" i="6"/>
  <c r="X412" i="6"/>
  <c r="X413" i="6"/>
  <c r="Z410" i="6"/>
  <c r="Z411" i="6"/>
  <c r="X441" i="6"/>
  <c r="X399" i="6"/>
  <c r="X517" i="6"/>
  <c r="X520" i="6"/>
  <c r="Y381" i="6"/>
  <c r="Y379" i="6"/>
  <c r="Y376" i="6"/>
  <c r="X377" i="6"/>
  <c r="X378" i="6"/>
  <c r="X379" i="6"/>
  <c r="X380" i="6"/>
  <c r="X381" i="6"/>
  <c r="Z381" i="6"/>
  <c r="X382" i="6"/>
  <c r="X383" i="6"/>
  <c r="X384" i="6"/>
  <c r="X385" i="6"/>
  <c r="Y385" i="6"/>
  <c r="X386" i="6"/>
  <c r="X387" i="6"/>
  <c r="X388" i="6"/>
  <c r="Y388" i="6"/>
  <c r="X389" i="6"/>
  <c r="X390" i="6"/>
  <c r="X391" i="6"/>
  <c r="Y391" i="6"/>
  <c r="X392" i="6"/>
  <c r="X393" i="6"/>
  <c r="X394" i="6"/>
  <c r="Z394" i="6"/>
  <c r="X395" i="6"/>
  <c r="X438" i="6"/>
  <c r="Z379" i="6"/>
  <c r="Z385" i="6"/>
  <c r="Z388" i="6"/>
  <c r="Z391" i="6"/>
  <c r="Z395" i="6"/>
  <c r="X376" i="6"/>
  <c r="Z376" i="6"/>
  <c r="X375" i="6"/>
  <c r="X374" i="6"/>
  <c r="Z374" i="6" s="1"/>
  <c r="Y370" i="6"/>
  <c r="X370" i="6"/>
  <c r="X371" i="6"/>
  <c r="X372" i="6"/>
  <c r="X373" i="6"/>
  <c r="Z370" i="6"/>
  <c r="X360" i="6"/>
  <c r="X361" i="6"/>
  <c r="X362" i="6"/>
  <c r="X363" i="6"/>
  <c r="X364" i="6"/>
  <c r="X365" i="6"/>
  <c r="X366" i="6"/>
  <c r="X367" i="6"/>
  <c r="X368" i="6"/>
  <c r="X369" i="6"/>
  <c r="Z363" i="6"/>
  <c r="Y354" i="6"/>
  <c r="Y363" i="6"/>
  <c r="Y330" i="6"/>
  <c r="Y332" i="6"/>
  <c r="X336" i="6"/>
  <c r="X337" i="6"/>
  <c r="X338" i="6"/>
  <c r="X339" i="6"/>
  <c r="X340" i="6"/>
  <c r="X341" i="6"/>
  <c r="X342" i="6"/>
  <c r="X343" i="6"/>
  <c r="X344" i="6"/>
  <c r="X345" i="6"/>
  <c r="X346" i="6"/>
  <c r="X347" i="6"/>
  <c r="X348" i="6"/>
  <c r="X349" i="6"/>
  <c r="X350" i="6"/>
  <c r="X351" i="6"/>
  <c r="X352" i="6"/>
  <c r="X353" i="6"/>
  <c r="X354" i="6"/>
  <c r="Z354" i="6"/>
  <c r="X355" i="6"/>
  <c r="X356" i="6"/>
  <c r="X357" i="6"/>
  <c r="X358" i="6"/>
  <c r="X359" i="6"/>
  <c r="Y315" i="6"/>
  <c r="Y317" i="6"/>
  <c r="X316" i="6"/>
  <c r="X317" i="6"/>
  <c r="X318" i="6"/>
  <c r="X319" i="6"/>
  <c r="X320" i="6"/>
  <c r="X321" i="6"/>
  <c r="X322" i="6"/>
  <c r="X323" i="6"/>
  <c r="X324" i="6"/>
  <c r="X325" i="6"/>
  <c r="X326" i="6"/>
  <c r="X327" i="6"/>
  <c r="X328" i="6"/>
  <c r="X329" i="6"/>
  <c r="X330" i="6"/>
  <c r="X331" i="6"/>
  <c r="X332" i="6"/>
  <c r="Z332" i="6"/>
  <c r="X333" i="6"/>
  <c r="X334" i="6"/>
  <c r="X335" i="6"/>
  <c r="Z317" i="6"/>
  <c r="Z330" i="6"/>
  <c r="X315" i="6"/>
  <c r="Z315" i="6"/>
  <c r="X310" i="6"/>
  <c r="X311" i="6"/>
  <c r="X312" i="6"/>
  <c r="Z312" i="6"/>
  <c r="X313" i="6"/>
  <c r="X314" i="6"/>
  <c r="Y302" i="6"/>
  <c r="Y312" i="6"/>
  <c r="Y286" i="6"/>
  <c r="Y289" i="6"/>
  <c r="X281" i="6"/>
  <c r="X282" i="6"/>
  <c r="X283" i="6"/>
  <c r="X284" i="6"/>
  <c r="X285" i="6"/>
  <c r="X286" i="6"/>
  <c r="X287" i="6"/>
  <c r="X288" i="6"/>
  <c r="X289" i="6"/>
  <c r="X290" i="6"/>
  <c r="X291" i="6"/>
  <c r="X292" i="6"/>
  <c r="Y292" i="6"/>
  <c r="X293" i="6"/>
  <c r="X294" i="6"/>
  <c r="X295" i="6"/>
  <c r="X296" i="6"/>
  <c r="Y296" i="6"/>
  <c r="X297" i="6"/>
  <c r="X298" i="6"/>
  <c r="X299" i="6"/>
  <c r="Y299" i="6"/>
  <c r="X300" i="6"/>
  <c r="X301" i="6"/>
  <c r="X302" i="6"/>
  <c r="X303" i="6"/>
  <c r="X304" i="6"/>
  <c r="X305" i="6"/>
  <c r="X306" i="6"/>
  <c r="Y306" i="6"/>
  <c r="X307" i="6"/>
  <c r="X308" i="6"/>
  <c r="Y308" i="6"/>
  <c r="X309" i="6"/>
  <c r="Z286" i="6"/>
  <c r="Z289" i="6"/>
  <c r="Z292" i="6"/>
  <c r="Z296" i="6"/>
  <c r="Z299" i="6"/>
  <c r="Z302" i="6"/>
  <c r="Z306" i="6"/>
  <c r="Z308" i="6"/>
  <c r="X280" i="6"/>
  <c r="Y279" i="6"/>
  <c r="Y266" i="6"/>
  <c r="X265" i="6"/>
  <c r="X266" i="6"/>
  <c r="X267" i="6"/>
  <c r="X268" i="6"/>
  <c r="X269" i="6"/>
  <c r="X270" i="6"/>
  <c r="X271" i="6"/>
  <c r="X272" i="6"/>
  <c r="X273" i="6"/>
  <c r="X274" i="6"/>
  <c r="X275" i="6"/>
  <c r="X276" i="6"/>
  <c r="X277" i="6"/>
  <c r="X278" i="6"/>
  <c r="X279" i="6"/>
  <c r="Z279" i="6"/>
  <c r="Z266" i="6"/>
  <c r="X258" i="6"/>
  <c r="X259" i="6"/>
  <c r="X260" i="6"/>
  <c r="X261" i="6"/>
  <c r="X262" i="6"/>
  <c r="X263" i="6"/>
  <c r="X264" i="6"/>
  <c r="Y257" i="6"/>
  <c r="X257" i="6"/>
  <c r="Z257" i="6"/>
  <c r="X256" i="6"/>
  <c r="X255" i="6"/>
  <c r="X254" i="6"/>
  <c r="X253" i="6"/>
  <c r="X252" i="6"/>
  <c r="X250" i="6"/>
  <c r="X251" i="6"/>
  <c r="X249" i="6"/>
  <c r="X246" i="6"/>
  <c r="X247" i="6"/>
  <c r="X248" i="6"/>
  <c r="Y232" i="6"/>
  <c r="Y235" i="6"/>
  <c r="Y236" i="6"/>
  <c r="X228" i="6"/>
  <c r="X229" i="6"/>
  <c r="X230" i="6"/>
  <c r="X231" i="6"/>
  <c r="X232" i="6"/>
  <c r="X233" i="6"/>
  <c r="X234" i="6"/>
  <c r="X235" i="6"/>
  <c r="X236" i="6"/>
  <c r="X237" i="6"/>
  <c r="Y237" i="6"/>
  <c r="X238" i="6"/>
  <c r="X239" i="6"/>
  <c r="X240" i="6"/>
  <c r="X241" i="6"/>
  <c r="X242" i="6"/>
  <c r="X243" i="6"/>
  <c r="X244" i="6"/>
  <c r="X245" i="6"/>
  <c r="Z232" i="6"/>
  <c r="Z235" i="6"/>
  <c r="Z236" i="6"/>
  <c r="Z237" i="6"/>
  <c r="Y221" i="6"/>
  <c r="Y223" i="6"/>
  <c r="Y211" i="6"/>
  <c r="X204" i="6"/>
  <c r="X205" i="6"/>
  <c r="X206" i="6"/>
  <c r="X207" i="6"/>
  <c r="X208" i="6"/>
  <c r="X209" i="6"/>
  <c r="X210" i="6"/>
  <c r="X211" i="6"/>
  <c r="X212" i="6"/>
  <c r="X213" i="6"/>
  <c r="Y213" i="6"/>
  <c r="X214" i="6"/>
  <c r="X215" i="6"/>
  <c r="X216" i="6"/>
  <c r="X217" i="6"/>
  <c r="X218" i="6"/>
  <c r="X219" i="6"/>
  <c r="X220" i="6"/>
  <c r="X221" i="6"/>
  <c r="X222" i="6"/>
  <c r="X223" i="6"/>
  <c r="X224" i="6"/>
  <c r="X225" i="6"/>
  <c r="X226" i="6"/>
  <c r="X227" i="6"/>
  <c r="Z211" i="6"/>
  <c r="Z213" i="6"/>
  <c r="Z221" i="6"/>
  <c r="Z223" i="6"/>
  <c r="X197" i="6"/>
  <c r="X198" i="6"/>
  <c r="X199" i="6"/>
  <c r="X200" i="6"/>
  <c r="X201" i="6"/>
  <c r="X202" i="6"/>
  <c r="X203" i="6"/>
  <c r="Z202" i="6"/>
  <c r="Y202" i="6"/>
  <c r="Y192" i="6"/>
  <c r="Y189" i="6"/>
  <c r="Y187" i="6"/>
  <c r="Y186" i="6"/>
  <c r="Y184" i="6"/>
  <c r="X185" i="6"/>
  <c r="X186" i="6"/>
  <c r="X187" i="6"/>
  <c r="X188" i="6"/>
  <c r="X189" i="6"/>
  <c r="X190" i="6"/>
  <c r="X191" i="6"/>
  <c r="X192" i="6"/>
  <c r="X193" i="6"/>
  <c r="X194" i="6"/>
  <c r="X195" i="6"/>
  <c r="X196" i="6"/>
  <c r="Z186" i="6"/>
  <c r="Z187" i="6"/>
  <c r="Z189" i="6"/>
  <c r="Z192" i="6"/>
  <c r="X183" i="6"/>
  <c r="X184" i="6"/>
  <c r="Z184" i="6"/>
  <c r="X182" i="6"/>
  <c r="Z182" i="6" s="1"/>
  <c r="X150" i="6"/>
  <c r="X151" i="6"/>
  <c r="X152" i="6"/>
  <c r="X153" i="6"/>
  <c r="X154" i="6"/>
  <c r="X155" i="6"/>
  <c r="X156" i="6"/>
  <c r="X157" i="6"/>
  <c r="X158" i="6"/>
  <c r="X159" i="6"/>
  <c r="X160" i="6"/>
  <c r="X161" i="6"/>
  <c r="X162" i="6"/>
  <c r="X163" i="6"/>
  <c r="Y156" i="6"/>
  <c r="Y164" i="6"/>
  <c r="Y171" i="6"/>
  <c r="Y174" i="6"/>
  <c r="X181" i="6"/>
  <c r="X167" i="6"/>
  <c r="X168" i="6"/>
  <c r="X169" i="6"/>
  <c r="X170" i="6"/>
  <c r="X171" i="6"/>
  <c r="X172" i="6"/>
  <c r="X173" i="6"/>
  <c r="X174" i="6"/>
  <c r="X175" i="6"/>
  <c r="X176" i="6"/>
  <c r="X177" i="6"/>
  <c r="X178" i="6"/>
  <c r="X179" i="6"/>
  <c r="X180" i="6"/>
  <c r="Z171" i="6"/>
  <c r="Z174" i="6"/>
  <c r="X164" i="6"/>
  <c r="X165" i="6"/>
  <c r="X166" i="6"/>
  <c r="Z164" i="6"/>
  <c r="Z156" i="6"/>
  <c r="X148" i="6"/>
  <c r="X149" i="6"/>
  <c r="Z150" i="6"/>
  <c r="Z153" i="6"/>
  <c r="Y145" i="6"/>
  <c r="Y147" i="6"/>
  <c r="Y150" i="6"/>
  <c r="Y153" i="6"/>
  <c r="X147" i="6"/>
  <c r="Z147" i="6"/>
  <c r="X146" i="6"/>
  <c r="Y127" i="6"/>
  <c r="Y130" i="6"/>
  <c r="Y134" i="6"/>
  <c r="Y115" i="6"/>
  <c r="Y117" i="6"/>
  <c r="X111" i="6"/>
  <c r="X112" i="6"/>
  <c r="X113" i="6"/>
  <c r="X114" i="6"/>
  <c r="X115" i="6"/>
  <c r="X116" i="6"/>
  <c r="X117" i="6"/>
  <c r="Z117" i="6"/>
  <c r="X118" i="6"/>
  <c r="X119" i="6"/>
  <c r="X120" i="6"/>
  <c r="X121" i="6"/>
  <c r="X122" i="6"/>
  <c r="X123" i="6"/>
  <c r="X124" i="6"/>
  <c r="Y124" i="6"/>
  <c r="X125" i="6"/>
  <c r="X126" i="6"/>
  <c r="X127" i="6"/>
  <c r="X128" i="6"/>
  <c r="X129" i="6"/>
  <c r="X130" i="6"/>
  <c r="X131" i="6"/>
  <c r="X132" i="6"/>
  <c r="X133" i="6"/>
  <c r="X134" i="6"/>
  <c r="X135" i="6"/>
  <c r="X136" i="6"/>
  <c r="X137" i="6"/>
  <c r="X138" i="6"/>
  <c r="Y138" i="6"/>
  <c r="X139" i="6"/>
  <c r="X140" i="6"/>
  <c r="X141" i="6"/>
  <c r="X142" i="6"/>
  <c r="X143" i="6"/>
  <c r="X144" i="6"/>
  <c r="X145" i="6"/>
  <c r="Z145" i="6"/>
  <c r="Z115" i="6"/>
  <c r="Z124" i="6"/>
  <c r="Z127" i="6"/>
  <c r="Z130" i="6"/>
  <c r="Z134" i="6"/>
  <c r="Z138" i="6"/>
  <c r="Y106" i="6"/>
  <c r="Y103" i="6"/>
  <c r="Y101" i="6"/>
  <c r="Y97" i="6"/>
  <c r="Y95" i="6"/>
  <c r="Y93" i="6"/>
  <c r="X94" i="6"/>
  <c r="X95" i="6"/>
  <c r="X96" i="6"/>
  <c r="X97" i="6"/>
  <c r="X98" i="6"/>
  <c r="X99" i="6"/>
  <c r="X100" i="6"/>
  <c r="X101" i="6"/>
  <c r="X102" i="6"/>
  <c r="X103" i="6"/>
  <c r="X104" i="6"/>
  <c r="X105" i="6"/>
  <c r="X106" i="6"/>
  <c r="X107" i="6"/>
  <c r="X108" i="6"/>
  <c r="Y108" i="6"/>
  <c r="X109" i="6"/>
  <c r="X110" i="6"/>
  <c r="Y110" i="6"/>
  <c r="Z95" i="6"/>
  <c r="Z97" i="6"/>
  <c r="Z101" i="6"/>
  <c r="Z103" i="6"/>
  <c r="Z106" i="6"/>
  <c r="Z108" i="6"/>
  <c r="Z110" i="6"/>
  <c r="X93" i="6"/>
  <c r="Z93" i="6"/>
  <c r="X92" i="6"/>
  <c r="Z92" i="6" s="1"/>
  <c r="Y91" i="6"/>
  <c r="Y74" i="6"/>
  <c r="Y75" i="6"/>
  <c r="Y78" i="6"/>
  <c r="Y80" i="6"/>
  <c r="X75" i="6"/>
  <c r="X76" i="6"/>
  <c r="X77" i="6"/>
  <c r="X78" i="6"/>
  <c r="X79" i="6"/>
  <c r="X80" i="6"/>
  <c r="X81" i="6"/>
  <c r="X82" i="6"/>
  <c r="X83" i="6"/>
  <c r="X84" i="6"/>
  <c r="X85" i="6"/>
  <c r="X86" i="6"/>
  <c r="X87" i="6"/>
  <c r="X88" i="6"/>
  <c r="X89" i="6"/>
  <c r="X90" i="6"/>
  <c r="X91" i="6"/>
  <c r="Z91" i="6"/>
  <c r="Z75" i="6"/>
  <c r="Z78" i="6"/>
  <c r="Z80" i="6"/>
  <c r="X74" i="6"/>
  <c r="Z74" i="6"/>
  <c r="X73" i="6"/>
  <c r="Y66" i="6"/>
  <c r="Y67" i="6"/>
  <c r="X51" i="6"/>
  <c r="X52" i="6"/>
  <c r="X53" i="6"/>
  <c r="X54" i="6"/>
  <c r="X55" i="6"/>
  <c r="X56" i="6"/>
  <c r="X57" i="6"/>
  <c r="X58" i="6"/>
  <c r="X59" i="6"/>
  <c r="X60" i="6"/>
  <c r="X61" i="6"/>
  <c r="X62" i="6"/>
  <c r="Y62" i="6" s="1"/>
  <c r="X63" i="6"/>
  <c r="Y63" i="6"/>
  <c r="X64" i="6"/>
  <c r="X65" i="6"/>
  <c r="Y65" i="6" s="1"/>
  <c r="X66" i="6"/>
  <c r="X67" i="6"/>
  <c r="X68" i="6"/>
  <c r="Y68" i="6"/>
  <c r="X69" i="6"/>
  <c r="X70" i="6"/>
  <c r="X71" i="6"/>
  <c r="X72" i="6"/>
  <c r="Y72" i="6"/>
  <c r="Z62" i="6"/>
  <c r="Z63" i="6"/>
  <c r="Z65" i="6"/>
  <c r="Z66" i="6"/>
  <c r="Z67" i="6"/>
  <c r="Z68" i="6"/>
  <c r="Z72" i="6"/>
  <c r="X50" i="6"/>
  <c r="Y39" i="6"/>
  <c r="X41" i="6"/>
  <c r="X42" i="6"/>
  <c r="X43" i="6"/>
  <c r="X44" i="6"/>
  <c r="X45" i="6"/>
  <c r="X46" i="6"/>
  <c r="X47" i="6"/>
  <c r="X48" i="6"/>
  <c r="X49" i="6"/>
  <c r="Y25" i="6"/>
  <c r="Y27" i="6"/>
  <c r="Y28" i="6"/>
  <c r="Y31" i="6"/>
  <c r="X37" i="6"/>
  <c r="X38" i="6"/>
  <c r="X39" i="6"/>
  <c r="X40" i="6"/>
  <c r="Z39" i="6"/>
  <c r="X25" i="6"/>
  <c r="X26" i="6"/>
  <c r="Y26" i="6" s="1"/>
  <c r="X27" i="6"/>
  <c r="X28" i="6"/>
  <c r="X29" i="6"/>
  <c r="X30" i="6"/>
  <c r="X31" i="6"/>
  <c r="X32" i="6"/>
  <c r="X33" i="6"/>
  <c r="X34" i="6"/>
  <c r="X35" i="6"/>
  <c r="X36" i="6"/>
  <c r="Z25" i="6"/>
  <c r="Z26" i="6"/>
  <c r="Z27" i="6"/>
  <c r="Z28" i="6"/>
  <c r="Z31" i="6"/>
  <c r="X23" i="6"/>
  <c r="X24" i="6"/>
  <c r="Z24" i="6"/>
  <c r="Y8" i="6"/>
  <c r="Y9" i="6"/>
  <c r="Y10" i="6"/>
  <c r="Y14" i="6"/>
  <c r="Y16" i="6"/>
  <c r="Y19" i="6"/>
  <c r="Y24" i="6"/>
  <c r="X9" i="6"/>
  <c r="Z9" i="6"/>
  <c r="X10" i="6"/>
  <c r="X11" i="6"/>
  <c r="X12" i="6"/>
  <c r="X13" i="6"/>
  <c r="X14" i="6"/>
  <c r="X15" i="6"/>
  <c r="X16" i="6"/>
  <c r="X17" i="6"/>
  <c r="Y17" i="6" s="1"/>
  <c r="X18" i="6"/>
  <c r="X19" i="6"/>
  <c r="X20" i="6"/>
  <c r="X21" i="6"/>
  <c r="Y21" i="6"/>
  <c r="X22" i="6"/>
  <c r="Y22" i="6"/>
  <c r="Z10" i="6"/>
  <c r="Z14" i="6"/>
  <c r="Z16" i="6"/>
  <c r="Z17" i="6"/>
  <c r="Z19" i="6"/>
  <c r="Z21" i="6"/>
  <c r="Z22" i="6"/>
  <c r="X8" i="6"/>
  <c r="Z8" i="6"/>
  <c r="X7" i="6"/>
  <c r="Y1240" i="6"/>
  <c r="Z1240" i="6"/>
  <c r="Y1238" i="6"/>
  <c r="Z1238" i="6"/>
  <c r="Y1227" i="6"/>
  <c r="Z1227" i="6"/>
  <c r="Y1105" i="6"/>
  <c r="Z1105" i="6"/>
  <c r="Y1097" i="6"/>
  <c r="Z1097" i="6"/>
  <c r="Y1009" i="6"/>
  <c r="Z1009" i="6"/>
  <c r="Y905" i="6"/>
  <c r="Z905" i="6"/>
  <c r="Y893" i="6"/>
  <c r="Z893" i="6"/>
  <c r="Y647" i="6"/>
  <c r="Z647" i="6"/>
  <c r="Y573" i="6"/>
  <c r="Z573" i="6"/>
  <c r="Z514" i="6"/>
  <c r="Y514" i="6"/>
  <c r="Y359" i="6"/>
  <c r="Z359" i="6"/>
  <c r="Y328" i="6"/>
  <c r="Z328" i="6"/>
  <c r="Y326" i="6"/>
  <c r="Z326" i="6"/>
  <c r="Y321" i="6"/>
  <c r="Z321" i="6"/>
  <c r="Y320" i="6"/>
  <c r="Z320" i="6"/>
  <c r="Z198" i="6"/>
  <c r="Y198" i="6"/>
  <c r="Y152" i="6"/>
  <c r="Z152" i="6"/>
  <c r="Y86" i="6"/>
  <c r="Z86" i="6"/>
  <c r="Y70" i="6"/>
  <c r="Z70" i="6"/>
  <c r="Y60" i="6"/>
  <c r="Z60" i="6"/>
  <c r="Y58" i="6"/>
  <c r="Z58" i="6"/>
  <c r="Y1340" i="6"/>
  <c r="Z1340" i="6"/>
  <c r="Y1511" i="6"/>
  <c r="Z1511" i="6"/>
  <c r="Y1430" i="6"/>
  <c r="Z1430" i="6"/>
  <c r="Y1378" i="6"/>
  <c r="Z1378" i="6"/>
  <c r="Y1925" i="6"/>
  <c r="Z1925" i="6"/>
  <c r="Y1923" i="6"/>
  <c r="Z1923" i="6"/>
  <c r="Y1916" i="6"/>
  <c r="Z1916" i="6"/>
  <c r="Y1901" i="6"/>
  <c r="Z1901" i="6"/>
  <c r="Y1899" i="6"/>
  <c r="Z1899" i="6"/>
  <c r="Y1886" i="6"/>
  <c r="Z1886" i="6"/>
  <c r="Y2120" i="6"/>
  <c r="Z2120" i="6"/>
  <c r="Y1998" i="6"/>
  <c r="Z1998" i="6"/>
  <c r="Y1983" i="6"/>
  <c r="Z1983" i="6"/>
  <c r="Z2403" i="6"/>
  <c r="Y2403" i="6"/>
  <c r="Y2358" i="6"/>
  <c r="Z2358" i="6"/>
  <c r="Y2271" i="6"/>
  <c r="Z2271" i="6"/>
  <c r="Y2245" i="6"/>
  <c r="Z2245" i="6"/>
  <c r="Y2243" i="6"/>
  <c r="Z2243" i="6"/>
  <c r="Y2171" i="6"/>
  <c r="Z2171" i="6"/>
  <c r="Y2168" i="6"/>
  <c r="Z2168" i="6"/>
  <c r="Y2167" i="6"/>
  <c r="Z2167" i="6"/>
  <c r="Y2153" i="6"/>
  <c r="Z2153" i="6"/>
  <c r="Y2141" i="6"/>
  <c r="Z2141" i="6"/>
  <c r="Y2139" i="6"/>
  <c r="Z2139" i="6"/>
  <c r="Y2137" i="6"/>
  <c r="Z2137" i="6"/>
  <c r="Y2135" i="6"/>
  <c r="Z2135" i="6"/>
  <c r="Y2473" i="6"/>
  <c r="Z2473" i="6"/>
  <c r="Y2465" i="6"/>
  <c r="Z2465" i="6"/>
  <c r="Y2439" i="6"/>
  <c r="Z2439" i="6"/>
  <c r="Y2579" i="6"/>
  <c r="Z2579" i="6"/>
  <c r="Z2819" i="6"/>
  <c r="Z2798" i="6"/>
  <c r="Z2750" i="6"/>
  <c r="Y2750" i="6"/>
  <c r="Y2693" i="6"/>
  <c r="Z2693" i="6"/>
  <c r="Y2651" i="6"/>
  <c r="Z2651" i="6"/>
  <c r="Y2910" i="6"/>
  <c r="Z2910" i="6"/>
  <c r="Z2827" i="6"/>
  <c r="Y2827" i="6"/>
  <c r="Z2828" i="6"/>
  <c r="Y2828" i="6"/>
  <c r="Z2829" i="6"/>
  <c r="Y2829" i="6"/>
  <c r="Z2830" i="6"/>
  <c r="Y2830" i="6"/>
  <c r="Z2831" i="6"/>
  <c r="Y2831" i="6"/>
  <c r="Z2832" i="6"/>
  <c r="Y2832" i="6"/>
  <c r="Z2833" i="6"/>
  <c r="Y2833" i="6"/>
  <c r="Z2835" i="6"/>
  <c r="Y2835" i="6"/>
  <c r="Y2836" i="6"/>
  <c r="Z2836" i="6"/>
  <c r="Y2837" i="6"/>
  <c r="Z2837" i="6"/>
  <c r="Z2838" i="6"/>
  <c r="Y2838" i="6"/>
  <c r="Y2816" i="6"/>
  <c r="Z2816" i="6"/>
  <c r="Y2817" i="6"/>
  <c r="Z2817" i="6"/>
  <c r="Y2818" i="6"/>
  <c r="Z2818" i="6"/>
  <c r="Y2822" i="6"/>
  <c r="Z2822" i="6"/>
  <c r="Y2823" i="6"/>
  <c r="Z2823" i="6"/>
  <c r="Y2825" i="6"/>
  <c r="Z2825" i="6"/>
  <c r="Y2809" i="6"/>
  <c r="Z2809" i="6"/>
  <c r="Y2810" i="6"/>
  <c r="Z2810" i="6"/>
  <c r="Y2812" i="6"/>
  <c r="Z2812" i="6"/>
  <c r="Y2793" i="6"/>
  <c r="Z2793" i="6"/>
  <c r="Y2794" i="6"/>
  <c r="Z2794" i="6"/>
  <c r="Z2795" i="6"/>
  <c r="Y2795" i="6"/>
  <c r="Y2796" i="6"/>
  <c r="Z2796" i="6"/>
  <c r="Y2797" i="6"/>
  <c r="Z2797" i="6"/>
  <c r="Y2799" i="6"/>
  <c r="Z2799" i="6"/>
  <c r="Y2800" i="6"/>
  <c r="Z2800" i="6"/>
  <c r="Y2802" i="6"/>
  <c r="Z2802" i="6"/>
  <c r="Y2805" i="6"/>
  <c r="Z2805" i="6"/>
  <c r="Y2806" i="6"/>
  <c r="Z2906" i="6"/>
  <c r="Y2906" i="6"/>
  <c r="Z2890" i="6"/>
  <c r="Y2890" i="6"/>
  <c r="Z2889" i="6"/>
  <c r="Y2889" i="6"/>
  <c r="Y2887" i="6"/>
  <c r="Z2887" i="6"/>
  <c r="Y2867" i="6"/>
  <c r="Z2867" i="6"/>
  <c r="E2910" i="6"/>
  <c r="G2922" i="6"/>
  <c r="G2923" i="6"/>
  <c r="G2924" i="6"/>
  <c r="G2925" i="6"/>
  <c r="G2926" i="6"/>
  <c r="G2927" i="6"/>
  <c r="G2928" i="6"/>
  <c r="G2929" i="6"/>
  <c r="G2911" i="6"/>
  <c r="G2912" i="6"/>
  <c r="G2913" i="6"/>
  <c r="G2914" i="6"/>
  <c r="G2915" i="6"/>
  <c r="G2916" i="6"/>
  <c r="G2917" i="6"/>
  <c r="G2918" i="6"/>
  <c r="G2919" i="6"/>
  <c r="G2920" i="6"/>
  <c r="G2921" i="6"/>
  <c r="E2895" i="6"/>
  <c r="E2891" i="6"/>
  <c r="G2899" i="6"/>
  <c r="G2900" i="6"/>
  <c r="G2901" i="6"/>
  <c r="G2902" i="6"/>
  <c r="G2903" i="6"/>
  <c r="G2904" i="6"/>
  <c r="G2905" i="6"/>
  <c r="G2906" i="6"/>
  <c r="G2907" i="6"/>
  <c r="G2908" i="6"/>
  <c r="G2909" i="6"/>
  <c r="G2910" i="6"/>
  <c r="G2892" i="6"/>
  <c r="G2893" i="6"/>
  <c r="G2894" i="6"/>
  <c r="G2895" i="6"/>
  <c r="G2896" i="6"/>
  <c r="G2897" i="6"/>
  <c r="G2898" i="6"/>
  <c r="E2888" i="6"/>
  <c r="G2891" i="6"/>
  <c r="G2890" i="6"/>
  <c r="G2889" i="6"/>
  <c r="G2888" i="6"/>
  <c r="G2887" i="6"/>
  <c r="G2886" i="6"/>
  <c r="G2885" i="6"/>
  <c r="E2884" i="6"/>
  <c r="G2884" i="6" s="1"/>
  <c r="E2880" i="6"/>
  <c r="E2876" i="6"/>
  <c r="E2871" i="6"/>
  <c r="F2865" i="6"/>
  <c r="E2861" i="6"/>
  <c r="E2858" i="6"/>
  <c r="E2856" i="6"/>
  <c r="E2853" i="6"/>
  <c r="E2850" i="6"/>
  <c r="E2847" i="6"/>
  <c r="E2843" i="6"/>
  <c r="G2883" i="6"/>
  <c r="G2882" i="6"/>
  <c r="G2881" i="6"/>
  <c r="G2880" i="6"/>
  <c r="G2879" i="6"/>
  <c r="G2878" i="6"/>
  <c r="G2877" i="6"/>
  <c r="G2876" i="6"/>
  <c r="G2875" i="6"/>
  <c r="G2874" i="6"/>
  <c r="G2873" i="6"/>
  <c r="G2872" i="6"/>
  <c r="G2871" i="6"/>
  <c r="G2870" i="6"/>
  <c r="G2869" i="6"/>
  <c r="G2868" i="6"/>
  <c r="G2867" i="6"/>
  <c r="G2866" i="6"/>
  <c r="G2865" i="6"/>
  <c r="G2864" i="6"/>
  <c r="G2863" i="6"/>
  <c r="G2862" i="6"/>
  <c r="G2861" i="6"/>
  <c r="G2860" i="6"/>
  <c r="G2859" i="6"/>
  <c r="G2858" i="6"/>
  <c r="G2857" i="6"/>
  <c r="G2856" i="6"/>
  <c r="G2855" i="6"/>
  <c r="G2854" i="6"/>
  <c r="G2853" i="6"/>
  <c r="G2852" i="6"/>
  <c r="G2851" i="6"/>
  <c r="G2850" i="6"/>
  <c r="G2849" i="6"/>
  <c r="G2848" i="6"/>
  <c r="G2847" i="6"/>
  <c r="G2846" i="6"/>
  <c r="G2845" i="6"/>
  <c r="G2844" i="6"/>
  <c r="G2843" i="6"/>
  <c r="G2842" i="6"/>
  <c r="E2841" i="6"/>
  <c r="G2841" i="6" s="1"/>
  <c r="Y2820" i="6"/>
  <c r="Y2826" i="6"/>
  <c r="G2839" i="6"/>
  <c r="G2838" i="6"/>
  <c r="G2837" i="6"/>
  <c r="G2836" i="6"/>
  <c r="G2835" i="6"/>
  <c r="G2834" i="6"/>
  <c r="G2833" i="6"/>
  <c r="G2832" i="6"/>
  <c r="G2831" i="6"/>
  <c r="G2830" i="6"/>
  <c r="G2829" i="6"/>
  <c r="G2828" i="6"/>
  <c r="G2827" i="6"/>
  <c r="F2826" i="6"/>
  <c r="F2820" i="6"/>
  <c r="E2818" i="6"/>
  <c r="E2816" i="6"/>
  <c r="E2815" i="6"/>
  <c r="E2812" i="6"/>
  <c r="G2826" i="6"/>
  <c r="Z2826" i="6" s="1"/>
  <c r="G2825" i="6"/>
  <c r="G2824" i="6"/>
  <c r="G2823" i="6"/>
  <c r="G2822" i="6"/>
  <c r="G2821" i="6"/>
  <c r="G2820" i="6"/>
  <c r="Z2820" i="6" s="1"/>
  <c r="G2819" i="6"/>
  <c r="G2818" i="6"/>
  <c r="G2817" i="6"/>
  <c r="G2816" i="6"/>
  <c r="G2815" i="6"/>
  <c r="G2814" i="6"/>
  <c r="G2813" i="6"/>
  <c r="G2812" i="6"/>
  <c r="G2811" i="6"/>
  <c r="G2810" i="6"/>
  <c r="E2809" i="6"/>
  <c r="G2809" i="6" s="1"/>
  <c r="E2807" i="6"/>
  <c r="E2804" i="6"/>
  <c r="E2802" i="6"/>
  <c r="E2799" i="6"/>
  <c r="E2797" i="6"/>
  <c r="E2793" i="6"/>
  <c r="E2788" i="6"/>
  <c r="E2786" i="6"/>
  <c r="E2784" i="6"/>
  <c r="E2782" i="6"/>
  <c r="E2777" i="6"/>
  <c r="E2775" i="6"/>
  <c r="E2771" i="6"/>
  <c r="E2769" i="6"/>
  <c r="E2768" i="6"/>
  <c r="F2765" i="6"/>
  <c r="G2808" i="6"/>
  <c r="G2807" i="6"/>
  <c r="G2806" i="6"/>
  <c r="G2805" i="6"/>
  <c r="G2804" i="6"/>
  <c r="G2803" i="6"/>
  <c r="G2802" i="6"/>
  <c r="G2801" i="6"/>
  <c r="G2800" i="6"/>
  <c r="G2799" i="6"/>
  <c r="G2798" i="6"/>
  <c r="G2797" i="6"/>
  <c r="G2796" i="6"/>
  <c r="G2795" i="6"/>
  <c r="G2794" i="6"/>
  <c r="G2793" i="6"/>
  <c r="G2792" i="6"/>
  <c r="G2791" i="6"/>
  <c r="G2790" i="6"/>
  <c r="G2789" i="6"/>
  <c r="G2788" i="6"/>
  <c r="G2787" i="6"/>
  <c r="G2786" i="6"/>
  <c r="G2785" i="6"/>
  <c r="G2784" i="6"/>
  <c r="G2783" i="6"/>
  <c r="G2782" i="6"/>
  <c r="G2781" i="6"/>
  <c r="G2780" i="6"/>
  <c r="G2779" i="6"/>
  <c r="G2778" i="6"/>
  <c r="G2777" i="6"/>
  <c r="G2776" i="6"/>
  <c r="G2775" i="6"/>
  <c r="G2774" i="6"/>
  <c r="G2773" i="6"/>
  <c r="G2772" i="6"/>
  <c r="G2771" i="6"/>
  <c r="G2770" i="6"/>
  <c r="G2769" i="6"/>
  <c r="G2768" i="6"/>
  <c r="G2767" i="6"/>
  <c r="G2766" i="6"/>
  <c r="G2765" i="6"/>
  <c r="G2764" i="6"/>
  <c r="E2760" i="6"/>
  <c r="E2758" i="6"/>
  <c r="E2757" i="6"/>
  <c r="E2754" i="6"/>
  <c r="E2751" i="6"/>
  <c r="E2749" i="6"/>
  <c r="E2748" i="6"/>
  <c r="F2746" i="6"/>
  <c r="E2729" i="6"/>
  <c r="G2762" i="6"/>
  <c r="G2761" i="6"/>
  <c r="G2760" i="6"/>
  <c r="G2759" i="6"/>
  <c r="G2758" i="6"/>
  <c r="G2757" i="6"/>
  <c r="G2756" i="6"/>
  <c r="G2755" i="6"/>
  <c r="G2754" i="6"/>
  <c r="G2753" i="6"/>
  <c r="G2752" i="6"/>
  <c r="G2751" i="6"/>
  <c r="G2750" i="6"/>
  <c r="G2749" i="6"/>
  <c r="G2748" i="6"/>
  <c r="G2747" i="6"/>
  <c r="G2746" i="6"/>
  <c r="G2745" i="6"/>
  <c r="G2744" i="6"/>
  <c r="G2743" i="6"/>
  <c r="G2742" i="6"/>
  <c r="G2741" i="6"/>
  <c r="G2740" i="6"/>
  <c r="G2739" i="6"/>
  <c r="G2738" i="6"/>
  <c r="G2737" i="6"/>
  <c r="G2736" i="6"/>
  <c r="G2735" i="6"/>
  <c r="G2734" i="6"/>
  <c r="G2733" i="6"/>
  <c r="G2732" i="6"/>
  <c r="G2731" i="6"/>
  <c r="G2730" i="6"/>
  <c r="G2729" i="6"/>
  <c r="G2728" i="6"/>
  <c r="E2727" i="6"/>
  <c r="G2727" i="6" s="1"/>
  <c r="E2720" i="6"/>
  <c r="E2714" i="6"/>
  <c r="E2710" i="6"/>
  <c r="E2708" i="6"/>
  <c r="E2704" i="6"/>
  <c r="E2702" i="6"/>
  <c r="E2698" i="6"/>
  <c r="F2697" i="6"/>
  <c r="E2694" i="6"/>
  <c r="E2691" i="6"/>
  <c r="E2688" i="6"/>
  <c r="E2686" i="6"/>
  <c r="E2684" i="6"/>
  <c r="E2682" i="6"/>
  <c r="E2681" i="6"/>
  <c r="E2680" i="6"/>
  <c r="E2679" i="6"/>
  <c r="G2726" i="6"/>
  <c r="G2725" i="6"/>
  <c r="G2724" i="6"/>
  <c r="G2723" i="6"/>
  <c r="G2722" i="6"/>
  <c r="G2721" i="6"/>
  <c r="G2720" i="6"/>
  <c r="G2719" i="6"/>
  <c r="G2718" i="6"/>
  <c r="G2717" i="6"/>
  <c r="G2716" i="6"/>
  <c r="G2715" i="6"/>
  <c r="G2714" i="6"/>
  <c r="G2713" i="6"/>
  <c r="G2712" i="6"/>
  <c r="G2711" i="6"/>
  <c r="G2710" i="6"/>
  <c r="G2709" i="6"/>
  <c r="G2708" i="6"/>
  <c r="G2707" i="6"/>
  <c r="G2706" i="6"/>
  <c r="G2705" i="6"/>
  <c r="G2704" i="6"/>
  <c r="G2703" i="6"/>
  <c r="G2702" i="6"/>
  <c r="G2701" i="6"/>
  <c r="G2700" i="6"/>
  <c r="G2699" i="6"/>
  <c r="G2698" i="6"/>
  <c r="G2697" i="6"/>
  <c r="G2696" i="6"/>
  <c r="G2695" i="6"/>
  <c r="G2694" i="6"/>
  <c r="G2693" i="6"/>
  <c r="G2692" i="6"/>
  <c r="G2691" i="6"/>
  <c r="G2690" i="6"/>
  <c r="G2689" i="6"/>
  <c r="G2688" i="6"/>
  <c r="G2687" i="6"/>
  <c r="G2686" i="6"/>
  <c r="G2685" i="6"/>
  <c r="G2684" i="6"/>
  <c r="G2683" i="6"/>
  <c r="G2682" i="6"/>
  <c r="G2681" i="6"/>
  <c r="G2680" i="6"/>
  <c r="G2679" i="6"/>
  <c r="G2678" i="6"/>
  <c r="G2677" i="6"/>
  <c r="G2676" i="6"/>
  <c r="G2675" i="6"/>
  <c r="Y2664" i="6"/>
  <c r="Y2665" i="6"/>
  <c r="Y2666" i="6"/>
  <c r="Y2667" i="6"/>
  <c r="Y2668" i="6"/>
  <c r="Y2669" i="6"/>
  <c r="Y2670" i="6"/>
  <c r="Y2671" i="6"/>
  <c r="Y2672" i="6"/>
  <c r="Y2673" i="6"/>
  <c r="Z2663" i="6"/>
  <c r="Y2663" i="6"/>
  <c r="E2663" i="6"/>
  <c r="E2660" i="6"/>
  <c r="E2657" i="6"/>
  <c r="E2646" i="6"/>
  <c r="E2644" i="6"/>
  <c r="E2641" i="6"/>
  <c r="E2640" i="6"/>
  <c r="E2638" i="6"/>
  <c r="E2633" i="6"/>
  <c r="E2630" i="6"/>
  <c r="E2629" i="6"/>
  <c r="E2627" i="6"/>
  <c r="E2626" i="6"/>
  <c r="E2625" i="6"/>
  <c r="E2624" i="6"/>
  <c r="G2673" i="6"/>
  <c r="G2672" i="6"/>
  <c r="G2671" i="6"/>
  <c r="G2670" i="6"/>
  <c r="G2669" i="6"/>
  <c r="G2668" i="6"/>
  <c r="G2667" i="6"/>
  <c r="G2666" i="6"/>
  <c r="G2665" i="6"/>
  <c r="G2664" i="6"/>
  <c r="G2663" i="6"/>
  <c r="G2662" i="6"/>
  <c r="G2661" i="6"/>
  <c r="G2660" i="6"/>
  <c r="G2659" i="6"/>
  <c r="G2658" i="6"/>
  <c r="G2657" i="6"/>
  <c r="G2656" i="6"/>
  <c r="G2655" i="6"/>
  <c r="G2654" i="6"/>
  <c r="G2653" i="6"/>
  <c r="G2652" i="6"/>
  <c r="G2651" i="6"/>
  <c r="G2650" i="6"/>
  <c r="G2649" i="6"/>
  <c r="G2648" i="6"/>
  <c r="G2647" i="6"/>
  <c r="G2646" i="6"/>
  <c r="G2645" i="6"/>
  <c r="G2644" i="6"/>
  <c r="G2643" i="6"/>
  <c r="G2642" i="6"/>
  <c r="G2641" i="6"/>
  <c r="G2640" i="6"/>
  <c r="G2639" i="6"/>
  <c r="G2638" i="6"/>
  <c r="G2637" i="6"/>
  <c r="G2636" i="6"/>
  <c r="G2635" i="6"/>
  <c r="G2634" i="6"/>
  <c r="G2633" i="6"/>
  <c r="G2632" i="6"/>
  <c r="G2631" i="6"/>
  <c r="G2630" i="6"/>
  <c r="G2629" i="6"/>
  <c r="G2628" i="6"/>
  <c r="G2627" i="6"/>
  <c r="G2626" i="6"/>
  <c r="G2625" i="6"/>
  <c r="G2624" i="6"/>
  <c r="G2623" i="6"/>
  <c r="E2622" i="6"/>
  <c r="G2622" i="6" s="1"/>
  <c r="E2618" i="6"/>
  <c r="E2617" i="6"/>
  <c r="E2614" i="6"/>
  <c r="E2609" i="6"/>
  <c r="E2605" i="6"/>
  <c r="E2603" i="6"/>
  <c r="E2601" i="6"/>
  <c r="E2599" i="6"/>
  <c r="E2596" i="6"/>
  <c r="G2621" i="6"/>
  <c r="G2620" i="6"/>
  <c r="G2619" i="6"/>
  <c r="G2618" i="6"/>
  <c r="G2617" i="6"/>
  <c r="G2616" i="6"/>
  <c r="G2615" i="6"/>
  <c r="G2614" i="6"/>
  <c r="G2613" i="6"/>
  <c r="G2612" i="6"/>
  <c r="G2611" i="6"/>
  <c r="G2610" i="6"/>
  <c r="G2609" i="6"/>
  <c r="G2608" i="6"/>
  <c r="G2607" i="6"/>
  <c r="G2606" i="6"/>
  <c r="G2605" i="6"/>
  <c r="G2604" i="6"/>
  <c r="G2603" i="6"/>
  <c r="G2602" i="6"/>
  <c r="G2601" i="6"/>
  <c r="G2600" i="6"/>
  <c r="G2599" i="6"/>
  <c r="G2598" i="6"/>
  <c r="G2597" i="6"/>
  <c r="G2596" i="6"/>
  <c r="E2593" i="6"/>
  <c r="E2574" i="6"/>
  <c r="E2570" i="6"/>
  <c r="E2564" i="6"/>
  <c r="G2594" i="6"/>
  <c r="G2593" i="6"/>
  <c r="G2592" i="6"/>
  <c r="G2591" i="6"/>
  <c r="G2590" i="6"/>
  <c r="G2589" i="6"/>
  <c r="G2588" i="6"/>
  <c r="G2587" i="6"/>
  <c r="G2586" i="6"/>
  <c r="G2585" i="6"/>
  <c r="G2584" i="6"/>
  <c r="G2583" i="6"/>
  <c r="G2582" i="6"/>
  <c r="G2581" i="6"/>
  <c r="G2580" i="6"/>
  <c r="G2579" i="6"/>
  <c r="G2578" i="6"/>
  <c r="G2577" i="6"/>
  <c r="G2576" i="6"/>
  <c r="G2575" i="6"/>
  <c r="G2574" i="6"/>
  <c r="G2573" i="6"/>
  <c r="G2572" i="6"/>
  <c r="G2571" i="6"/>
  <c r="G2570" i="6"/>
  <c r="G2569" i="6"/>
  <c r="G2568" i="6"/>
  <c r="G2567" i="6"/>
  <c r="G2566" i="6"/>
  <c r="G2565" i="6"/>
  <c r="G2564" i="6"/>
  <c r="G2563" i="6"/>
  <c r="E2552" i="6"/>
  <c r="E2551" i="6"/>
  <c r="E2547" i="6"/>
  <c r="E2543" i="6"/>
  <c r="E2538" i="6"/>
  <c r="E2533" i="6"/>
  <c r="E2531" i="6"/>
  <c r="E2528" i="6"/>
  <c r="E2525" i="6"/>
  <c r="E2517" i="6"/>
  <c r="E2516" i="6"/>
  <c r="G2515" i="6"/>
  <c r="G2514" i="6"/>
  <c r="E2513" i="6"/>
  <c r="G2513" i="6" s="1"/>
  <c r="E2510" i="6"/>
  <c r="E2508" i="6"/>
  <c r="E2505" i="6"/>
  <c r="G2562" i="6"/>
  <c r="G2561" i="6"/>
  <c r="G2560" i="6"/>
  <c r="G2559" i="6"/>
  <c r="G2558" i="6"/>
  <c r="G2557" i="6"/>
  <c r="G2556" i="6"/>
  <c r="G2555" i="6"/>
  <c r="G2554" i="6"/>
  <c r="G2553" i="6"/>
  <c r="G2552" i="6"/>
  <c r="G2551" i="6"/>
  <c r="G2550" i="6"/>
  <c r="G2549" i="6"/>
  <c r="G2548" i="6"/>
  <c r="G2547" i="6"/>
  <c r="G2546" i="6"/>
  <c r="G2545" i="6"/>
  <c r="G2544" i="6"/>
  <c r="G2543" i="6"/>
  <c r="G2542" i="6"/>
  <c r="G2541" i="6"/>
  <c r="G2540" i="6"/>
  <c r="G2539" i="6"/>
  <c r="G2538" i="6"/>
  <c r="G2537" i="6"/>
  <c r="G2536" i="6"/>
  <c r="G2535" i="6"/>
  <c r="G2534" i="6"/>
  <c r="G2533" i="6"/>
  <c r="G2532" i="6"/>
  <c r="G2531" i="6"/>
  <c r="G2530" i="6"/>
  <c r="G2529" i="6"/>
  <c r="G2528" i="6"/>
  <c r="G2527" i="6"/>
  <c r="G2526" i="6"/>
  <c r="G2525" i="6"/>
  <c r="G2524" i="6"/>
  <c r="G2523" i="6"/>
  <c r="G2522" i="6"/>
  <c r="G2521" i="6"/>
  <c r="G2520" i="6"/>
  <c r="G2519" i="6"/>
  <c r="G2518" i="6"/>
  <c r="G2517" i="6"/>
  <c r="G2516" i="6"/>
  <c r="G2512" i="6"/>
  <c r="G2511" i="6"/>
  <c r="G2510" i="6"/>
  <c r="G2509" i="6"/>
  <c r="G2508" i="6"/>
  <c r="G2507" i="6"/>
  <c r="G2506" i="6"/>
  <c r="G2505" i="6"/>
  <c r="G2504" i="6"/>
  <c r="B559" i="10"/>
  <c r="Y2501" i="6"/>
  <c r="Z2501" i="6"/>
  <c r="E2501" i="6"/>
  <c r="E2491" i="6"/>
  <c r="E2477" i="6"/>
  <c r="E2474" i="6"/>
  <c r="E2472" i="6"/>
  <c r="E2468" i="6"/>
  <c r="E2466" i="6"/>
  <c r="E2464" i="6"/>
  <c r="E2462" i="6"/>
  <c r="E2459" i="6"/>
  <c r="G2502" i="6"/>
  <c r="G2501" i="6"/>
  <c r="G2500" i="6"/>
  <c r="G2499" i="6"/>
  <c r="G2498" i="6"/>
  <c r="G2497" i="6"/>
  <c r="G2496" i="6"/>
  <c r="G2495" i="6"/>
  <c r="G2494" i="6"/>
  <c r="G2493" i="6"/>
  <c r="G2492" i="6"/>
  <c r="G2491" i="6"/>
  <c r="G2490" i="6"/>
  <c r="G2489" i="6"/>
  <c r="G2488" i="6"/>
  <c r="G2487" i="6"/>
  <c r="G2486" i="6"/>
  <c r="G2485" i="6"/>
  <c r="G2484" i="6"/>
  <c r="G2483" i="6"/>
  <c r="G2482" i="6"/>
  <c r="G2481" i="6"/>
  <c r="G2480" i="6"/>
  <c r="G2479" i="6"/>
  <c r="G2478" i="6"/>
  <c r="G2477" i="6"/>
  <c r="G2476" i="6"/>
  <c r="G2475" i="6"/>
  <c r="G2474" i="6"/>
  <c r="G2473" i="6"/>
  <c r="G2472" i="6"/>
  <c r="G2471" i="6"/>
  <c r="G2470" i="6"/>
  <c r="G2469" i="6"/>
  <c r="G2468" i="6"/>
  <c r="G2467" i="6"/>
  <c r="G2466" i="6"/>
  <c r="G2465" i="6"/>
  <c r="G2464" i="6"/>
  <c r="G2463" i="6"/>
  <c r="G2462" i="6"/>
  <c r="G2461" i="6"/>
  <c r="G2460" i="6"/>
  <c r="G2459" i="6"/>
  <c r="G2458" i="6"/>
  <c r="E2457" i="6"/>
  <c r="G2457" i="6" s="1"/>
  <c r="E2455" i="6"/>
  <c r="E2451" i="6"/>
  <c r="E2448" i="6"/>
  <c r="E2445" i="6"/>
  <c r="E2444" i="6"/>
  <c r="E2437" i="6"/>
  <c r="E2430" i="6"/>
  <c r="E2428" i="6"/>
  <c r="E2427" i="6"/>
  <c r="E2426" i="6"/>
  <c r="E2425" i="6"/>
  <c r="E2423" i="6"/>
  <c r="E2421" i="6"/>
  <c r="E2420" i="6"/>
  <c r="E2411" i="6"/>
  <c r="E2409" i="6"/>
  <c r="E2408" i="6"/>
  <c r="G2456" i="6"/>
  <c r="G2455" i="6"/>
  <c r="G2454" i="6"/>
  <c r="G2453" i="6"/>
  <c r="G2452" i="6"/>
  <c r="G2451" i="6"/>
  <c r="G2450" i="6"/>
  <c r="G2449" i="6"/>
  <c r="G2448" i="6"/>
  <c r="G2447" i="6"/>
  <c r="G2446" i="6"/>
  <c r="G2445" i="6"/>
  <c r="G2444" i="6"/>
  <c r="G2443" i="6"/>
  <c r="G2442" i="6"/>
  <c r="G2441" i="6"/>
  <c r="G2440" i="6"/>
  <c r="G2439" i="6"/>
  <c r="G2438" i="6"/>
  <c r="G2437" i="6"/>
  <c r="G2436" i="6"/>
  <c r="G2435" i="6"/>
  <c r="G2434" i="6"/>
  <c r="G2433" i="6"/>
  <c r="G2432" i="6"/>
  <c r="G2431" i="6"/>
  <c r="G2430" i="6"/>
  <c r="G2429" i="6"/>
  <c r="G2428" i="6"/>
  <c r="G2427" i="6"/>
  <c r="G2426" i="6"/>
  <c r="G2425" i="6"/>
  <c r="G2424" i="6"/>
  <c r="G2423" i="6"/>
  <c r="G2422" i="6"/>
  <c r="G2421" i="6"/>
  <c r="G2420" i="6"/>
  <c r="G2419" i="6"/>
  <c r="G2418" i="6"/>
  <c r="G2417" i="6"/>
  <c r="G2416" i="6"/>
  <c r="G2415" i="6"/>
  <c r="G2414" i="6"/>
  <c r="G2413" i="6"/>
  <c r="G2412" i="6"/>
  <c r="G2411" i="6"/>
  <c r="G2410" i="6"/>
  <c r="G2409" i="6"/>
  <c r="G2408" i="6"/>
  <c r="G2407" i="6"/>
  <c r="G2406" i="6"/>
  <c r="G2405" i="6"/>
  <c r="E2403" i="6"/>
  <c r="E2398" i="6"/>
  <c r="G2403" i="6"/>
  <c r="G2402" i="6"/>
  <c r="G2401" i="6"/>
  <c r="G2400" i="6"/>
  <c r="G2399" i="6"/>
  <c r="G2398" i="6"/>
  <c r="G2397" i="6"/>
  <c r="G2396" i="6"/>
  <c r="G2395" i="6"/>
  <c r="G2394" i="6"/>
  <c r="G2393" i="6"/>
  <c r="G2392" i="6"/>
  <c r="G2391" i="6"/>
  <c r="G2390" i="6"/>
  <c r="E2377" i="6"/>
  <c r="E2366" i="6"/>
  <c r="E2363" i="6"/>
  <c r="E2362" i="6"/>
  <c r="E2359" i="6"/>
  <c r="E2355" i="6"/>
  <c r="E2354" i="6"/>
  <c r="E2350" i="6"/>
  <c r="G2350" i="6" s="1"/>
  <c r="E2343" i="6"/>
  <c r="G2389" i="6"/>
  <c r="G2388" i="6"/>
  <c r="G2387" i="6"/>
  <c r="G2386" i="6"/>
  <c r="G2385" i="6"/>
  <c r="G2384" i="6"/>
  <c r="G2383" i="6"/>
  <c r="G2382" i="6"/>
  <c r="G2381" i="6"/>
  <c r="G2380" i="6"/>
  <c r="G2379" i="6"/>
  <c r="G2378" i="6"/>
  <c r="G2377" i="6"/>
  <c r="G2376" i="6"/>
  <c r="G2375" i="6"/>
  <c r="G2374" i="6"/>
  <c r="G2373" i="6"/>
  <c r="G2372" i="6"/>
  <c r="G2371" i="6"/>
  <c r="G2370" i="6"/>
  <c r="G2369" i="6"/>
  <c r="G2368" i="6"/>
  <c r="G2367" i="6"/>
  <c r="G2366" i="6"/>
  <c r="G2365" i="6"/>
  <c r="G2364" i="6"/>
  <c r="G2363" i="6"/>
  <c r="G2362" i="6"/>
  <c r="G2361" i="6"/>
  <c r="G2360" i="6"/>
  <c r="G2359" i="6"/>
  <c r="G2358" i="6"/>
  <c r="G2357" i="6"/>
  <c r="G2356" i="6"/>
  <c r="G2355" i="6"/>
  <c r="G2354" i="6"/>
  <c r="G2353" i="6"/>
  <c r="G2352" i="6"/>
  <c r="G2351" i="6"/>
  <c r="G2349" i="6"/>
  <c r="G2348" i="6"/>
  <c r="G2347" i="6"/>
  <c r="G2346" i="6"/>
  <c r="G2345" i="6"/>
  <c r="G2344" i="6"/>
  <c r="G2343" i="6"/>
  <c r="G2342" i="6"/>
  <c r="E2340" i="6"/>
  <c r="G2341" i="6"/>
  <c r="G2340" i="6"/>
  <c r="E2339" i="6"/>
  <c r="G2339" i="6" s="1"/>
  <c r="E2333" i="6"/>
  <c r="E2331" i="6"/>
  <c r="E2326" i="6"/>
  <c r="E2324" i="6"/>
  <c r="E2322" i="6"/>
  <c r="E2319" i="6"/>
  <c r="E2316" i="6"/>
  <c r="G2338" i="6"/>
  <c r="G2337" i="6"/>
  <c r="G2336" i="6"/>
  <c r="G2335" i="6"/>
  <c r="G2334" i="6"/>
  <c r="G2333" i="6"/>
  <c r="G2332" i="6"/>
  <c r="G2331" i="6"/>
  <c r="G2330" i="6"/>
  <c r="G2329" i="6"/>
  <c r="G2328" i="6"/>
  <c r="G2327" i="6"/>
  <c r="G2326" i="6"/>
  <c r="G2325" i="6"/>
  <c r="G2324" i="6"/>
  <c r="G2323" i="6"/>
  <c r="G2322" i="6"/>
  <c r="G2321" i="6"/>
  <c r="G2320" i="6"/>
  <c r="G2319" i="6"/>
  <c r="G2318" i="6"/>
  <c r="G2317" i="6"/>
  <c r="G2316" i="6"/>
  <c r="G2315" i="6"/>
  <c r="E2269" i="6"/>
  <c r="G2269" i="6" s="1"/>
  <c r="E2313" i="6"/>
  <c r="E2301" i="6"/>
  <c r="G2313" i="6"/>
  <c r="G2312" i="6"/>
  <c r="G2311" i="6"/>
  <c r="G2310" i="6"/>
  <c r="G2309" i="6"/>
  <c r="G2308" i="6"/>
  <c r="G2307" i="6"/>
  <c r="G2306" i="6"/>
  <c r="G2305" i="6"/>
  <c r="G2304" i="6"/>
  <c r="G2303" i="6"/>
  <c r="G2302" i="6"/>
  <c r="G2301" i="6"/>
  <c r="G2300" i="6"/>
  <c r="G2299" i="6"/>
  <c r="G2298" i="6"/>
  <c r="G2297" i="6"/>
  <c r="G2296" i="6"/>
  <c r="E2282" i="6"/>
  <c r="G2282" i="6" s="1"/>
  <c r="E2274" i="6"/>
  <c r="G2274" i="6" s="1"/>
  <c r="E2272" i="6"/>
  <c r="G2272" i="6" s="1"/>
  <c r="E2264" i="6"/>
  <c r="G2264" i="6" s="1"/>
  <c r="E2263" i="6"/>
  <c r="G2263" i="6" s="1"/>
  <c r="E2259" i="6"/>
  <c r="G2259" i="6" s="1"/>
  <c r="E2257" i="6"/>
  <c r="G2257" i="6" s="1"/>
  <c r="E2254" i="6"/>
  <c r="G2254" i="6" s="1"/>
  <c r="E2249" i="6"/>
  <c r="G2249" i="6" s="1"/>
  <c r="E2248" i="6"/>
  <c r="G2248" i="6" s="1"/>
  <c r="E2246" i="6"/>
  <c r="G2246" i="6" s="1"/>
  <c r="E2244" i="6"/>
  <c r="G2244" i="6" s="1"/>
  <c r="E2234" i="6"/>
  <c r="G2234" i="6" s="1"/>
  <c r="E2232" i="6"/>
  <c r="G2232" i="6" s="1"/>
  <c r="E2228" i="6"/>
  <c r="G2228" i="6" s="1"/>
  <c r="E2227" i="6"/>
  <c r="G2227" i="6" s="1"/>
  <c r="E2225" i="6"/>
  <c r="E2224" i="6"/>
  <c r="E2221" i="6"/>
  <c r="E2220" i="6"/>
  <c r="E2218" i="6"/>
  <c r="G2295" i="6"/>
  <c r="G2294" i="6"/>
  <c r="G2293" i="6"/>
  <c r="G2292" i="6"/>
  <c r="G2291" i="6"/>
  <c r="G2290" i="6"/>
  <c r="G2289" i="6"/>
  <c r="G2288" i="6"/>
  <c r="G2287" i="6"/>
  <c r="G2286" i="6"/>
  <c r="G2285" i="6"/>
  <c r="G2284" i="6"/>
  <c r="G2283" i="6"/>
  <c r="G2281" i="6"/>
  <c r="G2280" i="6"/>
  <c r="G2279" i="6"/>
  <c r="G2278" i="6"/>
  <c r="G2277" i="6"/>
  <c r="G2276" i="6"/>
  <c r="G2275" i="6"/>
  <c r="G2273" i="6"/>
  <c r="G2271" i="6"/>
  <c r="G2270" i="6"/>
  <c r="G2268" i="6"/>
  <c r="G2267" i="6"/>
  <c r="G2266" i="6"/>
  <c r="G2265" i="6"/>
  <c r="G2262" i="6"/>
  <c r="G2261" i="6"/>
  <c r="G2260" i="6"/>
  <c r="G2258" i="6"/>
  <c r="G2256" i="6"/>
  <c r="G2255" i="6"/>
  <c r="G2253" i="6"/>
  <c r="G2252" i="6"/>
  <c r="G2251" i="6"/>
  <c r="G2250" i="6"/>
  <c r="G2247" i="6"/>
  <c r="G2245" i="6"/>
  <c r="G2243" i="6"/>
  <c r="G2242" i="6"/>
  <c r="G2241" i="6"/>
  <c r="G2240" i="6"/>
  <c r="G2239" i="6"/>
  <c r="G2238" i="6"/>
  <c r="G2237" i="6"/>
  <c r="G2236" i="6"/>
  <c r="G2235" i="6"/>
  <c r="G2233" i="6"/>
  <c r="G2231" i="6"/>
  <c r="G2230" i="6"/>
  <c r="G2229" i="6"/>
  <c r="G2226" i="6"/>
  <c r="G2225" i="6"/>
  <c r="G2224" i="6"/>
  <c r="G2223" i="6"/>
  <c r="G2222" i="6"/>
  <c r="G2221" i="6"/>
  <c r="G2220" i="6"/>
  <c r="G2219" i="6"/>
  <c r="G2218" i="6"/>
  <c r="G2217" i="6"/>
  <c r="G2215" i="6"/>
  <c r="G2214" i="6"/>
  <c r="G2213" i="6"/>
  <c r="G2212" i="6"/>
  <c r="G2211" i="6"/>
  <c r="G2210" i="6"/>
  <c r="G2209" i="6"/>
  <c r="G2208" i="6"/>
  <c r="G2207" i="6"/>
  <c r="E2196" i="6"/>
  <c r="E2191" i="6"/>
  <c r="E2181" i="6"/>
  <c r="E2178" i="6"/>
  <c r="G2206" i="6"/>
  <c r="G2205" i="6"/>
  <c r="G2204" i="6"/>
  <c r="G2203" i="6"/>
  <c r="G2202" i="6"/>
  <c r="G2201" i="6"/>
  <c r="G2200" i="6"/>
  <c r="G2199" i="6"/>
  <c r="G2198" i="6"/>
  <c r="G2197" i="6"/>
  <c r="G2196" i="6"/>
  <c r="G2195" i="6"/>
  <c r="G2194" i="6"/>
  <c r="G2193" i="6"/>
  <c r="G2192" i="6"/>
  <c r="G2191" i="6"/>
  <c r="G2190" i="6"/>
  <c r="G2189" i="6"/>
  <c r="G2188" i="6"/>
  <c r="G2187" i="6"/>
  <c r="G2186" i="6"/>
  <c r="G2185" i="6"/>
  <c r="G2184" i="6"/>
  <c r="G2183" i="6"/>
  <c r="G2182" i="6"/>
  <c r="G2181" i="6"/>
  <c r="G2180" i="6"/>
  <c r="G2179" i="6"/>
  <c r="G2178" i="6"/>
  <c r="G2177" i="6"/>
  <c r="G2176" i="6"/>
  <c r="E2172" i="6"/>
  <c r="E2170" i="6"/>
  <c r="E2169" i="6"/>
  <c r="E2168" i="6"/>
  <c r="E2163" i="6"/>
  <c r="E2159" i="6"/>
  <c r="E2158" i="6"/>
  <c r="E2151" i="6"/>
  <c r="E2149" i="6"/>
  <c r="E2140" i="6"/>
  <c r="E2136" i="6"/>
  <c r="E2134" i="6"/>
  <c r="E2132" i="6"/>
  <c r="E2129" i="6"/>
  <c r="E2125" i="6"/>
  <c r="G2175" i="6"/>
  <c r="G2174" i="6"/>
  <c r="G2173" i="6"/>
  <c r="G2172" i="6"/>
  <c r="G2171" i="6"/>
  <c r="G2170" i="6"/>
  <c r="G2169" i="6"/>
  <c r="G2168" i="6"/>
  <c r="G2167" i="6"/>
  <c r="G2166" i="6"/>
  <c r="G2165" i="6"/>
  <c r="G2164" i="6"/>
  <c r="G2163" i="6"/>
  <c r="G2162" i="6"/>
  <c r="G2161" i="6"/>
  <c r="G2160" i="6"/>
  <c r="G2159" i="6"/>
  <c r="G2158" i="6"/>
  <c r="G2157" i="6"/>
  <c r="G2156" i="6"/>
  <c r="G2155" i="6"/>
  <c r="G2154" i="6"/>
  <c r="G2153" i="6"/>
  <c r="G2152" i="6"/>
  <c r="G2151" i="6"/>
  <c r="G2150" i="6"/>
  <c r="G2149" i="6"/>
  <c r="G2148" i="6"/>
  <c r="G2147" i="6"/>
  <c r="G2146" i="6"/>
  <c r="G2145" i="6"/>
  <c r="G2144" i="6"/>
  <c r="G2143" i="6"/>
  <c r="G2142" i="6"/>
  <c r="G2141" i="6"/>
  <c r="G2140" i="6"/>
  <c r="G2139" i="6"/>
  <c r="G2138" i="6"/>
  <c r="G2137" i="6"/>
  <c r="G2136" i="6"/>
  <c r="G2135" i="6"/>
  <c r="G2134" i="6"/>
  <c r="G2133" i="6"/>
  <c r="G2132" i="6"/>
  <c r="G2131" i="6"/>
  <c r="G2130" i="6"/>
  <c r="G2129" i="6"/>
  <c r="G2128" i="6"/>
  <c r="G2127" i="6"/>
  <c r="G2126" i="6"/>
  <c r="G2125" i="6"/>
  <c r="G2124" i="6"/>
  <c r="G2123" i="6"/>
  <c r="B552" i="10"/>
  <c r="E2112" i="6"/>
  <c r="G2121" i="6"/>
  <c r="G2120" i="6"/>
  <c r="G2119" i="6"/>
  <c r="G2118" i="6"/>
  <c r="G2117" i="6"/>
  <c r="G2116" i="6"/>
  <c r="G2115" i="6"/>
  <c r="G2114" i="6"/>
  <c r="G2113" i="6"/>
  <c r="G2112" i="6"/>
  <c r="G2111" i="6"/>
  <c r="G2110" i="6"/>
  <c r="G2109" i="6"/>
  <c r="G2108" i="6"/>
  <c r="G2107" i="6"/>
  <c r="G2106" i="6"/>
  <c r="E2092" i="6"/>
  <c r="E2090" i="6"/>
  <c r="E2085" i="6"/>
  <c r="E2080" i="6"/>
  <c r="E2072" i="6"/>
  <c r="E2070" i="6"/>
  <c r="E2067" i="6"/>
  <c r="F2065" i="6"/>
  <c r="E2063" i="6"/>
  <c r="E2061" i="6"/>
  <c r="E2059" i="6"/>
  <c r="E2058" i="6"/>
  <c r="E2057" i="6"/>
  <c r="E2056" i="6"/>
  <c r="E2053" i="6"/>
  <c r="E2052" i="6"/>
  <c r="E2051" i="6"/>
  <c r="G2105" i="6"/>
  <c r="G2104" i="6"/>
  <c r="G2103" i="6"/>
  <c r="G2102" i="6"/>
  <c r="G2101" i="6"/>
  <c r="G2100" i="6"/>
  <c r="G2099" i="6"/>
  <c r="G2098" i="6"/>
  <c r="G2097" i="6"/>
  <c r="G2096" i="6"/>
  <c r="G2095" i="6"/>
  <c r="G2094" i="6"/>
  <c r="G2093" i="6"/>
  <c r="G2092" i="6"/>
  <c r="G2091" i="6"/>
  <c r="G2090" i="6"/>
  <c r="G2089" i="6"/>
  <c r="G2088" i="6"/>
  <c r="G2087" i="6"/>
  <c r="G2086" i="6"/>
  <c r="G2085" i="6"/>
  <c r="G2084" i="6"/>
  <c r="G2083" i="6"/>
  <c r="G2082" i="6"/>
  <c r="G2081" i="6"/>
  <c r="G2080" i="6"/>
  <c r="G2079" i="6"/>
  <c r="G2078" i="6"/>
  <c r="G2077" i="6"/>
  <c r="G2076" i="6"/>
  <c r="G2075" i="6"/>
  <c r="G2074" i="6"/>
  <c r="G2073" i="6"/>
  <c r="G2072" i="6"/>
  <c r="G2071" i="6"/>
  <c r="G2070" i="6"/>
  <c r="G2069" i="6"/>
  <c r="G2068" i="6"/>
  <c r="G2067" i="6"/>
  <c r="G2066" i="6"/>
  <c r="G2065" i="6"/>
  <c r="G2064" i="6"/>
  <c r="G2063" i="6"/>
  <c r="G2062" i="6"/>
  <c r="G2061" i="6"/>
  <c r="G2060" i="6"/>
  <c r="G2059" i="6"/>
  <c r="G2058" i="6"/>
  <c r="G2057" i="6"/>
  <c r="G2056" i="6"/>
  <c r="G2055" i="6"/>
  <c r="G2054" i="6"/>
  <c r="G2053" i="6"/>
  <c r="G2052" i="6"/>
  <c r="G2051" i="6"/>
  <c r="G2050" i="6"/>
  <c r="G2049" i="6"/>
  <c r="E2048" i="6"/>
  <c r="G2048" i="6" s="1"/>
  <c r="G2046" i="6"/>
  <c r="E2006" i="6"/>
  <c r="E2005" i="6"/>
  <c r="E2004" i="6"/>
  <c r="E2001" i="6"/>
  <c r="E1999" i="6"/>
  <c r="E1998" i="6"/>
  <c r="G2045" i="6"/>
  <c r="G2044" i="6"/>
  <c r="G2043" i="6"/>
  <c r="G2042" i="6"/>
  <c r="G2041" i="6"/>
  <c r="G2040" i="6"/>
  <c r="G2039" i="6"/>
  <c r="G2038" i="6"/>
  <c r="G2037" i="6"/>
  <c r="G2036" i="6"/>
  <c r="G2035" i="6"/>
  <c r="G2034" i="6"/>
  <c r="G2033" i="6"/>
  <c r="G2032" i="6"/>
  <c r="G2031" i="6"/>
  <c r="G2030" i="6"/>
  <c r="G2029" i="6"/>
  <c r="G2028" i="6"/>
  <c r="G2027" i="6"/>
  <c r="G2026" i="6"/>
  <c r="G2025" i="6"/>
  <c r="G2024" i="6"/>
  <c r="G2023" i="6"/>
  <c r="G2022" i="6"/>
  <c r="G2021" i="6"/>
  <c r="G2020" i="6"/>
  <c r="G2019" i="6"/>
  <c r="G2018" i="6"/>
  <c r="G2017" i="6"/>
  <c r="G2016" i="6"/>
  <c r="G2015" i="6"/>
  <c r="G2014" i="6"/>
  <c r="G2013" i="6"/>
  <c r="G2012" i="6"/>
  <c r="G2011" i="6"/>
  <c r="G2010" i="6"/>
  <c r="G2009" i="6"/>
  <c r="G2008" i="6"/>
  <c r="G2007" i="6"/>
  <c r="G2006" i="6"/>
  <c r="G2005" i="6"/>
  <c r="G2004" i="6"/>
  <c r="G2003" i="6"/>
  <c r="G2002" i="6"/>
  <c r="G2001" i="6"/>
  <c r="G2000" i="6"/>
  <c r="E1997" i="6"/>
  <c r="E1991" i="6"/>
  <c r="E1988" i="6"/>
  <c r="E1984" i="6"/>
  <c r="E1982" i="6"/>
  <c r="E1977" i="6"/>
  <c r="E1970" i="6"/>
  <c r="E1968" i="6"/>
  <c r="E1966" i="6"/>
  <c r="E1964" i="6"/>
  <c r="E1963" i="6"/>
  <c r="E1960" i="6"/>
  <c r="G1999" i="6"/>
  <c r="G1998" i="6"/>
  <c r="G1997" i="6"/>
  <c r="G1996" i="6"/>
  <c r="G1995" i="6"/>
  <c r="G1994" i="6"/>
  <c r="G1993" i="6"/>
  <c r="G1992" i="6"/>
  <c r="G1991" i="6"/>
  <c r="G1990" i="6"/>
  <c r="G1989" i="6"/>
  <c r="G1988" i="6"/>
  <c r="G1987" i="6"/>
  <c r="G1986" i="6"/>
  <c r="G1985" i="6"/>
  <c r="G1984" i="6"/>
  <c r="G1983" i="6"/>
  <c r="G1982" i="6"/>
  <c r="G1981" i="6"/>
  <c r="G1980" i="6"/>
  <c r="G1979" i="6"/>
  <c r="G1978" i="6"/>
  <c r="G1977" i="6"/>
  <c r="G1976" i="6"/>
  <c r="G1975" i="6"/>
  <c r="G1974" i="6"/>
  <c r="G1973" i="6"/>
  <c r="G1972" i="6"/>
  <c r="G1971" i="6"/>
  <c r="G1970" i="6"/>
  <c r="G1969" i="6"/>
  <c r="G1968" i="6"/>
  <c r="G1967" i="6"/>
  <c r="G1966" i="6"/>
  <c r="G1965" i="6"/>
  <c r="G1964" i="6"/>
  <c r="G1963" i="6"/>
  <c r="G1962" i="6"/>
  <c r="G1961" i="6"/>
  <c r="G1960" i="6"/>
  <c r="G1959" i="6"/>
  <c r="G1958" i="6"/>
  <c r="F1955" i="6"/>
  <c r="G1956" i="6"/>
  <c r="G1955" i="6"/>
  <c r="G1954" i="6"/>
  <c r="G1953" i="6"/>
  <c r="G1952" i="6"/>
  <c r="G1951" i="6"/>
  <c r="G1950" i="6"/>
  <c r="G1949" i="6"/>
  <c r="G1948" i="6"/>
  <c r="G1947" i="6"/>
  <c r="G1946" i="6"/>
  <c r="G1945" i="6"/>
  <c r="G1944" i="6"/>
  <c r="G1943" i="6"/>
  <c r="G1942" i="6"/>
  <c r="G1941" i="6"/>
  <c r="G1940" i="6"/>
  <c r="G1939" i="6"/>
  <c r="G1938" i="6"/>
  <c r="G1937" i="6"/>
  <c r="G1936" i="6"/>
  <c r="G1935" i="6"/>
  <c r="G1934" i="6"/>
  <c r="G1933" i="6"/>
  <c r="G1932" i="6"/>
  <c r="G1931" i="6"/>
  <c r="G1930" i="6"/>
  <c r="G1929" i="6"/>
  <c r="E1926" i="6"/>
  <c r="G1926" i="6" s="1"/>
  <c r="E1924" i="6"/>
  <c r="G1924" i="6" s="1"/>
  <c r="E1922" i="6"/>
  <c r="G1922" i="6" s="1"/>
  <c r="E1917" i="6"/>
  <c r="G1917" i="6" s="1"/>
  <c r="E1915" i="6"/>
  <c r="G1915" i="6" s="1"/>
  <c r="E1910" i="6"/>
  <c r="G1910" i="6" s="1"/>
  <c r="E1908" i="6"/>
  <c r="G1908" i="6" s="1"/>
  <c r="E1900" i="6"/>
  <c r="G1900" i="6" s="1"/>
  <c r="E1899" i="6"/>
  <c r="G1899" i="6" s="1"/>
  <c r="E1897" i="6"/>
  <c r="G1897" i="6" s="1"/>
  <c r="E1893" i="6"/>
  <c r="G1893" i="6" s="1"/>
  <c r="E1889" i="6"/>
  <c r="G1889" i="6" s="1"/>
  <c r="E1887" i="6"/>
  <c r="G1887" i="6" s="1"/>
  <c r="E1883" i="6"/>
  <c r="G1883" i="6" s="1"/>
  <c r="E1880" i="6"/>
  <c r="G1880" i="6" s="1"/>
  <c r="E1879" i="6"/>
  <c r="G1879" i="6" s="1"/>
  <c r="E1877" i="6"/>
  <c r="G1877" i="6" s="1"/>
  <c r="E1874" i="6"/>
  <c r="G1874" i="6" s="1"/>
  <c r="E1872" i="6"/>
  <c r="G1872" i="6" s="1"/>
  <c r="G1928" i="6"/>
  <c r="G1927" i="6"/>
  <c r="G1925" i="6"/>
  <c r="G1923" i="6"/>
  <c r="G1921" i="6"/>
  <c r="G1920" i="6"/>
  <c r="G1919" i="6"/>
  <c r="G1918" i="6"/>
  <c r="G1916" i="6"/>
  <c r="G1914" i="6"/>
  <c r="G1913" i="6"/>
  <c r="G1912" i="6"/>
  <c r="G1911" i="6"/>
  <c r="G1909" i="6"/>
  <c r="G1907" i="6"/>
  <c r="G1906" i="6"/>
  <c r="G1905" i="6"/>
  <c r="G1904" i="6"/>
  <c r="G1903" i="6"/>
  <c r="G1902" i="6"/>
  <c r="G1901" i="6"/>
  <c r="G1898" i="6"/>
  <c r="G1896" i="6"/>
  <c r="G1895" i="6"/>
  <c r="G1894" i="6"/>
  <c r="G1892" i="6"/>
  <c r="G1891" i="6"/>
  <c r="G1890" i="6"/>
  <c r="G1888" i="6"/>
  <c r="G1886" i="6"/>
  <c r="G1885" i="6"/>
  <c r="G1873" i="6"/>
  <c r="G1875" i="6"/>
  <c r="G1876" i="6"/>
  <c r="G1878" i="6"/>
  <c r="G1881" i="6"/>
  <c r="G1882" i="6"/>
  <c r="G1884" i="6"/>
  <c r="G1871" i="6"/>
  <c r="G1806" i="6"/>
  <c r="E1865" i="6"/>
  <c r="G1869" i="6"/>
  <c r="G1868" i="6"/>
  <c r="G1867" i="6"/>
  <c r="G1866" i="6"/>
  <c r="G1865" i="6"/>
  <c r="G1864" i="6"/>
  <c r="G1863" i="6"/>
  <c r="G1862" i="6"/>
  <c r="G1861" i="6"/>
  <c r="G1860" i="6"/>
  <c r="G1859" i="6"/>
  <c r="G1858" i="6"/>
  <c r="G1857" i="6"/>
  <c r="G1856" i="6"/>
  <c r="G1855" i="6"/>
  <c r="G1854" i="6"/>
  <c r="G1853" i="6"/>
  <c r="G1852" i="6"/>
  <c r="G1851" i="6"/>
  <c r="G1850" i="6"/>
  <c r="E1845" i="6"/>
  <c r="G1845" i="6" s="1"/>
  <c r="E1841" i="6"/>
  <c r="G1841" i="6" s="1"/>
  <c r="E1819" i="6"/>
  <c r="G1819" i="6" s="1"/>
  <c r="E1809" i="6"/>
  <c r="E1808" i="6"/>
  <c r="G1849" i="6"/>
  <c r="G1848" i="6"/>
  <c r="G1847" i="6"/>
  <c r="G1846" i="6"/>
  <c r="G1844" i="6"/>
  <c r="G1843" i="6"/>
  <c r="G1842" i="6"/>
  <c r="G1840" i="6"/>
  <c r="G1839" i="6"/>
  <c r="G1838" i="6"/>
  <c r="G1837" i="6"/>
  <c r="G1836" i="6"/>
  <c r="G1835" i="6"/>
  <c r="G1834" i="6"/>
  <c r="G1833" i="6"/>
  <c r="G1832" i="6"/>
  <c r="G1831" i="6"/>
  <c r="G1830" i="6"/>
  <c r="G1829" i="6"/>
  <c r="G1828" i="6"/>
  <c r="G1827" i="6"/>
  <c r="G1826" i="6"/>
  <c r="G1825" i="6"/>
  <c r="G1824" i="6"/>
  <c r="G1823" i="6"/>
  <c r="G1822" i="6"/>
  <c r="G1821" i="6"/>
  <c r="G1820" i="6"/>
  <c r="G1818" i="6"/>
  <c r="G1817" i="6"/>
  <c r="G1816" i="6"/>
  <c r="G1815" i="6"/>
  <c r="G1814" i="6"/>
  <c r="G1813" i="6"/>
  <c r="G1812" i="6"/>
  <c r="G1811" i="6"/>
  <c r="G1810" i="6"/>
  <c r="G1809" i="6"/>
  <c r="G1808" i="6"/>
  <c r="G1807" i="6"/>
  <c r="E1802" i="6"/>
  <c r="E1799" i="6"/>
  <c r="E1797" i="6"/>
  <c r="E1796" i="6"/>
  <c r="E1794" i="6"/>
  <c r="E1786" i="6"/>
  <c r="E1785" i="6"/>
  <c r="E1781" i="6"/>
  <c r="E1778" i="6"/>
  <c r="E1774" i="6"/>
  <c r="E1772" i="6"/>
  <c r="E1770" i="6"/>
  <c r="G1805" i="6"/>
  <c r="G1804" i="6"/>
  <c r="G1803" i="6"/>
  <c r="G1802" i="6"/>
  <c r="G1801" i="6"/>
  <c r="G1800" i="6"/>
  <c r="G1799" i="6"/>
  <c r="G1798" i="6"/>
  <c r="G1797" i="6"/>
  <c r="G1796" i="6"/>
  <c r="G1795" i="6"/>
  <c r="G1794" i="6"/>
  <c r="G1793" i="6"/>
  <c r="G1792" i="6"/>
  <c r="G1791" i="6"/>
  <c r="G1790" i="6"/>
  <c r="G1789" i="6"/>
  <c r="G1788" i="6"/>
  <c r="G1787" i="6"/>
  <c r="G1786" i="6"/>
  <c r="G1785" i="6"/>
  <c r="G1784" i="6"/>
  <c r="G1783" i="6"/>
  <c r="G1782" i="6"/>
  <c r="G1781" i="6"/>
  <c r="G1780" i="6"/>
  <c r="G1779" i="6"/>
  <c r="G1778" i="6"/>
  <c r="G1777" i="6"/>
  <c r="G1776" i="6"/>
  <c r="G1770" i="6"/>
  <c r="G1771" i="6"/>
  <c r="G1772" i="6"/>
  <c r="G1773" i="6"/>
  <c r="G1774" i="6"/>
  <c r="G1775" i="6"/>
  <c r="G1769" i="6"/>
  <c r="G1768" i="6"/>
  <c r="E1760" i="6"/>
  <c r="E1747" i="6"/>
  <c r="G1747" i="6" s="1"/>
  <c r="G1755" i="6"/>
  <c r="G1756" i="6"/>
  <c r="G1757" i="6"/>
  <c r="G1758" i="6"/>
  <c r="G1759" i="6"/>
  <c r="G1760" i="6"/>
  <c r="G1761" i="6"/>
  <c r="G1762" i="6"/>
  <c r="G1763" i="6"/>
  <c r="G1764" i="6"/>
  <c r="G1765" i="6"/>
  <c r="G1766" i="6"/>
  <c r="G1746" i="6"/>
  <c r="G1748" i="6"/>
  <c r="G1749" i="6"/>
  <c r="G1750" i="6"/>
  <c r="G1751" i="6"/>
  <c r="G1752" i="6"/>
  <c r="G1753" i="6"/>
  <c r="G1754" i="6"/>
  <c r="E1742" i="6"/>
  <c r="E1725" i="6"/>
  <c r="E1721" i="6"/>
  <c r="G1721" i="6"/>
  <c r="G1720" i="6"/>
  <c r="E1715" i="6"/>
  <c r="E1713" i="6"/>
  <c r="E1709" i="6"/>
  <c r="E1707" i="6"/>
  <c r="E1701" i="6"/>
  <c r="E1696" i="6"/>
  <c r="G1739" i="6"/>
  <c r="G1740" i="6"/>
  <c r="G1741" i="6"/>
  <c r="G1742" i="6"/>
  <c r="G1743" i="6"/>
  <c r="G1744" i="6"/>
  <c r="G1745" i="6"/>
  <c r="G1732" i="6"/>
  <c r="G1733" i="6"/>
  <c r="G1734" i="6"/>
  <c r="G1735" i="6"/>
  <c r="G1736" i="6"/>
  <c r="G1737" i="6"/>
  <c r="G1738" i="6"/>
  <c r="G1727" i="6"/>
  <c r="G1728" i="6"/>
  <c r="G1729" i="6"/>
  <c r="G1730" i="6"/>
  <c r="G1731" i="6"/>
  <c r="G1724" i="6"/>
  <c r="G1725" i="6"/>
  <c r="G1726" i="6"/>
  <c r="G1710" i="6"/>
  <c r="G1711" i="6"/>
  <c r="G1712" i="6"/>
  <c r="G1713" i="6"/>
  <c r="G1714" i="6"/>
  <c r="G1715" i="6"/>
  <c r="G1716" i="6"/>
  <c r="G1717" i="6"/>
  <c r="G1718" i="6"/>
  <c r="G1719" i="6"/>
  <c r="G1722" i="6"/>
  <c r="G1723" i="6"/>
  <c r="G1703" i="6"/>
  <c r="G1704" i="6"/>
  <c r="G1705" i="6"/>
  <c r="G1706" i="6"/>
  <c r="G1707" i="6"/>
  <c r="G1708" i="6"/>
  <c r="G1709" i="6"/>
  <c r="E1692" i="6"/>
  <c r="E1690" i="6"/>
  <c r="E1688" i="6"/>
  <c r="E1680" i="6"/>
  <c r="E1679" i="6"/>
  <c r="E1677" i="6"/>
  <c r="E1674" i="6"/>
  <c r="E1671" i="6"/>
  <c r="G1671" i="6"/>
  <c r="G1672" i="6"/>
  <c r="G1673" i="6"/>
  <c r="G1674" i="6"/>
  <c r="G1675" i="6"/>
  <c r="G1676" i="6"/>
  <c r="G1677" i="6"/>
  <c r="G1678" i="6"/>
  <c r="G1679" i="6"/>
  <c r="G1680" i="6"/>
  <c r="G1681" i="6"/>
  <c r="G1682" i="6"/>
  <c r="G1683" i="6"/>
  <c r="G1684" i="6"/>
  <c r="G1685" i="6"/>
  <c r="G1686" i="6"/>
  <c r="G1687" i="6"/>
  <c r="G1688" i="6"/>
  <c r="G1689" i="6"/>
  <c r="G1690" i="6"/>
  <c r="G1691" i="6"/>
  <c r="G1692" i="6"/>
  <c r="G1693" i="6"/>
  <c r="G1694" i="6"/>
  <c r="G1695" i="6"/>
  <c r="G1696" i="6"/>
  <c r="G1697" i="6"/>
  <c r="G1698" i="6"/>
  <c r="G1699" i="6"/>
  <c r="G1700" i="6"/>
  <c r="G1701" i="6"/>
  <c r="G1702" i="6"/>
  <c r="G1670" i="6"/>
  <c r="E1667" i="6"/>
  <c r="G1668" i="6"/>
  <c r="G1667" i="6"/>
  <c r="G1666" i="6"/>
  <c r="G1665" i="6"/>
  <c r="G1664" i="6"/>
  <c r="E1661" i="6"/>
  <c r="G1660" i="6"/>
  <c r="G1661" i="6"/>
  <c r="G1662" i="6"/>
  <c r="G1663" i="6"/>
  <c r="E1645" i="6"/>
  <c r="G1645" i="6" s="1"/>
  <c r="E1643" i="6"/>
  <c r="G1643" i="6" s="1"/>
  <c r="E1633" i="6"/>
  <c r="G1633" i="6" s="1"/>
  <c r="G1650" i="6"/>
  <c r="G1651" i="6"/>
  <c r="G1652" i="6"/>
  <c r="G1653" i="6"/>
  <c r="G1654" i="6"/>
  <c r="G1655" i="6"/>
  <c r="G1656" i="6"/>
  <c r="G1657" i="6"/>
  <c r="G1658" i="6"/>
  <c r="G1659" i="6"/>
  <c r="G1635" i="6"/>
  <c r="G1636" i="6"/>
  <c r="G1637" i="6"/>
  <c r="G1638" i="6"/>
  <c r="G1639" i="6"/>
  <c r="G1640" i="6"/>
  <c r="G1641" i="6"/>
  <c r="G1642" i="6"/>
  <c r="G1644" i="6"/>
  <c r="G1646" i="6"/>
  <c r="G1647" i="6"/>
  <c r="G1648" i="6"/>
  <c r="G1649" i="6"/>
  <c r="E1621" i="6"/>
  <c r="E1618" i="6"/>
  <c r="E1614" i="6"/>
  <c r="G1614" i="6" s="1"/>
  <c r="E1612" i="6"/>
  <c r="G1612" i="6" s="1"/>
  <c r="G1617" i="6"/>
  <c r="G1618" i="6"/>
  <c r="G1619" i="6"/>
  <c r="G1620" i="6"/>
  <c r="G1621" i="6"/>
  <c r="G1622" i="6"/>
  <c r="G1623" i="6"/>
  <c r="G1624" i="6"/>
  <c r="G1625" i="6"/>
  <c r="G1626" i="6"/>
  <c r="G1627" i="6"/>
  <c r="G1628" i="6"/>
  <c r="G1629" i="6"/>
  <c r="G1630" i="6"/>
  <c r="G1631" i="6"/>
  <c r="G1632" i="6"/>
  <c r="G1634" i="6"/>
  <c r="E1609" i="6"/>
  <c r="E1608" i="6"/>
  <c r="E1607" i="6"/>
  <c r="E1601" i="6"/>
  <c r="E1597" i="6"/>
  <c r="G1597" i="6" s="1"/>
  <c r="E1593" i="6"/>
  <c r="G1593" i="6" s="1"/>
  <c r="E1589" i="6"/>
  <c r="G1589" i="6" s="1"/>
  <c r="E1588" i="6"/>
  <c r="G1588" i="6" s="1"/>
  <c r="E1587" i="6"/>
  <c r="G1587" i="6" s="1"/>
  <c r="E1586" i="6"/>
  <c r="G1586" i="6" s="1"/>
  <c r="E1584" i="6"/>
  <c r="G1598" i="6"/>
  <c r="G1599" i="6"/>
  <c r="G1600" i="6"/>
  <c r="G1601" i="6"/>
  <c r="G1602" i="6"/>
  <c r="G1603" i="6"/>
  <c r="G1604" i="6"/>
  <c r="G1605" i="6"/>
  <c r="G1606" i="6"/>
  <c r="G1607" i="6"/>
  <c r="G1608" i="6"/>
  <c r="G1609" i="6"/>
  <c r="G1610" i="6"/>
  <c r="G1611" i="6"/>
  <c r="G1613" i="6"/>
  <c r="G1615" i="6"/>
  <c r="G1616" i="6"/>
  <c r="G1582" i="6"/>
  <c r="G1583" i="6"/>
  <c r="G1584" i="6"/>
  <c r="G1585" i="6"/>
  <c r="G1590" i="6"/>
  <c r="G1591" i="6"/>
  <c r="G1592" i="6"/>
  <c r="G1594" i="6"/>
  <c r="G1595" i="6"/>
  <c r="G1596" i="6"/>
  <c r="E1578" i="6"/>
  <c r="E1575" i="6"/>
  <c r="E1573" i="6"/>
  <c r="G1578" i="6"/>
  <c r="G1579" i="6"/>
  <c r="G1580" i="6"/>
  <c r="G1581" i="6"/>
  <c r="G1577" i="6"/>
  <c r="G1576" i="6"/>
  <c r="G1575" i="6"/>
  <c r="G1574" i="6"/>
  <c r="G1573" i="6"/>
  <c r="G1572" i="6"/>
  <c r="G1571" i="6"/>
  <c r="G1570" i="6"/>
  <c r="E1561" i="6"/>
  <c r="G1561" i="6" s="1"/>
  <c r="E1544" i="6"/>
  <c r="G1544" i="6" s="1"/>
  <c r="E1548" i="6"/>
  <c r="G1548" i="6" s="1"/>
  <c r="E1535" i="6"/>
  <c r="G1535" i="6" s="1"/>
  <c r="E1540" i="6"/>
  <c r="G1540" i="6" s="1"/>
  <c r="E1539" i="6"/>
  <c r="G1539" i="6" s="1"/>
  <c r="E1384" i="6"/>
  <c r="G1384" i="6" s="1"/>
  <c r="E1440" i="6"/>
  <c r="G1440" i="6" s="1"/>
  <c r="E1301" i="6"/>
  <c r="G1301" i="6" s="1"/>
  <c r="E1299" i="6"/>
  <c r="G1299" i="6" s="1"/>
  <c r="E1322" i="6"/>
  <c r="G1322" i="6" s="1"/>
  <c r="E1297" i="6"/>
  <c r="G1297" i="6" s="1"/>
  <c r="E1334" i="6"/>
  <c r="G1334" i="6" s="1"/>
  <c r="E1286" i="6"/>
  <c r="G1286" i="6" s="1"/>
  <c r="E1490" i="6"/>
  <c r="G1490" i="6" s="1"/>
  <c r="E1362" i="6"/>
  <c r="G1362" i="6" s="1"/>
  <c r="E1364" i="6"/>
  <c r="G1364" i="6" s="1"/>
  <c r="E1391" i="6"/>
  <c r="G1391" i="6" s="1"/>
  <c r="E1448" i="6"/>
  <c r="G1448" i="6" s="1"/>
  <c r="G1543" i="6"/>
  <c r="G1542" i="6"/>
  <c r="G1563" i="6"/>
  <c r="G1564" i="6"/>
  <c r="G1562" i="6"/>
  <c r="G1394" i="6"/>
  <c r="G1392" i="6"/>
  <c r="G1401" i="6"/>
  <c r="G1473" i="6"/>
  <c r="G1489" i="6"/>
  <c r="G1380" i="6"/>
  <c r="G1379" i="6"/>
  <c r="G1294" i="6"/>
  <c r="G1285" i="6"/>
  <c r="G1331" i="6"/>
  <c r="G1298" i="6"/>
  <c r="G1488" i="6"/>
  <c r="G1328" i="6"/>
  <c r="G1329" i="6"/>
  <c r="G1300" i="6"/>
  <c r="G1319" i="6"/>
  <c r="G1351" i="6"/>
  <c r="G1342" i="6"/>
  <c r="G1337" i="6"/>
  <c r="G1358" i="6"/>
  <c r="G1357" i="6"/>
  <c r="G1352" i="6"/>
  <c r="G1420" i="6"/>
  <c r="G1436" i="6"/>
  <c r="G1430" i="6"/>
  <c r="G1383" i="6"/>
  <c r="G1382" i="6"/>
  <c r="G1407" i="6"/>
  <c r="G1447" i="6"/>
  <c r="G1443" i="6"/>
  <c r="G1515" i="6"/>
  <c r="G1520" i="6"/>
  <c r="G1512" i="6"/>
  <c r="G1525" i="6"/>
  <c r="G1516" i="6"/>
  <c r="G1511" i="6"/>
  <c r="G1538" i="6"/>
  <c r="G1537" i="6"/>
  <c r="G1541" i="6"/>
  <c r="G1536" i="6"/>
  <c r="G1559" i="6"/>
  <c r="G1560" i="6"/>
  <c r="G1557" i="6"/>
  <c r="G1389" i="6"/>
  <c r="E1387" i="6"/>
  <c r="G1387" i="6" s="1"/>
  <c r="G1482" i="6"/>
  <c r="G1481" i="6"/>
  <c r="G1483" i="6"/>
  <c r="G1321" i="6"/>
  <c r="G1545" i="6"/>
  <c r="G1530" i="6"/>
  <c r="G1527" i="6"/>
  <c r="G1496" i="6"/>
  <c r="G1327" i="6"/>
  <c r="G1467" i="6"/>
  <c r="G1464" i="6"/>
  <c r="G1501" i="6"/>
  <c r="G1499" i="6"/>
  <c r="G1497" i="6"/>
  <c r="G1293" i="6"/>
  <c r="G1495" i="6"/>
  <c r="E1317" i="6"/>
  <c r="G1317" i="6" s="1"/>
  <c r="E1531" i="6"/>
  <c r="G1531" i="6" s="1"/>
  <c r="E1507" i="6"/>
  <c r="G1507" i="6" s="1"/>
  <c r="E1439" i="6"/>
  <c r="G1439" i="6" s="1"/>
  <c r="E1315" i="6"/>
  <c r="G1315" i="6" s="1"/>
  <c r="E1426" i="6"/>
  <c r="G1426" i="6" s="1"/>
  <c r="E1303" i="6"/>
  <c r="G1303" i="6" s="1"/>
  <c r="G1528" i="6"/>
  <c r="G1367" i="6"/>
  <c r="G1377" i="6"/>
  <c r="G1556" i="6"/>
  <c r="G1566" i="6"/>
  <c r="G1551" i="6"/>
  <c r="G1552" i="6"/>
  <c r="G1498" i="6"/>
  <c r="G1500" i="6"/>
  <c r="G1502" i="6"/>
  <c r="G1465" i="6"/>
  <c r="G1487" i="6"/>
  <c r="G1486" i="6"/>
  <c r="G1381" i="6"/>
  <c r="G1558" i="6"/>
  <c r="G1554" i="6"/>
  <c r="G1553" i="6"/>
  <c r="G1326" i="6"/>
  <c r="G1529" i="6"/>
  <c r="G1493" i="6"/>
  <c r="G1494" i="6"/>
  <c r="G1568" i="6"/>
  <c r="G1333" i="6"/>
  <c r="G1503" i="6"/>
  <c r="G1491" i="6"/>
  <c r="G1492" i="6"/>
  <c r="G1567" i="6"/>
  <c r="G1378" i="6"/>
  <c r="G1296" i="6"/>
  <c r="G1565" i="6"/>
  <c r="G1555" i="6"/>
  <c r="G1466" i="6"/>
  <c r="G1534" i="6"/>
  <c r="G1323" i="6"/>
  <c r="G1390" i="6"/>
  <c r="G1408" i="6"/>
  <c r="G1404" i="6"/>
  <c r="G1445" i="6"/>
  <c r="E1435" i="6"/>
  <c r="G1435" i="6" s="1"/>
  <c r="E1438" i="6"/>
  <c r="G1438" i="6" s="1"/>
  <c r="E1518" i="6"/>
  <c r="E1450" i="6"/>
  <c r="E1305" i="6"/>
  <c r="E1456" i="6"/>
  <c r="E1470" i="6"/>
  <c r="E1360" i="6"/>
  <c r="E1424" i="6"/>
  <c r="G1424" i="6"/>
  <c r="G1421" i="6"/>
  <c r="G1422" i="6"/>
  <c r="G1291" i="6"/>
  <c r="G1386" i="6"/>
  <c r="G1360" i="6"/>
  <c r="G1363" i="6"/>
  <c r="G1361" i="6"/>
  <c r="G1344" i="6"/>
  <c r="G1470" i="6"/>
  <c r="G1471" i="6"/>
  <c r="G1472" i="6"/>
  <c r="G1456" i="6"/>
  <c r="G1514" i="6"/>
  <c r="G1418" i="6"/>
  <c r="G1547" i="6"/>
  <c r="G1305" i="6"/>
  <c r="G1287" i="6"/>
  <c r="G1450" i="6"/>
  <c r="G1427" i="6"/>
  <c r="G1518" i="6"/>
  <c r="G1509" i="6"/>
  <c r="G1510" i="6"/>
  <c r="G1523" i="6"/>
  <c r="G1513" i="6"/>
  <c r="G1519" i="6"/>
  <c r="G1283" i="6"/>
  <c r="G1284" i="6"/>
  <c r="G1393" i="6"/>
  <c r="G1433" i="6"/>
  <c r="G1398" i="6"/>
  <c r="E1396" i="6"/>
  <c r="G1396" i="6" s="1"/>
  <c r="G1429" i="6"/>
  <c r="G1399" i="6"/>
  <c r="G1400" i="6"/>
  <c r="E1341" i="6"/>
  <c r="G1341" i="6" s="1"/>
  <c r="G1480" i="6"/>
  <c r="E1522" i="6"/>
  <c r="G1522" i="6" s="1"/>
  <c r="G1524" i="6"/>
  <c r="G1526" i="6"/>
  <c r="G1336" i="6"/>
  <c r="G1338" i="6"/>
  <c r="G1406" i="6"/>
  <c r="G1428" i="6"/>
  <c r="E1437" i="6"/>
  <c r="G1437" i="6" s="1"/>
  <c r="G1354" i="6"/>
  <c r="G1410" i="6"/>
  <c r="G1295" i="6"/>
  <c r="G1376" i="6"/>
  <c r="G1320" i="6"/>
  <c r="G1282" i="6"/>
  <c r="E1441" i="6"/>
  <c r="E1415" i="6"/>
  <c r="E1332" i="6"/>
  <c r="G1332" i="6" s="1"/>
  <c r="E1313" i="6"/>
  <c r="G1313" i="6" s="1"/>
  <c r="E1302" i="6"/>
  <c r="G1302" i="6" s="1"/>
  <c r="E1446" i="6"/>
  <c r="G1446" i="6" s="1"/>
  <c r="G1475" i="6"/>
  <c r="G1350" i="6"/>
  <c r="G1388" i="6"/>
  <c r="G1355" i="6"/>
  <c r="G1356" i="6"/>
  <c r="G1504" i="6"/>
  <c r="G1506" i="6"/>
  <c r="G1549" i="6"/>
  <c r="G1370" i="6"/>
  <c r="G1414" i="6"/>
  <c r="G1533" i="6"/>
  <c r="G1532" i="6"/>
  <c r="G1477" i="6"/>
  <c r="G1405" i="6"/>
  <c r="G1292" i="6"/>
  <c r="G1371" i="6"/>
  <c r="G1505" i="6"/>
  <c r="G1431" i="6"/>
  <c r="G1432" i="6"/>
  <c r="G1365" i="6"/>
  <c r="G1374" i="6"/>
  <c r="G1372" i="6"/>
  <c r="G1550" i="6"/>
  <c r="G1343" i="6"/>
  <c r="G1413" i="6"/>
  <c r="G1479" i="6"/>
  <c r="G1349" i="6"/>
  <c r="G1508" i="6"/>
  <c r="G1316" i="6"/>
  <c r="G1546" i="6"/>
  <c r="G1288" i="6"/>
  <c r="G1476" i="6"/>
  <c r="G1353" i="6"/>
  <c r="G1478" i="6"/>
  <c r="G1397" i="6"/>
  <c r="G1434" i="6"/>
  <c r="G1375" i="6"/>
  <c r="G1373" i="6"/>
  <c r="G1318" i="6"/>
  <c r="G1368" i="6"/>
  <c r="G1366" i="6"/>
  <c r="G1369" i="6"/>
  <c r="G1419" i="6"/>
  <c r="G1314" i="6"/>
  <c r="G1415" i="6"/>
  <c r="G1441" i="6"/>
  <c r="G1442" i="6"/>
  <c r="G1444" i="6"/>
  <c r="G1409" i="6"/>
  <c r="G1411" i="6"/>
  <c r="G1412" i="6"/>
  <c r="E1346" i="6"/>
  <c r="G1346" i="6" s="1"/>
  <c r="E1325" i="6"/>
  <c r="G1325" i="6" s="1"/>
  <c r="E1459" i="6"/>
  <c r="G1459" i="6" s="1"/>
  <c r="E1306" i="6"/>
  <c r="E1385" i="6"/>
  <c r="G1385" i="6" s="1"/>
  <c r="E1452" i="6"/>
  <c r="G1452" i="6" s="1"/>
  <c r="E1468" i="6"/>
  <c r="G1468" i="6" s="1"/>
  <c r="E1416" i="6"/>
  <c r="G1416" i="6" s="1"/>
  <c r="E1460" i="6"/>
  <c r="G1460" i="6" s="1"/>
  <c r="G1306" i="6"/>
  <c r="G1309" i="6"/>
  <c r="G1308" i="6"/>
  <c r="G1395" i="6"/>
  <c r="G1455" i="6"/>
  <c r="G1425" i="6"/>
  <c r="G1330" i="6"/>
  <c r="G1484" i="6"/>
  <c r="G1423" i="6"/>
  <c r="G1347" i="6"/>
  <c r="G1348" i="6"/>
  <c r="G1359" i="6"/>
  <c r="G1289" i="6"/>
  <c r="G1290" i="6"/>
  <c r="E1311" i="6"/>
  <c r="G1311" i="6" s="1"/>
  <c r="E1345" i="6"/>
  <c r="G1345" i="6" s="1"/>
  <c r="E1463" i="6"/>
  <c r="G1463" i="6" s="1"/>
  <c r="E1335" i="6"/>
  <c r="G1335" i="6" s="1"/>
  <c r="E1462" i="6"/>
  <c r="G1462" i="6" s="1"/>
  <c r="G1458" i="6"/>
  <c r="G1454" i="6"/>
  <c r="G1461" i="6"/>
  <c r="G1457" i="6"/>
  <c r="G1517" i="6"/>
  <c r="G1417" i="6"/>
  <c r="G1304" i="6"/>
  <c r="G1469" i="6"/>
  <c r="G1451" i="6"/>
  <c r="G1485" i="6"/>
  <c r="G1453" i="6"/>
  <c r="G1474" i="6"/>
  <c r="G1340" i="6"/>
  <c r="G1521" i="6"/>
  <c r="G1312" i="6"/>
  <c r="G1307" i="6"/>
  <c r="G1310" i="6"/>
  <c r="G1402" i="6"/>
  <c r="G1449" i="6"/>
  <c r="G1339" i="6"/>
  <c r="G1281" i="6"/>
  <c r="E1274" i="6"/>
  <c r="G1196" i="6"/>
  <c r="E1254" i="6"/>
  <c r="E1253" i="6"/>
  <c r="F1252" i="6"/>
  <c r="G1279" i="6"/>
  <c r="G1280" i="6"/>
  <c r="G1261" i="6"/>
  <c r="G1262" i="6"/>
  <c r="G1263" i="6"/>
  <c r="G1264" i="6"/>
  <c r="G1265" i="6"/>
  <c r="G1266" i="6"/>
  <c r="G1267" i="6"/>
  <c r="G1268" i="6"/>
  <c r="G1269" i="6"/>
  <c r="G1270" i="6"/>
  <c r="G1271" i="6"/>
  <c r="G1272" i="6"/>
  <c r="G1273" i="6"/>
  <c r="G1274" i="6"/>
  <c r="G1275" i="6"/>
  <c r="G1276" i="6"/>
  <c r="G1277" i="6"/>
  <c r="G1278" i="6"/>
  <c r="G1246" i="6"/>
  <c r="G1247" i="6"/>
  <c r="G1248" i="6"/>
  <c r="G1249" i="6"/>
  <c r="G1250" i="6"/>
  <c r="G1251" i="6"/>
  <c r="G1252" i="6"/>
  <c r="G1253" i="6"/>
  <c r="G1254" i="6"/>
  <c r="G1255" i="6"/>
  <c r="G1256" i="6"/>
  <c r="G1257" i="6"/>
  <c r="G1258" i="6"/>
  <c r="G1259" i="6"/>
  <c r="G1260" i="6"/>
  <c r="E1235" i="6"/>
  <c r="E1230" i="6"/>
  <c r="E1226" i="6"/>
  <c r="E1224" i="6"/>
  <c r="E1222" i="6"/>
  <c r="E1212" i="6"/>
  <c r="E1210" i="6"/>
  <c r="E1207"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05" i="6"/>
  <c r="G1204" i="6"/>
  <c r="G1203" i="6"/>
  <c r="G1202" i="6"/>
  <c r="G1201" i="6"/>
  <c r="G1200" i="6"/>
  <c r="F1197" i="6"/>
  <c r="G1199" i="6"/>
  <c r="G1198" i="6"/>
  <c r="G1197" i="6"/>
  <c r="G1195" i="6"/>
  <c r="G1194" i="6"/>
  <c r="E1193" i="6"/>
  <c r="G1193" i="6" s="1"/>
  <c r="G1192" i="6"/>
  <c r="G1191" i="6"/>
  <c r="G1190" i="6"/>
  <c r="E1189" i="6"/>
  <c r="G1189" i="6" s="1"/>
  <c r="E1182" i="6"/>
  <c r="E1180" i="6"/>
  <c r="E1175" i="6"/>
  <c r="E1173" i="6"/>
  <c r="E1171" i="6"/>
  <c r="E1168" i="6"/>
  <c r="G1178" i="6"/>
  <c r="G1179" i="6"/>
  <c r="G1180" i="6"/>
  <c r="G1181" i="6"/>
  <c r="G1182" i="6"/>
  <c r="G1183" i="6"/>
  <c r="G1184" i="6"/>
  <c r="G1185" i="6"/>
  <c r="G1186" i="6"/>
  <c r="G1187" i="6"/>
  <c r="G1188" i="6"/>
  <c r="G1168" i="6"/>
  <c r="G1169" i="6"/>
  <c r="G1170" i="6"/>
  <c r="G1171" i="6"/>
  <c r="G1172" i="6"/>
  <c r="G1173" i="6"/>
  <c r="G1174" i="6"/>
  <c r="G1175" i="6"/>
  <c r="G1176" i="6"/>
  <c r="G1177" i="6"/>
  <c r="G1167" i="6"/>
  <c r="B72" i="10"/>
  <c r="E1153" i="6"/>
  <c r="E1144" i="6"/>
  <c r="G1152" i="6"/>
  <c r="G1153" i="6"/>
  <c r="G1154" i="6"/>
  <c r="G1155" i="6"/>
  <c r="G1156" i="6"/>
  <c r="G1157" i="6"/>
  <c r="G1158" i="6"/>
  <c r="G1159" i="6"/>
  <c r="G1160" i="6"/>
  <c r="G1161" i="6"/>
  <c r="G1162" i="6"/>
  <c r="G1163" i="6"/>
  <c r="G1164" i="6"/>
  <c r="G1165" i="6"/>
  <c r="G1144" i="6"/>
  <c r="G1145" i="6"/>
  <c r="G1146" i="6"/>
  <c r="G1147" i="6"/>
  <c r="G1148" i="6"/>
  <c r="G1149" i="6"/>
  <c r="G1150" i="6"/>
  <c r="G1151" i="6"/>
  <c r="G1143" i="6"/>
  <c r="G1142" i="6"/>
  <c r="G1141" i="6"/>
  <c r="G1140" i="6"/>
  <c r="G1139" i="6"/>
  <c r="E1138" i="6"/>
  <c r="E1135" i="6"/>
  <c r="E1134" i="6"/>
  <c r="E1131" i="6"/>
  <c r="E1129" i="6"/>
  <c r="E1116" i="6"/>
  <c r="E1106" i="6"/>
  <c r="E1103"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E1100" i="6"/>
  <c r="E1098" i="6"/>
  <c r="E1097" i="6"/>
  <c r="E1095" i="6"/>
  <c r="E1093" i="6"/>
  <c r="E1092" i="6"/>
  <c r="E1091" i="6"/>
  <c r="E1090" i="6"/>
  <c r="E1089" i="6"/>
  <c r="E1083" i="6"/>
  <c r="E1079" i="6"/>
  <c r="E1075" i="6"/>
  <c r="E1071" i="6"/>
  <c r="E1067"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066" i="6"/>
  <c r="G1067" i="6"/>
  <c r="G1068" i="6"/>
  <c r="G1069" i="6"/>
  <c r="G1070" i="6"/>
  <c r="G1071" i="6"/>
  <c r="G1072" i="6"/>
  <c r="G1073" i="6"/>
  <c r="G1074" i="6"/>
  <c r="G1075" i="6"/>
  <c r="G1076" i="6"/>
  <c r="G1077" i="6"/>
  <c r="G1078" i="6"/>
  <c r="G1079" i="6"/>
  <c r="G1080" i="6"/>
  <c r="E1065" i="6"/>
  <c r="E1063" i="6"/>
  <c r="G1065" i="6"/>
  <c r="G1064" i="6"/>
  <c r="G1063" i="6"/>
  <c r="G1062" i="6"/>
  <c r="G1061" i="6"/>
  <c r="G1058" i="6"/>
  <c r="G1059" i="6"/>
  <c r="G1053" i="6"/>
  <c r="G1054" i="6"/>
  <c r="G1055" i="6"/>
  <c r="E1049" i="6"/>
  <c r="G1057" i="6"/>
  <c r="G1056" i="6"/>
  <c r="G1052" i="6"/>
  <c r="G1051" i="6"/>
  <c r="G1050" i="6"/>
  <c r="G1049" i="6"/>
  <c r="G1048" i="6"/>
  <c r="E1047" i="6"/>
  <c r="G1047" i="6" s="1"/>
  <c r="G1046" i="6"/>
  <c r="G1045" i="6"/>
  <c r="G1044" i="6"/>
  <c r="G1043" i="6"/>
  <c r="G1042" i="6"/>
  <c r="G1041" i="6"/>
  <c r="G1040" i="6"/>
  <c r="G1039" i="6"/>
  <c r="G1038" i="6"/>
  <c r="G1037" i="6"/>
  <c r="G1036" i="6"/>
  <c r="E1035" i="6"/>
  <c r="G1035" i="6" s="1"/>
  <c r="G1032" i="6"/>
  <c r="G1033" i="6"/>
  <c r="G1034" i="6"/>
  <c r="G1031" i="6"/>
  <c r="G1030" i="6"/>
  <c r="G1029" i="6"/>
  <c r="G1028" i="6"/>
  <c r="G1027" i="6"/>
  <c r="G1026" i="6"/>
  <c r="G1025" i="6"/>
  <c r="G1024" i="6"/>
  <c r="G1023" i="6"/>
  <c r="G1022" i="6"/>
  <c r="G1018" i="6"/>
  <c r="G1019" i="6"/>
  <c r="G1020" i="6"/>
  <c r="G1021" i="6"/>
  <c r="G1017" i="6"/>
  <c r="G1015" i="6"/>
  <c r="E1016" i="6"/>
  <c r="G1016" i="6" s="1"/>
  <c r="E1012" i="6"/>
  <c r="E1013" i="6"/>
  <c r="E1007" i="6"/>
  <c r="E1005" i="6"/>
  <c r="E994" i="6"/>
  <c r="E993" i="6"/>
  <c r="G995" i="6"/>
  <c r="G996" i="6"/>
  <c r="G997" i="6"/>
  <c r="G998" i="6"/>
  <c r="G999" i="6"/>
  <c r="G1000" i="6"/>
  <c r="G1001" i="6"/>
  <c r="G1002" i="6"/>
  <c r="G1003" i="6"/>
  <c r="G1004" i="6"/>
  <c r="G1005" i="6"/>
  <c r="G1006" i="6"/>
  <c r="G1007" i="6"/>
  <c r="G1008" i="6"/>
  <c r="G1009" i="6"/>
  <c r="G1010" i="6"/>
  <c r="G1011" i="6"/>
  <c r="G1012" i="6"/>
  <c r="G1013" i="6"/>
  <c r="G1014" i="6"/>
  <c r="E983" i="6"/>
  <c r="E973" i="6"/>
  <c r="G973" i="6"/>
  <c r="G974" i="6"/>
  <c r="G975" i="6"/>
  <c r="G976" i="6"/>
  <c r="G977" i="6"/>
  <c r="G978" i="6"/>
  <c r="G979" i="6"/>
  <c r="G980" i="6"/>
  <c r="G981" i="6"/>
  <c r="G982" i="6"/>
  <c r="G983" i="6"/>
  <c r="G984" i="6"/>
  <c r="G985" i="6"/>
  <c r="G986" i="6"/>
  <c r="G987" i="6"/>
  <c r="G988" i="6"/>
  <c r="G989" i="6"/>
  <c r="G990" i="6"/>
  <c r="G991" i="6"/>
  <c r="G992" i="6"/>
  <c r="G993" i="6"/>
  <c r="G994" i="6"/>
  <c r="G972" i="6"/>
  <c r="E971" i="6"/>
  <c r="E969" i="6"/>
  <c r="E967" i="6"/>
  <c r="E965" i="6"/>
  <c r="E963" i="6"/>
  <c r="E958" i="6"/>
  <c r="G958" i="6"/>
  <c r="G959" i="6"/>
  <c r="G960" i="6"/>
  <c r="G961" i="6"/>
  <c r="G962" i="6"/>
  <c r="G963" i="6"/>
  <c r="G964" i="6"/>
  <c r="G965" i="6"/>
  <c r="G966" i="6"/>
  <c r="G967" i="6"/>
  <c r="G968" i="6"/>
  <c r="G969" i="6"/>
  <c r="G970" i="6"/>
  <c r="G971" i="6"/>
  <c r="G957" i="6"/>
  <c r="G955" i="6"/>
  <c r="G954" i="6"/>
  <c r="G953" i="6"/>
  <c r="E939" i="6"/>
  <c r="G936" i="6"/>
  <c r="G937" i="6"/>
  <c r="G938" i="6"/>
  <c r="G939" i="6"/>
  <c r="G940" i="6"/>
  <c r="G941" i="6"/>
  <c r="G942" i="6"/>
  <c r="G943" i="6"/>
  <c r="G944" i="6"/>
  <c r="G945" i="6"/>
  <c r="G946" i="6"/>
  <c r="G947" i="6"/>
  <c r="G948" i="6"/>
  <c r="G949" i="6"/>
  <c r="G950" i="6"/>
  <c r="G951" i="6"/>
  <c r="G952" i="6"/>
  <c r="G922" i="6"/>
  <c r="G923" i="6"/>
  <c r="G924" i="6"/>
  <c r="G925" i="6"/>
  <c r="G926" i="6"/>
  <c r="G927" i="6"/>
  <c r="G928" i="6"/>
  <c r="G929" i="6"/>
  <c r="G930" i="6"/>
  <c r="G931" i="6"/>
  <c r="G932" i="6"/>
  <c r="G933" i="6"/>
  <c r="G934" i="6"/>
  <c r="G935" i="6"/>
  <c r="G921" i="6"/>
  <c r="G920" i="6"/>
  <c r="G919" i="6"/>
  <c r="G918" i="6"/>
  <c r="G917" i="6"/>
  <c r="G916" i="6"/>
  <c r="G915" i="6"/>
  <c r="E910" i="6"/>
  <c r="G908" i="6"/>
  <c r="G909" i="6"/>
  <c r="G910" i="6"/>
  <c r="G911" i="6"/>
  <c r="G912" i="6"/>
  <c r="G913" i="6"/>
  <c r="G914" i="6"/>
  <c r="E904" i="6"/>
  <c r="E898" i="6"/>
  <c r="E896" i="6"/>
  <c r="E887" i="6"/>
  <c r="E885" i="6"/>
  <c r="E882" i="6"/>
  <c r="E875" i="6"/>
  <c r="E873" i="6"/>
  <c r="E870" i="6"/>
  <c r="E868" i="6"/>
  <c r="E866" i="6"/>
  <c r="E865" i="6"/>
  <c r="E862" i="6"/>
  <c r="G893" i="6"/>
  <c r="G894" i="6"/>
  <c r="G895" i="6"/>
  <c r="G896" i="6"/>
  <c r="G897" i="6"/>
  <c r="G898" i="6"/>
  <c r="G899" i="6"/>
  <c r="G900" i="6"/>
  <c r="G901" i="6"/>
  <c r="G902" i="6"/>
  <c r="G903" i="6"/>
  <c r="G904" i="6"/>
  <c r="G905" i="6"/>
  <c r="G906" i="6"/>
  <c r="G907" i="6"/>
  <c r="G884" i="6"/>
  <c r="G885" i="6"/>
  <c r="G886" i="6"/>
  <c r="G887" i="6"/>
  <c r="G888" i="6"/>
  <c r="G889" i="6"/>
  <c r="G890" i="6"/>
  <c r="G891" i="6"/>
  <c r="G892" i="6"/>
  <c r="G865" i="6"/>
  <c r="G866" i="6"/>
  <c r="G867" i="6"/>
  <c r="G868" i="6"/>
  <c r="G869" i="6"/>
  <c r="G870" i="6"/>
  <c r="G871" i="6"/>
  <c r="G872" i="6"/>
  <c r="G873" i="6"/>
  <c r="G874" i="6"/>
  <c r="G875" i="6"/>
  <c r="G876" i="6"/>
  <c r="G877" i="6"/>
  <c r="G878" i="6"/>
  <c r="G879" i="6"/>
  <c r="G880" i="6"/>
  <c r="G881" i="6"/>
  <c r="G882" i="6"/>
  <c r="G883" i="6"/>
  <c r="G863" i="6"/>
  <c r="G864" i="6"/>
  <c r="G862" i="6"/>
  <c r="G861" i="6"/>
  <c r="E860" i="6"/>
  <c r="G860" i="6" s="1"/>
  <c r="G859" i="6"/>
  <c r="E855" i="6"/>
  <c r="G857" i="6"/>
  <c r="G856" i="6"/>
  <c r="G855" i="6"/>
  <c r="G854" i="6"/>
  <c r="G853" i="6"/>
  <c r="G852" i="6"/>
  <c r="G851" i="6"/>
  <c r="E850" i="6"/>
  <c r="G850" i="6" s="1"/>
  <c r="G849" i="6"/>
  <c r="G848" i="6"/>
  <c r="G847" i="6"/>
  <c r="G846" i="6"/>
  <c r="G845" i="6"/>
  <c r="G844" i="6"/>
  <c r="G843" i="6"/>
  <c r="G842" i="6"/>
  <c r="G841" i="6"/>
  <c r="G840" i="6"/>
  <c r="G838" i="6"/>
  <c r="G837" i="6"/>
  <c r="E839" i="6"/>
  <c r="G839" i="6" s="1"/>
  <c r="E836" i="6"/>
  <c r="G836" i="6" s="1"/>
  <c r="G835" i="6"/>
  <c r="G834" i="6"/>
  <c r="G833" i="6"/>
  <c r="G832" i="6"/>
  <c r="G831" i="6"/>
  <c r="G830" i="6"/>
  <c r="G829" i="6"/>
  <c r="G828" i="6"/>
  <c r="G827" i="6"/>
  <c r="E824" i="6"/>
  <c r="E823" i="6"/>
  <c r="G823" i="6"/>
  <c r="G824" i="6"/>
  <c r="G825" i="6"/>
  <c r="G826" i="6"/>
  <c r="G820" i="6"/>
  <c r="G821" i="6"/>
  <c r="G822" i="6"/>
  <c r="E819" i="6"/>
  <c r="G819" i="6" s="1"/>
  <c r="G818" i="6"/>
  <c r="G817" i="6"/>
  <c r="G816" i="6"/>
  <c r="G812" i="6"/>
  <c r="G813" i="6"/>
  <c r="G814" i="6"/>
  <c r="G815" i="6"/>
  <c r="E807" i="6"/>
  <c r="E803" i="6"/>
  <c r="E794" i="6"/>
  <c r="E790" i="6"/>
  <c r="G800" i="6"/>
  <c r="G801" i="6"/>
  <c r="G802" i="6"/>
  <c r="G803" i="6"/>
  <c r="G804" i="6"/>
  <c r="G805" i="6"/>
  <c r="G806" i="6"/>
  <c r="G807" i="6"/>
  <c r="G808" i="6"/>
  <c r="G809" i="6"/>
  <c r="G810" i="6"/>
  <c r="G811" i="6"/>
  <c r="G788" i="6"/>
  <c r="G789" i="6"/>
  <c r="G790" i="6"/>
  <c r="G791" i="6"/>
  <c r="G792" i="6"/>
  <c r="G793" i="6"/>
  <c r="G794" i="6"/>
  <c r="G795" i="6"/>
  <c r="G796" i="6"/>
  <c r="G797" i="6"/>
  <c r="G798" i="6"/>
  <c r="G799" i="6"/>
  <c r="E787" i="6"/>
  <c r="E774" i="6"/>
  <c r="E785" i="6"/>
  <c r="G787" i="6"/>
  <c r="G786" i="6"/>
  <c r="G785" i="6"/>
  <c r="G784" i="6"/>
  <c r="G783" i="6"/>
  <c r="E781" i="6"/>
  <c r="E779" i="6"/>
  <c r="E777" i="6"/>
  <c r="G777" i="6"/>
  <c r="G778" i="6"/>
  <c r="G779" i="6"/>
  <c r="G780" i="6"/>
  <c r="G781" i="6"/>
  <c r="G782" i="6"/>
  <c r="G776" i="6"/>
  <c r="G775" i="6"/>
  <c r="G774" i="6"/>
  <c r="G773" i="6"/>
  <c r="F737" i="6"/>
  <c r="E759" i="6"/>
  <c r="F732"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30" i="6"/>
  <c r="G729" i="6"/>
  <c r="G728" i="6"/>
  <c r="G727" i="6"/>
  <c r="G726" i="6"/>
  <c r="F725" i="6"/>
  <c r="G725" i="6" s="1"/>
  <c r="F724" i="6"/>
  <c r="G724" i="6" s="1"/>
  <c r="G723" i="6"/>
  <c r="G722" i="6"/>
  <c r="G721" i="6"/>
  <c r="G720" i="6"/>
  <c r="G719" i="6"/>
  <c r="G718" i="6"/>
  <c r="E717" i="6"/>
  <c r="G717" i="6" s="1"/>
  <c r="E714" i="6"/>
  <c r="G714" i="6"/>
  <c r="G715" i="6"/>
  <c r="G716" i="6"/>
  <c r="G713" i="6"/>
  <c r="E712" i="6"/>
  <c r="G712" i="6" s="1"/>
  <c r="G711" i="6"/>
  <c r="E710" i="6"/>
  <c r="G710" i="6" s="1"/>
  <c r="G709" i="6"/>
  <c r="G708" i="6"/>
  <c r="E707" i="6"/>
  <c r="G707" i="6" s="1"/>
  <c r="G706" i="6"/>
  <c r="G705" i="6"/>
  <c r="G704" i="6"/>
  <c r="G703" i="6"/>
  <c r="G702" i="6"/>
  <c r="G701" i="6"/>
  <c r="E696" i="6"/>
  <c r="E692" i="6"/>
  <c r="E690" i="6"/>
  <c r="E684" i="6"/>
  <c r="E683" i="6"/>
  <c r="E681" i="6"/>
  <c r="G682" i="6"/>
  <c r="G683" i="6"/>
  <c r="G684" i="6"/>
  <c r="G685" i="6"/>
  <c r="G686" i="6"/>
  <c r="G687" i="6"/>
  <c r="G688" i="6"/>
  <c r="G689" i="6"/>
  <c r="G690" i="6"/>
  <c r="G691" i="6"/>
  <c r="G692" i="6"/>
  <c r="G693" i="6"/>
  <c r="G694" i="6"/>
  <c r="G695" i="6"/>
  <c r="G696" i="6"/>
  <c r="G697" i="6"/>
  <c r="G698" i="6"/>
  <c r="G699" i="6"/>
  <c r="G700" i="6"/>
  <c r="E679" i="6"/>
  <c r="E676" i="6"/>
  <c r="E673" i="6"/>
  <c r="E669" i="6"/>
  <c r="G681" i="6"/>
  <c r="G680" i="6"/>
  <c r="G679" i="6"/>
  <c r="G678" i="6"/>
  <c r="G677" i="6"/>
  <c r="G676" i="6"/>
  <c r="G675" i="6"/>
  <c r="G674" i="6"/>
  <c r="G673" i="6"/>
  <c r="G672" i="6"/>
  <c r="G671" i="6"/>
  <c r="G670" i="6"/>
  <c r="G669" i="6"/>
  <c r="G668" i="6"/>
  <c r="G667" i="6"/>
  <c r="G666" i="6"/>
  <c r="E587" i="6"/>
  <c r="G587" i="6" s="1"/>
  <c r="G472" i="6"/>
  <c r="E616" i="6"/>
  <c r="G664" i="6"/>
  <c r="G663" i="6"/>
  <c r="G662" i="6"/>
  <c r="G661" i="6"/>
  <c r="G660" i="6"/>
  <c r="G659" i="6"/>
  <c r="E655" i="6"/>
  <c r="E651" i="6"/>
  <c r="E649" i="6"/>
  <c r="G653" i="6"/>
  <c r="G654" i="6"/>
  <c r="G655" i="6"/>
  <c r="G656" i="6"/>
  <c r="G657" i="6"/>
  <c r="G658" i="6"/>
  <c r="E639" i="6"/>
  <c r="G645" i="6"/>
  <c r="G646" i="6"/>
  <c r="G647" i="6"/>
  <c r="G648" i="6"/>
  <c r="G649" i="6"/>
  <c r="G650" i="6"/>
  <c r="G651" i="6"/>
  <c r="G652" i="6"/>
  <c r="G640" i="6"/>
  <c r="G641" i="6"/>
  <c r="G642" i="6"/>
  <c r="G643" i="6"/>
  <c r="G644" i="6"/>
  <c r="G634" i="6"/>
  <c r="G635" i="6"/>
  <c r="G636" i="6"/>
  <c r="G637" i="6"/>
  <c r="G638" i="6"/>
  <c r="G639" i="6"/>
  <c r="G630" i="6"/>
  <c r="G631" i="6"/>
  <c r="G632" i="6"/>
  <c r="G633" i="6"/>
  <c r="E625" i="6"/>
  <c r="G618" i="6"/>
  <c r="G619" i="6"/>
  <c r="G620" i="6"/>
  <c r="G621" i="6"/>
  <c r="G622" i="6"/>
  <c r="G623" i="6"/>
  <c r="G624" i="6"/>
  <c r="G625" i="6"/>
  <c r="G626" i="6"/>
  <c r="G627" i="6"/>
  <c r="G628" i="6"/>
  <c r="G629" i="6"/>
  <c r="F611" i="6"/>
  <c r="E607" i="6"/>
  <c r="G606" i="6"/>
  <c r="G607" i="6"/>
  <c r="G608" i="6"/>
  <c r="G609" i="6"/>
  <c r="G610" i="6"/>
  <c r="G611" i="6"/>
  <c r="G612" i="6"/>
  <c r="G613" i="6"/>
  <c r="G614" i="6"/>
  <c r="G615" i="6"/>
  <c r="G616" i="6"/>
  <c r="G617" i="6"/>
  <c r="E601" i="6"/>
  <c r="G601" i="6" s="1"/>
  <c r="E598" i="6"/>
  <c r="G598" i="6" s="1"/>
  <c r="E594" i="6"/>
  <c r="G594" i="6" s="1"/>
  <c r="E592" i="6"/>
  <c r="G592" i="6" s="1"/>
  <c r="E590" i="6"/>
  <c r="G590" i="6" s="1"/>
  <c r="E583" i="6"/>
  <c r="E581" i="6"/>
  <c r="G581" i="6" s="1"/>
  <c r="E579" i="6"/>
  <c r="G579" i="6" s="1"/>
  <c r="G582" i="6"/>
  <c r="G583" i="6"/>
  <c r="G584" i="6"/>
  <c r="G585" i="6"/>
  <c r="G586" i="6"/>
  <c r="G588" i="6"/>
  <c r="G589" i="6"/>
  <c r="G591" i="6"/>
  <c r="G593" i="6"/>
  <c r="G595" i="6"/>
  <c r="G596" i="6"/>
  <c r="G597" i="6"/>
  <c r="G599" i="6"/>
  <c r="G600" i="6"/>
  <c r="G602" i="6"/>
  <c r="G603" i="6"/>
  <c r="G604" i="6"/>
  <c r="G605" i="6"/>
  <c r="E575" i="6"/>
  <c r="E570" i="6"/>
  <c r="G570" i="6" s="1"/>
  <c r="E566" i="6"/>
  <c r="G566" i="6" s="1"/>
  <c r="G580" i="6"/>
  <c r="G578" i="6"/>
  <c r="G577" i="6"/>
  <c r="G576" i="6"/>
  <c r="G575" i="6"/>
  <c r="G574" i="6"/>
  <c r="G573" i="6"/>
  <c r="G572" i="6"/>
  <c r="G571" i="6"/>
  <c r="G569" i="6"/>
  <c r="G568" i="6"/>
  <c r="G567" i="6"/>
  <c r="G565" i="6"/>
  <c r="G564" i="6"/>
  <c r="G563" i="6"/>
  <c r="G562" i="6"/>
  <c r="G561" i="6"/>
  <c r="E500" i="6"/>
  <c r="G553" i="6"/>
  <c r="G554" i="6"/>
  <c r="G555" i="6"/>
  <c r="G556" i="6"/>
  <c r="G557" i="6"/>
  <c r="G558" i="6"/>
  <c r="G559" i="6"/>
  <c r="G560" i="6"/>
  <c r="G530" i="6"/>
  <c r="G531" i="6"/>
  <c r="G532" i="6"/>
  <c r="G533" i="6"/>
  <c r="G534" i="6"/>
  <c r="G535" i="6"/>
  <c r="G536" i="6"/>
  <c r="G537" i="6"/>
  <c r="G538" i="6"/>
  <c r="G514" i="6"/>
  <c r="G511" i="6"/>
  <c r="G400" i="6"/>
  <c r="G427" i="6"/>
  <c r="G540" i="6"/>
  <c r="G541" i="6"/>
  <c r="G525" i="6"/>
  <c r="G521" i="6"/>
  <c r="G546" i="6"/>
  <c r="G544" i="6"/>
  <c r="G547" i="6"/>
  <c r="G549" i="6"/>
  <c r="G551" i="6"/>
  <c r="G552" i="6"/>
  <c r="E526" i="6"/>
  <c r="E508" i="6"/>
  <c r="E506" i="6"/>
  <c r="E503" i="6"/>
  <c r="G501" i="6"/>
  <c r="G502" i="6"/>
  <c r="G503" i="6"/>
  <c r="G504" i="6"/>
  <c r="G505" i="6"/>
  <c r="G506" i="6"/>
  <c r="G507" i="6"/>
  <c r="G508" i="6"/>
  <c r="G509" i="6"/>
  <c r="G515" i="6"/>
  <c r="G428" i="6"/>
  <c r="G512" i="6"/>
  <c r="G542" i="6"/>
  <c r="G527" i="6"/>
  <c r="G526" i="6"/>
  <c r="G545" i="6"/>
  <c r="G543" i="6"/>
  <c r="G550" i="6"/>
  <c r="G429" i="6"/>
  <c r="G529" i="6"/>
  <c r="G524" i="6"/>
  <c r="G539" i="6"/>
  <c r="G523" i="6"/>
  <c r="G548" i="6"/>
  <c r="G423" i="6"/>
  <c r="G426" i="6"/>
  <c r="G402" i="6"/>
  <c r="G401" i="6"/>
  <c r="G528" i="6"/>
  <c r="G500" i="6"/>
  <c r="E455" i="6"/>
  <c r="E449" i="6"/>
  <c r="E448" i="6"/>
  <c r="G446" i="6"/>
  <c r="G447" i="6"/>
  <c r="G448" i="6"/>
  <c r="G449" i="6"/>
  <c r="G450" i="6"/>
  <c r="G451" i="6"/>
  <c r="G452" i="6"/>
  <c r="G453" i="6"/>
  <c r="G454" i="6"/>
  <c r="G455" i="6"/>
  <c r="G456" i="6"/>
  <c r="E442" i="6"/>
  <c r="F431" i="6"/>
  <c r="G432" i="6"/>
  <c r="G433" i="6"/>
  <c r="G434" i="6"/>
  <c r="G435" i="6"/>
  <c r="G436" i="6"/>
  <c r="G396" i="6"/>
  <c r="G519" i="6"/>
  <c r="G397" i="6"/>
  <c r="G424" i="6"/>
  <c r="G513" i="6"/>
  <c r="G442" i="6"/>
  <c r="G443" i="6"/>
  <c r="G444" i="6"/>
  <c r="G445" i="6"/>
  <c r="E421" i="6"/>
  <c r="E416" i="6"/>
  <c r="E412" i="6"/>
  <c r="G414" i="6"/>
  <c r="G415" i="6"/>
  <c r="G416" i="6"/>
  <c r="G417" i="6"/>
  <c r="G418" i="6"/>
  <c r="G419" i="6"/>
  <c r="G420" i="6"/>
  <c r="G421" i="6"/>
  <c r="G437" i="6"/>
  <c r="G516" i="6"/>
  <c r="G430" i="6"/>
  <c r="G518" i="6"/>
  <c r="G398" i="6"/>
  <c r="G510" i="6"/>
  <c r="G440" i="6"/>
  <c r="G425" i="6"/>
  <c r="G522" i="6"/>
  <c r="G431" i="6"/>
  <c r="E411" i="6"/>
  <c r="E409" i="6"/>
  <c r="E407" i="6"/>
  <c r="G407" i="6" s="1"/>
  <c r="F404" i="6"/>
  <c r="G520" i="6"/>
  <c r="G517" i="6"/>
  <c r="G399" i="6"/>
  <c r="G441" i="6"/>
  <c r="G439" i="6"/>
  <c r="G403" i="6"/>
  <c r="G422" i="6"/>
  <c r="G404" i="6"/>
  <c r="G405" i="6"/>
  <c r="G406" i="6"/>
  <c r="G408" i="6"/>
  <c r="G409" i="6"/>
  <c r="G410" i="6"/>
  <c r="G411" i="6"/>
  <c r="G412" i="6"/>
  <c r="G413" i="6"/>
  <c r="E393" i="6"/>
  <c r="E392" i="6"/>
  <c r="E389" i="6"/>
  <c r="E387" i="6"/>
  <c r="E386" i="6"/>
  <c r="E382" i="6"/>
  <c r="E380" i="6"/>
  <c r="E377" i="6"/>
  <c r="G438" i="6"/>
  <c r="G395" i="6"/>
  <c r="G394" i="6"/>
  <c r="G393" i="6"/>
  <c r="G392" i="6"/>
  <c r="G391" i="6"/>
  <c r="G390" i="6"/>
  <c r="G389" i="6"/>
  <c r="G388" i="6"/>
  <c r="G387" i="6"/>
  <c r="G386" i="6"/>
  <c r="G385" i="6"/>
  <c r="G384" i="6"/>
  <c r="G383" i="6"/>
  <c r="G382" i="6"/>
  <c r="G381" i="6"/>
  <c r="G380" i="6"/>
  <c r="G379" i="6"/>
  <c r="G378" i="6"/>
  <c r="G377" i="6"/>
  <c r="G376" i="6"/>
  <c r="E375" i="6"/>
  <c r="G375" i="6" s="1"/>
  <c r="E371" i="6"/>
  <c r="G360" i="6"/>
  <c r="G361" i="6"/>
  <c r="G363" i="6"/>
  <c r="G364" i="6"/>
  <c r="G365" i="6"/>
  <c r="G366" i="6"/>
  <c r="G367" i="6"/>
  <c r="G368" i="6"/>
  <c r="G369" i="6"/>
  <c r="G370" i="6"/>
  <c r="G371" i="6"/>
  <c r="G372" i="6"/>
  <c r="G373" i="6"/>
  <c r="E362" i="6"/>
  <c r="G362" i="6" s="1"/>
  <c r="F354" i="6"/>
  <c r="E349" i="6"/>
  <c r="G336" i="6"/>
  <c r="G337" i="6"/>
  <c r="G338" i="6"/>
  <c r="G339" i="6"/>
  <c r="G340" i="6"/>
  <c r="G341" i="6"/>
  <c r="G342" i="6"/>
  <c r="G343" i="6"/>
  <c r="G344" i="6"/>
  <c r="G345" i="6"/>
  <c r="G346" i="6"/>
  <c r="G347" i="6"/>
  <c r="G348" i="6"/>
  <c r="G349" i="6"/>
  <c r="G350" i="6"/>
  <c r="G351" i="6"/>
  <c r="G352" i="6"/>
  <c r="G353" i="6"/>
  <c r="G354" i="6"/>
  <c r="G355" i="6"/>
  <c r="G356" i="6"/>
  <c r="G357" i="6"/>
  <c r="G358" i="6"/>
  <c r="G359" i="6"/>
  <c r="E327" i="6"/>
  <c r="E322" i="6"/>
  <c r="E318" i="6"/>
  <c r="E317" i="6"/>
  <c r="E316" i="6"/>
  <c r="E313"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E303" i="6"/>
  <c r="E300" i="6"/>
  <c r="E297" i="6"/>
  <c r="E295" i="6"/>
  <c r="E293" i="6"/>
  <c r="E288" i="6"/>
  <c r="E287" i="6"/>
  <c r="E283" i="6"/>
  <c r="E281"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280" i="6"/>
  <c r="G258" i="6"/>
  <c r="G259" i="6"/>
  <c r="G260" i="6"/>
  <c r="G261" i="6"/>
  <c r="G262" i="6"/>
  <c r="G263" i="6"/>
  <c r="G264" i="6"/>
  <c r="G265" i="6"/>
  <c r="G266" i="6"/>
  <c r="G267" i="6"/>
  <c r="G268" i="6"/>
  <c r="G269" i="6"/>
  <c r="G270" i="6"/>
  <c r="G271" i="6"/>
  <c r="G272" i="6"/>
  <c r="G273" i="6"/>
  <c r="G274" i="6"/>
  <c r="G275" i="6"/>
  <c r="G276" i="6"/>
  <c r="G277" i="6"/>
  <c r="G278" i="6"/>
  <c r="G279" i="6"/>
  <c r="G257" i="6"/>
  <c r="G256" i="6"/>
  <c r="G255" i="6"/>
  <c r="E254" i="6"/>
  <c r="G254" i="6" s="1"/>
  <c r="G249" i="6"/>
  <c r="G250" i="6"/>
  <c r="G251" i="6"/>
  <c r="G252" i="6"/>
  <c r="G253" i="6"/>
  <c r="G246" i="6"/>
  <c r="G247" i="6"/>
  <c r="G248" i="6"/>
  <c r="E242" i="6"/>
  <c r="E238" i="6"/>
  <c r="E233" i="6"/>
  <c r="E228" i="6"/>
  <c r="G228" i="6"/>
  <c r="G229" i="6"/>
  <c r="G230" i="6"/>
  <c r="G231" i="6"/>
  <c r="G232" i="6"/>
  <c r="G233" i="6"/>
  <c r="G234" i="6"/>
  <c r="G235" i="6"/>
  <c r="G236" i="6"/>
  <c r="G237" i="6"/>
  <c r="G238" i="6"/>
  <c r="G239" i="6"/>
  <c r="G240" i="6"/>
  <c r="G241" i="6"/>
  <c r="G242" i="6"/>
  <c r="G243" i="6"/>
  <c r="G244" i="6"/>
  <c r="G245" i="6"/>
  <c r="E224" i="6"/>
  <c r="E222" i="6"/>
  <c r="E217" i="6"/>
  <c r="E205" i="6"/>
  <c r="E203" i="6"/>
  <c r="E199"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E196" i="6"/>
  <c r="E190" i="6"/>
  <c r="E188" i="6"/>
  <c r="E187" i="6"/>
  <c r="E185" i="6"/>
  <c r="G196" i="6"/>
  <c r="G195" i="6"/>
  <c r="G194" i="6"/>
  <c r="G193" i="6"/>
  <c r="G192" i="6"/>
  <c r="G191" i="6"/>
  <c r="G190" i="6"/>
  <c r="G189" i="6"/>
  <c r="G188" i="6"/>
  <c r="G187" i="6"/>
  <c r="G186" i="6"/>
  <c r="G185" i="6"/>
  <c r="G184" i="6"/>
  <c r="G183" i="6"/>
  <c r="G181" i="6"/>
  <c r="E166" i="6"/>
  <c r="G167" i="6"/>
  <c r="G168" i="6"/>
  <c r="G169" i="6"/>
  <c r="G170" i="6"/>
  <c r="G171" i="6"/>
  <c r="G172" i="6"/>
  <c r="G173" i="6"/>
  <c r="G174" i="6"/>
  <c r="G175" i="6"/>
  <c r="G176" i="6"/>
  <c r="G177" i="6"/>
  <c r="G178" i="6"/>
  <c r="G179" i="6"/>
  <c r="G180" i="6"/>
  <c r="E157" i="6"/>
  <c r="G154" i="6"/>
  <c r="G155" i="6"/>
  <c r="G156" i="6"/>
  <c r="G157" i="6"/>
  <c r="G158" i="6"/>
  <c r="G159" i="6"/>
  <c r="G160" i="6"/>
  <c r="G161" i="6"/>
  <c r="G162" i="6"/>
  <c r="G163" i="6"/>
  <c r="G164" i="6"/>
  <c r="G165" i="6"/>
  <c r="G166" i="6"/>
  <c r="G149" i="6"/>
  <c r="G150" i="6"/>
  <c r="G151" i="6"/>
  <c r="G152" i="6"/>
  <c r="G153" i="6"/>
  <c r="E148" i="6"/>
  <c r="G148" i="6" s="1"/>
  <c r="G147" i="6"/>
  <c r="G146" i="6"/>
  <c r="E144" i="6"/>
  <c r="E143" i="6"/>
  <c r="E139" i="6"/>
  <c r="E136" i="6"/>
  <c r="E135" i="6"/>
  <c r="E131" i="6"/>
  <c r="E130" i="6"/>
  <c r="E129" i="6"/>
  <c r="E128" i="6"/>
  <c r="E125" i="6"/>
  <c r="E123" i="6"/>
  <c r="E121" i="6"/>
  <c r="E118" i="6"/>
  <c r="E107" i="6"/>
  <c r="E116" i="6"/>
  <c r="E114" i="6"/>
  <c r="E111"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F96" i="6"/>
  <c r="E104" i="6"/>
  <c r="E102" i="6"/>
  <c r="E100" i="6"/>
  <c r="E98" i="6"/>
  <c r="E94" i="6"/>
  <c r="G110" i="6"/>
  <c r="G109" i="6"/>
  <c r="G108" i="6"/>
  <c r="G107" i="6"/>
  <c r="G106" i="6"/>
  <c r="G105" i="6"/>
  <c r="G104" i="6"/>
  <c r="G103" i="6"/>
  <c r="G102" i="6"/>
  <c r="G101" i="6"/>
  <c r="G100" i="6"/>
  <c r="G99" i="6"/>
  <c r="G98" i="6"/>
  <c r="G97" i="6"/>
  <c r="G96" i="6"/>
  <c r="G95" i="6"/>
  <c r="G94" i="6"/>
  <c r="G93" i="6"/>
  <c r="E87" i="6"/>
  <c r="E80" i="6"/>
  <c r="E79" i="6"/>
  <c r="E76" i="6"/>
  <c r="E75" i="6"/>
  <c r="E73" i="6"/>
  <c r="G73" i="6"/>
  <c r="G74" i="6"/>
  <c r="G75" i="6"/>
  <c r="G76" i="6"/>
  <c r="G77" i="6"/>
  <c r="G78" i="6"/>
  <c r="G79" i="6"/>
  <c r="G80" i="6"/>
  <c r="G81" i="6"/>
  <c r="G82" i="6"/>
  <c r="G83" i="6"/>
  <c r="G84" i="6"/>
  <c r="G85" i="6"/>
  <c r="G86" i="6"/>
  <c r="G87" i="6"/>
  <c r="G88" i="6"/>
  <c r="G89" i="6"/>
  <c r="G90" i="6"/>
  <c r="G91" i="6"/>
  <c r="E71" i="6"/>
  <c r="E69" i="6"/>
  <c r="E65" i="6"/>
  <c r="E64" i="6"/>
  <c r="E62" i="6"/>
  <c r="E61" i="6"/>
  <c r="E51" i="6"/>
  <c r="G50" i="6"/>
  <c r="G51" i="6"/>
  <c r="G52" i="6"/>
  <c r="G53" i="6"/>
  <c r="G54" i="6"/>
  <c r="G55" i="6"/>
  <c r="G56" i="6"/>
  <c r="G57" i="6"/>
  <c r="G58" i="6"/>
  <c r="G59" i="6"/>
  <c r="G60" i="6"/>
  <c r="G61" i="6"/>
  <c r="G62" i="6"/>
  <c r="G63" i="6"/>
  <c r="G64" i="6"/>
  <c r="G65" i="6"/>
  <c r="G66" i="6"/>
  <c r="G67" i="6"/>
  <c r="G68" i="6"/>
  <c r="G69" i="6"/>
  <c r="G70" i="6"/>
  <c r="G71" i="6"/>
  <c r="G72" i="6"/>
  <c r="G49" i="6"/>
  <c r="G48" i="6"/>
  <c r="G47" i="6"/>
  <c r="G46" i="6"/>
  <c r="G45" i="6"/>
  <c r="G44" i="6"/>
  <c r="G43" i="6"/>
  <c r="G42" i="6"/>
  <c r="G41" i="6"/>
  <c r="G40" i="6"/>
  <c r="G39" i="6"/>
  <c r="G38" i="6"/>
  <c r="G37" i="6"/>
  <c r="E36" i="6"/>
  <c r="G36" i="6" s="1"/>
  <c r="E29" i="6"/>
  <c r="G23" i="6"/>
  <c r="G24" i="6"/>
  <c r="G25" i="6"/>
  <c r="G26" i="6"/>
  <c r="G27" i="6"/>
  <c r="G28" i="6"/>
  <c r="G29" i="6"/>
  <c r="G30" i="6"/>
  <c r="G31" i="6"/>
  <c r="G32" i="6"/>
  <c r="G33" i="6"/>
  <c r="G34" i="6"/>
  <c r="G35" i="6"/>
  <c r="E20" i="6"/>
  <c r="E17" i="6"/>
  <c r="E15" i="6"/>
  <c r="E11" i="6"/>
  <c r="F9" i="6"/>
  <c r="G22" i="6"/>
  <c r="G21" i="6"/>
  <c r="G20" i="6"/>
  <c r="G19" i="6"/>
  <c r="G18" i="6"/>
  <c r="G17" i="6"/>
  <c r="G16" i="6"/>
  <c r="G15" i="6"/>
  <c r="G14" i="6"/>
  <c r="G13" i="6"/>
  <c r="G12" i="6"/>
  <c r="G11" i="6"/>
  <c r="G10" i="6"/>
  <c r="G9" i="6"/>
  <c r="G8" i="6"/>
  <c r="B74" i="10"/>
  <c r="B393" i="10"/>
  <c r="B79" i="10"/>
  <c r="B286" i="10"/>
  <c r="B176" i="10"/>
  <c r="B426" i="10"/>
  <c r="Y2060" i="6" l="1"/>
  <c r="Z2060" i="6"/>
  <c r="Y2061" i="6"/>
  <c r="Z2061" i="6"/>
  <c r="Y2063" i="6"/>
  <c r="Z2063" i="6"/>
  <c r="Y2067" i="6"/>
  <c r="Z2067" i="6"/>
  <c r="Y2072" i="6"/>
  <c r="Z2072" i="6"/>
  <c r="Y2073" i="6"/>
  <c r="Z2073" i="6"/>
  <c r="Y2074" i="6"/>
  <c r="Z2074" i="6"/>
  <c r="Y2075" i="6"/>
  <c r="Z2075" i="6"/>
  <c r="Y2083" i="6"/>
  <c r="Z2083" i="6"/>
  <c r="Y2081" i="6"/>
  <c r="Z2081" i="6"/>
  <c r="Y1986" i="6"/>
  <c r="Z1986" i="6"/>
  <c r="Z3005" i="6"/>
  <c r="Y3005" i="6"/>
  <c r="Z3006" i="6"/>
  <c r="Y3006" i="6"/>
  <c r="Z3007" i="6"/>
  <c r="Y3007" i="6"/>
  <c r="Z3009" i="6"/>
  <c r="Y3009" i="6"/>
  <c r="Z3010" i="6"/>
  <c r="Y3010" i="6"/>
  <c r="Z3011" i="6"/>
  <c r="Y3011" i="6"/>
  <c r="Z3012" i="6"/>
  <c r="Y3012" i="6"/>
  <c r="Z3013" i="6"/>
  <c r="Y3013" i="6"/>
  <c r="Z3003" i="6"/>
  <c r="Y3003" i="6"/>
  <c r="Z3004" i="6"/>
  <c r="Y3004" i="6"/>
  <c r="Y2016" i="6"/>
  <c r="Z2016" i="6"/>
  <c r="Y2017" i="6"/>
  <c r="Z2017" i="6"/>
  <c r="Y2020" i="6"/>
  <c r="Z2020" i="6"/>
  <c r="Y2023" i="6"/>
  <c r="Z2023" i="6"/>
  <c r="Y2024" i="6"/>
  <c r="Z2024" i="6"/>
  <c r="Y2025" i="6"/>
  <c r="Z2025" i="6"/>
  <c r="Y2026" i="6"/>
  <c r="Z2026" i="6"/>
  <c r="Y2027" i="6"/>
  <c r="Z2027" i="6"/>
  <c r="Y3019" i="6"/>
  <c r="Z3019" i="6"/>
  <c r="Y3018" i="6"/>
  <c r="Z3018" i="6"/>
  <c r="Y3017" i="6"/>
  <c r="Z3017" i="6"/>
  <c r="Y3016" i="6"/>
  <c r="Z3016" i="6"/>
  <c r="Y3015" i="6"/>
  <c r="Z3015" i="6"/>
  <c r="Y3014" i="6"/>
  <c r="Z3014" i="6"/>
  <c r="Z2973" i="6"/>
  <c r="Y2973" i="6"/>
  <c r="Z2974" i="6"/>
  <c r="Y2974" i="6"/>
  <c r="Z2976" i="6"/>
  <c r="Y2976" i="6"/>
  <c r="Z2985" i="6"/>
  <c r="Y2985" i="6"/>
  <c r="Z2990" i="6"/>
  <c r="Y2990" i="6"/>
  <c r="Z2991" i="6"/>
  <c r="Y2991" i="6"/>
  <c r="Z2992" i="6"/>
  <c r="Y2992" i="6"/>
  <c r="Z2993" i="6"/>
  <c r="Y2993" i="6"/>
  <c r="Z2994" i="6"/>
  <c r="Y2994" i="6"/>
  <c r="Z2995" i="6"/>
  <c r="Y2995" i="6"/>
  <c r="Z2996" i="6"/>
  <c r="Y2996" i="6"/>
  <c r="Z2997" i="6"/>
  <c r="Y2997" i="6"/>
  <c r="Z2999" i="6"/>
  <c r="Y2999" i="6"/>
  <c r="Z3000" i="6"/>
  <c r="Y3000" i="6"/>
  <c r="Z3001" i="6"/>
  <c r="Y3001" i="6"/>
  <c r="Z3002" i="6"/>
  <c r="Y3002" i="6"/>
  <c r="Z2935" i="6"/>
  <c r="Y2935" i="6"/>
  <c r="Z2936" i="6"/>
  <c r="Y2936" i="6"/>
  <c r="Z2937" i="6"/>
  <c r="Y2937" i="6"/>
  <c r="Z2938" i="6"/>
  <c r="Y2938" i="6"/>
  <c r="Z2939" i="6"/>
  <c r="Y2939" i="6"/>
  <c r="Z2942" i="6"/>
  <c r="Y2942" i="6"/>
  <c r="Z2948" i="6"/>
  <c r="Y2948" i="6"/>
  <c r="Z2949" i="6"/>
  <c r="Y2949" i="6"/>
  <c r="Z2950" i="6"/>
  <c r="Y2950" i="6"/>
  <c r="Z2951" i="6"/>
  <c r="Y2951" i="6"/>
  <c r="Z2953" i="6"/>
  <c r="Y2953" i="6"/>
  <c r="Z2961" i="6"/>
  <c r="Y2961" i="6"/>
  <c r="Z2962" i="6"/>
  <c r="Y2962" i="6"/>
  <c r="Z2964" i="6"/>
  <c r="Y2964" i="6"/>
  <c r="Z2966" i="6"/>
  <c r="Y2966" i="6"/>
  <c r="Z2969" i="6"/>
  <c r="Y2969" i="6"/>
  <c r="Z2971" i="6"/>
  <c r="Y2971" i="6"/>
  <c r="Z2930" i="6"/>
  <c r="Y2930" i="6"/>
  <c r="Z2917" i="6"/>
  <c r="Y2917" i="6"/>
  <c r="Z2918" i="6"/>
  <c r="Y2918" i="6"/>
  <c r="Z2920" i="6"/>
  <c r="Y2920" i="6"/>
  <c r="Z2921" i="6"/>
  <c r="Y2921" i="6"/>
  <c r="Y2028" i="6"/>
  <c r="Z2028" i="6"/>
  <c r="Y2029" i="6"/>
  <c r="Z2029" i="6"/>
  <c r="Y2030" i="6"/>
  <c r="Z2030" i="6"/>
  <c r="Y2033" i="6"/>
  <c r="Z2033" i="6"/>
  <c r="Y2034" i="6"/>
  <c r="Z2034" i="6"/>
  <c r="Y2035" i="6"/>
  <c r="Z2035" i="6"/>
  <c r="Y2036" i="6"/>
  <c r="Z2036" i="6"/>
  <c r="Y2038" i="6"/>
  <c r="Z2038" i="6"/>
  <c r="Y2039" i="6"/>
  <c r="Z2039" i="6"/>
  <c r="Y2040" i="6"/>
  <c r="Z2040" i="6"/>
  <c r="Y2041" i="6"/>
  <c r="Z2041" i="6"/>
  <c r="Y2989" i="6"/>
  <c r="Z2989" i="6"/>
  <c r="Y2984" i="6"/>
  <c r="Z2984" i="6"/>
  <c r="Y2983" i="6"/>
  <c r="Z2983" i="6"/>
  <c r="Y2981" i="6"/>
  <c r="Z2981" i="6"/>
  <c r="Y2982" i="6"/>
  <c r="Z2982" i="6"/>
  <c r="Y2980" i="6"/>
  <c r="Z2980" i="6"/>
  <c r="Y2979" i="6"/>
  <c r="Z2979" i="6"/>
  <c r="Y2968" i="6"/>
  <c r="Z2968" i="6"/>
  <c r="Y2967" i="6"/>
  <c r="Z2967" i="6"/>
  <c r="Y2959" i="6"/>
  <c r="Z2959" i="6"/>
  <c r="Y2958" i="6"/>
  <c r="Z2958" i="6"/>
  <c r="Y2957" i="6"/>
  <c r="Z2957" i="6"/>
  <c r="Z2956" i="6"/>
  <c r="Y2956" i="6"/>
  <c r="Y2947" i="6"/>
  <c r="Z2947" i="6"/>
  <c r="Z2944" i="6"/>
  <c r="Y2944" i="6"/>
  <c r="Y2945" i="6"/>
  <c r="Z2945" i="6"/>
  <c r="Y2946" i="6"/>
  <c r="Z2946" i="6"/>
  <c r="Y2943" i="6"/>
  <c r="Z2943" i="6"/>
  <c r="Y2934" i="6"/>
  <c r="Z2934" i="6"/>
  <c r="Y2933" i="6"/>
  <c r="Z2933" i="6"/>
  <c r="Y2932" i="6"/>
  <c r="Z2932" i="6"/>
  <c r="Y2931" i="6"/>
  <c r="Z2931" i="6"/>
  <c r="Y1874" i="6"/>
  <c r="Z1874" i="6"/>
  <c r="Y1875" i="6"/>
  <c r="Z1875" i="6"/>
  <c r="Y2054" i="6"/>
  <c r="Z2054" i="6"/>
  <c r="Z2813" i="6"/>
  <c r="Y2813" i="6"/>
  <c r="Y2614" i="6"/>
  <c r="Z2614" i="6"/>
  <c r="Y2523" i="6"/>
  <c r="Z2523" i="6"/>
  <c r="Y1848" i="6"/>
  <c r="Z1848" i="6"/>
  <c r="Y2902" i="6"/>
  <c r="Z2902" i="6"/>
  <c r="Y2903" i="6"/>
  <c r="Z2903" i="6"/>
  <c r="Y2904" i="6"/>
  <c r="Z2904" i="6"/>
  <c r="Y2905" i="6"/>
  <c r="Z2905" i="6"/>
  <c r="Z2907" i="6"/>
  <c r="Y2907" i="6"/>
  <c r="Z2908" i="6"/>
  <c r="Y2908" i="6"/>
  <c r="Y2909" i="6"/>
  <c r="Z2909" i="6"/>
  <c r="Z2893" i="6"/>
  <c r="Y2893" i="6"/>
  <c r="Z2895" i="6"/>
  <c r="Y2895" i="6"/>
  <c r="Z2896" i="6"/>
  <c r="Y2896" i="6"/>
  <c r="Y2897" i="6"/>
  <c r="Z2897" i="6"/>
  <c r="Y2898" i="6"/>
  <c r="Z2898" i="6"/>
  <c r="Z2886" i="6"/>
  <c r="Y2886" i="6"/>
  <c r="Y2888" i="6"/>
  <c r="Z2888" i="6"/>
  <c r="Z2891" i="6"/>
  <c r="Y2891" i="6"/>
  <c r="Y2892" i="6"/>
  <c r="Z2892" i="6"/>
  <c r="Z2884" i="6"/>
  <c r="Y2884" i="6"/>
  <c r="Z2865" i="6"/>
  <c r="Y2865" i="6"/>
  <c r="Z2866" i="6"/>
  <c r="Y2866" i="6"/>
  <c r="Z2868" i="6"/>
  <c r="Y2868" i="6"/>
  <c r="Y2869" i="6"/>
  <c r="Z2869" i="6"/>
  <c r="Z2871" i="6"/>
  <c r="Y2871" i="6"/>
  <c r="Z2872" i="6"/>
  <c r="Y2872" i="6"/>
  <c r="Y2874" i="6"/>
  <c r="Z2874" i="6"/>
  <c r="Z2876" i="6"/>
  <c r="Y2876" i="6"/>
  <c r="Y2877" i="6"/>
  <c r="Z2877" i="6"/>
  <c r="Y2878" i="6"/>
  <c r="Z2878" i="6"/>
  <c r="Y2879" i="6"/>
  <c r="Z2879" i="6"/>
  <c r="Y2880" i="6"/>
  <c r="Z2880" i="6"/>
  <c r="Y2882" i="6"/>
  <c r="Z2882" i="6"/>
  <c r="Y2843" i="6"/>
  <c r="Z2843" i="6"/>
  <c r="Y2845" i="6"/>
  <c r="Z2845" i="6"/>
  <c r="Y2847" i="6"/>
  <c r="Z2847" i="6"/>
  <c r="Y2848" i="6"/>
  <c r="Z2848" i="6"/>
  <c r="Y2850" i="6"/>
  <c r="Z2850" i="6"/>
  <c r="Y2851" i="6"/>
  <c r="Z2851" i="6"/>
  <c r="Y2852" i="6"/>
  <c r="Z2852" i="6"/>
  <c r="Y2853" i="6"/>
  <c r="Z2853" i="6"/>
  <c r="Y2854" i="6"/>
  <c r="Z2854" i="6"/>
  <c r="Y2856" i="6"/>
  <c r="Z2856" i="6"/>
  <c r="Y2858" i="6"/>
  <c r="Z2858" i="6"/>
  <c r="Y2859" i="6"/>
  <c r="Z2859" i="6"/>
  <c r="Y2861" i="6"/>
  <c r="Z2861" i="6"/>
  <c r="Z2862" i="6"/>
  <c r="Y2862" i="6"/>
  <c r="Y2863" i="6"/>
  <c r="Z2863" i="6"/>
  <c r="Y2841" i="6"/>
  <c r="Z2841" i="6"/>
  <c r="Y2807" i="6"/>
  <c r="Z2807" i="6"/>
  <c r="Z2765" i="6"/>
  <c r="Y2765" i="6"/>
  <c r="Z2766" i="6"/>
  <c r="Y2766" i="6"/>
  <c r="Z2768" i="6"/>
  <c r="Y2768" i="6"/>
  <c r="Z2769" i="6"/>
  <c r="Y2769" i="6"/>
  <c r="Z2771" i="6"/>
  <c r="Y2771" i="6"/>
  <c r="Z2772" i="6"/>
  <c r="Y2772" i="6"/>
  <c r="Y2773" i="6"/>
  <c r="Z2773" i="6"/>
  <c r="Z2775" i="6"/>
  <c r="Y2775" i="6"/>
  <c r="Y2776" i="6"/>
  <c r="Z2776" i="6"/>
  <c r="Z2777" i="6"/>
  <c r="Y2777" i="6"/>
  <c r="Z2778" i="6"/>
  <c r="Y2778" i="6"/>
  <c r="Z2779" i="6"/>
  <c r="Y2779" i="6"/>
  <c r="Y2782" i="6"/>
  <c r="Z2782" i="6"/>
  <c r="Z2784" i="6"/>
  <c r="Y2784" i="6"/>
  <c r="Z2786" i="6"/>
  <c r="Y2786" i="6"/>
  <c r="Z2788" i="6"/>
  <c r="Y2788" i="6"/>
  <c r="Z2789" i="6"/>
  <c r="Y2789" i="6"/>
  <c r="Z2790" i="6"/>
  <c r="Y2790" i="6"/>
  <c r="Z2741" i="6"/>
  <c r="Y2741" i="6"/>
  <c r="Z2742" i="6"/>
  <c r="Y2742" i="6"/>
  <c r="Z2744" i="6"/>
  <c r="Y2744" i="6"/>
  <c r="Y2745" i="6"/>
  <c r="Z2745" i="6"/>
  <c r="Y2747" i="6"/>
  <c r="Z2747" i="6"/>
  <c r="Z2748" i="6"/>
  <c r="Y2748" i="6"/>
  <c r="Y2749" i="6"/>
  <c r="Z2749" i="6"/>
  <c r="Z2751" i="6"/>
  <c r="Y2751" i="6"/>
  <c r="Y2754" i="6"/>
  <c r="Z2754" i="6"/>
  <c r="Y2755" i="6"/>
  <c r="Z2755" i="6"/>
  <c r="Y2757" i="6"/>
  <c r="Z2757" i="6"/>
  <c r="Y2758" i="6"/>
  <c r="Z2758" i="6"/>
  <c r="Z2760" i="6"/>
  <c r="Y2760" i="6"/>
  <c r="Z2761" i="6"/>
  <c r="Y2761" i="6"/>
  <c r="Z2733" i="6"/>
  <c r="Y2733" i="6"/>
  <c r="Y2734" i="6"/>
  <c r="Z2734" i="6"/>
  <c r="Z2735" i="6"/>
  <c r="Y2735" i="6"/>
  <c r="Y2736" i="6"/>
  <c r="Z2736" i="6"/>
  <c r="Y2737" i="6"/>
  <c r="Z2737" i="6"/>
  <c r="Y2738" i="6"/>
  <c r="Z2738" i="6"/>
  <c r="Y2739" i="6"/>
  <c r="Z2739" i="6"/>
  <c r="Y2740" i="6"/>
  <c r="Z2740" i="6"/>
  <c r="Z2731" i="6"/>
  <c r="Y2731" i="6"/>
  <c r="Z2730" i="6"/>
  <c r="Y2730" i="6"/>
  <c r="Y2728" i="6"/>
  <c r="Z2728" i="6"/>
  <c r="Z2727" i="6"/>
  <c r="Y2727" i="6"/>
  <c r="Y2684" i="6"/>
  <c r="Z2684" i="6"/>
  <c r="Z2688" i="6"/>
  <c r="Y2688" i="6"/>
  <c r="Y2689" i="6"/>
  <c r="Z2689" i="6"/>
  <c r="Y2691" i="6"/>
  <c r="Z2691" i="6"/>
  <c r="Y2692" i="6"/>
  <c r="Z2692" i="6"/>
  <c r="Y2694" i="6"/>
  <c r="Z2694" i="6"/>
  <c r="Z2695" i="6"/>
  <c r="Y2695" i="6"/>
  <c r="Z2696" i="6"/>
  <c r="Y2696" i="6"/>
  <c r="Z2698" i="6"/>
  <c r="Y2698" i="6"/>
  <c r="Z2702" i="6"/>
  <c r="Y2702" i="6"/>
  <c r="Y2704" i="6"/>
  <c r="Z2704" i="6"/>
  <c r="Y2705" i="6"/>
  <c r="Z2705" i="6"/>
  <c r="Y2707" i="6"/>
  <c r="Z2707" i="6"/>
  <c r="Z2708" i="6"/>
  <c r="Y2708" i="6"/>
  <c r="Z2710" i="6"/>
  <c r="Y2710" i="6"/>
  <c r="Y2712" i="6"/>
  <c r="Z2712" i="6"/>
  <c r="Y2714" i="6"/>
  <c r="Z2714" i="6"/>
  <c r="Y2716" i="6"/>
  <c r="Z2716" i="6"/>
  <c r="Z2718" i="6"/>
  <c r="Y2718" i="6"/>
  <c r="Y2719" i="6"/>
  <c r="Z2719" i="6"/>
  <c r="Y2720" i="6"/>
  <c r="Z2720" i="6"/>
  <c r="Z2721" i="6"/>
  <c r="Y2721" i="6"/>
  <c r="Z2722" i="6"/>
  <c r="Y2722" i="6"/>
  <c r="Z2723" i="6"/>
  <c r="Y2723" i="6"/>
  <c r="Z2724" i="6"/>
  <c r="Y2724" i="6"/>
  <c r="Y2725" i="6"/>
  <c r="Z2725" i="6"/>
  <c r="Y2642" i="6"/>
  <c r="Z2642" i="6"/>
  <c r="Y2643" i="6"/>
  <c r="Z2643" i="6"/>
  <c r="Z2644" i="6"/>
  <c r="Y2644" i="6"/>
  <c r="Z2646" i="6"/>
  <c r="Y2646" i="6"/>
  <c r="Y2647" i="6"/>
  <c r="Z2647" i="6"/>
  <c r="Z2648" i="6"/>
  <c r="Y2648" i="6"/>
  <c r="Z2649" i="6"/>
  <c r="Y2649" i="6"/>
  <c r="Z2650" i="6"/>
  <c r="Y2650" i="6"/>
  <c r="Z2652" i="6"/>
  <c r="Y2652" i="6"/>
  <c r="Y2657" i="6"/>
  <c r="Z2657" i="6"/>
  <c r="Z2658" i="6"/>
  <c r="Y2658" i="6"/>
  <c r="Y2659" i="6"/>
  <c r="Z2659" i="6"/>
  <c r="Z2660" i="6"/>
  <c r="Y2660" i="6"/>
  <c r="Z2624" i="6"/>
  <c r="Y2624" i="6"/>
  <c r="Y2626" i="6"/>
  <c r="Z2626" i="6"/>
  <c r="Y2627" i="6"/>
  <c r="Z2627" i="6"/>
  <c r="Y2629" i="6"/>
  <c r="Z2629" i="6"/>
  <c r="Z2630" i="6"/>
  <c r="Y2630" i="6"/>
  <c r="Z2631" i="6"/>
  <c r="Y2631" i="6"/>
  <c r="Z2633" i="6"/>
  <c r="Y2633" i="6"/>
  <c r="Z2634" i="6"/>
  <c r="Y2634" i="6"/>
  <c r="Z2635" i="6"/>
  <c r="Y2635" i="6"/>
  <c r="Y2636" i="6"/>
  <c r="Z2636" i="6"/>
  <c r="Y2638" i="6"/>
  <c r="Z2638" i="6"/>
  <c r="Z2639" i="6"/>
  <c r="Y2639" i="6"/>
  <c r="Z2622" i="6"/>
  <c r="Y2622" i="6"/>
  <c r="Z2599" i="6"/>
  <c r="Y2599" i="6"/>
  <c r="Z2601" i="6"/>
  <c r="Y2601" i="6"/>
  <c r="Z2607" i="6"/>
  <c r="Y2607" i="6"/>
  <c r="Y2609" i="6"/>
  <c r="Z2609" i="6"/>
  <c r="Y2610" i="6"/>
  <c r="Z2610" i="6"/>
  <c r="Y2612" i="6"/>
  <c r="Z2612" i="6"/>
  <c r="Z2615" i="6"/>
  <c r="Y2615" i="6"/>
  <c r="Y2617" i="6"/>
  <c r="Z2617" i="6"/>
  <c r="Y2618" i="6"/>
  <c r="Z2618" i="6"/>
  <c r="Z2597" i="6"/>
  <c r="Y2597" i="6"/>
  <c r="Z2596" i="6"/>
  <c r="Y2596" i="6"/>
  <c r="Z2588" i="6"/>
  <c r="Y2588" i="6"/>
  <c r="Y2589" i="6"/>
  <c r="Z2589" i="6"/>
  <c r="Z2590" i="6"/>
  <c r="Y2590" i="6"/>
  <c r="Z2591" i="6"/>
  <c r="Y2591" i="6"/>
  <c r="Z2592" i="6"/>
  <c r="Y2592" i="6"/>
  <c r="Z2593" i="6"/>
  <c r="Y2593" i="6"/>
  <c r="Y2563" i="6"/>
  <c r="Z2563" i="6"/>
  <c r="Y2564" i="6"/>
  <c r="Z2564" i="6"/>
  <c r="Z2567" i="6"/>
  <c r="Y2567" i="6"/>
  <c r="Z2568" i="6"/>
  <c r="Y2568" i="6"/>
  <c r="Y2569" i="6"/>
  <c r="Z2569" i="6"/>
  <c r="Y2571" i="6"/>
  <c r="Z2571" i="6"/>
  <c r="Z2572" i="6"/>
  <c r="Y2572" i="6"/>
  <c r="Z2573" i="6"/>
  <c r="Y2573" i="6"/>
  <c r="Z2574" i="6"/>
  <c r="Y2574" i="6"/>
  <c r="Y2575" i="6"/>
  <c r="Z2575" i="6"/>
  <c r="Y2576" i="6"/>
  <c r="Z2576" i="6"/>
  <c r="Y2577" i="6"/>
  <c r="Z2577" i="6"/>
  <c r="Y2578" i="6"/>
  <c r="Z2578" i="6"/>
  <c r="Y2580" i="6"/>
  <c r="Z2580" i="6"/>
  <c r="Y2581" i="6"/>
  <c r="Z2581" i="6"/>
  <c r="Z2582" i="6"/>
  <c r="Y2582" i="6"/>
  <c r="Y2583" i="6"/>
  <c r="Z2583" i="6"/>
  <c r="Z2584" i="6"/>
  <c r="Y2584" i="6"/>
  <c r="Z2513" i="6"/>
  <c r="Y2513" i="6"/>
  <c r="Y2514" i="6"/>
  <c r="Z2514" i="6"/>
  <c r="Y2543" i="6"/>
  <c r="Z2543" i="6"/>
  <c r="Z2545" i="6"/>
  <c r="Y2545" i="6"/>
  <c r="Y2547" i="6"/>
  <c r="Z2547" i="6"/>
  <c r="Y2549" i="6"/>
  <c r="Z2549" i="6"/>
  <c r="Y2550" i="6"/>
  <c r="Z2550" i="6"/>
  <c r="Z2552" i="6"/>
  <c r="Y2552" i="6"/>
  <c r="Z2554" i="6"/>
  <c r="Y2554" i="6"/>
  <c r="Z2556" i="6"/>
  <c r="Y2556" i="6"/>
  <c r="Z2557" i="6"/>
  <c r="Y2557" i="6"/>
  <c r="Y2558" i="6"/>
  <c r="Z2558" i="6"/>
  <c r="Y2559" i="6"/>
  <c r="Z2559" i="6"/>
  <c r="Z2560" i="6"/>
  <c r="Y2560" i="6"/>
  <c r="Y2561" i="6"/>
  <c r="Z2561" i="6"/>
  <c r="Y2562" i="6"/>
  <c r="Z2562" i="6"/>
  <c r="Z2517" i="6"/>
  <c r="Y2517" i="6"/>
  <c r="Z2521" i="6"/>
  <c r="Y2521" i="6"/>
  <c r="Y2525" i="6"/>
  <c r="Z2525" i="6"/>
  <c r="Y2526" i="6"/>
  <c r="Z2526" i="6"/>
  <c r="Z2528" i="6"/>
  <c r="Y2528" i="6"/>
  <c r="Z2529" i="6"/>
  <c r="Y2529" i="6"/>
  <c r="Y2531" i="6"/>
  <c r="Z2531" i="6"/>
  <c r="Y2533" i="6"/>
  <c r="Z2533" i="6"/>
  <c r="Z2536" i="6"/>
  <c r="Y2536" i="6"/>
  <c r="Z2537" i="6"/>
  <c r="Y2537" i="6"/>
  <c r="Y2538" i="6"/>
  <c r="Z2538" i="6"/>
  <c r="Z2505" i="6"/>
  <c r="Y2505" i="6"/>
  <c r="Z2506" i="6"/>
  <c r="Y2506" i="6"/>
  <c r="Y2508" i="6"/>
  <c r="Z2508" i="6"/>
  <c r="Y2510" i="6"/>
  <c r="Z2510" i="6"/>
  <c r="Z2503" i="6"/>
  <c r="Y2503" i="6"/>
  <c r="Z2477" i="6"/>
  <c r="Y2477" i="6"/>
  <c r="Y2478" i="6"/>
  <c r="Z2478" i="6"/>
  <c r="Z2479" i="6"/>
  <c r="Y2479" i="6"/>
  <c r="Z2480" i="6"/>
  <c r="Y2480" i="6"/>
  <c r="Z2482" i="6"/>
  <c r="Y2482" i="6"/>
  <c r="Z2484" i="6"/>
  <c r="Y2484" i="6"/>
  <c r="Y2485" i="6"/>
  <c r="Z2485" i="6"/>
  <c r="Z2486" i="6"/>
  <c r="Y2486" i="6"/>
  <c r="Y2487" i="6"/>
  <c r="Z2487" i="6"/>
  <c r="Y2488" i="6"/>
  <c r="Z2488" i="6"/>
  <c r="Y2489" i="6"/>
  <c r="Z2489" i="6"/>
  <c r="Y2490" i="6"/>
  <c r="Z2490" i="6"/>
  <c r="Y2491" i="6"/>
  <c r="Z2491" i="6"/>
  <c r="Y2492" i="6"/>
  <c r="Z2492" i="6"/>
  <c r="Z2493" i="6"/>
  <c r="Y2493" i="6"/>
  <c r="Y2494" i="6"/>
  <c r="Z2494" i="6"/>
  <c r="Y2495" i="6"/>
  <c r="Z2495" i="6"/>
  <c r="Z2496" i="6"/>
  <c r="Y2496" i="6"/>
  <c r="Z2497" i="6"/>
  <c r="Y2497" i="6"/>
  <c r="Y2498" i="6"/>
  <c r="Z2498" i="6"/>
  <c r="Z2499" i="6"/>
  <c r="Y2499" i="6"/>
  <c r="Z2459" i="6"/>
  <c r="Y2459" i="6"/>
  <c r="Z2460" i="6"/>
  <c r="Y2460" i="6"/>
  <c r="Y2461" i="6"/>
  <c r="Z2461" i="6"/>
  <c r="Z2462" i="6"/>
  <c r="Y2462" i="6"/>
  <c r="Z2463" i="6"/>
  <c r="Y2463" i="6"/>
  <c r="Z2464" i="6"/>
  <c r="Y2464" i="6"/>
  <c r="Y2466" i="6"/>
  <c r="Z2466" i="6"/>
  <c r="Y2467" i="6"/>
  <c r="Z2467" i="6"/>
  <c r="Z2469" i="6"/>
  <c r="Y2469" i="6"/>
  <c r="Z2470" i="6"/>
  <c r="Y2470" i="6"/>
  <c r="Z2471" i="6"/>
  <c r="Y2471" i="6"/>
  <c r="Y2472" i="6"/>
  <c r="Z2472" i="6"/>
  <c r="Y2474" i="6"/>
  <c r="Z2474" i="6"/>
  <c r="Y2475" i="6"/>
  <c r="Z2475" i="6"/>
  <c r="Z2476" i="6"/>
  <c r="Y2476" i="6"/>
  <c r="Y2445" i="6"/>
  <c r="Z2445" i="6"/>
  <c r="Z2446" i="6"/>
  <c r="Y2446" i="6"/>
  <c r="Z2447" i="6"/>
  <c r="Y2447" i="6"/>
  <c r="Y2448" i="6"/>
  <c r="Z2448" i="6"/>
  <c r="Y2449" i="6"/>
  <c r="Z2449" i="6"/>
  <c r="Z2451" i="6"/>
  <c r="Y2451" i="6"/>
  <c r="Z2452" i="6"/>
  <c r="Y2452" i="6"/>
  <c r="Z2455" i="6"/>
  <c r="Y2455" i="6"/>
  <c r="Z2427" i="6"/>
  <c r="Y2427" i="6"/>
  <c r="Z2430" i="6"/>
  <c r="Y2430" i="6"/>
  <c r="Z2431" i="6"/>
  <c r="Y2431" i="6"/>
  <c r="Y2433" i="6"/>
  <c r="Z2433" i="6"/>
  <c r="Y2435" i="6"/>
  <c r="Z2435" i="6"/>
  <c r="Z2437" i="6"/>
  <c r="Y2437" i="6"/>
  <c r="Y2438" i="6"/>
  <c r="Z2438" i="6"/>
  <c r="Z2440" i="6"/>
  <c r="Y2440" i="6"/>
  <c r="Y2441" i="6"/>
  <c r="Z2441" i="6"/>
  <c r="Z2442" i="6"/>
  <c r="Y2442" i="6"/>
  <c r="Y2412" i="6"/>
  <c r="Z2412" i="6"/>
  <c r="Z2414" i="6"/>
  <c r="Y2414" i="6"/>
  <c r="Z2415" i="6"/>
  <c r="Y2415" i="6"/>
  <c r="Y2417" i="6"/>
  <c r="Z2417" i="6"/>
  <c r="Z2418" i="6"/>
  <c r="Y2418" i="6"/>
  <c r="Y2420" i="6"/>
  <c r="Z2420" i="6"/>
  <c r="Z2421" i="6"/>
  <c r="Y2421" i="6"/>
  <c r="Y2422" i="6"/>
  <c r="Z2422" i="6"/>
  <c r="Y2425" i="6"/>
  <c r="Z2425" i="6"/>
  <c r="Y2426" i="6"/>
  <c r="Z2426" i="6"/>
  <c r="Z2408" i="6"/>
  <c r="Y2408" i="6"/>
  <c r="Y2409" i="6"/>
  <c r="Z2409" i="6"/>
  <c r="Y2411" i="6"/>
  <c r="Z2411" i="6"/>
  <c r="Y2390" i="6"/>
  <c r="Z2390" i="6"/>
  <c r="Y2391" i="6"/>
  <c r="Z2391" i="6"/>
  <c r="Z2392" i="6"/>
  <c r="Y2392" i="6"/>
  <c r="Z2394" i="6"/>
  <c r="Y2394" i="6"/>
  <c r="Z2395" i="6"/>
  <c r="Y2395" i="6"/>
  <c r="Z2396" i="6"/>
  <c r="Y2396" i="6"/>
  <c r="Y2397" i="6"/>
  <c r="Z2397" i="6"/>
  <c r="Y2398" i="6"/>
  <c r="Z2398" i="6"/>
  <c r="Y2399" i="6"/>
  <c r="Z2399" i="6"/>
  <c r="Z2400" i="6"/>
  <c r="Y2400" i="6"/>
  <c r="Z2401" i="6"/>
  <c r="Y2401" i="6"/>
  <c r="Z2402" i="6"/>
  <c r="Y2402" i="6"/>
  <c r="Y2369" i="6"/>
  <c r="Z2369" i="6"/>
  <c r="Z2370" i="6"/>
  <c r="Y2370" i="6"/>
  <c r="Z2371" i="6"/>
  <c r="Y2371" i="6"/>
  <c r="Y2372" i="6"/>
  <c r="Z2372" i="6"/>
  <c r="Y2373" i="6"/>
  <c r="Z2373" i="6"/>
  <c r="Y2374" i="6"/>
  <c r="Z2374" i="6"/>
  <c r="Y2375" i="6"/>
  <c r="Z2375" i="6"/>
  <c r="Z2377" i="6"/>
  <c r="Y2377" i="6"/>
  <c r="Z2378" i="6"/>
  <c r="Y2378" i="6"/>
  <c r="Y2379" i="6"/>
  <c r="Z2379" i="6"/>
  <c r="Y2380" i="6"/>
  <c r="Z2380" i="6"/>
  <c r="Y2381" i="6"/>
  <c r="Z2381" i="6"/>
  <c r="Y2382" i="6"/>
  <c r="Z2382" i="6"/>
  <c r="Y2383" i="6"/>
  <c r="Z2383" i="6"/>
  <c r="Y2385" i="6"/>
  <c r="Z2385" i="6"/>
  <c r="Z2386" i="6"/>
  <c r="Y2386" i="6"/>
  <c r="Y2387" i="6"/>
  <c r="Z2387" i="6"/>
  <c r="Y2388" i="6"/>
  <c r="Z2388" i="6"/>
  <c r="Y2389" i="6"/>
  <c r="Z2389" i="6"/>
  <c r="Y2352" i="6"/>
  <c r="Z2352" i="6"/>
  <c r="Y2354" i="6"/>
  <c r="Z2354" i="6"/>
  <c r="Z2355" i="6"/>
  <c r="Y2355" i="6"/>
  <c r="Z2357" i="6"/>
  <c r="Y2357" i="6"/>
  <c r="Y2359" i="6"/>
  <c r="Z2359" i="6"/>
  <c r="Y2360" i="6"/>
  <c r="Z2360" i="6"/>
  <c r="Z2363" i="6"/>
  <c r="Y2363" i="6"/>
  <c r="Y2364" i="6"/>
  <c r="Z2364" i="6"/>
  <c r="Z2366" i="6"/>
  <c r="Y2366" i="6"/>
  <c r="Y2343" i="6"/>
  <c r="Z2343" i="6"/>
  <c r="Z2344" i="6"/>
  <c r="Y2344" i="6"/>
  <c r="Z2345" i="6"/>
  <c r="Y2345" i="6"/>
  <c r="Y2347" i="6"/>
  <c r="Z2347" i="6"/>
  <c r="Y2348" i="6"/>
  <c r="Z2348" i="6"/>
  <c r="Y2350" i="6"/>
  <c r="Z2350" i="6"/>
  <c r="Y2351" i="6"/>
  <c r="Z2351" i="6"/>
  <c r="Y2341" i="6"/>
  <c r="Z2341" i="6"/>
  <c r="Z2340" i="6"/>
  <c r="Y2340" i="6"/>
  <c r="Z2326" i="6"/>
  <c r="Y2326" i="6"/>
  <c r="Z2327" i="6"/>
  <c r="Y2327" i="6"/>
  <c r="Y2328" i="6"/>
  <c r="Z2328" i="6"/>
  <c r="Z2329" i="6"/>
  <c r="Y2329" i="6"/>
  <c r="Y2331" i="6"/>
  <c r="Z2331" i="6"/>
  <c r="Y2333" i="6"/>
  <c r="Z2333" i="6"/>
  <c r="Y2334" i="6"/>
  <c r="Z2334" i="6"/>
  <c r="Y2337" i="6"/>
  <c r="Z2337" i="6"/>
  <c r="Y2316" i="6"/>
  <c r="Z2316" i="6"/>
  <c r="Y2317" i="6"/>
  <c r="Z2317" i="6"/>
  <c r="Y2319" i="6"/>
  <c r="Z2319" i="6"/>
  <c r="Z2320" i="6"/>
  <c r="Y2320" i="6"/>
  <c r="Z2322" i="6"/>
  <c r="Y2322" i="6"/>
  <c r="Y2324" i="6"/>
  <c r="Z2324" i="6"/>
  <c r="Y2314" i="6"/>
  <c r="Z2314" i="6"/>
  <c r="Y2296" i="6"/>
  <c r="Z2296" i="6"/>
  <c r="Y2297" i="6"/>
  <c r="Z2297" i="6"/>
  <c r="Y2298" i="6"/>
  <c r="Z2298" i="6"/>
  <c r="Y2299" i="6"/>
  <c r="Z2299" i="6"/>
  <c r="Z2300" i="6"/>
  <c r="Y2300" i="6"/>
  <c r="Z2301" i="6"/>
  <c r="Y2301" i="6"/>
  <c r="Y2302" i="6"/>
  <c r="Z2302" i="6"/>
  <c r="Z2303" i="6"/>
  <c r="Y2303" i="6"/>
  <c r="Z2304" i="6"/>
  <c r="Y2304" i="6"/>
  <c r="Y2305" i="6"/>
  <c r="Z2305" i="6"/>
  <c r="Y2306" i="6"/>
  <c r="Z2306" i="6"/>
  <c r="Z2307" i="6"/>
  <c r="Y2307" i="6"/>
  <c r="Z2308" i="6"/>
  <c r="Y2308" i="6"/>
  <c r="Y2309" i="6"/>
  <c r="Z2309" i="6"/>
  <c r="Z2311" i="6"/>
  <c r="Y2311" i="6"/>
  <c r="Z2312" i="6"/>
  <c r="Y2312" i="6"/>
  <c r="Y2313" i="6"/>
  <c r="Z2313" i="6"/>
  <c r="Y2272" i="6"/>
  <c r="Z2272" i="6"/>
  <c r="Y2273" i="6"/>
  <c r="Z2273" i="6"/>
  <c r="Y2274" i="6"/>
  <c r="Z2274" i="6"/>
  <c r="Y2275" i="6"/>
  <c r="Z2275" i="6"/>
  <c r="Y2276" i="6"/>
  <c r="Z2276" i="6"/>
  <c r="Z2277" i="6"/>
  <c r="Y2277" i="6"/>
  <c r="Y2278" i="6"/>
  <c r="Z2278" i="6"/>
  <c r="Z2279" i="6"/>
  <c r="Y2279" i="6"/>
  <c r="Z2280" i="6"/>
  <c r="Y2280" i="6"/>
  <c r="Y2281" i="6"/>
  <c r="Z2281" i="6"/>
  <c r="Z2282" i="6"/>
  <c r="Y2282" i="6"/>
  <c r="Z2283" i="6"/>
  <c r="Y2283" i="6"/>
  <c r="Z2284" i="6"/>
  <c r="Y2284" i="6"/>
  <c r="Y2285" i="6"/>
  <c r="Z2285" i="6"/>
  <c r="Z2286" i="6"/>
  <c r="Y2286" i="6"/>
  <c r="Z2287" i="6"/>
  <c r="Y2287" i="6"/>
  <c r="Y2288" i="6"/>
  <c r="Z2288" i="6"/>
  <c r="Y2289" i="6"/>
  <c r="Z2289" i="6"/>
  <c r="Z2291" i="6"/>
  <c r="Y2291" i="6"/>
  <c r="Y2292" i="6"/>
  <c r="Z2292" i="6"/>
  <c r="Y2293" i="6"/>
  <c r="Z2293" i="6"/>
  <c r="Z2294" i="6"/>
  <c r="Y2294" i="6"/>
  <c r="Z2249" i="6"/>
  <c r="Y2249" i="6"/>
  <c r="Z2250" i="6"/>
  <c r="Y2250" i="6"/>
  <c r="Y2252" i="6"/>
  <c r="Z2252" i="6"/>
  <c r="Y2254" i="6"/>
  <c r="Z2254" i="6"/>
  <c r="Y2255" i="6"/>
  <c r="Z2255" i="6"/>
  <c r="Z2257" i="6"/>
  <c r="Y2257" i="6"/>
  <c r="Z2259" i="6"/>
  <c r="Y2259" i="6"/>
  <c r="Y2260" i="6"/>
  <c r="Z2260" i="6"/>
  <c r="Z2263" i="6"/>
  <c r="Y2263" i="6"/>
  <c r="Z2264" i="6"/>
  <c r="Y2264" i="6"/>
  <c r="Y2265" i="6"/>
  <c r="Z2265" i="6"/>
  <c r="Z2267" i="6"/>
  <c r="Y2267" i="6"/>
  <c r="Y2270" i="6"/>
  <c r="Z2270" i="6"/>
  <c r="Y2228" i="6"/>
  <c r="Z2228" i="6"/>
  <c r="Y2229" i="6"/>
  <c r="Z2229" i="6"/>
  <c r="Y2232" i="6"/>
  <c r="Z2232" i="6"/>
  <c r="Z2234" i="6"/>
  <c r="Y2234" i="6"/>
  <c r="Y2235" i="6"/>
  <c r="Z2235" i="6"/>
  <c r="Y2236" i="6"/>
  <c r="Z2236" i="6"/>
  <c r="Z2238" i="6"/>
  <c r="Y2238" i="6"/>
  <c r="Y2239" i="6"/>
  <c r="Z2239" i="6"/>
  <c r="Z2240" i="6"/>
  <c r="Y2240" i="6"/>
  <c r="Z2242" i="6"/>
  <c r="Y2242" i="6"/>
  <c r="Z2244" i="6"/>
  <c r="Y2244" i="6"/>
  <c r="Y2246" i="6"/>
  <c r="Z2246" i="6"/>
  <c r="Y2218" i="6"/>
  <c r="Z2218" i="6"/>
  <c r="Y2220" i="6"/>
  <c r="Z2220" i="6"/>
  <c r="Z2221" i="6"/>
  <c r="Y2221" i="6"/>
  <c r="Z2222" i="6"/>
  <c r="Y2222" i="6"/>
  <c r="Y2224" i="6"/>
  <c r="Z2224" i="6"/>
  <c r="Z2225" i="6"/>
  <c r="Y2225" i="6"/>
  <c r="Y2227" i="6"/>
  <c r="Z2227" i="6"/>
  <c r="Y2212" i="6"/>
  <c r="Z2212" i="6"/>
  <c r="Z2213" i="6"/>
  <c r="Y2213" i="6"/>
  <c r="Y2210" i="6"/>
  <c r="Z2210" i="6"/>
  <c r="Y2209" i="6"/>
  <c r="Z2209" i="6"/>
  <c r="Z2202" i="6"/>
  <c r="Y2202" i="6"/>
  <c r="Y2181" i="6"/>
  <c r="Z2181" i="6"/>
  <c r="Z2130" i="6"/>
  <c r="Y2130" i="6"/>
  <c r="Y2116" i="6"/>
  <c r="Z2116" i="6"/>
  <c r="Z2096" i="6"/>
  <c r="Y2096" i="6"/>
  <c r="Z2097" i="6"/>
  <c r="Y2097" i="6"/>
  <c r="Z2022" i="6"/>
  <c r="Y2022" i="6"/>
  <c r="Z1997" i="6"/>
  <c r="Y1997" i="6"/>
  <c r="Y1973" i="6"/>
  <c r="Z1973" i="6"/>
  <c r="Y1961" i="6"/>
  <c r="Z1961" i="6"/>
  <c r="Y1952" i="6"/>
  <c r="Z1952" i="6"/>
  <c r="Y1937" i="6"/>
  <c r="Z1937" i="6"/>
  <c r="Z1902" i="6"/>
  <c r="Y1902" i="6"/>
  <c r="Y1904" i="6"/>
  <c r="Z1904" i="6"/>
  <c r="Y1905" i="6"/>
  <c r="Z1905" i="6"/>
  <c r="Y1906" i="6"/>
  <c r="Z1906" i="6"/>
  <c r="Z1907" i="6"/>
  <c r="Y1907" i="6"/>
  <c r="Y1911" i="6"/>
  <c r="Z1911" i="6"/>
  <c r="Z1913" i="6"/>
  <c r="Y1913" i="6"/>
  <c r="Y1915" i="6"/>
  <c r="Z1915" i="6"/>
  <c r="Z1918" i="6"/>
  <c r="Y1918" i="6"/>
  <c r="Z1920" i="6"/>
  <c r="Y1920" i="6"/>
  <c r="Y1889" i="6"/>
  <c r="Z1889" i="6"/>
  <c r="Z1890" i="6"/>
  <c r="Y1890" i="6"/>
  <c r="Z1891" i="6"/>
  <c r="Y1891" i="6"/>
  <c r="Y1892" i="6"/>
  <c r="Z1892" i="6"/>
  <c r="Y1893" i="6"/>
  <c r="Z1893" i="6"/>
  <c r="Y1894" i="6"/>
  <c r="Z1894" i="6"/>
  <c r="Z1895" i="6"/>
  <c r="Y1895" i="6"/>
  <c r="Y1896" i="6"/>
  <c r="Z1896" i="6"/>
  <c r="Z1880" i="6"/>
  <c r="Y1880" i="6"/>
  <c r="Z1881" i="6"/>
  <c r="Y1881" i="6"/>
  <c r="Z1883" i="6"/>
  <c r="Y1883" i="6"/>
  <c r="Z1884" i="6"/>
  <c r="Y1884" i="6"/>
  <c r="Z1859" i="6"/>
  <c r="Y1859" i="6"/>
  <c r="Z1864" i="6"/>
  <c r="Y1864" i="6"/>
  <c r="Z1866" i="6"/>
  <c r="Y1866" i="6"/>
  <c r="Y1748" i="6"/>
  <c r="Z1748" i="6"/>
  <c r="Z1734" i="6"/>
  <c r="Y1734" i="6"/>
  <c r="Z1735" i="6"/>
  <c r="Y1735" i="6"/>
  <c r="Y1738" i="6"/>
  <c r="Z1738" i="6"/>
  <c r="Z1504" i="6"/>
  <c r="Y1504" i="6"/>
  <c r="Z1505" i="6"/>
  <c r="Y1505" i="6"/>
  <c r="Z1335" i="6"/>
  <c r="Y1335" i="6"/>
  <c r="Y879" i="6"/>
  <c r="Z879" i="6"/>
  <c r="Y777" i="6"/>
  <c r="Z777" i="6"/>
  <c r="Y690" i="6"/>
  <c r="Z690" i="6"/>
  <c r="Z242" i="6"/>
  <c r="Y242" i="6"/>
  <c r="Z188" i="6"/>
  <c r="Y188" i="6"/>
  <c r="Z194" i="6"/>
  <c r="Y194" i="6"/>
  <c r="Z100" i="6"/>
  <c r="Y100" i="6"/>
  <c r="Y2207" i="6"/>
  <c r="Z2207" i="6"/>
  <c r="Y2208" i="6"/>
  <c r="Z2208" i="6"/>
  <c r="Y2188" i="6"/>
  <c r="Z2188" i="6"/>
  <c r="Y2189" i="6"/>
  <c r="Z2189" i="6"/>
  <c r="Z2192" i="6"/>
  <c r="Y2192" i="6"/>
  <c r="Z2193" i="6"/>
  <c r="Y2193" i="6"/>
  <c r="Z2194" i="6"/>
  <c r="Y2194" i="6"/>
  <c r="Y2196" i="6"/>
  <c r="Z2196" i="6"/>
  <c r="Y2197" i="6"/>
  <c r="Z2197" i="6"/>
  <c r="Z2199" i="6"/>
  <c r="Y2199" i="6"/>
  <c r="Z2203" i="6"/>
  <c r="Y2203" i="6"/>
  <c r="Y2204" i="6"/>
  <c r="Z2204" i="6"/>
  <c r="Z2177" i="6"/>
  <c r="Y2177" i="6"/>
  <c r="Y2179" i="6"/>
  <c r="Z2179" i="6"/>
  <c r="Y2186" i="6"/>
  <c r="Z2186" i="6"/>
  <c r="Y2159" i="6"/>
  <c r="Z2159" i="6"/>
  <c r="Y2164" i="6"/>
  <c r="Z2164" i="6"/>
  <c r="Y2166" i="6"/>
  <c r="Z2166" i="6"/>
  <c r="Z2170" i="6"/>
  <c r="Y2170" i="6"/>
  <c r="Z2172" i="6"/>
  <c r="Y2172" i="6"/>
  <c r="Y2173" i="6"/>
  <c r="Z2173" i="6"/>
  <c r="Y2134" i="6"/>
  <c r="Z2134" i="6"/>
  <c r="Y2136" i="6"/>
  <c r="Z2136" i="6"/>
  <c r="Y2138" i="6"/>
  <c r="Z2138" i="6"/>
  <c r="Y2140" i="6"/>
  <c r="Z2140" i="6"/>
  <c r="Y2142" i="6"/>
  <c r="Z2142" i="6"/>
  <c r="Y2146" i="6"/>
  <c r="Z2146" i="6"/>
  <c r="Z2149" i="6"/>
  <c r="Y2149" i="6"/>
  <c r="Z2151" i="6"/>
  <c r="Y2151" i="6"/>
  <c r="Z2152" i="6"/>
  <c r="Y2152" i="6"/>
  <c r="Z2129" i="6"/>
  <c r="Y2129" i="6"/>
  <c r="Z2123" i="6"/>
  <c r="Y2123" i="6"/>
  <c r="Z2106" i="6"/>
  <c r="Y2106" i="6"/>
  <c r="Y2108" i="6"/>
  <c r="Z2108" i="6"/>
  <c r="Y2118" i="6"/>
  <c r="Z2118" i="6"/>
  <c r="Y2088" i="6"/>
  <c r="Z2088" i="6"/>
  <c r="Z2090" i="6"/>
  <c r="Y2090" i="6"/>
  <c r="Z2099" i="6"/>
  <c r="Y2099" i="6"/>
  <c r="Y2059" i="6"/>
  <c r="Z2059" i="6"/>
  <c r="Y2065" i="6"/>
  <c r="Z2065" i="6"/>
  <c r="Y2069" i="6"/>
  <c r="Z2069" i="6"/>
  <c r="Z2070" i="6"/>
  <c r="Y2070" i="6"/>
  <c r="Y2048" i="6"/>
  <c r="Z2048" i="6"/>
  <c r="Y2031" i="6"/>
  <c r="Z2031" i="6"/>
  <c r="Z2032" i="6"/>
  <c r="Y2032" i="6"/>
  <c r="Z2037" i="6"/>
  <c r="Y2037" i="6"/>
  <c r="Z2044" i="6"/>
  <c r="Y2044" i="6"/>
  <c r="Z2007" i="6"/>
  <c r="Y2007" i="6"/>
  <c r="Z2008" i="6"/>
  <c r="Y2008" i="6"/>
  <c r="Z2009" i="6"/>
  <c r="Y2009" i="6"/>
  <c r="Y2018" i="6"/>
  <c r="Z2018" i="6"/>
  <c r="Y2019" i="6"/>
  <c r="Z2019" i="6"/>
  <c r="Z2021" i="6"/>
  <c r="Y2021" i="6"/>
  <c r="Z1984" i="6"/>
  <c r="Y1984" i="6"/>
  <c r="Y1985" i="6"/>
  <c r="Z1985" i="6"/>
  <c r="Z1988" i="6"/>
  <c r="Y1988" i="6"/>
  <c r="Z1999" i="6"/>
  <c r="Y1999" i="6"/>
  <c r="Y1970" i="6"/>
  <c r="Z1970" i="6"/>
  <c r="Z1979" i="6"/>
  <c r="Y1979" i="6"/>
  <c r="Y1960" i="6"/>
  <c r="Z1960" i="6"/>
  <c r="Z1958" i="6"/>
  <c r="Y1958" i="6"/>
  <c r="Z1946" i="6"/>
  <c r="Y1946" i="6"/>
  <c r="Z1948" i="6"/>
  <c r="Y1948" i="6"/>
  <c r="Y1954" i="6"/>
  <c r="Z1954" i="6"/>
  <c r="Y1940" i="6"/>
  <c r="Z1940" i="6"/>
  <c r="Y1932" i="6"/>
  <c r="Z1932" i="6"/>
  <c r="Y1934" i="6"/>
  <c r="Z1934" i="6"/>
  <c r="Y1935" i="6"/>
  <c r="Z1935" i="6"/>
  <c r="Z1936" i="6"/>
  <c r="Y1936" i="6"/>
  <c r="Y1931" i="6"/>
  <c r="Z1931" i="6"/>
  <c r="Y1930" i="6"/>
  <c r="Z1930" i="6"/>
  <c r="Y1929" i="6"/>
  <c r="Z1929" i="6"/>
  <c r="Z1922" i="6"/>
  <c r="Y1922" i="6"/>
  <c r="Y1924" i="6"/>
  <c r="Z1924" i="6"/>
  <c r="Z1926" i="6"/>
  <c r="Y1926" i="6"/>
  <c r="Y1927" i="6"/>
  <c r="Z1927" i="6"/>
  <c r="Y1909" i="6"/>
  <c r="Z1909" i="6"/>
  <c r="Z1914" i="6"/>
  <c r="Y1914" i="6"/>
  <c r="Y1917" i="6"/>
  <c r="Z1917" i="6"/>
  <c r="Y1885" i="6"/>
  <c r="Z1885" i="6"/>
  <c r="Z1887" i="6"/>
  <c r="Y1887" i="6"/>
  <c r="Z1897" i="6"/>
  <c r="Y1897" i="6"/>
  <c r="Z1900" i="6"/>
  <c r="Y1900" i="6"/>
  <c r="Z1872" i="6"/>
  <c r="Y1872" i="6"/>
  <c r="Z1877" i="6"/>
  <c r="Y1877" i="6"/>
  <c r="Z1850" i="6"/>
  <c r="Y1850" i="6"/>
  <c r="Y1851" i="6"/>
  <c r="Z1851" i="6"/>
  <c r="Z1852" i="6"/>
  <c r="Y1852" i="6"/>
  <c r="Y1854" i="6"/>
  <c r="Z1854" i="6"/>
  <c r="Z1855" i="6"/>
  <c r="Y1855" i="6"/>
  <c r="Z1856" i="6"/>
  <c r="Y1856" i="6"/>
  <c r="Y1857" i="6"/>
  <c r="Z1857" i="6"/>
  <c r="Y1858" i="6"/>
  <c r="Z1858" i="6"/>
  <c r="Y1860" i="6"/>
  <c r="Z1860" i="6"/>
  <c r="Y1861" i="6"/>
  <c r="Z1861" i="6"/>
  <c r="Z1862" i="6"/>
  <c r="Y1862" i="6"/>
  <c r="Z1863" i="6"/>
  <c r="Y1863" i="6"/>
  <c r="Z1865" i="6"/>
  <c r="Y1865" i="6"/>
  <c r="Y1867" i="6"/>
  <c r="Z1867" i="6"/>
  <c r="Z1868" i="6"/>
  <c r="Y1868" i="6"/>
  <c r="Y1869" i="6"/>
  <c r="Z1869" i="6"/>
  <c r="Z1831" i="6"/>
  <c r="Y1831" i="6"/>
  <c r="Z1833" i="6"/>
  <c r="Y1833" i="6"/>
  <c r="Z1835" i="6"/>
  <c r="Y1835" i="6"/>
  <c r="Y1836" i="6"/>
  <c r="Z1836" i="6"/>
  <c r="Y1837" i="6"/>
  <c r="Z1837" i="6"/>
  <c r="Y1839" i="6"/>
  <c r="Z1839" i="6"/>
  <c r="Y1841" i="6"/>
  <c r="Z1841" i="6"/>
  <c r="Z1842" i="6"/>
  <c r="Y1842" i="6"/>
  <c r="Z1843" i="6"/>
  <c r="Y1843" i="6"/>
  <c r="Y1847" i="6"/>
  <c r="Z1847" i="6"/>
  <c r="Z1849" i="6"/>
  <c r="Y1849" i="6"/>
  <c r="Z1813" i="6"/>
  <c r="Y1813" i="6"/>
  <c r="Z1814" i="6"/>
  <c r="Y1814" i="6"/>
  <c r="Y1815" i="6"/>
  <c r="Z1815" i="6"/>
  <c r="Y1816" i="6"/>
  <c r="Z1816" i="6"/>
  <c r="Z1817" i="6"/>
  <c r="Y1817" i="6"/>
  <c r="Z1818" i="6"/>
  <c r="Y1818" i="6"/>
  <c r="Y1819" i="6"/>
  <c r="Z1819" i="6"/>
  <c r="Z1821" i="6"/>
  <c r="Y1821" i="6"/>
  <c r="Y1822" i="6"/>
  <c r="Z1822" i="6"/>
  <c r="Z1823" i="6"/>
  <c r="Y1823" i="6"/>
  <c r="Y1824" i="6"/>
  <c r="Z1824" i="6"/>
  <c r="Y1825" i="6"/>
  <c r="Z1825" i="6"/>
  <c r="Z1826" i="6"/>
  <c r="Y1826" i="6"/>
  <c r="Z1827" i="6"/>
  <c r="Y1827" i="6"/>
  <c r="Y1828" i="6"/>
  <c r="Z1828" i="6"/>
  <c r="Z1829" i="6"/>
  <c r="Y1829" i="6"/>
  <c r="Y1808" i="6"/>
  <c r="Z1808" i="6"/>
  <c r="Y1809" i="6"/>
  <c r="Z1809" i="6"/>
  <c r="Y1810" i="6"/>
  <c r="Z1810" i="6"/>
  <c r="Z1811" i="6"/>
  <c r="Y1811" i="6"/>
  <c r="Z1812" i="6"/>
  <c r="Y1812" i="6"/>
  <c r="Y1787" i="6"/>
  <c r="Z1787" i="6"/>
  <c r="Y1788" i="6"/>
  <c r="Z1788" i="6"/>
  <c r="Z1790" i="6"/>
  <c r="Y1790" i="6"/>
  <c r="Z1791" i="6"/>
  <c r="Y1791" i="6"/>
  <c r="Y1792" i="6"/>
  <c r="Z1792" i="6"/>
  <c r="Z1794" i="6"/>
  <c r="Y1794" i="6"/>
  <c r="Z1796" i="6"/>
  <c r="Y1796" i="6"/>
  <c r="Z1797" i="6"/>
  <c r="Y1797" i="6"/>
  <c r="Z1799" i="6"/>
  <c r="Y1799" i="6"/>
  <c r="Z1801" i="6"/>
  <c r="Y1801" i="6"/>
  <c r="Z1802" i="6"/>
  <c r="Y1802" i="6"/>
  <c r="Y1803" i="6"/>
  <c r="Z1803" i="6"/>
  <c r="Z1804" i="6"/>
  <c r="Y1804" i="6"/>
  <c r="Z1805" i="6"/>
  <c r="Y1805" i="6"/>
  <c r="Y1806" i="6"/>
  <c r="Z1806" i="6"/>
  <c r="Z1778" i="6"/>
  <c r="Y1778" i="6"/>
  <c r="Y1779" i="6"/>
  <c r="Z1779" i="6"/>
  <c r="Y1781" i="6"/>
  <c r="Z1781" i="6"/>
  <c r="Y1782" i="6"/>
  <c r="Z1782" i="6"/>
  <c r="Y1783" i="6"/>
  <c r="Z1783" i="6"/>
  <c r="Z1786" i="6"/>
  <c r="Y1786" i="6"/>
  <c r="Z1776" i="6"/>
  <c r="Y1776" i="6"/>
  <c r="Y1770" i="6"/>
  <c r="Z1770" i="6"/>
  <c r="Y1772" i="6"/>
  <c r="Z1772" i="6"/>
  <c r="Z1774" i="6"/>
  <c r="Y1774" i="6"/>
  <c r="Y1768" i="6"/>
  <c r="Z1768" i="6"/>
  <c r="Y1755" i="6"/>
  <c r="Z1755" i="6"/>
  <c r="Z1756" i="6"/>
  <c r="Y1756" i="6"/>
  <c r="Z1757" i="6"/>
  <c r="Y1757" i="6"/>
  <c r="Y1758" i="6"/>
  <c r="Z1758" i="6"/>
  <c r="Z1760" i="6"/>
  <c r="Y1760" i="6"/>
  <c r="Z1761" i="6"/>
  <c r="Y1761" i="6"/>
  <c r="Y1763" i="6"/>
  <c r="Z1763" i="6"/>
  <c r="Z1764" i="6"/>
  <c r="Y1764" i="6"/>
  <c r="Z1765" i="6"/>
  <c r="Y1765" i="6"/>
  <c r="Y1747" i="6"/>
  <c r="Z1747" i="6"/>
  <c r="Z1749" i="6"/>
  <c r="Y1749" i="6"/>
  <c r="Z1750" i="6"/>
  <c r="Y1750" i="6"/>
  <c r="Y1752" i="6"/>
  <c r="Z1752" i="6"/>
  <c r="Z1753" i="6"/>
  <c r="Y1753" i="6"/>
  <c r="Y1754" i="6"/>
  <c r="Z1754" i="6"/>
  <c r="Y1746" i="6"/>
  <c r="Z1746" i="6"/>
  <c r="Y1739" i="6"/>
  <c r="Z1739" i="6"/>
  <c r="Y1740" i="6"/>
  <c r="Z1740" i="6"/>
  <c r="Y1741" i="6"/>
  <c r="Z1741" i="6"/>
  <c r="Z1742" i="6"/>
  <c r="Y1742" i="6"/>
  <c r="Z1743" i="6"/>
  <c r="Y1743" i="6"/>
  <c r="Z1744" i="6"/>
  <c r="Y1744" i="6"/>
  <c r="Z1745" i="6"/>
  <c r="Y1745" i="6"/>
  <c r="Y1732" i="6"/>
  <c r="Z1732" i="6"/>
  <c r="Y1733" i="6"/>
  <c r="Z1733" i="6"/>
  <c r="Y1736" i="6"/>
  <c r="Z1736" i="6"/>
  <c r="Y1737" i="6"/>
  <c r="Z1737" i="6"/>
  <c r="Y1727" i="6"/>
  <c r="Z1727" i="6"/>
  <c r="Z1728" i="6"/>
  <c r="Y1728" i="6"/>
  <c r="Y1729" i="6"/>
  <c r="Z1729" i="6"/>
  <c r="Z1730" i="6"/>
  <c r="Y1730" i="6"/>
  <c r="Y1725" i="6"/>
  <c r="Z1725" i="6"/>
  <c r="Z1726" i="6"/>
  <c r="Y1726" i="6"/>
  <c r="Y1710" i="6"/>
  <c r="Z1710" i="6"/>
  <c r="Y1711" i="6"/>
  <c r="Z1711" i="6"/>
  <c r="Z1712" i="6"/>
  <c r="Y1712" i="6"/>
  <c r="Z1713" i="6"/>
  <c r="Y1713" i="6"/>
  <c r="Y1715" i="6"/>
  <c r="Z1715" i="6"/>
  <c r="Y1716" i="6"/>
  <c r="Z1716" i="6"/>
  <c r="Y1718" i="6"/>
  <c r="Z1718" i="6"/>
  <c r="Z1720" i="6"/>
  <c r="Y1720" i="6"/>
  <c r="Z1721" i="6"/>
  <c r="Y1721" i="6"/>
  <c r="Z1723" i="6"/>
  <c r="Y1723" i="6"/>
  <c r="Z1703" i="6"/>
  <c r="Y1703" i="6"/>
  <c r="Z1705" i="6"/>
  <c r="Y1705" i="6"/>
  <c r="Y1707" i="6"/>
  <c r="Z1707" i="6"/>
  <c r="Z1709" i="6"/>
  <c r="Y1709" i="6"/>
  <c r="Z1671" i="6"/>
  <c r="Y1671" i="6"/>
  <c r="Z1672" i="6"/>
  <c r="Y1672" i="6"/>
  <c r="Z1674" i="6"/>
  <c r="Y1674" i="6"/>
  <c r="Y1675" i="6"/>
  <c r="Z1675" i="6"/>
  <c r="Z1677" i="6"/>
  <c r="Y1677" i="6"/>
  <c r="Y1679" i="6"/>
  <c r="Z1679" i="6"/>
  <c r="Z1680" i="6"/>
  <c r="Y1680" i="6"/>
  <c r="Y1682" i="6"/>
  <c r="Z1682" i="6"/>
  <c r="Y1683" i="6"/>
  <c r="Z1683" i="6"/>
  <c r="Z1685" i="6"/>
  <c r="Y1685" i="6"/>
  <c r="Z1698" i="6"/>
  <c r="Y1698" i="6"/>
  <c r="Z1664" i="6"/>
  <c r="Y1664" i="6"/>
  <c r="Z1661" i="6"/>
  <c r="Y1661" i="6"/>
  <c r="Y1652" i="6"/>
  <c r="Z1652" i="6"/>
  <c r="Z1654" i="6"/>
  <c r="Y1654" i="6"/>
  <c r="Z1656" i="6"/>
  <c r="Y1656" i="6"/>
  <c r="Y1659" i="6"/>
  <c r="Z1659" i="6"/>
  <c r="Y1643" i="6"/>
  <c r="Z1643" i="6"/>
  <c r="Y1648" i="6"/>
  <c r="Z1648" i="6"/>
  <c r="Z1624" i="6"/>
  <c r="Y1624" i="6"/>
  <c r="Y1626" i="6"/>
  <c r="Z1626" i="6"/>
  <c r="Y1627" i="6"/>
  <c r="Z1627" i="6"/>
  <c r="Y1630" i="6"/>
  <c r="Z1630" i="6"/>
  <c r="Y1631" i="6"/>
  <c r="Z1631" i="6"/>
  <c r="Y1633" i="6"/>
  <c r="Z1633" i="6"/>
  <c r="Y1598" i="6"/>
  <c r="Z1598" i="6"/>
  <c r="Z1599" i="6"/>
  <c r="Y1599" i="6"/>
  <c r="Y1600" i="6"/>
  <c r="Z1600" i="6"/>
  <c r="Z1601" i="6"/>
  <c r="Y1601" i="6"/>
  <c r="Y1602" i="6"/>
  <c r="Z1602" i="6"/>
  <c r="Y1210" i="6"/>
  <c r="Z1210" i="6"/>
  <c r="Z1043" i="6"/>
  <c r="Y1043" i="6"/>
  <c r="Z1042" i="6"/>
  <c r="Y1042" i="6"/>
  <c r="Z1041" i="6"/>
  <c r="Y1041" i="6"/>
  <c r="Z1040" i="6"/>
  <c r="Y1040" i="6"/>
  <c r="Y1039" i="6"/>
  <c r="Z1039" i="6"/>
  <c r="Y1037" i="6"/>
  <c r="Z1037" i="6"/>
  <c r="Y1036" i="6"/>
  <c r="Z1036" i="6"/>
  <c r="Y1035" i="6"/>
  <c r="Z1035" i="6"/>
  <c r="Y1019" i="6"/>
  <c r="Z1019" i="6"/>
  <c r="Z1018" i="6"/>
  <c r="Y1018" i="6"/>
  <c r="Z1017" i="6"/>
  <c r="Y1017" i="6"/>
  <c r="Y1016" i="6"/>
  <c r="Z1016" i="6"/>
  <c r="Z1015" i="6"/>
  <c r="Y1015" i="6"/>
  <c r="Z995" i="6"/>
  <c r="Y995" i="6"/>
  <c r="Z997" i="6"/>
  <c r="Y997" i="6"/>
  <c r="Y999" i="6"/>
  <c r="Z999" i="6"/>
  <c r="Y1000" i="6"/>
  <c r="Z1000" i="6"/>
  <c r="Z1001" i="6"/>
  <c r="Y1001" i="6"/>
  <c r="Y1005" i="6"/>
  <c r="Z1005" i="6"/>
  <c r="Y1007" i="6"/>
  <c r="Z1007" i="6"/>
  <c r="Y1008" i="6"/>
  <c r="Z1008" i="6"/>
  <c r="Z1010" i="6"/>
  <c r="Y1010" i="6"/>
  <c r="Z1011" i="6"/>
  <c r="Y1011" i="6"/>
  <c r="Z1012" i="6"/>
  <c r="Y1012" i="6"/>
  <c r="Z1013" i="6"/>
  <c r="Y1013" i="6"/>
  <c r="Y1014" i="6"/>
  <c r="Z1014" i="6"/>
  <c r="Z973" i="6"/>
  <c r="Y973" i="6"/>
  <c r="Y974" i="6"/>
  <c r="Z974" i="6"/>
  <c r="Z975" i="6"/>
  <c r="Y975" i="6"/>
  <c r="Y976" i="6"/>
  <c r="Z976" i="6"/>
  <c r="Z977" i="6"/>
  <c r="Y977" i="6"/>
  <c r="Y978" i="6"/>
  <c r="Z978" i="6"/>
  <c r="Z979" i="6"/>
  <c r="Y979" i="6"/>
  <c r="Y983" i="6"/>
  <c r="Z983" i="6"/>
  <c r="Z984" i="6"/>
  <c r="Y984" i="6"/>
  <c r="Y985" i="6"/>
  <c r="Z985" i="6"/>
  <c r="Y986" i="6"/>
  <c r="Z986" i="6"/>
  <c r="Z988" i="6"/>
  <c r="Y988" i="6"/>
  <c r="Y989" i="6"/>
  <c r="Z989" i="6"/>
  <c r="Y991" i="6"/>
  <c r="Z991" i="6"/>
  <c r="Z993" i="6"/>
  <c r="Y993" i="6"/>
  <c r="Y994" i="6"/>
  <c r="Z994" i="6"/>
  <c r="Z958" i="6"/>
  <c r="Y958" i="6"/>
  <c r="Z959" i="6"/>
  <c r="Y959" i="6"/>
  <c r="Z960" i="6"/>
  <c r="Y960" i="6"/>
  <c r="Z961" i="6"/>
  <c r="Y961" i="6"/>
  <c r="Z963" i="6"/>
  <c r="Y963" i="6"/>
  <c r="Z965" i="6"/>
  <c r="Y965" i="6"/>
  <c r="Y967" i="6"/>
  <c r="Z967" i="6"/>
  <c r="Z969" i="6"/>
  <c r="Y969" i="6"/>
  <c r="Y970" i="6"/>
  <c r="Z970" i="6"/>
  <c r="Y971" i="6"/>
  <c r="Z971" i="6"/>
  <c r="Z957" i="6"/>
  <c r="Y957" i="6"/>
  <c r="Y954" i="6"/>
  <c r="Z954" i="6"/>
  <c r="Y953" i="6"/>
  <c r="Z953" i="6"/>
  <c r="Y936" i="6"/>
  <c r="Z936" i="6"/>
  <c r="Z937" i="6"/>
  <c r="Y937" i="6"/>
  <c r="Y938" i="6"/>
  <c r="Z938" i="6"/>
  <c r="Y939" i="6"/>
  <c r="Z939" i="6"/>
  <c r="Z940" i="6"/>
  <c r="Y940" i="6"/>
  <c r="Y941" i="6"/>
  <c r="Z941" i="6"/>
  <c r="Z942" i="6"/>
  <c r="Y942" i="6"/>
  <c r="Z943" i="6"/>
  <c r="Y943" i="6"/>
  <c r="Y945" i="6"/>
  <c r="Z945" i="6"/>
  <c r="Z946" i="6"/>
  <c r="Y946" i="6"/>
  <c r="Y947" i="6"/>
  <c r="Z947" i="6"/>
  <c r="Z948" i="6"/>
  <c r="Y948" i="6"/>
  <c r="Z949" i="6"/>
  <c r="Y949" i="6"/>
  <c r="Y950" i="6"/>
  <c r="Z950" i="6"/>
  <c r="Y951" i="6"/>
  <c r="Z951" i="6"/>
  <c r="Z923" i="6"/>
  <c r="Y923" i="6"/>
  <c r="Y924" i="6"/>
  <c r="Z924" i="6"/>
  <c r="Z925" i="6"/>
  <c r="Y925" i="6"/>
  <c r="Y926" i="6"/>
  <c r="Z926" i="6"/>
  <c r="Z927" i="6"/>
  <c r="Y927" i="6"/>
  <c r="Z928" i="6"/>
  <c r="Y928" i="6"/>
  <c r="Z929" i="6"/>
  <c r="Y929" i="6"/>
  <c r="Y930" i="6"/>
  <c r="Z930" i="6"/>
  <c r="Z931" i="6"/>
  <c r="Y931" i="6"/>
  <c r="Y932" i="6"/>
  <c r="Z932" i="6"/>
  <c r="Y933" i="6"/>
  <c r="Z933" i="6"/>
  <c r="Z934" i="6"/>
  <c r="Y934" i="6"/>
  <c r="Y935" i="6"/>
  <c r="Z935" i="6"/>
  <c r="Z918" i="6"/>
  <c r="Y918" i="6"/>
  <c r="Z919" i="6"/>
  <c r="Y919" i="6"/>
  <c r="Y920" i="6"/>
  <c r="Z920" i="6"/>
  <c r="Z921" i="6"/>
  <c r="Y921" i="6"/>
  <c r="Y916" i="6"/>
  <c r="Z916" i="6"/>
  <c r="Z915" i="6"/>
  <c r="Y915" i="6"/>
  <c r="Z910" i="6"/>
  <c r="Y910" i="6"/>
  <c r="Z911" i="6"/>
  <c r="Y911" i="6"/>
  <c r="Z912" i="6"/>
  <c r="Y912" i="6"/>
  <c r="Z913" i="6"/>
  <c r="Y913" i="6"/>
  <c r="Z914" i="6"/>
  <c r="Y914" i="6"/>
  <c r="Y894" i="6"/>
  <c r="Z894" i="6"/>
  <c r="Z896" i="6"/>
  <c r="Y896" i="6"/>
  <c r="Z898" i="6"/>
  <c r="Y898" i="6"/>
  <c r="Y900" i="6"/>
  <c r="Z900" i="6"/>
  <c r="Y902" i="6"/>
  <c r="Z902" i="6"/>
  <c r="Z904" i="6"/>
  <c r="Y904" i="6"/>
  <c r="Y906" i="6"/>
  <c r="Z906" i="6"/>
  <c r="Z907" i="6"/>
  <c r="Y907" i="6"/>
  <c r="Z884" i="6"/>
  <c r="Y884" i="6"/>
  <c r="Z885" i="6"/>
  <c r="Y885" i="6"/>
  <c r="Y887" i="6"/>
  <c r="Z887" i="6"/>
  <c r="Z888" i="6"/>
  <c r="Y888" i="6"/>
  <c r="Z889" i="6"/>
  <c r="Y889" i="6"/>
  <c r="Y890" i="6"/>
  <c r="Z890" i="6"/>
  <c r="Y891" i="6"/>
  <c r="Z891" i="6"/>
  <c r="Z892" i="6"/>
  <c r="Y892" i="6"/>
  <c r="Z866" i="6"/>
  <c r="Y866" i="6"/>
  <c r="Z868" i="6"/>
  <c r="Y868" i="6"/>
  <c r="Y870" i="6"/>
  <c r="Z870" i="6"/>
  <c r="Y871" i="6"/>
  <c r="Z871" i="6"/>
  <c r="Z872" i="6"/>
  <c r="Y872" i="6"/>
  <c r="Z873" i="6"/>
  <c r="Y873" i="6"/>
  <c r="Y875" i="6"/>
  <c r="Z875" i="6"/>
  <c r="Z876" i="6"/>
  <c r="Y876" i="6"/>
  <c r="Z877" i="6"/>
  <c r="Y877" i="6"/>
  <c r="Y882" i="6"/>
  <c r="Z882" i="6"/>
  <c r="Y883" i="6"/>
  <c r="Z883" i="6"/>
  <c r="Y863" i="6"/>
  <c r="Z863" i="6"/>
  <c r="Y862" i="6"/>
  <c r="Z862" i="6"/>
  <c r="Z860" i="6"/>
  <c r="Y860" i="6"/>
  <c r="Z856" i="6"/>
  <c r="Y856" i="6"/>
  <c r="Y855" i="6"/>
  <c r="Z855" i="6"/>
  <c r="Y853" i="6"/>
  <c r="Z853" i="6"/>
  <c r="Y852" i="6"/>
  <c r="Z852" i="6"/>
  <c r="Z851" i="6"/>
  <c r="Y851" i="6"/>
  <c r="Z850" i="6"/>
  <c r="Y850" i="6"/>
  <c r="Z849" i="6"/>
  <c r="Y849" i="6"/>
  <c r="Y848" i="6"/>
  <c r="Z848" i="6"/>
  <c r="Z847" i="6"/>
  <c r="Y847" i="6"/>
  <c r="Z846" i="6"/>
  <c r="Y846" i="6"/>
  <c r="Y845" i="6"/>
  <c r="Z845" i="6"/>
  <c r="Z844" i="6"/>
  <c r="Y844" i="6"/>
  <c r="Z843" i="6"/>
  <c r="Y843" i="6"/>
  <c r="Y842" i="6"/>
  <c r="Z842" i="6"/>
  <c r="Z841" i="6"/>
  <c r="Y841" i="6"/>
  <c r="Z840" i="6"/>
  <c r="Y840" i="6"/>
  <c r="Z839" i="6"/>
  <c r="Y839" i="6"/>
  <c r="Z838" i="6"/>
  <c r="Y838" i="6"/>
  <c r="Z837" i="6"/>
  <c r="Y837" i="6"/>
  <c r="Z834" i="6"/>
  <c r="Y834" i="6"/>
  <c r="Z833" i="6"/>
  <c r="Y833" i="6"/>
  <c r="Y832" i="6"/>
  <c r="Z832" i="6"/>
  <c r="Z831" i="6"/>
  <c r="Y831" i="6"/>
  <c r="Y830" i="6"/>
  <c r="Z830" i="6"/>
  <c r="Y829" i="6"/>
  <c r="Z829" i="6"/>
  <c r="Y827" i="6"/>
  <c r="Z827" i="6"/>
  <c r="Y826" i="6"/>
  <c r="Z826" i="6"/>
  <c r="Z824" i="6"/>
  <c r="Y824" i="6"/>
  <c r="Z823" i="6"/>
  <c r="Y823" i="6"/>
  <c r="Z822" i="6"/>
  <c r="Y822" i="6"/>
  <c r="Z821" i="6"/>
  <c r="Y821" i="6"/>
  <c r="Z820" i="6"/>
  <c r="Y820" i="6"/>
  <c r="Y819" i="6"/>
  <c r="Z819" i="6"/>
  <c r="Y817" i="6"/>
  <c r="Z817" i="6"/>
  <c r="Y818" i="6"/>
  <c r="Z818" i="6"/>
  <c r="Z816" i="6"/>
  <c r="Y816" i="6"/>
  <c r="Z814" i="6"/>
  <c r="Y814" i="6"/>
  <c r="Z800" i="6"/>
  <c r="Y800" i="6"/>
  <c r="Z801" i="6"/>
  <c r="Y801" i="6"/>
  <c r="Z803" i="6"/>
  <c r="Y803" i="6"/>
  <c r="Z805" i="6"/>
  <c r="Y805" i="6"/>
  <c r="Z806" i="6"/>
  <c r="Y806" i="6"/>
  <c r="Y807" i="6"/>
  <c r="Z807" i="6"/>
  <c r="Z809" i="6"/>
  <c r="Y809" i="6"/>
  <c r="Z810" i="6"/>
  <c r="Y810" i="6"/>
  <c r="Y811" i="6"/>
  <c r="Z811" i="6"/>
  <c r="Y790" i="6"/>
  <c r="Z790" i="6"/>
  <c r="Y791" i="6"/>
  <c r="Z791" i="6"/>
  <c r="Y792" i="6"/>
  <c r="Z792" i="6"/>
  <c r="Y793" i="6"/>
  <c r="Z793" i="6"/>
  <c r="Z794" i="6"/>
  <c r="Y794" i="6"/>
  <c r="Y799" i="6"/>
  <c r="Z799" i="6"/>
  <c r="Y785" i="6"/>
  <c r="Z785" i="6"/>
  <c r="Z787" i="6"/>
  <c r="Y787" i="6"/>
  <c r="Y783" i="6"/>
  <c r="Z783" i="6"/>
  <c r="Z781" i="6"/>
  <c r="Y781" i="6"/>
  <c r="Z775" i="6"/>
  <c r="Y775" i="6"/>
  <c r="Y774" i="6"/>
  <c r="Z774" i="6"/>
  <c r="Y759" i="6"/>
  <c r="Z759" i="6"/>
  <c r="Z760" i="6"/>
  <c r="Y760" i="6"/>
  <c r="Z761" i="6"/>
  <c r="Y761" i="6"/>
  <c r="Z763" i="6"/>
  <c r="Y763" i="6"/>
  <c r="Z764" i="6"/>
  <c r="Y764" i="6"/>
  <c r="Z765" i="6"/>
  <c r="Y765" i="6"/>
  <c r="Y767" i="6"/>
  <c r="Z767" i="6"/>
  <c r="Z768" i="6"/>
  <c r="Y768" i="6"/>
  <c r="Y769" i="6"/>
  <c r="Z769" i="6"/>
  <c r="Z770" i="6"/>
  <c r="Y770" i="6"/>
  <c r="Z740" i="6"/>
  <c r="Y740" i="6"/>
  <c r="Z741" i="6"/>
  <c r="Y741" i="6"/>
  <c r="Z742" i="6"/>
  <c r="Y742" i="6"/>
  <c r="Y743" i="6"/>
  <c r="Z743" i="6"/>
  <c r="Z744" i="6"/>
  <c r="Y744" i="6"/>
  <c r="Z745" i="6"/>
  <c r="Y745" i="6"/>
  <c r="Y746" i="6"/>
  <c r="Z746" i="6"/>
  <c r="Z747" i="6"/>
  <c r="Y747" i="6"/>
  <c r="Y749" i="6"/>
  <c r="Z749" i="6"/>
  <c r="Y750" i="6"/>
  <c r="Z750" i="6"/>
  <c r="Z751" i="6"/>
  <c r="Y751" i="6"/>
  <c r="Z752" i="6"/>
  <c r="Y752" i="6"/>
  <c r="Z753" i="6"/>
  <c r="Y753" i="6"/>
  <c r="Z755" i="6"/>
  <c r="Y755" i="6"/>
  <c r="Z756" i="6"/>
  <c r="Y756" i="6"/>
  <c r="Y757" i="6"/>
  <c r="Z757" i="6"/>
  <c r="Z758" i="6"/>
  <c r="Y758" i="6"/>
  <c r="Y732" i="6"/>
  <c r="Z732" i="6"/>
  <c r="Z733" i="6"/>
  <c r="Y733" i="6"/>
  <c r="Y734" i="6"/>
  <c r="Z734" i="6"/>
  <c r="Y735" i="6"/>
  <c r="Z735" i="6"/>
  <c r="Z736" i="6"/>
  <c r="Y736" i="6"/>
  <c r="Y737" i="6"/>
  <c r="Z737" i="6"/>
  <c r="Z738" i="6"/>
  <c r="Y738" i="6"/>
  <c r="Y739" i="6"/>
  <c r="Z739" i="6"/>
  <c r="Y731" i="6"/>
  <c r="Z731" i="6"/>
  <c r="Z730" i="6"/>
  <c r="Y730" i="6"/>
  <c r="Z728" i="6"/>
  <c r="Y728" i="6"/>
  <c r="Y729" i="6"/>
  <c r="Z729" i="6"/>
  <c r="Z727" i="6"/>
  <c r="Y727" i="6"/>
  <c r="Y726" i="6"/>
  <c r="Z726" i="6"/>
  <c r="Z724" i="6"/>
  <c r="Y724" i="6"/>
  <c r="Y723" i="6"/>
  <c r="Z723" i="6"/>
  <c r="Z722" i="6"/>
  <c r="Y722" i="6"/>
  <c r="Z721" i="6"/>
  <c r="Y721" i="6"/>
  <c r="Y718" i="6"/>
  <c r="Z718" i="6"/>
  <c r="Z719" i="6"/>
  <c r="Y719" i="6"/>
  <c r="Y720" i="6"/>
  <c r="Z720" i="6"/>
  <c r="Z717" i="6"/>
  <c r="Y717" i="6"/>
  <c r="Z715" i="6"/>
  <c r="Y715" i="6"/>
  <c r="Z714" i="6"/>
  <c r="Y714" i="6"/>
  <c r="Y713" i="6"/>
  <c r="Z713" i="6"/>
  <c r="Z712" i="6"/>
  <c r="Y712" i="6"/>
  <c r="Z711" i="6"/>
  <c r="Y711" i="6"/>
  <c r="Z710" i="6"/>
  <c r="Y710" i="6"/>
  <c r="Y708" i="6"/>
  <c r="Z708" i="6"/>
  <c r="Z707" i="6"/>
  <c r="Y707" i="6"/>
  <c r="Z706" i="6"/>
  <c r="Y706" i="6"/>
  <c r="Z705" i="6"/>
  <c r="Y705" i="6"/>
  <c r="Y704" i="6"/>
  <c r="Z704" i="6"/>
  <c r="Z702" i="6"/>
  <c r="Y702" i="6"/>
  <c r="Y683" i="6"/>
  <c r="Z683" i="6"/>
  <c r="Z684" i="6"/>
  <c r="Y684" i="6"/>
  <c r="Z685" i="6"/>
  <c r="Y685" i="6"/>
  <c r="Z686" i="6"/>
  <c r="Y686" i="6"/>
  <c r="Z687" i="6"/>
  <c r="Y687" i="6"/>
  <c r="Y688" i="6"/>
  <c r="Z688" i="6"/>
  <c r="Y692" i="6"/>
  <c r="Z692" i="6"/>
  <c r="Y693" i="6"/>
  <c r="Z693" i="6"/>
  <c r="Z694" i="6"/>
  <c r="Y694" i="6"/>
  <c r="Z696" i="6"/>
  <c r="Y696" i="6"/>
  <c r="Z697" i="6"/>
  <c r="Y697" i="6"/>
  <c r="Z698" i="6"/>
  <c r="Y698" i="6"/>
  <c r="Z700" i="6"/>
  <c r="Y700" i="6"/>
  <c r="Y681" i="6"/>
  <c r="Z681" i="6"/>
  <c r="Y663" i="6"/>
  <c r="Z663" i="6"/>
  <c r="Z662" i="6"/>
  <c r="Y662" i="6"/>
  <c r="Z661" i="6"/>
  <c r="Y661" i="6"/>
  <c r="Z660" i="6"/>
  <c r="Y660" i="6"/>
  <c r="Y659" i="6"/>
  <c r="Z659" i="6"/>
  <c r="Y655" i="6"/>
  <c r="Z655" i="6"/>
  <c r="Z657" i="6"/>
  <c r="Y657" i="6"/>
  <c r="Y645" i="6"/>
  <c r="Z645" i="6"/>
  <c r="Z649" i="6"/>
  <c r="Y649" i="6"/>
  <c r="Y650" i="6"/>
  <c r="Z650" i="6"/>
  <c r="Z651" i="6"/>
  <c r="Y651" i="6"/>
  <c r="Z652" i="6"/>
  <c r="Y652" i="6"/>
  <c r="Y640" i="6"/>
  <c r="Z640" i="6"/>
  <c r="Y641" i="6"/>
  <c r="Z641" i="6"/>
  <c r="Z642" i="6"/>
  <c r="Y642" i="6"/>
  <c r="Y643" i="6"/>
  <c r="Z643" i="6"/>
  <c r="Z644" i="6"/>
  <c r="Y644" i="6"/>
  <c r="Z639" i="6"/>
  <c r="Y639" i="6"/>
  <c r="Z637" i="6"/>
  <c r="Y637" i="6"/>
  <c r="Y636" i="6"/>
  <c r="Z636" i="6"/>
  <c r="Y635" i="6"/>
  <c r="Z635" i="6"/>
  <c r="Y634" i="6"/>
  <c r="Z634" i="6"/>
  <c r="Y630" i="6"/>
  <c r="Z630" i="6"/>
  <c r="Z631" i="6"/>
  <c r="Y631" i="6"/>
  <c r="Y632" i="6"/>
  <c r="Z632" i="6"/>
  <c r="Z633" i="6"/>
  <c r="Y633" i="6"/>
  <c r="Z618" i="6"/>
  <c r="Y618" i="6"/>
  <c r="Z619" i="6"/>
  <c r="Y619" i="6"/>
  <c r="Y620" i="6"/>
  <c r="Z620" i="6"/>
  <c r="Y621" i="6"/>
  <c r="Z621" i="6"/>
  <c r="Z622" i="6"/>
  <c r="Y622" i="6"/>
  <c r="Z624" i="6"/>
  <c r="Y624" i="6"/>
  <c r="Z625" i="6"/>
  <c r="Y625" i="6"/>
  <c r="Y626" i="6"/>
  <c r="Z626" i="6"/>
  <c r="Y627" i="6"/>
  <c r="Z627" i="6"/>
  <c r="Y628" i="6"/>
  <c r="Z628" i="6"/>
  <c r="Z629" i="6"/>
  <c r="Y629" i="6"/>
  <c r="Y607" i="6"/>
  <c r="Z607" i="6"/>
  <c r="Y608" i="6"/>
  <c r="Z608" i="6"/>
  <c r="Z609" i="6"/>
  <c r="Y609" i="6"/>
  <c r="Y610" i="6"/>
  <c r="Z610" i="6"/>
  <c r="Z612" i="6"/>
  <c r="Y612" i="6"/>
  <c r="Y613" i="6"/>
  <c r="Z613" i="6"/>
  <c r="Z614" i="6"/>
  <c r="Y614" i="6"/>
  <c r="Z615" i="6"/>
  <c r="Y615" i="6"/>
  <c r="Y616" i="6"/>
  <c r="Z616" i="6"/>
  <c r="Y617" i="6"/>
  <c r="Z617" i="6"/>
  <c r="Z585" i="6"/>
  <c r="Y585" i="6"/>
  <c r="Z587" i="6"/>
  <c r="Y587" i="6"/>
  <c r="Z588" i="6"/>
  <c r="Y588" i="6"/>
  <c r="Y590" i="6"/>
  <c r="Z590" i="6"/>
  <c r="Z591" i="6"/>
  <c r="Y591" i="6"/>
  <c r="Z592" i="6"/>
  <c r="Y592" i="6"/>
  <c r="Y593" i="6"/>
  <c r="Z593" i="6"/>
  <c r="Z594" i="6"/>
  <c r="Y594" i="6"/>
  <c r="Z595" i="6"/>
  <c r="Y595" i="6"/>
  <c r="Z598" i="6"/>
  <c r="Y598" i="6"/>
  <c r="Y599" i="6"/>
  <c r="Z599" i="6"/>
  <c r="Z601" i="6"/>
  <c r="Y601" i="6"/>
  <c r="Z603" i="6"/>
  <c r="Y603" i="6"/>
  <c r="Y604" i="6"/>
  <c r="Z604" i="6"/>
  <c r="Y605" i="6"/>
  <c r="Z605" i="6"/>
  <c r="Y582" i="6"/>
  <c r="Z582" i="6"/>
  <c r="Z583" i="6"/>
  <c r="Y583" i="6"/>
  <c r="Z568" i="6"/>
  <c r="Y568" i="6"/>
  <c r="Z571" i="6"/>
  <c r="Y571" i="6"/>
  <c r="Z572" i="6"/>
  <c r="Y572" i="6"/>
  <c r="Z574" i="6"/>
  <c r="Y574" i="6"/>
  <c r="Y575" i="6"/>
  <c r="Z575" i="6"/>
  <c r="Z577" i="6"/>
  <c r="Y577" i="6"/>
  <c r="Z579" i="6"/>
  <c r="Y579" i="6"/>
  <c r="Z580" i="6"/>
  <c r="Y580" i="6"/>
  <c r="Y581" i="6"/>
  <c r="Z581" i="6"/>
  <c r="Y564" i="6"/>
  <c r="Z564" i="6"/>
  <c r="Z563" i="6"/>
  <c r="Y563" i="6"/>
  <c r="Y553" i="6"/>
  <c r="Z553" i="6"/>
  <c r="Y554" i="6"/>
  <c r="Z554" i="6"/>
  <c r="Z555" i="6"/>
  <c r="Y555" i="6"/>
  <c r="Z556" i="6"/>
  <c r="Y556" i="6"/>
  <c r="Y557" i="6"/>
  <c r="Z557" i="6"/>
  <c r="Z558" i="6"/>
  <c r="Y558" i="6"/>
  <c r="Y559" i="6"/>
  <c r="Z559" i="6"/>
  <c r="Y560" i="6"/>
  <c r="Z560" i="6"/>
  <c r="Z535" i="6"/>
  <c r="Y535" i="6"/>
  <c r="Y536" i="6"/>
  <c r="Z536" i="6"/>
  <c r="Z511" i="6"/>
  <c r="Y511" i="6"/>
  <c r="Z400" i="6"/>
  <c r="Y400" i="6"/>
  <c r="Y427" i="6"/>
  <c r="Z427" i="6"/>
  <c r="Z540" i="6"/>
  <c r="Y540" i="6"/>
  <c r="Z541" i="6"/>
  <c r="Y541" i="6"/>
  <c r="Y525" i="6"/>
  <c r="Z525" i="6"/>
  <c r="Y521" i="6"/>
  <c r="Z521" i="6"/>
  <c r="Y546" i="6"/>
  <c r="Z546" i="6"/>
  <c r="Z544" i="6"/>
  <c r="Y544" i="6"/>
  <c r="Y547" i="6"/>
  <c r="Z547" i="6"/>
  <c r="Z551" i="6"/>
  <c r="Y551" i="6"/>
  <c r="Y552" i="6"/>
  <c r="Z552" i="6"/>
  <c r="Y534" i="6"/>
  <c r="Z534" i="6"/>
  <c r="Z533" i="6"/>
  <c r="Y533" i="6"/>
  <c r="Z532" i="6"/>
  <c r="Y532" i="6"/>
  <c r="Y531" i="6"/>
  <c r="Z531" i="6"/>
  <c r="Y530" i="6"/>
  <c r="Z530" i="6"/>
  <c r="Z503" i="6"/>
  <c r="Y503" i="6"/>
  <c r="Y504" i="6"/>
  <c r="Z504" i="6"/>
  <c r="Y506" i="6"/>
  <c r="Z506" i="6"/>
  <c r="Z508" i="6"/>
  <c r="Y508" i="6"/>
  <c r="Y509" i="6"/>
  <c r="Z509" i="6"/>
  <c r="Z515" i="6"/>
  <c r="Y515" i="6"/>
  <c r="Z428" i="6"/>
  <c r="Y428" i="6"/>
  <c r="Z512" i="6"/>
  <c r="Y512" i="6"/>
  <c r="Z542" i="6"/>
  <c r="Y542" i="6"/>
  <c r="Y527" i="6"/>
  <c r="Z527" i="6"/>
  <c r="Z526" i="6"/>
  <c r="Y526" i="6"/>
  <c r="Z545" i="6"/>
  <c r="Y545" i="6"/>
  <c r="Z543" i="6"/>
  <c r="Y543" i="6"/>
  <c r="Y550" i="6"/>
  <c r="Z550" i="6"/>
  <c r="Z529" i="6"/>
  <c r="Y529" i="6"/>
  <c r="Y524" i="6"/>
  <c r="Z524" i="6"/>
  <c r="Z539" i="6"/>
  <c r="Y539" i="6"/>
  <c r="Y523" i="6"/>
  <c r="Z523" i="6"/>
  <c r="Y548" i="6"/>
  <c r="Z548" i="6"/>
  <c r="Z426" i="6"/>
  <c r="Y426" i="6"/>
  <c r="Y402" i="6"/>
  <c r="Z402" i="6"/>
  <c r="Z401" i="6"/>
  <c r="Y401" i="6"/>
  <c r="Y528" i="6"/>
  <c r="Z528" i="6"/>
  <c r="Z501" i="6"/>
  <c r="Y501" i="6"/>
  <c r="Y500" i="6"/>
  <c r="Z500" i="6"/>
  <c r="Z432" i="6"/>
  <c r="Y432" i="6"/>
  <c r="Z433" i="6"/>
  <c r="Y433" i="6"/>
  <c r="Y434" i="6"/>
  <c r="Z434" i="6"/>
  <c r="Y435" i="6"/>
  <c r="Z435" i="6"/>
  <c r="Y396" i="6"/>
  <c r="Z396" i="6"/>
  <c r="Z519" i="6"/>
  <c r="Y519" i="6"/>
  <c r="Z397" i="6"/>
  <c r="Y397" i="6"/>
  <c r="Y424" i="6"/>
  <c r="Z424" i="6"/>
  <c r="Z513" i="6"/>
  <c r="Y513" i="6"/>
  <c r="Z442" i="6"/>
  <c r="Y442" i="6"/>
  <c r="Y443" i="6"/>
  <c r="Z443" i="6"/>
  <c r="Y444" i="6"/>
  <c r="Z444" i="6"/>
  <c r="Z445" i="6"/>
  <c r="Y445" i="6"/>
  <c r="Y449" i="6"/>
  <c r="Z449" i="6"/>
  <c r="Z450" i="6"/>
  <c r="Y450" i="6"/>
  <c r="Y451" i="6"/>
  <c r="Z451" i="6"/>
  <c r="Z453" i="6"/>
  <c r="Y453" i="6"/>
  <c r="Z455" i="6"/>
  <c r="Y455" i="6"/>
  <c r="Z456" i="6"/>
  <c r="Y456" i="6"/>
  <c r="Y416" i="6"/>
  <c r="Z416" i="6"/>
  <c r="Y418" i="6"/>
  <c r="Z418" i="6"/>
  <c r="Y419" i="6"/>
  <c r="Z419" i="6"/>
  <c r="Y420" i="6"/>
  <c r="Z420" i="6"/>
  <c r="Y437" i="6"/>
  <c r="Z437" i="6"/>
  <c r="Y516" i="6"/>
  <c r="Z516" i="6"/>
  <c r="Y430" i="6"/>
  <c r="Z430" i="6"/>
  <c r="Y518" i="6"/>
  <c r="Z518" i="6"/>
  <c r="Z398" i="6"/>
  <c r="Y398" i="6"/>
  <c r="Y510" i="6"/>
  <c r="Z510" i="6"/>
  <c r="Y440" i="6"/>
  <c r="Z440" i="6"/>
  <c r="Z425" i="6"/>
  <c r="Y425" i="6"/>
  <c r="Y431" i="6"/>
  <c r="Z431" i="6"/>
  <c r="Y414" i="6"/>
  <c r="Z414" i="6"/>
  <c r="Y439" i="6"/>
  <c r="Z439" i="6"/>
  <c r="Y403" i="6"/>
  <c r="Z403" i="6"/>
  <c r="Y422" i="6"/>
  <c r="Z422" i="6"/>
  <c r="Y404" i="6"/>
  <c r="Z404" i="6"/>
  <c r="Z405" i="6"/>
  <c r="Y405" i="6"/>
  <c r="Z406" i="6"/>
  <c r="Y406" i="6"/>
  <c r="Y407" i="6"/>
  <c r="Z407" i="6"/>
  <c r="Y408" i="6"/>
  <c r="Z408" i="6"/>
  <c r="Z409" i="6"/>
  <c r="Y409" i="6"/>
  <c r="Y412" i="6"/>
  <c r="Z412" i="6"/>
  <c r="Y413" i="6"/>
  <c r="Z413" i="6"/>
  <c r="Y441" i="6"/>
  <c r="Z441" i="6"/>
  <c r="Y399" i="6"/>
  <c r="Z399" i="6"/>
  <c r="Z517" i="6"/>
  <c r="Y517" i="6"/>
  <c r="Z520" i="6"/>
  <c r="Y520" i="6"/>
  <c r="Y377" i="6"/>
  <c r="Z377" i="6"/>
  <c r="Y378" i="6"/>
  <c r="Z378" i="6"/>
  <c r="Z380" i="6"/>
  <c r="Y380" i="6"/>
  <c r="Z382" i="6"/>
  <c r="Y382" i="6"/>
  <c r="Y383" i="6"/>
  <c r="Z383" i="6"/>
  <c r="Z384" i="6"/>
  <c r="Y384" i="6"/>
  <c r="Z386" i="6"/>
  <c r="Y386" i="6"/>
  <c r="Y387" i="6"/>
  <c r="Z387" i="6"/>
  <c r="Y389" i="6"/>
  <c r="Z389" i="6"/>
  <c r="Z390" i="6"/>
  <c r="Y390" i="6"/>
  <c r="Y392" i="6"/>
  <c r="Z392" i="6"/>
  <c r="Z393" i="6"/>
  <c r="Y393" i="6"/>
  <c r="Z438" i="6"/>
  <c r="Y438" i="6"/>
  <c r="Z375" i="6"/>
  <c r="Y375" i="6"/>
  <c r="Y371" i="6"/>
  <c r="Z371" i="6"/>
  <c r="Y372" i="6"/>
  <c r="Z372" i="6"/>
  <c r="Z373" i="6"/>
  <c r="Y373" i="6"/>
  <c r="Z360" i="6"/>
  <c r="Y360" i="6"/>
  <c r="Z361" i="6"/>
  <c r="Y361" i="6"/>
  <c r="Y362" i="6"/>
  <c r="Z362" i="6"/>
  <c r="Z364" i="6"/>
  <c r="Y364" i="6"/>
  <c r="Y365" i="6"/>
  <c r="Z365" i="6"/>
  <c r="Y366" i="6"/>
  <c r="Z366" i="6"/>
  <c r="Z367" i="6"/>
  <c r="Y367" i="6"/>
  <c r="Z368" i="6"/>
  <c r="Y368" i="6"/>
  <c r="Z369" i="6"/>
  <c r="Y369" i="6"/>
  <c r="Z336" i="6"/>
  <c r="Y336" i="6"/>
  <c r="Y337" i="6"/>
  <c r="Z337" i="6"/>
  <c r="Y338" i="6"/>
  <c r="Z338" i="6"/>
  <c r="Z339" i="6"/>
  <c r="Y339" i="6"/>
  <c r="Z340" i="6"/>
  <c r="Y340" i="6"/>
  <c r="Z341" i="6"/>
  <c r="Y341" i="6"/>
  <c r="Z342" i="6"/>
  <c r="Y342" i="6"/>
  <c r="Z343" i="6"/>
  <c r="Y343" i="6"/>
  <c r="Z344" i="6"/>
  <c r="Y344" i="6"/>
  <c r="Z345" i="6"/>
  <c r="Y345" i="6"/>
  <c r="Z346" i="6"/>
  <c r="Y346" i="6"/>
  <c r="Y347" i="6"/>
  <c r="Z347" i="6"/>
  <c r="Y348" i="6"/>
  <c r="Z348" i="6"/>
  <c r="Y349" i="6"/>
  <c r="Z349" i="6"/>
  <c r="Z350" i="6"/>
  <c r="Y350" i="6"/>
  <c r="Y351" i="6"/>
  <c r="Z351" i="6"/>
  <c r="Y352" i="6"/>
  <c r="Z352" i="6"/>
  <c r="Z353" i="6"/>
  <c r="Y353" i="6"/>
  <c r="Y355" i="6"/>
  <c r="Z355" i="6"/>
  <c r="Z356" i="6"/>
  <c r="Y356" i="6"/>
  <c r="Z357" i="6"/>
  <c r="Y357" i="6"/>
  <c r="Y358" i="6"/>
  <c r="Z358" i="6"/>
  <c r="Z316" i="6"/>
  <c r="Y316" i="6"/>
  <c r="Z318" i="6"/>
  <c r="Y318" i="6"/>
  <c r="Z319" i="6"/>
  <c r="Y319" i="6"/>
  <c r="Z322" i="6"/>
  <c r="Y322" i="6"/>
  <c r="Y323" i="6"/>
  <c r="Z323" i="6"/>
  <c r="Y324" i="6"/>
  <c r="Z324" i="6"/>
  <c r="Z325" i="6"/>
  <c r="Y325" i="6"/>
  <c r="Z327" i="6"/>
  <c r="Y327" i="6"/>
  <c r="Y329" i="6"/>
  <c r="Z329" i="6"/>
  <c r="Z331" i="6"/>
  <c r="Y331" i="6"/>
  <c r="Z333" i="6"/>
  <c r="Y333" i="6"/>
  <c r="Y334" i="6"/>
  <c r="Z334" i="6"/>
  <c r="Z335" i="6"/>
  <c r="Y335" i="6"/>
  <c r="Y310" i="6"/>
  <c r="Z310" i="6"/>
  <c r="Z311" i="6"/>
  <c r="Y311" i="6"/>
  <c r="Y313" i="6"/>
  <c r="Z313" i="6"/>
  <c r="Y314" i="6"/>
  <c r="Z314" i="6"/>
  <c r="Y281" i="6"/>
  <c r="Z281" i="6"/>
  <c r="Y282" i="6"/>
  <c r="Z282" i="6"/>
  <c r="Y283" i="6"/>
  <c r="Z283" i="6"/>
  <c r="Y284" i="6"/>
  <c r="Z284" i="6"/>
  <c r="Y285" i="6"/>
  <c r="Z285" i="6"/>
  <c r="Z287" i="6"/>
  <c r="Y287" i="6"/>
  <c r="Z288" i="6"/>
  <c r="Y288" i="6"/>
  <c r="Z290" i="6"/>
  <c r="Y290" i="6"/>
  <c r="Z291" i="6"/>
  <c r="Y291" i="6"/>
  <c r="Y293" i="6"/>
  <c r="Z293" i="6"/>
  <c r="Z294" i="6"/>
  <c r="Y294" i="6"/>
  <c r="Z295" i="6"/>
  <c r="Y295" i="6"/>
  <c r="Z297" i="6"/>
  <c r="Y297" i="6"/>
  <c r="Y298" i="6"/>
  <c r="Z298" i="6"/>
  <c r="Y300" i="6"/>
  <c r="Z300" i="6"/>
  <c r="Z301" i="6"/>
  <c r="Y301" i="6"/>
  <c r="Z303" i="6"/>
  <c r="Y303" i="6"/>
  <c r="Z304" i="6"/>
  <c r="Y304" i="6"/>
  <c r="Z305" i="6"/>
  <c r="Y305" i="6"/>
  <c r="Z307" i="6"/>
  <c r="Y307" i="6"/>
  <c r="Y309" i="6"/>
  <c r="Z309" i="6"/>
  <c r="Y280" i="6"/>
  <c r="Z280" i="6"/>
  <c r="Z265" i="6"/>
  <c r="Y265" i="6"/>
  <c r="Z267" i="6"/>
  <c r="Y267" i="6"/>
  <c r="Y268" i="6"/>
  <c r="Z268" i="6"/>
  <c r="Y269" i="6"/>
  <c r="Z269" i="6"/>
  <c r="Y270" i="6"/>
  <c r="Z270" i="6"/>
  <c r="Z271" i="6"/>
  <c r="Y271" i="6"/>
  <c r="Y272" i="6"/>
  <c r="Z272" i="6"/>
  <c r="Z273" i="6"/>
  <c r="Y273" i="6"/>
  <c r="Y274" i="6"/>
  <c r="Z274" i="6"/>
  <c r="Z275" i="6"/>
  <c r="Y275" i="6"/>
  <c r="Y276" i="6"/>
  <c r="Z276" i="6"/>
  <c r="Z277" i="6"/>
  <c r="Y277" i="6"/>
  <c r="Z278" i="6"/>
  <c r="Y278" i="6"/>
  <c r="Y258" i="6"/>
  <c r="Z258" i="6"/>
  <c r="Y259" i="6"/>
  <c r="Z259" i="6"/>
  <c r="Z260" i="6"/>
  <c r="Y260" i="6"/>
  <c r="Z261" i="6"/>
  <c r="Y261" i="6"/>
  <c r="Y262" i="6"/>
  <c r="Z262" i="6"/>
  <c r="Y263" i="6"/>
  <c r="Z263" i="6"/>
  <c r="Z264" i="6"/>
  <c r="Y264" i="6"/>
  <c r="Z256" i="6"/>
  <c r="Y256" i="6"/>
  <c r="Z255" i="6"/>
  <c r="Y255" i="6"/>
  <c r="Y254" i="6"/>
  <c r="Z254" i="6"/>
  <c r="Y253" i="6"/>
  <c r="Z253" i="6"/>
  <c r="Y252" i="6"/>
  <c r="Z252" i="6"/>
  <c r="Y250" i="6"/>
  <c r="Z250" i="6"/>
  <c r="Y251" i="6"/>
  <c r="Z251" i="6"/>
  <c r="Z249" i="6"/>
  <c r="Y249" i="6"/>
  <c r="Y246" i="6"/>
  <c r="Z246" i="6"/>
  <c r="Y247" i="6"/>
  <c r="Z247" i="6"/>
  <c r="Z248" i="6"/>
  <c r="Y248" i="6"/>
  <c r="Z228" i="6"/>
  <c r="Y228" i="6"/>
  <c r="Y229" i="6"/>
  <c r="Z229" i="6"/>
  <c r="Z230" i="6"/>
  <c r="Y230" i="6"/>
  <c r="Y231" i="6"/>
  <c r="Z231" i="6"/>
  <c r="Z233" i="6"/>
  <c r="Y233" i="6"/>
  <c r="Z234" i="6"/>
  <c r="Y234" i="6"/>
  <c r="Y238" i="6"/>
  <c r="Z238" i="6"/>
  <c r="Y239" i="6"/>
  <c r="Z239" i="6"/>
  <c r="Y240" i="6"/>
  <c r="Z240" i="6"/>
  <c r="Y241" i="6"/>
  <c r="Z241" i="6"/>
  <c r="Y243" i="6"/>
  <c r="Z243" i="6"/>
  <c r="Z244" i="6"/>
  <c r="Y244" i="6"/>
  <c r="Z245" i="6"/>
  <c r="Y245" i="6"/>
  <c r="Z204" i="6"/>
  <c r="Y204" i="6"/>
  <c r="Z205" i="6"/>
  <c r="Y205" i="6"/>
  <c r="Z206" i="6"/>
  <c r="Y206" i="6"/>
  <c r="Z207" i="6"/>
  <c r="Y207" i="6"/>
  <c r="Z208" i="6"/>
  <c r="Y208" i="6"/>
  <c r="Y209" i="6"/>
  <c r="Z209" i="6"/>
  <c r="Y210" i="6"/>
  <c r="Z210" i="6"/>
  <c r="Y212" i="6"/>
  <c r="Z212" i="6"/>
  <c r="Y214" i="6"/>
  <c r="Z214" i="6"/>
  <c r="Y215" i="6"/>
  <c r="Z215" i="6"/>
  <c r="Z216" i="6"/>
  <c r="Y216" i="6"/>
  <c r="Y217" i="6"/>
  <c r="Z217" i="6"/>
  <c r="Y218" i="6"/>
  <c r="Z218" i="6"/>
  <c r="Z219" i="6"/>
  <c r="Y219" i="6"/>
  <c r="Z220" i="6"/>
  <c r="Y220" i="6"/>
  <c r="Y222" i="6"/>
  <c r="Z222" i="6"/>
  <c r="Z224" i="6"/>
  <c r="Y224" i="6"/>
  <c r="Z225" i="6"/>
  <c r="Y225" i="6"/>
  <c r="Y226" i="6"/>
  <c r="Z226" i="6"/>
  <c r="Y227" i="6"/>
  <c r="Z227" i="6"/>
  <c r="Y197" i="6"/>
  <c r="Z197" i="6"/>
  <c r="Y199" i="6"/>
  <c r="Z199" i="6"/>
  <c r="Z200" i="6"/>
  <c r="Y200" i="6"/>
  <c r="Y201" i="6"/>
  <c r="Z201" i="6"/>
  <c r="Z203" i="6"/>
  <c r="Y203" i="6"/>
  <c r="Y185" i="6"/>
  <c r="Z185" i="6"/>
  <c r="Z190" i="6"/>
  <c r="Y190" i="6"/>
  <c r="Z191" i="6"/>
  <c r="Y191" i="6"/>
  <c r="Y193" i="6"/>
  <c r="Z193" i="6"/>
  <c r="Z195" i="6"/>
  <c r="Y195" i="6"/>
  <c r="Z196" i="6"/>
  <c r="Y196" i="6"/>
  <c r="Y183" i="6"/>
  <c r="Z183" i="6"/>
  <c r="Z151" i="6"/>
  <c r="Y151" i="6"/>
  <c r="Y154" i="6"/>
  <c r="Z154" i="6"/>
  <c r="Z155" i="6"/>
  <c r="Y155" i="6"/>
  <c r="Z157" i="6"/>
  <c r="Y157" i="6"/>
  <c r="Y158" i="6"/>
  <c r="Z158" i="6"/>
  <c r="Z159" i="6"/>
  <c r="Y159" i="6"/>
  <c r="Y160" i="6"/>
  <c r="Z160" i="6"/>
  <c r="Z161" i="6"/>
  <c r="Y161" i="6"/>
  <c r="Y162" i="6"/>
  <c r="Z162" i="6"/>
  <c r="Y163" i="6"/>
  <c r="Z163" i="6"/>
  <c r="Y181" i="6"/>
  <c r="Z181" i="6"/>
  <c r="Z167" i="6"/>
  <c r="Y167" i="6"/>
  <c r="Y168" i="6"/>
  <c r="Z168" i="6"/>
  <c r="Z169" i="6"/>
  <c r="Y169" i="6"/>
  <c r="Y170" i="6"/>
  <c r="Z170" i="6"/>
  <c r="Y172" i="6"/>
  <c r="Z172" i="6"/>
  <c r="Z173" i="6"/>
  <c r="Y173" i="6"/>
  <c r="Z175" i="6"/>
  <c r="Y175" i="6"/>
  <c r="Z176" i="6"/>
  <c r="Y176" i="6"/>
  <c r="Y177" i="6"/>
  <c r="Z177" i="6"/>
  <c r="Z178" i="6"/>
  <c r="Y178" i="6"/>
  <c r="Y179" i="6"/>
  <c r="Z179" i="6"/>
  <c r="Z180" i="6"/>
  <c r="Y180" i="6"/>
  <c r="Z165" i="6"/>
  <c r="Y165" i="6"/>
  <c r="Z166" i="6"/>
  <c r="Y166" i="6"/>
  <c r="Y148" i="6"/>
  <c r="Z148" i="6"/>
  <c r="Z149" i="6"/>
  <c r="Y149" i="6"/>
  <c r="Z146" i="6"/>
  <c r="Y146" i="6"/>
  <c r="Y111" i="6"/>
  <c r="Z111" i="6"/>
  <c r="Y112" i="6"/>
  <c r="Z112" i="6"/>
  <c r="Z113" i="6"/>
  <c r="Y113" i="6"/>
  <c r="Z114" i="6"/>
  <c r="Y114" i="6"/>
  <c r="Y116" i="6"/>
  <c r="Z116" i="6"/>
  <c r="Z118" i="6"/>
  <c r="Y118" i="6"/>
  <c r="Y119" i="6"/>
  <c r="Z119" i="6"/>
  <c r="Z120" i="6"/>
  <c r="Y120" i="6"/>
  <c r="Y121" i="6"/>
  <c r="Z121" i="6"/>
  <c r="Y122" i="6"/>
  <c r="Z122" i="6"/>
  <c r="Z123" i="6"/>
  <c r="Y123" i="6"/>
  <c r="Z125" i="6"/>
  <c r="Y125" i="6"/>
  <c r="Y126" i="6"/>
  <c r="Z126" i="6"/>
  <c r="Z128" i="6"/>
  <c r="Y128" i="6"/>
  <c r="Y129" i="6"/>
  <c r="Z129" i="6"/>
  <c r="Z131" i="6"/>
  <c r="Y131" i="6"/>
  <c r="Z132" i="6"/>
  <c r="Y132" i="6"/>
  <c r="Z133" i="6"/>
  <c r="Y133" i="6"/>
  <c r="Y135" i="6"/>
  <c r="Z135" i="6"/>
  <c r="Y136" i="6"/>
  <c r="Z136" i="6"/>
  <c r="Z137" i="6"/>
  <c r="Y137" i="6"/>
  <c r="Z139" i="6"/>
  <c r="Y139" i="6"/>
  <c r="Y140" i="6"/>
  <c r="Z140" i="6"/>
  <c r="Y141" i="6"/>
  <c r="Z141" i="6"/>
  <c r="Z142" i="6"/>
  <c r="Y142" i="6"/>
  <c r="Y143" i="6"/>
  <c r="Z143" i="6"/>
  <c r="Y144" i="6"/>
  <c r="Z144" i="6"/>
  <c r="Z96" i="6"/>
  <c r="Y96" i="6"/>
  <c r="Y98" i="6"/>
  <c r="Z98" i="6"/>
  <c r="Z99" i="6"/>
  <c r="Y99" i="6"/>
  <c r="Z102" i="6"/>
  <c r="Y102" i="6"/>
  <c r="Z104" i="6"/>
  <c r="Y104" i="6"/>
  <c r="Z105" i="6"/>
  <c r="Y105" i="6"/>
  <c r="Z107" i="6"/>
  <c r="Y107" i="6"/>
  <c r="Z109" i="6"/>
  <c r="Y109" i="6"/>
  <c r="Z76" i="6"/>
  <c r="Y76" i="6"/>
  <c r="Z77" i="6"/>
  <c r="Y77" i="6"/>
  <c r="Z79" i="6"/>
  <c r="Y79" i="6"/>
  <c r="Z81" i="6"/>
  <c r="Y81" i="6"/>
  <c r="Y82" i="6"/>
  <c r="Z82" i="6"/>
  <c r="Y83" i="6"/>
  <c r="Z83" i="6"/>
  <c r="Z84" i="6"/>
  <c r="Y84" i="6"/>
  <c r="Z85" i="6"/>
  <c r="Y85" i="6"/>
  <c r="Z87" i="6"/>
  <c r="Y87" i="6"/>
  <c r="Z88" i="6"/>
  <c r="Y88" i="6"/>
  <c r="Y89" i="6"/>
  <c r="Z89" i="6"/>
  <c r="Y90" i="6"/>
  <c r="Z90" i="6"/>
  <c r="Z73" i="6"/>
  <c r="Y73" i="6"/>
  <c r="Y51" i="6"/>
  <c r="Z51" i="6"/>
  <c r="Y52" i="6"/>
  <c r="Z52" i="6"/>
  <c r="Y53" i="6"/>
  <c r="Z53" i="6"/>
  <c r="Y54" i="6"/>
  <c r="Z54" i="6"/>
  <c r="Y55" i="6"/>
  <c r="Z55" i="6"/>
  <c r="Y56" i="6"/>
  <c r="Z56" i="6"/>
  <c r="Z57" i="6"/>
  <c r="Y57" i="6"/>
  <c r="Z59" i="6"/>
  <c r="Y59" i="6"/>
  <c r="Z61" i="6"/>
  <c r="Y61" i="6"/>
  <c r="Z64" i="6"/>
  <c r="Y64" i="6"/>
  <c r="Z69" i="6"/>
  <c r="Y69" i="6"/>
  <c r="Z71" i="6"/>
  <c r="Y71" i="6"/>
  <c r="Z50" i="6"/>
  <c r="Y50" i="6"/>
  <c r="Z41" i="6"/>
  <c r="Y41" i="6"/>
  <c r="Z42" i="6"/>
  <c r="Y42" i="6"/>
  <c r="Z43" i="6"/>
  <c r="Y43" i="6"/>
  <c r="Y44" i="6"/>
  <c r="Z44" i="6"/>
  <c r="Z45" i="6"/>
  <c r="Y45" i="6"/>
  <c r="Z46" i="6"/>
  <c r="Y46" i="6"/>
  <c r="Z47" i="6"/>
  <c r="Y47" i="6"/>
  <c r="Z48" i="6"/>
  <c r="Y48" i="6"/>
  <c r="Y49" i="6"/>
  <c r="Z49" i="6"/>
  <c r="Y37" i="6"/>
  <c r="Z37" i="6"/>
  <c r="Z38" i="6"/>
  <c r="Y38" i="6"/>
  <c r="Z40" i="6"/>
  <c r="Y40" i="6"/>
  <c r="Y29" i="6"/>
  <c r="Z29" i="6"/>
  <c r="Z30" i="6"/>
  <c r="Y30" i="6"/>
  <c r="Y32" i="6"/>
  <c r="Z32" i="6"/>
  <c r="Y33" i="6"/>
  <c r="Z33" i="6"/>
  <c r="Z34" i="6"/>
  <c r="Y34" i="6"/>
  <c r="Y35" i="6"/>
  <c r="Z35" i="6"/>
  <c r="Y36" i="6"/>
  <c r="Z36" i="6"/>
  <c r="Z23" i="6"/>
  <c r="Y23" i="6"/>
  <c r="Y11" i="6"/>
  <c r="Z11" i="6"/>
  <c r="Y12" i="6"/>
  <c r="Z12" i="6"/>
  <c r="Y13" i="6"/>
  <c r="Z13" i="6"/>
  <c r="Y15" i="6"/>
  <c r="Z15" i="6"/>
  <c r="Y18" i="6"/>
  <c r="Z18" i="6"/>
  <c r="Z20" i="6"/>
  <c r="Y20" i="6"/>
  <c r="Y7" i="6"/>
  <c r="Z7" i="6"/>
  <c r="Y2839" i="6"/>
  <c r="Z2839" i="6"/>
  <c r="Z2821" i="6"/>
  <c r="Y2821" i="6"/>
  <c r="Y2824" i="6"/>
  <c r="Z2824" i="6"/>
  <c r="Y2729" i="6"/>
  <c r="Z2729" i="6"/>
  <c r="Z1688" i="6"/>
  <c r="Y1688" i="6"/>
  <c r="Z1689" i="6"/>
  <c r="Y1689" i="6"/>
  <c r="Y1690" i="6"/>
  <c r="Z1690" i="6"/>
  <c r="Y1692" i="6"/>
  <c r="Z1692" i="6"/>
  <c r="Z1693" i="6"/>
  <c r="Y1693" i="6"/>
  <c r="Z1694" i="6"/>
  <c r="Y1694" i="6"/>
  <c r="Y1696" i="6"/>
  <c r="Z1696" i="6"/>
  <c r="Y1699" i="6"/>
  <c r="Z1699" i="6"/>
  <c r="Z1701" i="6"/>
  <c r="Y1701" i="6"/>
  <c r="Z1702" i="6"/>
  <c r="Y1702" i="6"/>
  <c r="Y1667" i="6"/>
  <c r="Z1667" i="6"/>
  <c r="Y1665" i="6"/>
  <c r="Z1665" i="6"/>
  <c r="Y1660" i="6"/>
  <c r="Z1660" i="6"/>
  <c r="Y1662" i="6"/>
  <c r="Z1662" i="6"/>
  <c r="Z1663" i="6"/>
  <c r="Y1663" i="6"/>
  <c r="Z1651" i="6"/>
  <c r="Y1651" i="6"/>
  <c r="Y1653" i="6"/>
  <c r="Z1653" i="6"/>
  <c r="Y1655" i="6"/>
  <c r="Z1655" i="6"/>
  <c r="Z1657" i="6"/>
  <c r="Y1657" i="6"/>
  <c r="Z1658" i="6"/>
  <c r="Y1658" i="6"/>
  <c r="Z1635" i="6"/>
  <c r="Y1635" i="6"/>
  <c r="Y1636" i="6"/>
  <c r="Z1636" i="6"/>
  <c r="Y1638" i="6"/>
  <c r="Z1638" i="6"/>
  <c r="Z1639" i="6"/>
  <c r="Y1639" i="6"/>
  <c r="Y1640" i="6"/>
  <c r="Z1640" i="6"/>
  <c r="Y1641" i="6"/>
  <c r="Z1641" i="6"/>
  <c r="Z1642" i="6"/>
  <c r="Y1642" i="6"/>
  <c r="Y1644" i="6"/>
  <c r="Z1644" i="6"/>
  <c r="Z1645" i="6"/>
  <c r="Y1645" i="6"/>
  <c r="Z1646" i="6"/>
  <c r="Y1646" i="6"/>
  <c r="Z1647" i="6"/>
  <c r="Y1647" i="6"/>
  <c r="Z1649" i="6"/>
  <c r="Y1649" i="6"/>
  <c r="Z1618" i="6"/>
  <c r="Y1618" i="6"/>
  <c r="Z1619" i="6"/>
  <c r="Y1619" i="6"/>
  <c r="Y1622" i="6"/>
  <c r="Z1622" i="6"/>
  <c r="Z1625" i="6"/>
  <c r="Y1625" i="6"/>
  <c r="Y1628" i="6"/>
  <c r="Z1628" i="6"/>
  <c r="Y1629" i="6"/>
  <c r="Z1629" i="6"/>
  <c r="Y1634" i="6"/>
  <c r="Z1634" i="6"/>
  <c r="Y1603" i="6"/>
  <c r="Z1603" i="6"/>
  <c r="Z1604" i="6"/>
  <c r="Y1604" i="6"/>
  <c r="Y1605" i="6"/>
  <c r="Z1605" i="6"/>
  <c r="Z1607" i="6"/>
  <c r="Y1607" i="6"/>
  <c r="Z1609" i="6"/>
  <c r="Y1609" i="6"/>
  <c r="Z1610" i="6"/>
  <c r="Y1610" i="6"/>
  <c r="Y1612" i="6"/>
  <c r="Z1612" i="6"/>
  <c r="Z1613" i="6"/>
  <c r="Y1613" i="6"/>
  <c r="Z1614" i="6"/>
  <c r="Y1614" i="6"/>
  <c r="Z1615" i="6"/>
  <c r="Y1615" i="6"/>
  <c r="Z1616" i="6"/>
  <c r="Y1616" i="6"/>
  <c r="Z1584" i="6"/>
  <c r="Y1584" i="6"/>
  <c r="Y1587" i="6"/>
  <c r="Z1587" i="6"/>
  <c r="Z1588" i="6"/>
  <c r="Y1588" i="6"/>
  <c r="Z1589" i="6"/>
  <c r="Y1589" i="6"/>
  <c r="Y1590" i="6"/>
  <c r="Z1590" i="6"/>
  <c r="Y1592" i="6"/>
  <c r="Z1592" i="6"/>
  <c r="Y1593" i="6"/>
  <c r="Z1593" i="6"/>
  <c r="Z1595" i="6"/>
  <c r="Y1595" i="6"/>
  <c r="Y1597" i="6"/>
  <c r="Z1597" i="6"/>
  <c r="Z1583" i="6"/>
  <c r="Y1583" i="6"/>
  <c r="Y1582" i="6"/>
  <c r="Z1582" i="6"/>
  <c r="Y1578" i="6"/>
  <c r="Z1578" i="6"/>
  <c r="Z1580" i="6"/>
  <c r="Y1580" i="6"/>
  <c r="Y1572" i="6"/>
  <c r="Z1572" i="6"/>
  <c r="Y1573" i="6"/>
  <c r="Z1573" i="6"/>
  <c r="Y1575" i="6"/>
  <c r="Z1575" i="6"/>
  <c r="Y1576" i="6"/>
  <c r="Z1576" i="6"/>
  <c r="Z1570" i="6"/>
  <c r="Y1570" i="6"/>
  <c r="Z1543" i="6"/>
  <c r="Y1543" i="6"/>
  <c r="Z1561" i="6"/>
  <c r="Y1561" i="6"/>
  <c r="Z1563" i="6"/>
  <c r="Y1563" i="6"/>
  <c r="Z1562" i="6"/>
  <c r="Y1562" i="6"/>
  <c r="Z1515" i="6"/>
  <c r="Y1515" i="6"/>
  <c r="Z1520" i="6"/>
  <c r="Y1520" i="6"/>
  <c r="Y1512" i="6"/>
  <c r="Z1512" i="6"/>
  <c r="Y1525" i="6"/>
  <c r="Z1525" i="6"/>
  <c r="Z1516" i="6"/>
  <c r="Y1516" i="6"/>
  <c r="Y1539" i="6"/>
  <c r="Z1539" i="6"/>
  <c r="Y1540" i="6"/>
  <c r="Z1540" i="6"/>
  <c r="Y1538" i="6"/>
  <c r="Z1538" i="6"/>
  <c r="Z1537" i="6"/>
  <c r="Y1537" i="6"/>
  <c r="Y1535" i="6"/>
  <c r="Z1535" i="6"/>
  <c r="Z1548" i="6"/>
  <c r="Y1548" i="6"/>
  <c r="Z1544" i="6"/>
  <c r="Y1544" i="6"/>
  <c r="Z1559" i="6"/>
  <c r="Y1559" i="6"/>
  <c r="Y1560" i="6"/>
  <c r="Z1560" i="6"/>
  <c r="Z1557" i="6"/>
  <c r="Y1557" i="6"/>
  <c r="Z1319" i="6"/>
  <c r="Y1319" i="6"/>
  <c r="Z1351" i="6"/>
  <c r="Y1351" i="6"/>
  <c r="Y1342" i="6"/>
  <c r="Z1342" i="6"/>
  <c r="Z1337" i="6"/>
  <c r="Y1337" i="6"/>
  <c r="Y1358" i="6"/>
  <c r="Z1358" i="6"/>
  <c r="Z1357" i="6"/>
  <c r="Y1357" i="6"/>
  <c r="Y1420" i="6"/>
  <c r="Z1420" i="6"/>
  <c r="Y1440" i="6"/>
  <c r="Z1440" i="6"/>
  <c r="Y1436" i="6"/>
  <c r="Z1436" i="6"/>
  <c r="Z1384" i="6"/>
  <c r="Y1384" i="6"/>
  <c r="Y1383" i="6"/>
  <c r="Z1383" i="6"/>
  <c r="Y1447" i="6"/>
  <c r="Z1447" i="6"/>
  <c r="Z1294" i="6"/>
  <c r="Y1294" i="6"/>
  <c r="Y1364" i="6"/>
  <c r="Z1364" i="6"/>
  <c r="Z1490" i="6"/>
  <c r="Y1490" i="6"/>
  <c r="Y1286" i="6"/>
  <c r="Z1286" i="6"/>
  <c r="Z1334" i="6"/>
  <c r="Y1334" i="6"/>
  <c r="Y1331" i="6"/>
  <c r="Z1331" i="6"/>
  <c r="Y1297" i="6"/>
  <c r="Z1297" i="6"/>
  <c r="Z1488" i="6"/>
  <c r="Y1488" i="6"/>
  <c r="Y1322" i="6"/>
  <c r="Z1322" i="6"/>
  <c r="Z1328" i="6"/>
  <c r="Y1328" i="6"/>
  <c r="Z1299" i="6"/>
  <c r="Y1299" i="6"/>
  <c r="Y1394" i="6"/>
  <c r="Z1394" i="6"/>
  <c r="Y1392" i="6"/>
  <c r="Z1392" i="6"/>
  <c r="Z1391" i="6"/>
  <c r="Y1391" i="6"/>
  <c r="Z1380" i="6"/>
  <c r="Y1380" i="6"/>
  <c r="Y1389" i="6"/>
  <c r="Z1389" i="6"/>
  <c r="Z1387" i="6"/>
  <c r="Y1387" i="6"/>
  <c r="Y1481" i="6"/>
  <c r="Z1481" i="6"/>
  <c r="Z1545" i="6"/>
  <c r="Y1545" i="6"/>
  <c r="Y1530" i="6"/>
  <c r="Z1530" i="6"/>
  <c r="Z1527" i="6"/>
  <c r="Y1527" i="6"/>
  <c r="Z1496" i="6"/>
  <c r="Y1496" i="6"/>
  <c r="Y1327" i="6"/>
  <c r="Z1327" i="6"/>
  <c r="Z1467" i="6"/>
  <c r="Y1467" i="6"/>
  <c r="Z1464" i="6"/>
  <c r="Y1464" i="6"/>
  <c r="Y1501" i="6"/>
  <c r="Z1501" i="6"/>
  <c r="Y1499" i="6"/>
  <c r="Z1499" i="6"/>
  <c r="Y1497" i="6"/>
  <c r="Z1497" i="6"/>
  <c r="Z1495" i="6"/>
  <c r="Y1495" i="6"/>
  <c r="Y1528" i="6"/>
  <c r="Z1528" i="6"/>
  <c r="Z1531" i="6"/>
  <c r="Y1531" i="6"/>
  <c r="Z1367" i="6"/>
  <c r="Y1367" i="6"/>
  <c r="Z1377" i="6"/>
  <c r="Y1377" i="6"/>
  <c r="Z1317" i="6"/>
  <c r="Y1317" i="6"/>
  <c r="Z1556" i="6"/>
  <c r="Y1556" i="6"/>
  <c r="Z1566" i="6"/>
  <c r="Y1566" i="6"/>
  <c r="Y1498" i="6"/>
  <c r="Z1498" i="6"/>
  <c r="Y1500" i="6"/>
  <c r="Z1500" i="6"/>
  <c r="Z1502" i="6"/>
  <c r="Y1502" i="6"/>
  <c r="Z1465" i="6"/>
  <c r="Y1465" i="6"/>
  <c r="Y1487" i="6"/>
  <c r="Z1487" i="6"/>
  <c r="Z1486" i="6"/>
  <c r="Y1486" i="6"/>
  <c r="Z1381" i="6"/>
  <c r="Y1381" i="6"/>
  <c r="Z1507" i="6"/>
  <c r="Y1507" i="6"/>
  <c r="Z1554" i="6"/>
  <c r="Y1554" i="6"/>
  <c r="Y1553" i="6"/>
  <c r="Z1553" i="6"/>
  <c r="Z1326" i="6"/>
  <c r="Y1326" i="6"/>
  <c r="Y1529" i="6"/>
  <c r="Z1529" i="6"/>
  <c r="Y1493" i="6"/>
  <c r="Z1493" i="6"/>
  <c r="Z1494" i="6"/>
  <c r="Y1494" i="6"/>
  <c r="Y1568" i="6"/>
  <c r="Z1568" i="6"/>
  <c r="Y1503" i="6"/>
  <c r="Z1503" i="6"/>
  <c r="Z1491" i="6"/>
  <c r="Y1491" i="6"/>
  <c r="Y1492" i="6"/>
  <c r="Z1492" i="6"/>
  <c r="Y1567" i="6"/>
  <c r="Z1567" i="6"/>
  <c r="Z1296" i="6"/>
  <c r="Y1296" i="6"/>
  <c r="Z1565" i="6"/>
  <c r="Y1565" i="6"/>
  <c r="Z1555" i="6"/>
  <c r="Y1555" i="6"/>
  <c r="Y1466" i="6"/>
  <c r="Z1466" i="6"/>
  <c r="Y1323" i="6"/>
  <c r="Z1323" i="6"/>
  <c r="Y1426" i="6"/>
  <c r="Z1426" i="6"/>
  <c r="Z1315" i="6"/>
  <c r="Y1315" i="6"/>
  <c r="Y1390" i="6"/>
  <c r="Z1390" i="6"/>
  <c r="Z1408" i="6"/>
  <c r="Y1408" i="6"/>
  <c r="Y1404" i="6"/>
  <c r="Z1404" i="6"/>
  <c r="Z1445" i="6"/>
  <c r="Y1445" i="6"/>
  <c r="Z1303" i="6"/>
  <c r="Y1303" i="6"/>
  <c r="Z1438" i="6"/>
  <c r="Y1438" i="6"/>
  <c r="Y1418" i="6"/>
  <c r="Z1418" i="6"/>
  <c r="Y1305" i="6"/>
  <c r="Z1305" i="6"/>
  <c r="Z1287" i="6"/>
  <c r="Y1287" i="6"/>
  <c r="Z1450" i="6"/>
  <c r="Y1450" i="6"/>
  <c r="Y1427" i="6"/>
  <c r="Z1427" i="6"/>
  <c r="Y1518" i="6"/>
  <c r="Z1518" i="6"/>
  <c r="Z1509" i="6"/>
  <c r="Y1509" i="6"/>
  <c r="Z1523" i="6"/>
  <c r="Y1523" i="6"/>
  <c r="Z1513" i="6"/>
  <c r="Y1513" i="6"/>
  <c r="Z1283" i="6"/>
  <c r="Y1283" i="6"/>
  <c r="Y1421" i="6"/>
  <c r="Z1421" i="6"/>
  <c r="Z1422" i="6"/>
  <c r="Y1422" i="6"/>
  <c r="Y1291" i="6"/>
  <c r="Z1291" i="6"/>
  <c r="Y1360" i="6"/>
  <c r="Z1360" i="6"/>
  <c r="Z1363" i="6"/>
  <c r="Y1363" i="6"/>
  <c r="Y1470" i="6"/>
  <c r="Z1470" i="6"/>
  <c r="Z1471" i="6"/>
  <c r="Y1471" i="6"/>
  <c r="Z1456" i="6"/>
  <c r="Y1456" i="6"/>
  <c r="Y1424" i="6"/>
  <c r="Z1424" i="6"/>
  <c r="Z1398" i="6"/>
  <c r="Y1398" i="6"/>
  <c r="Z1433" i="6"/>
  <c r="Y1433" i="6"/>
  <c r="Y1396" i="6"/>
  <c r="Z1396" i="6"/>
  <c r="Z1399" i="6"/>
  <c r="Y1399" i="6"/>
  <c r="Z1400" i="6"/>
  <c r="Y1400" i="6"/>
  <c r="Z1341" i="6"/>
  <c r="Y1341" i="6"/>
  <c r="Y1522" i="6"/>
  <c r="Z1522" i="6"/>
  <c r="Z1526" i="6"/>
  <c r="Y1526" i="6"/>
  <c r="Z1338" i="6"/>
  <c r="Y1338" i="6"/>
  <c r="Y1428" i="6"/>
  <c r="Z1428" i="6"/>
  <c r="Y1354" i="6"/>
  <c r="Z1354" i="6"/>
  <c r="Y1410" i="6"/>
  <c r="Z1410" i="6"/>
  <c r="Y1295" i="6"/>
  <c r="Z1295" i="6"/>
  <c r="Z1376" i="6"/>
  <c r="Y1376" i="6"/>
  <c r="Y1475" i="6"/>
  <c r="Z1475" i="6"/>
  <c r="Y1350" i="6"/>
  <c r="Z1350" i="6"/>
  <c r="Z1388" i="6"/>
  <c r="Y1388" i="6"/>
  <c r="Z1355" i="6"/>
  <c r="Y1355" i="6"/>
  <c r="Z1356" i="6"/>
  <c r="Y1356" i="6"/>
  <c r="Y1549" i="6"/>
  <c r="Z1549" i="6"/>
  <c r="Z1370" i="6"/>
  <c r="Y1370" i="6"/>
  <c r="Y1414" i="6"/>
  <c r="Z1414" i="6"/>
  <c r="Z1477" i="6"/>
  <c r="Y1477" i="6"/>
  <c r="Y1405" i="6"/>
  <c r="Z1405" i="6"/>
  <c r="Y1292" i="6"/>
  <c r="Z1292" i="6"/>
  <c r="Y1371" i="6"/>
  <c r="Z1371" i="6"/>
  <c r="Z1431" i="6"/>
  <c r="Y1431" i="6"/>
  <c r="Y1432" i="6"/>
  <c r="Z1432" i="6"/>
  <c r="Z1365" i="6"/>
  <c r="Y1365" i="6"/>
  <c r="Y1374" i="6"/>
  <c r="Z1374" i="6"/>
  <c r="Z1372" i="6"/>
  <c r="Y1372" i="6"/>
  <c r="Y1550" i="6"/>
  <c r="Z1550" i="6"/>
  <c r="Y1343" i="6"/>
  <c r="Z1343" i="6"/>
  <c r="Z1413" i="6"/>
  <c r="Y1413" i="6"/>
  <c r="Y1479" i="6"/>
  <c r="Z1479" i="6"/>
  <c r="Z1349" i="6"/>
  <c r="Y1349" i="6"/>
  <c r="Z1508" i="6"/>
  <c r="Y1508" i="6"/>
  <c r="Z1546" i="6"/>
  <c r="Y1546" i="6"/>
  <c r="Y1288" i="6"/>
  <c r="Z1288" i="6"/>
  <c r="Z1353" i="6"/>
  <c r="Y1353" i="6"/>
  <c r="Z1478" i="6"/>
  <c r="Y1478" i="6"/>
  <c r="Z1397" i="6"/>
  <c r="Y1397" i="6"/>
  <c r="Z1434" i="6"/>
  <c r="Y1434" i="6"/>
  <c r="Y1375" i="6"/>
  <c r="Z1375" i="6"/>
  <c r="Z1373" i="6"/>
  <c r="Y1373" i="6"/>
  <c r="Y1318" i="6"/>
  <c r="Z1318" i="6"/>
  <c r="Z1368" i="6"/>
  <c r="Y1368" i="6"/>
  <c r="Z1366" i="6"/>
  <c r="Y1366" i="6"/>
  <c r="Y1369" i="6"/>
  <c r="Z1369" i="6"/>
  <c r="Z1419" i="6"/>
  <c r="Y1419" i="6"/>
  <c r="Z1415" i="6"/>
  <c r="Y1415" i="6"/>
  <c r="Z1441" i="6"/>
  <c r="Y1441" i="6"/>
  <c r="Z1442" i="6"/>
  <c r="Y1442" i="6"/>
  <c r="Z1444" i="6"/>
  <c r="Y1444" i="6"/>
  <c r="Y1409" i="6"/>
  <c r="Z1409" i="6"/>
  <c r="Z1411" i="6"/>
  <c r="Y1411" i="6"/>
  <c r="Z1412" i="6"/>
  <c r="Y1412" i="6"/>
  <c r="Z1309" i="6"/>
  <c r="Y1309" i="6"/>
  <c r="Z1308" i="6"/>
  <c r="Y1308" i="6"/>
  <c r="Z1459" i="6"/>
  <c r="Y1459" i="6"/>
  <c r="Y1325" i="6"/>
  <c r="Z1325" i="6"/>
  <c r="Z1346" i="6"/>
  <c r="Y1346" i="6"/>
  <c r="Y1446" i="6"/>
  <c r="Z1446" i="6"/>
  <c r="Y1313" i="6"/>
  <c r="Z1313" i="6"/>
  <c r="Z1332" i="6"/>
  <c r="Y1332" i="6"/>
  <c r="Z1330" i="6"/>
  <c r="Y1330" i="6"/>
  <c r="Z1484" i="6"/>
  <c r="Y1484" i="6"/>
  <c r="Z1347" i="6"/>
  <c r="Y1347" i="6"/>
  <c r="Y1348" i="6"/>
  <c r="Z1348" i="6"/>
  <c r="Y1385" i="6"/>
  <c r="Z1385" i="6"/>
  <c r="Y1289" i="6"/>
  <c r="Z1289" i="6"/>
  <c r="Z1306" i="6"/>
  <c r="Y1306" i="6"/>
  <c r="Z1460" i="6"/>
  <c r="Y1460" i="6"/>
  <c r="Z1458" i="6"/>
  <c r="Y1458" i="6"/>
  <c r="Z1454" i="6"/>
  <c r="Y1454" i="6"/>
  <c r="Y1461" i="6"/>
  <c r="Z1461" i="6"/>
  <c r="Y1457" i="6"/>
  <c r="Z1457" i="6"/>
  <c r="Z1416" i="6"/>
  <c r="Y1416" i="6"/>
  <c r="Y1468" i="6"/>
  <c r="Z1468" i="6"/>
  <c r="Z1452" i="6"/>
  <c r="Y1452" i="6"/>
  <c r="Y1451" i="6"/>
  <c r="Z1451" i="6"/>
  <c r="Y1485" i="6"/>
  <c r="Z1485" i="6"/>
  <c r="Z1462" i="6"/>
  <c r="Y1462" i="6"/>
  <c r="Y1453" i="6"/>
  <c r="Z1453" i="6"/>
  <c r="Y1474" i="6"/>
  <c r="Z1474" i="6"/>
  <c r="Z1463" i="6"/>
  <c r="Y1463" i="6"/>
  <c r="Y1345" i="6"/>
  <c r="Z1345" i="6"/>
  <c r="Y1312" i="6"/>
  <c r="Z1312" i="6"/>
  <c r="Z1307" i="6"/>
  <c r="Y1307" i="6"/>
  <c r="Z1311" i="6"/>
  <c r="Y1311" i="6"/>
  <c r="Z1310" i="6"/>
  <c r="Y1310" i="6"/>
  <c r="Y1339" i="6"/>
  <c r="Z1339" i="6"/>
  <c r="Z1324" i="6"/>
  <c r="Y1324" i="6"/>
  <c r="Y1279" i="6"/>
  <c r="Z1279" i="6"/>
  <c r="Y1280" i="6"/>
  <c r="Z1280" i="6"/>
  <c r="Z1261" i="6"/>
  <c r="Y1261" i="6"/>
  <c r="Y1262" i="6"/>
  <c r="Z1262" i="6"/>
  <c r="Y1263" i="6"/>
  <c r="Z1263" i="6"/>
  <c r="Y1264" i="6"/>
  <c r="Z1264" i="6"/>
  <c r="Z1265" i="6"/>
  <c r="Y1265" i="6"/>
  <c r="Y1266" i="6"/>
  <c r="Z1266" i="6"/>
  <c r="Z1267" i="6"/>
  <c r="Y1267" i="6"/>
  <c r="Y1268" i="6"/>
  <c r="Z1268" i="6"/>
  <c r="Y1269" i="6"/>
  <c r="Z1269" i="6"/>
  <c r="Y1272" i="6"/>
  <c r="Z1272" i="6"/>
  <c r="Y1274" i="6"/>
  <c r="Z1274" i="6"/>
  <c r="Y1276" i="6"/>
  <c r="Z1276" i="6"/>
  <c r="Y1277" i="6"/>
  <c r="Z1277" i="6"/>
  <c r="Y1251" i="6"/>
  <c r="Z1251" i="6"/>
  <c r="Z1253" i="6"/>
  <c r="Y1253" i="6"/>
  <c r="Z1254" i="6"/>
  <c r="Y1254" i="6"/>
  <c r="Z1255" i="6"/>
  <c r="Y1255" i="6"/>
  <c r="Z1257" i="6"/>
  <c r="Y1257" i="6"/>
  <c r="Z1258" i="6"/>
  <c r="Y1258" i="6"/>
  <c r="Y1260" i="6"/>
  <c r="Z1260" i="6"/>
  <c r="Z1249" i="6"/>
  <c r="Y1249" i="6"/>
  <c r="Z1250" i="6"/>
  <c r="Y1250" i="6"/>
  <c r="Z1248" i="6"/>
  <c r="Y1248" i="6"/>
  <c r="Y1247" i="6"/>
  <c r="Z1247" i="6"/>
  <c r="Y1246" i="6"/>
  <c r="Z1246" i="6"/>
  <c r="Z1239" i="6"/>
  <c r="Y1239" i="6"/>
  <c r="Y1241" i="6"/>
  <c r="Z1241" i="6"/>
  <c r="Y1242" i="6"/>
  <c r="Z1242" i="6"/>
  <c r="Z1243" i="6"/>
  <c r="Y1243" i="6"/>
  <c r="Z1244" i="6"/>
  <c r="Y1244" i="6"/>
  <c r="Y1245" i="6"/>
  <c r="Z1245" i="6"/>
  <c r="Y1213" i="6"/>
  <c r="Z1213" i="6"/>
  <c r="Y1214" i="6"/>
  <c r="Z1214" i="6"/>
  <c r="Y1216" i="6"/>
  <c r="Z1216" i="6"/>
  <c r="Z1217" i="6"/>
  <c r="Y1217" i="6"/>
  <c r="Z1218" i="6"/>
  <c r="Y1218" i="6"/>
  <c r="Y1219" i="6"/>
  <c r="Z1219" i="6"/>
  <c r="Z1221" i="6"/>
  <c r="Y1221" i="6"/>
  <c r="Z1222" i="6"/>
  <c r="Y1222" i="6"/>
  <c r="Z1224" i="6"/>
  <c r="Y1224" i="6"/>
  <c r="Y1226" i="6"/>
  <c r="Z1226" i="6"/>
  <c r="Y1228" i="6"/>
  <c r="Z1228" i="6"/>
  <c r="Z1230" i="6"/>
  <c r="Y1230" i="6"/>
  <c r="Y1231" i="6"/>
  <c r="Z1231" i="6"/>
  <c r="Z1232" i="6"/>
  <c r="Y1232" i="6"/>
  <c r="Z1233" i="6"/>
  <c r="Y1233" i="6"/>
  <c r="Y1234" i="6"/>
  <c r="Z1234" i="6"/>
  <c r="Y1235" i="6"/>
  <c r="Z1235" i="6"/>
  <c r="Y1236" i="6"/>
  <c r="Z1236" i="6"/>
  <c r="Z1237" i="6"/>
  <c r="Y1237" i="6"/>
  <c r="Y1207" i="6"/>
  <c r="Z1207" i="6"/>
  <c r="Z1208" i="6"/>
  <c r="Y1208" i="6"/>
  <c r="Z1209" i="6"/>
  <c r="Y1209" i="6"/>
  <c r="Z1212" i="6"/>
  <c r="Y1212" i="6"/>
  <c r="Z1206" i="6"/>
  <c r="Y1206" i="6"/>
  <c r="Z1205" i="6"/>
  <c r="Y1205" i="6"/>
  <c r="Y1204" i="6"/>
  <c r="Z1204" i="6"/>
  <c r="Y1203" i="6"/>
  <c r="Z1203" i="6"/>
  <c r="Y1202" i="6"/>
  <c r="Z1202" i="6"/>
  <c r="Y1201" i="6"/>
  <c r="Z1201" i="6"/>
  <c r="Y1200" i="6"/>
  <c r="Z1200" i="6"/>
  <c r="Z1198" i="6"/>
  <c r="Y1198" i="6"/>
  <c r="Z1197" i="6"/>
  <c r="Y1197" i="6"/>
  <c r="Y1194" i="6"/>
  <c r="Z1194" i="6"/>
  <c r="Z1195" i="6"/>
  <c r="Y1195" i="6"/>
  <c r="Z1193" i="6"/>
  <c r="Y1193" i="6"/>
  <c r="Z1190" i="6"/>
  <c r="Y1190" i="6"/>
  <c r="Y1191" i="6"/>
  <c r="Z1191" i="6"/>
  <c r="Y1189" i="6"/>
  <c r="Z1189" i="6"/>
  <c r="Z1178" i="6"/>
  <c r="Y1178" i="6"/>
  <c r="Y1180" i="6"/>
  <c r="Z1180" i="6"/>
  <c r="Y1182" i="6"/>
  <c r="Z1182" i="6"/>
  <c r="Z1184" i="6"/>
  <c r="Y1184" i="6"/>
  <c r="Y1185" i="6"/>
  <c r="Z1185" i="6"/>
  <c r="Y1186" i="6"/>
  <c r="Z1186" i="6"/>
  <c r="Z1187" i="6"/>
  <c r="Y1187" i="6"/>
  <c r="Z1168" i="6"/>
  <c r="Y1168" i="6"/>
  <c r="Y1169" i="6"/>
  <c r="Z1169" i="6"/>
  <c r="Z1173" i="6"/>
  <c r="Y1173" i="6"/>
  <c r="Z1175" i="6"/>
  <c r="Y1175" i="6"/>
  <c r="Z1177" i="6"/>
  <c r="Y1177" i="6"/>
  <c r="Z1166" i="6"/>
  <c r="Y1166" i="6"/>
  <c r="Y1152" i="6"/>
  <c r="Z1152" i="6"/>
  <c r="Y1153" i="6"/>
  <c r="Z1153" i="6"/>
  <c r="Z1154" i="6"/>
  <c r="Y1154" i="6"/>
  <c r="Y1155" i="6"/>
  <c r="Z1155" i="6"/>
  <c r="Y1156" i="6"/>
  <c r="Z1156" i="6"/>
  <c r="Z1157" i="6"/>
  <c r="Y1157" i="6"/>
  <c r="Z1158" i="6"/>
  <c r="Y1158" i="6"/>
  <c r="Y1159" i="6"/>
  <c r="Z1159" i="6"/>
  <c r="Z1160" i="6"/>
  <c r="Y1160" i="6"/>
  <c r="Z1161" i="6"/>
  <c r="Y1161" i="6"/>
  <c r="Z1162" i="6"/>
  <c r="Y1162" i="6"/>
  <c r="Z1163" i="6"/>
  <c r="Y1163" i="6"/>
  <c r="Z1164" i="6"/>
  <c r="Y1164" i="6"/>
  <c r="Z1144" i="6"/>
  <c r="Y1144" i="6"/>
  <c r="Y1145" i="6"/>
  <c r="Z1145" i="6"/>
  <c r="Z1146" i="6"/>
  <c r="Y1146" i="6"/>
  <c r="Y1147" i="6"/>
  <c r="Z1147" i="6"/>
  <c r="Z1148" i="6"/>
  <c r="Y1148" i="6"/>
  <c r="Y1149" i="6"/>
  <c r="Z1149" i="6"/>
  <c r="Z1150" i="6"/>
  <c r="Y1150" i="6"/>
  <c r="Z1151" i="6"/>
  <c r="Y1151" i="6"/>
  <c r="Y1142" i="6"/>
  <c r="Z1142" i="6"/>
  <c r="Y1143" i="6"/>
  <c r="Z1143" i="6"/>
  <c r="Z1141" i="6"/>
  <c r="Y1141" i="6"/>
  <c r="Y1140" i="6"/>
  <c r="Z1140" i="6"/>
  <c r="Y1139" i="6"/>
  <c r="Z1139" i="6"/>
  <c r="Z1116" i="6"/>
  <c r="Y1116" i="6"/>
  <c r="Y1117" i="6"/>
  <c r="Z1117" i="6"/>
  <c r="Z1118" i="6"/>
  <c r="Y1118" i="6"/>
  <c r="Z1119" i="6"/>
  <c r="Y1119" i="6"/>
  <c r="Y1120" i="6"/>
  <c r="Z1120" i="6"/>
  <c r="Y1121" i="6"/>
  <c r="Z1121" i="6"/>
  <c r="Y1122" i="6"/>
  <c r="Z1122" i="6"/>
  <c r="Y1123" i="6"/>
  <c r="Z1123" i="6"/>
  <c r="Z1124" i="6"/>
  <c r="Y1124" i="6"/>
  <c r="Y1126" i="6"/>
  <c r="Z1126" i="6"/>
  <c r="Y1128" i="6"/>
  <c r="Z1128" i="6"/>
  <c r="Y1129" i="6"/>
  <c r="Z1129" i="6"/>
  <c r="Y1131" i="6"/>
  <c r="Z1131" i="6"/>
  <c r="Y1132" i="6"/>
  <c r="Z1132" i="6"/>
  <c r="Y1134" i="6"/>
  <c r="Z1134" i="6"/>
  <c r="Y1135" i="6"/>
  <c r="Z1135" i="6"/>
  <c r="Z1136" i="6"/>
  <c r="Y1136" i="6"/>
  <c r="Y1138" i="6"/>
  <c r="Z1138" i="6"/>
  <c r="Z1081" i="6"/>
  <c r="Y1081" i="6"/>
  <c r="Y1083" i="6"/>
  <c r="Z1083" i="6"/>
  <c r="Y1084" i="6"/>
  <c r="Z1084" i="6"/>
  <c r="Y1086" i="6"/>
  <c r="Z1086" i="6"/>
  <c r="Y1087" i="6"/>
  <c r="Z1087" i="6"/>
  <c r="Y1088" i="6"/>
  <c r="Z1088" i="6"/>
  <c r="Y1089" i="6"/>
  <c r="Z1089" i="6"/>
  <c r="Y1090" i="6"/>
  <c r="Z1090" i="6"/>
  <c r="Z1091" i="6"/>
  <c r="Y1091" i="6"/>
  <c r="Z1092" i="6"/>
  <c r="Y1092" i="6"/>
  <c r="Y1093" i="6"/>
  <c r="Z1093" i="6"/>
  <c r="Z1094" i="6"/>
  <c r="Y1094" i="6"/>
  <c r="Z1095" i="6"/>
  <c r="Y1095" i="6"/>
  <c r="Y1098" i="6"/>
  <c r="Z1098" i="6"/>
  <c r="Y1100" i="6"/>
  <c r="Z1100" i="6"/>
  <c r="Z1101" i="6"/>
  <c r="Y1101" i="6"/>
  <c r="Y1103" i="6"/>
  <c r="Z1103" i="6"/>
  <c r="Y1104" i="6"/>
  <c r="Z1104" i="6"/>
  <c r="Y1106" i="6"/>
  <c r="Z1106" i="6"/>
  <c r="Z1107" i="6"/>
  <c r="Y1107" i="6"/>
  <c r="Z1108" i="6"/>
  <c r="Y1108" i="6"/>
  <c r="Z1109" i="6"/>
  <c r="Y1109" i="6"/>
  <c r="Z1110" i="6"/>
  <c r="Y1110" i="6"/>
  <c r="Y1111" i="6"/>
  <c r="Z1111" i="6"/>
  <c r="Y1112" i="6"/>
  <c r="Z1112" i="6"/>
  <c r="Y1113" i="6"/>
  <c r="Z1113" i="6"/>
  <c r="Z1114" i="6"/>
  <c r="Y1114" i="6"/>
  <c r="Y1075" i="6"/>
  <c r="Z1075" i="6"/>
  <c r="Y1076" i="6"/>
  <c r="Z1076" i="6"/>
  <c r="Z1077" i="6"/>
  <c r="Y1077" i="6"/>
  <c r="Z1079" i="6"/>
  <c r="Y1079" i="6"/>
  <c r="Y1080" i="6"/>
  <c r="Z1080" i="6"/>
  <c r="Z1067" i="6"/>
  <c r="Y1067" i="6"/>
  <c r="Z1069" i="6"/>
  <c r="Y1069" i="6"/>
  <c r="Z1070" i="6"/>
  <c r="Y1070" i="6"/>
  <c r="Y1071" i="6"/>
  <c r="Z1071" i="6"/>
  <c r="Z1073" i="6"/>
  <c r="Y1073" i="6"/>
  <c r="Y1063" i="6"/>
  <c r="Z1063" i="6"/>
  <c r="Z1065" i="6"/>
  <c r="Y1065" i="6"/>
  <c r="Z1061" i="6"/>
  <c r="Y1061" i="6"/>
  <c r="Y1060" i="6"/>
  <c r="Z1060" i="6"/>
  <c r="Z1058" i="6"/>
  <c r="Y1058" i="6"/>
  <c r="Z1049" i="6"/>
  <c r="Y1049" i="6"/>
  <c r="Z1053" i="6"/>
  <c r="Y1053" i="6"/>
  <c r="Z1054" i="6"/>
  <c r="Y1054" i="6"/>
  <c r="Z1056" i="6"/>
  <c r="Y1056" i="6"/>
  <c r="Y1047" i="6"/>
  <c r="Z1047" i="6"/>
  <c r="Z1045" i="6"/>
  <c r="Y1045" i="6"/>
  <c r="Y1044" i="6"/>
  <c r="Z1044" i="6"/>
  <c r="Z1033" i="6"/>
  <c r="Y1033" i="6"/>
  <c r="Z1032" i="6"/>
  <c r="Y1032" i="6"/>
  <c r="Z1031" i="6"/>
  <c r="Y1031" i="6"/>
  <c r="Z1030" i="6"/>
  <c r="Y1030" i="6"/>
  <c r="Z1029" i="6"/>
  <c r="Y1029" i="6"/>
  <c r="Y1028" i="6"/>
  <c r="Z1028" i="6"/>
  <c r="Y1027" i="6"/>
  <c r="Z1027" i="6"/>
  <c r="Y1024" i="6"/>
  <c r="Z1024" i="6"/>
  <c r="Z1025" i="6"/>
  <c r="Y1025" i="6"/>
  <c r="Y1026" i="6"/>
  <c r="Z1026" i="6"/>
  <c r="Z1023" i="6"/>
  <c r="Y1023" i="6"/>
  <c r="Y1022" i="6"/>
  <c r="Z1022" i="6"/>
  <c r="Y1020" i="6"/>
  <c r="Z1020" i="6"/>
  <c r="Y1002" i="6"/>
  <c r="Z1002" i="6"/>
  <c r="Y94" i="6"/>
  <c r="Z94" i="6"/>
  <c r="B538" i="10" l="1"/>
  <c r="B423" i="10" l="1"/>
  <c r="B531" i="10" l="1"/>
  <c r="B162" i="10"/>
  <c r="B530" i="10"/>
  <c r="B529" i="10"/>
  <c r="B238" i="10" l="1"/>
  <c r="B267" i="10"/>
  <c r="B525" i="10"/>
  <c r="B517" i="10" l="1"/>
  <c r="B516" i="10"/>
  <c r="B507" i="10" l="1"/>
  <c r="B504" i="10"/>
  <c r="B485" i="10" l="1"/>
  <c r="B105" i="10"/>
  <c r="B484" i="10" l="1"/>
  <c r="D481" i="10"/>
  <c r="B481" i="10"/>
  <c r="B146" i="10" l="1"/>
  <c r="B120" i="10"/>
  <c r="B473" i="10" l="1"/>
  <c r="B249" i="10"/>
  <c r="B469" i="10"/>
  <c r="B462" i="10"/>
  <c r="B454" i="10" l="1"/>
  <c r="B450" i="10" l="1"/>
  <c r="B449" i="10"/>
  <c r="B443" i="10" l="1"/>
  <c r="B431" i="10"/>
  <c r="B439" i="10"/>
  <c r="B285" i="10" l="1"/>
  <c r="B279" i="10"/>
  <c r="B325" i="10"/>
  <c r="B287" i="10"/>
  <c r="B433" i="10"/>
  <c r="B421" i="10"/>
  <c r="B304" i="10"/>
  <c r="B297" i="10"/>
  <c r="B291" i="10"/>
  <c r="B289" i="10"/>
  <c r="B293" i="10"/>
  <c r="B299" i="10"/>
  <c r="B284" i="10" l="1"/>
  <c r="B303" i="10"/>
  <c r="B301" i="10"/>
  <c r="B221" i="10" l="1"/>
  <c r="B121" i="10"/>
  <c r="B386" i="10" l="1"/>
  <c r="B259" i="10" l="1"/>
  <c r="B294" i="10"/>
  <c r="B399" i="10"/>
  <c r="B398" i="10"/>
  <c r="B395" i="10"/>
  <c r="B394" i="10"/>
  <c r="B392" i="10"/>
  <c r="B391" i="10"/>
  <c r="B390" i="10"/>
  <c r="B389" i="10"/>
  <c r="B388" i="10"/>
  <c r="B387" i="10"/>
  <c r="B385" i="10"/>
  <c r="B384" i="10"/>
  <c r="B380" i="10"/>
  <c r="B379" i="10"/>
  <c r="B400" i="10"/>
  <c r="B378" i="10"/>
  <c r="B377" i="10"/>
  <c r="B376" i="10"/>
  <c r="B362" i="10"/>
  <c r="B361" i="10"/>
  <c r="B207" i="10"/>
  <c r="B193" i="10"/>
  <c r="K183" i="10"/>
  <c r="K171" i="10"/>
  <c r="K174" i="10" s="1"/>
  <c r="K175" i="10" s="1"/>
  <c r="B25" i="10"/>
  <c r="B24" i="10"/>
  <c r="B271" i="10"/>
  <c r="B140" i="10"/>
  <c r="B262" i="10"/>
  <c r="B247" i="10"/>
  <c r="B329" i="10"/>
  <c r="B244" i="10"/>
  <c r="B251" i="10"/>
  <c r="B276" i="10"/>
  <c r="B307" i="10"/>
  <c r="B352" i="10"/>
  <c r="B250" i="10"/>
  <c r="B420" i="10"/>
  <c r="B419" i="10"/>
  <c r="B412" i="10"/>
  <c r="B408" i="10"/>
  <c r="B356" i="10"/>
  <c r="B334" i="10"/>
  <c r="B333" i="10"/>
  <c r="B332" i="10"/>
  <c r="B266" i="10"/>
  <c r="B263" i="10"/>
  <c r="B256" i="10"/>
  <c r="B254" i="10"/>
  <c r="B190" i="10"/>
  <c r="B189" i="10"/>
  <c r="B188" i="10"/>
  <c r="B184" i="10"/>
  <c r="B183" i="10"/>
  <c r="B180" i="10"/>
  <c r="B178" i="10"/>
  <c r="B169" i="10"/>
  <c r="B157" i="10"/>
  <c r="B156" i="10"/>
  <c r="B154" i="10"/>
  <c r="B153" i="10"/>
  <c r="B152" i="10"/>
  <c r="B150" i="10"/>
  <c r="B148" i="10"/>
  <c r="B141" i="10"/>
  <c r="B128" i="10"/>
  <c r="B125" i="10"/>
  <c r="B118" i="10"/>
  <c r="B115" i="10"/>
  <c r="B110" i="10"/>
  <c r="B102" i="10"/>
  <c r="B101" i="10"/>
  <c r="B98" i="10"/>
  <c r="B97" i="10"/>
  <c r="B19" i="10"/>
  <c r="B18" i="10"/>
  <c r="B16" i="10"/>
  <c r="B246" i="10"/>
  <c r="B364" i="10"/>
  <c r="B363" i="10"/>
  <c r="B186" i="10"/>
  <c r="B149" i="10"/>
  <c r="B109" i="10"/>
  <c r="B10" i="10"/>
  <c r="B5" i="10"/>
  <c r="B7" i="10"/>
  <c r="B6" i="10"/>
  <c r="B278" i="10"/>
  <c r="B290" i="10"/>
  <c r="B292" i="10"/>
  <c r="B295" i="10"/>
  <c r="B296" i="10"/>
  <c r="B242" i="10"/>
  <c r="B217" i="10"/>
  <c r="B335" i="10"/>
  <c r="B429" i="10"/>
  <c r="B427" i="10"/>
  <c r="B275" i="10"/>
  <c r="B245" i="10"/>
  <c r="B434" i="10"/>
  <c r="B248" i="10"/>
  <c r="B117" i="10"/>
  <c r="B273" i="10"/>
  <c r="B425" i="10"/>
  <c r="B165" i="10"/>
  <c r="B277" i="10"/>
  <c r="B239" i="10"/>
  <c r="B243" i="10"/>
  <c r="B240" i="10"/>
  <c r="B241" i="10"/>
  <c r="B438" i="10"/>
  <c r="B437" i="10"/>
  <c r="B435" i="10"/>
  <c r="B432" i="10"/>
  <c r="B430" i="10"/>
  <c r="B428" i="10"/>
  <c r="B424" i="10"/>
  <c r="B418" i="10"/>
  <c r="B417" i="10"/>
  <c r="B416" i="10"/>
  <c r="B415" i="10"/>
  <c r="B414" i="10"/>
  <c r="B413" i="10"/>
  <c r="B411" i="10"/>
  <c r="B410" i="10"/>
  <c r="B409" i="10"/>
  <c r="B407" i="10"/>
  <c r="B406" i="10"/>
  <c r="B405" i="10"/>
  <c r="B404" i="10"/>
  <c r="B403" i="10"/>
  <c r="B402" i="10"/>
  <c r="B401" i="10"/>
  <c r="B375" i="10"/>
  <c r="B374" i="10"/>
  <c r="B373" i="10"/>
  <c r="B372" i="10"/>
  <c r="B371" i="10"/>
  <c r="B370" i="10"/>
  <c r="B369" i="10"/>
  <c r="B366" i="10"/>
  <c r="B360" i="10"/>
  <c r="B359" i="10"/>
  <c r="B358" i="10"/>
  <c r="B357" i="10"/>
  <c r="B354" i="10"/>
  <c r="B353" i="10"/>
  <c r="B351" i="10"/>
  <c r="B350" i="10"/>
  <c r="B349" i="10"/>
  <c r="B348" i="10"/>
  <c r="B347" i="10"/>
  <c r="B346" i="10"/>
  <c r="B342" i="10"/>
  <c r="B341" i="10"/>
  <c r="B340" i="10"/>
  <c r="B339" i="10"/>
  <c r="B338" i="10"/>
  <c r="B337" i="10"/>
  <c r="B336" i="10"/>
  <c r="B331" i="10"/>
  <c r="B330" i="10"/>
  <c r="B328" i="10"/>
  <c r="B327" i="10"/>
  <c r="B326" i="10"/>
  <c r="B324" i="10"/>
  <c r="B323" i="10"/>
  <c r="B322" i="10"/>
  <c r="B320" i="10"/>
  <c r="B309" i="10"/>
  <c r="B308" i="10"/>
  <c r="B306" i="10"/>
  <c r="B305" i="10"/>
  <c r="B300" i="10"/>
  <c r="B288" i="10"/>
  <c r="B283" i="10"/>
  <c r="B280" i="10"/>
  <c r="B274" i="10"/>
  <c r="B272" i="10"/>
  <c r="B270" i="10"/>
  <c r="B269" i="10"/>
  <c r="B268" i="10"/>
  <c r="B265" i="10"/>
  <c r="B261" i="10"/>
  <c r="B260" i="10"/>
  <c r="B258" i="10"/>
  <c r="B257" i="10"/>
  <c r="B255" i="10"/>
  <c r="B253" i="10"/>
  <c r="B252" i="10"/>
  <c r="B236" i="10"/>
  <c r="B235" i="10"/>
  <c r="B234" i="10"/>
  <c r="B233" i="10"/>
  <c r="B231" i="10"/>
  <c r="B230" i="10"/>
  <c r="B226" i="10"/>
  <c r="B225" i="10"/>
  <c r="B224" i="10"/>
  <c r="B223" i="10"/>
  <c r="B222" i="10"/>
  <c r="B220" i="10"/>
  <c r="B219" i="10"/>
  <c r="B218" i="10"/>
  <c r="B216" i="10"/>
  <c r="B215" i="10"/>
  <c r="B214" i="10"/>
  <c r="B213" i="10"/>
  <c r="B212" i="10"/>
  <c r="B211" i="10"/>
  <c r="B210" i="10"/>
  <c r="B209" i="10"/>
  <c r="B208" i="10"/>
  <c r="B206" i="10"/>
  <c r="B205" i="10"/>
  <c r="B204" i="10"/>
  <c r="B203" i="10"/>
  <c r="B201" i="10"/>
  <c r="B200" i="10"/>
  <c r="B199" i="10"/>
  <c r="B198" i="10"/>
  <c r="B197" i="10"/>
  <c r="B196" i="10"/>
  <c r="B195" i="10"/>
  <c r="B192" i="10"/>
  <c r="B191" i="10"/>
  <c r="B187" i="10"/>
  <c r="B185" i="10"/>
  <c r="B182" i="10"/>
  <c r="B181" i="10"/>
  <c r="B179" i="10"/>
  <c r="B175" i="10"/>
  <c r="B174" i="10"/>
  <c r="B173" i="10"/>
  <c r="B171" i="10"/>
  <c r="B170" i="10"/>
  <c r="B168" i="10"/>
  <c r="B167" i="10"/>
  <c r="B166" i="10"/>
  <c r="B163" i="10"/>
  <c r="B161" i="10"/>
  <c r="B160" i="10"/>
  <c r="B159" i="10"/>
  <c r="B158" i="10"/>
  <c r="B155" i="10"/>
  <c r="B151" i="10"/>
  <c r="B147" i="10"/>
  <c r="B145" i="10"/>
  <c r="B144" i="10"/>
  <c r="B143" i="10"/>
  <c r="B142" i="10"/>
  <c r="B139" i="10"/>
  <c r="B138" i="10"/>
  <c r="B137" i="10"/>
  <c r="B135" i="10"/>
  <c r="B134" i="10"/>
  <c r="B133" i="10"/>
  <c r="B131" i="10"/>
  <c r="B130" i="10"/>
  <c r="B129" i="10"/>
  <c r="B127" i="10"/>
  <c r="B126" i="10"/>
  <c r="B123" i="10"/>
  <c r="B122" i="10"/>
  <c r="B119" i="10"/>
  <c r="B116" i="10"/>
  <c r="B114" i="10"/>
  <c r="B113" i="10"/>
  <c r="B112" i="10"/>
  <c r="B111" i="10"/>
  <c r="B108" i="10"/>
  <c r="B107" i="10"/>
  <c r="B106" i="10"/>
  <c r="B104" i="10"/>
  <c r="B103" i="10"/>
  <c r="B100" i="10"/>
  <c r="B99" i="10"/>
  <c r="B96" i="10"/>
  <c r="B95" i="10"/>
  <c r="B94" i="10"/>
  <c r="B93" i="10"/>
  <c r="B92" i="10"/>
  <c r="B91" i="10"/>
  <c r="B90" i="10"/>
  <c r="B89" i="10"/>
  <c r="B88" i="10"/>
  <c r="B87" i="10"/>
  <c r="B86" i="10"/>
  <c r="B85" i="10"/>
  <c r="B83" i="10"/>
  <c r="B82" i="10"/>
  <c r="B81" i="10"/>
  <c r="B80" i="10"/>
  <c r="B78" i="10"/>
  <c r="B77" i="10"/>
  <c r="B76" i="10"/>
  <c r="B75" i="10"/>
  <c r="B73" i="10"/>
  <c r="B71" i="10"/>
  <c r="B70" i="10"/>
  <c r="B69" i="10"/>
  <c r="B68" i="10"/>
  <c r="B67" i="10"/>
  <c r="B66" i="10"/>
  <c r="B65" i="10"/>
  <c r="B64" i="10"/>
  <c r="B63" i="10"/>
  <c r="B62" i="10"/>
  <c r="B61" i="10"/>
  <c r="B60" i="10"/>
  <c r="B59" i="10"/>
  <c r="B58" i="10"/>
  <c r="B57" i="10"/>
  <c r="B56" i="10"/>
  <c r="B55" i="10"/>
  <c r="B54" i="10"/>
  <c r="B53" i="10"/>
  <c r="B51" i="10"/>
  <c r="B50" i="10"/>
  <c r="B48" i="10"/>
  <c r="B47" i="10"/>
  <c r="B46" i="10"/>
  <c r="B45" i="10"/>
  <c r="B44" i="10"/>
  <c r="B43" i="10"/>
  <c r="B42" i="10"/>
  <c r="B41" i="10"/>
  <c r="B40" i="10"/>
  <c r="B39" i="10"/>
  <c r="B37" i="10"/>
  <c r="B36" i="10"/>
  <c r="B35" i="10"/>
  <c r="B34" i="10"/>
  <c r="B32" i="10"/>
  <c r="B31" i="10"/>
  <c r="B30" i="10"/>
  <c r="B29" i="10"/>
  <c r="B28" i="10"/>
  <c r="B27" i="10"/>
  <c r="B26" i="10"/>
  <c r="B22" i="10"/>
  <c r="B20" i="10"/>
  <c r="B17" i="10"/>
  <c r="B15" i="10"/>
  <c r="B14" i="10"/>
  <c r="B13" i="10"/>
  <c r="B12" i="10"/>
  <c r="B11" i="10"/>
  <c r="B9" i="10"/>
  <c r="B8" i="10"/>
  <c r="B4" i="10"/>
  <c r="B3" i="10"/>
  <c r="B2" i="10"/>
  <c r="B396" i="10" l="1"/>
  <c r="K66" i="16" l="1"/>
  <c r="K68" i="16"/>
  <c r="K38" i="16"/>
  <c r="K40" i="16"/>
  <c r="K42" i="16"/>
  <c r="K48" i="16"/>
  <c r="K49" i="16"/>
  <c r="K47" i="16"/>
  <c r="K46" i="16"/>
  <c r="K45" i="16"/>
  <c r="K39" i="16"/>
  <c r="K8" i="16"/>
  <c r="K10" i="16"/>
  <c r="K11" i="16"/>
  <c r="K12" i="16"/>
  <c r="K13" i="16"/>
  <c r="K14" i="16"/>
  <c r="K15" i="16"/>
  <c r="K7" i="16"/>
  <c r="K31" i="16"/>
  <c r="K32" i="16"/>
  <c r="K33" i="16"/>
  <c r="K29" i="16"/>
  <c r="K30" i="16"/>
  <c r="K28" i="16"/>
  <c r="K19" i="16"/>
  <c r="K20" i="16"/>
  <c r="L20" i="16" s="1"/>
  <c r="M20" i="16" s="1"/>
  <c r="K21" i="16"/>
  <c r="K22" i="16"/>
  <c r="K23" i="16"/>
  <c r="K24" i="16"/>
  <c r="K25" i="16"/>
  <c r="K18" i="16"/>
  <c r="J47" i="16"/>
  <c r="J49" i="16"/>
  <c r="J48" i="16"/>
  <c r="J45" i="16"/>
  <c r="J15" i="16"/>
  <c r="J46" i="16"/>
  <c r="J22" i="16"/>
  <c r="J8" i="16"/>
  <c r="J7" i="16"/>
  <c r="J19" i="16"/>
  <c r="J12" i="16"/>
  <c r="J24" i="16"/>
  <c r="J21" i="16"/>
  <c r="J30" i="16"/>
  <c r="J28" i="16"/>
  <c r="J10" i="16"/>
  <c r="J33" i="16"/>
  <c r="J38" i="16"/>
  <c r="J40" i="16"/>
  <c r="J18" i="16"/>
  <c r="J32" i="16"/>
  <c r="J11" i="16"/>
  <c r="J39" i="16"/>
  <c r="J14" i="16"/>
  <c r="J29" i="16"/>
  <c r="J13" i="16"/>
  <c r="J25" i="16"/>
  <c r="J23" i="16"/>
  <c r="J42" i="16"/>
  <c r="J31" i="16"/>
  <c r="K16" i="16" l="1"/>
  <c r="L8" i="16"/>
  <c r="M8" i="16" s="1"/>
  <c r="K26" i="16"/>
  <c r="K34" i="16"/>
  <c r="L46" i="16"/>
  <c r="M46" i="16" s="1"/>
  <c r="L47" i="16"/>
  <c r="M47" i="16" s="1"/>
  <c r="L7" i="16"/>
  <c r="M7" i="16" s="1"/>
  <c r="L22" i="16"/>
  <c r="M22" i="16" s="1"/>
  <c r="L10" i="16"/>
  <c r="M10" i="16" s="1"/>
  <c r="L11" i="16"/>
  <c r="M11" i="16" s="1"/>
  <c r="L12" i="16"/>
  <c r="M12" i="16" s="1"/>
  <c r="L19" i="16"/>
  <c r="M19" i="16" s="1"/>
  <c r="L21" i="16"/>
  <c r="M21" i="16" s="1"/>
  <c r="L18" i="16"/>
  <c r="M18" i="16" s="1"/>
  <c r="L23" i="16"/>
  <c r="M23" i="16" s="1"/>
  <c r="L24" i="16"/>
  <c r="M24" i="16" s="1"/>
  <c r="L25" i="16"/>
  <c r="M25" i="16" s="1"/>
  <c r="L33" i="16"/>
  <c r="M33" i="16" s="1"/>
  <c r="L28" i="16"/>
  <c r="M28" i="16" s="1"/>
  <c r="L29" i="16"/>
  <c r="M29" i="16" s="1"/>
  <c r="L30" i="16"/>
  <c r="M30" i="16" s="1"/>
  <c r="L31" i="16"/>
  <c r="M31" i="16" s="1"/>
  <c r="L32" i="16"/>
  <c r="M32" i="16" s="1"/>
  <c r="L13" i="16"/>
  <c r="M13" i="16" s="1"/>
  <c r="L14" i="16"/>
  <c r="M14" i="16" s="1"/>
  <c r="K70" i="16" l="1"/>
  <c r="D436" i="10"/>
  <c r="J3" i="17" l="1"/>
  <c r="G3" i="17"/>
  <c r="B4" i="4" l="1"/>
  <c r="C2" i="4" l="1"/>
  <c r="B2" i="4"/>
  <c r="L50" i="16" l="1"/>
  <c r="M50" i="16" s="1"/>
  <c r="L48" i="16"/>
  <c r="M48" i="16" s="1"/>
  <c r="L67" i="16" l="1"/>
  <c r="L51" i="16" l="1"/>
  <c r="M51" i="16" s="1"/>
  <c r="B18" i="16"/>
  <c r="B41" i="16"/>
  <c r="B29" i="16"/>
  <c r="B42" i="16"/>
  <c r="B23" i="16"/>
  <c r="B25" i="16"/>
  <c r="B39" i="16"/>
  <c r="B40" i="16"/>
  <c r="B12" i="16"/>
  <c r="B11" i="16"/>
  <c r="B30" i="16"/>
  <c r="B32" i="16"/>
  <c r="B38" i="16"/>
  <c r="B21" i="16"/>
  <c r="B31" i="16"/>
  <c r="B28" i="16"/>
  <c r="B19" i="16"/>
  <c r="B24" i="16"/>
  <c r="K60" i="16"/>
  <c r="K62" i="16"/>
  <c r="K64" i="16"/>
  <c r="J34" i="16" l="1"/>
  <c r="L34" i="16" s="1"/>
  <c r="M34" i="16" s="1"/>
  <c r="L35" i="16"/>
  <c r="L65" i="16"/>
  <c r="L49" i="16"/>
  <c r="M49" i="16" s="1"/>
  <c r="L45" i="16"/>
  <c r="M45" i="16" s="1"/>
  <c r="L62" i="16"/>
  <c r="L15" i="16"/>
  <c r="M15" i="16" s="1"/>
  <c r="L66" i="16"/>
  <c r="L38" i="16"/>
  <c r="M38" i="16" s="1"/>
  <c r="L39" i="16"/>
  <c r="M39" i="16" s="1"/>
  <c r="L40" i="16"/>
  <c r="M40" i="16" s="1"/>
  <c r="L41" i="16"/>
  <c r="M41" i="16" s="1"/>
  <c r="L42" i="16"/>
  <c r="M42" i="16" s="1"/>
  <c r="L43" i="16"/>
  <c r="L60" i="16"/>
  <c r="M60" i="16" s="1"/>
  <c r="L68" i="16"/>
  <c r="L64" i="16"/>
  <c r="J26" i="16"/>
  <c r="L26" i="16" s="1"/>
  <c r="M26" i="16" s="1"/>
  <c r="J16" i="16"/>
  <c r="B70" i="16"/>
  <c r="J70" i="16" l="1"/>
  <c r="L70" i="16" s="1"/>
  <c r="L16" i="16"/>
  <c r="M16" i="16" s="1"/>
  <c r="B3" i="4" l="1"/>
  <c r="C4" i="4" l="1"/>
  <c r="C3" i="4" l="1"/>
  <c r="L6"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APV AIO</author>
  </authors>
  <commentList>
    <comment ref="D2968" authorId="0" shapeId="0" xr:uid="{F4B6CB4F-CC21-49AF-AE49-C1C2D9C705C0}">
      <text>
        <r>
          <rPr>
            <b/>
            <sz val="9"/>
            <color indexed="81"/>
            <rFont val="Tahoma"/>
            <charset val="1"/>
          </rPr>
          <t>APV AIO:</t>
        </r>
        <r>
          <rPr>
            <sz val="9"/>
            <color indexed="81"/>
            <rFont val="Tahoma"/>
            <charset val="1"/>
          </rPr>
          <t xml:space="preserve">
BIN TO BIN</t>
        </r>
      </text>
    </comment>
  </commentList>
</comments>
</file>

<file path=xl/sharedStrings.xml><?xml version="1.0" encoding="utf-8"?>
<sst xmlns="http://schemas.openxmlformats.org/spreadsheetml/2006/main" count="32063" uniqueCount="924">
  <si>
    <t>S &amp; E MANUFACTURING</t>
  </si>
  <si>
    <t>Davco</t>
  </si>
  <si>
    <t>Summo Steel</t>
  </si>
  <si>
    <t>TARUNSIKA</t>
  </si>
  <si>
    <t>Focus Machine</t>
  </si>
  <si>
    <t>Jobal</t>
  </si>
  <si>
    <t>L&amp;M Fasteners Inc.</t>
  </si>
  <si>
    <t>OmniLink</t>
  </si>
  <si>
    <t>Premier</t>
  </si>
  <si>
    <t>New Cornerstone Trading</t>
  </si>
  <si>
    <t>06508741AA</t>
  </si>
  <si>
    <t>06509585AA</t>
  </si>
  <si>
    <t>06509598AA</t>
  </si>
  <si>
    <t>06510866AA</t>
  </si>
  <si>
    <t>06510997AA</t>
  </si>
  <si>
    <t>06511637AA</t>
  </si>
  <si>
    <t>06511672AA</t>
  </si>
  <si>
    <t>06511834AA</t>
  </si>
  <si>
    <t>06512106AA</t>
  </si>
  <si>
    <t>06512149AA</t>
  </si>
  <si>
    <t>06512313AA</t>
  </si>
  <si>
    <t>06512544AA</t>
  </si>
  <si>
    <t>06512851AA</t>
  </si>
  <si>
    <t>Thompson Fasteners</t>
  </si>
  <si>
    <t>11546676M</t>
  </si>
  <si>
    <t>SUPER FINISH</t>
  </si>
  <si>
    <t>GH Precision Products Inc.</t>
  </si>
  <si>
    <t>1649524C1</t>
  </si>
  <si>
    <t>Sigma Moulders</t>
  </si>
  <si>
    <t xml:space="preserve">Freeway Washer </t>
  </si>
  <si>
    <t>QSS</t>
  </si>
  <si>
    <t>Commecial Spring</t>
  </si>
  <si>
    <t>2W0399928</t>
  </si>
  <si>
    <t>National engineered fasteners</t>
  </si>
  <si>
    <t>GPD</t>
  </si>
  <si>
    <t>4200818SHJ5A00Z</t>
  </si>
  <si>
    <t>Accurate Fasteners</t>
  </si>
  <si>
    <t>4519-19</t>
  </si>
  <si>
    <t>501571B</t>
  </si>
  <si>
    <t>5284289AA</t>
  </si>
  <si>
    <t>RB &amp; W</t>
  </si>
  <si>
    <t>Karan Fasteners</t>
  </si>
  <si>
    <t>6509660AA</t>
  </si>
  <si>
    <t>7140-00018AA</t>
  </si>
  <si>
    <t>Allied Forming</t>
  </si>
  <si>
    <t>Ultra Form</t>
  </si>
  <si>
    <t>Dana Canada</t>
  </si>
  <si>
    <t>R&amp;R Rivet</t>
  </si>
  <si>
    <t>CMI</t>
  </si>
  <si>
    <t>AA0491-P312AB</t>
  </si>
  <si>
    <t>SIRIUS</t>
  </si>
  <si>
    <t>C8SZ-6A529A</t>
  </si>
  <si>
    <t>E6267AA</t>
  </si>
  <si>
    <t>MSB</t>
  </si>
  <si>
    <t>FE5097-CA</t>
  </si>
  <si>
    <t>FU7J3B477AA</t>
  </si>
  <si>
    <t>G51017</t>
  </si>
  <si>
    <t>H62324AA</t>
  </si>
  <si>
    <t>Precision Fasteners</t>
  </si>
  <si>
    <t>K1046AB</t>
  </si>
  <si>
    <t>LeLand Industries Inc.</t>
  </si>
  <si>
    <t>M1811AA</t>
  </si>
  <si>
    <t>M51020</t>
  </si>
  <si>
    <t>M8 X 1.25 X 60MM</t>
  </si>
  <si>
    <t>M93000252</t>
  </si>
  <si>
    <t>STELFAST</t>
  </si>
  <si>
    <t>NU1205</t>
  </si>
  <si>
    <t>Ready Rivet</t>
  </si>
  <si>
    <t>P3200750</t>
  </si>
  <si>
    <t>P3948750</t>
  </si>
  <si>
    <t>P4382250</t>
  </si>
  <si>
    <t>P7520450</t>
  </si>
  <si>
    <t>PJ-10220-68-00</t>
  </si>
  <si>
    <t>Ammex Plastics</t>
  </si>
  <si>
    <t>SZ310C1901</t>
  </si>
  <si>
    <t>Trans-Matic</t>
  </si>
  <si>
    <t>TOM</t>
  </si>
  <si>
    <t>W719080-S450</t>
  </si>
  <si>
    <t>MoldCo Inc.</t>
  </si>
  <si>
    <t>WOC10517</t>
  </si>
  <si>
    <t>Quantity per box</t>
  </si>
  <si>
    <t>Part#</t>
  </si>
  <si>
    <t xml:space="preserve"> </t>
  </si>
  <si>
    <t>Quantity</t>
  </si>
  <si>
    <t>Infasco</t>
  </si>
  <si>
    <t>PENN</t>
  </si>
  <si>
    <t xml:space="preserve">Algood Casters </t>
  </si>
  <si>
    <t>Summo</t>
  </si>
  <si>
    <t>Magnum 2000</t>
  </si>
  <si>
    <t>Iwata Bolt Canada</t>
  </si>
  <si>
    <t>Irwin Industrial</t>
  </si>
  <si>
    <t>Part</t>
  </si>
  <si>
    <t xml:space="preserve">Date </t>
  </si>
  <si>
    <t>Machine</t>
  </si>
  <si>
    <t>Operator</t>
  </si>
  <si>
    <t>Collison Goll</t>
  </si>
  <si>
    <t>Formnet Inc.</t>
  </si>
  <si>
    <t>Globe Point</t>
  </si>
  <si>
    <t>JeyCo</t>
  </si>
  <si>
    <t>MSD Metal</t>
  </si>
  <si>
    <t>Client List</t>
  </si>
  <si>
    <t>Variform</t>
  </si>
  <si>
    <t>Employees</t>
  </si>
  <si>
    <t xml:space="preserve">Part Number </t>
  </si>
  <si>
    <t>Cirteria</t>
  </si>
  <si>
    <t>EDDY CURRENT SORT</t>
  </si>
  <si>
    <t>cone presence, ring presence, star presence, overall length</t>
  </si>
  <si>
    <t>Sort missing letter A on the head(VISION STICKER)</t>
  </si>
  <si>
    <t>infasco</t>
  </si>
  <si>
    <t>sorting for missing thread, mixed part, mis-coating</t>
  </si>
  <si>
    <t>check for mis plating, thread presence, pink locktite in thread</t>
  </si>
  <si>
    <t>check for exceed coating, damage body, thread presence</t>
  </si>
  <si>
    <t>black plating, thread presence</t>
  </si>
  <si>
    <t>black nuts, washer fall off, thread presence</t>
  </si>
  <si>
    <t>Screws, sorting for mix parts, thread presence, damage</t>
  </si>
  <si>
    <t>Check for sliver, thread presence, mixed part</t>
  </si>
  <si>
    <t>M6x1x18.5 Screws, blue locktite on thread, missing thread, length</t>
  </si>
  <si>
    <t>SCREW</t>
  </si>
  <si>
    <t>silver plating, damage thread, thread with 3 lines</t>
  </si>
  <si>
    <t>Vision sorting for mixed part, damage, thread presence, M6x1 Met Hex Nut</t>
  </si>
  <si>
    <t>M8x1.25 Hex Nut, silver plating, thread presence</t>
  </si>
  <si>
    <t>thread damage</t>
  </si>
  <si>
    <t>small black screws (mc06) sorted and packed</t>
  </si>
  <si>
    <t>exceed coating, damage lock, thread presence</t>
  </si>
  <si>
    <t xml:space="preserve">damage locking, thread presence, </t>
  </si>
  <si>
    <t>M12x1.5 FLNG, missing nut, bent, mis plating</t>
  </si>
  <si>
    <t>silver plating, thread presence, damage locking</t>
  </si>
  <si>
    <t>silver plating, thread presence, damage bottom</t>
  </si>
  <si>
    <t>damage locking</t>
  </si>
  <si>
    <t>missing thread, damage body</t>
  </si>
  <si>
    <t>thread presence, part with bottom ring</t>
  </si>
  <si>
    <t>small black nuts, loose washer, pink lock thread</t>
  </si>
  <si>
    <t>small silver nut with pink lock thread</t>
  </si>
  <si>
    <t>small black nuts, thread presence</t>
  </si>
  <si>
    <t>damge thread, thread presence</t>
  </si>
  <si>
    <t>11518428-P</t>
  </si>
  <si>
    <t>SORTING FOR MIX PART</t>
  </si>
  <si>
    <t>11611431-HT</t>
  </si>
  <si>
    <t>90280051-HT</t>
  </si>
  <si>
    <t>M93000252-T</t>
  </si>
  <si>
    <t>91058-L</t>
  </si>
  <si>
    <t>501571B-HT</t>
  </si>
  <si>
    <t>94012039-T</t>
  </si>
  <si>
    <t>W179080-S450-B</t>
  </si>
  <si>
    <t>11502717-T</t>
  </si>
  <si>
    <t>INFASCO MARIEVILLE</t>
  </si>
  <si>
    <t>06512313AA-A</t>
  </si>
  <si>
    <t>SORTED AND PACKED</t>
  </si>
  <si>
    <t>INFASCO</t>
  </si>
  <si>
    <t>SORTED AND PACKED (mc78 M6 with flange)</t>
  </si>
  <si>
    <t>PACKED ONLY</t>
  </si>
  <si>
    <t>SORTED AND PACKED (M8X1.25 SQ WELD NUT)</t>
  </si>
  <si>
    <t>SORTED AND PACKED (M12X1.25 MET HEX FL)</t>
  </si>
  <si>
    <t>MACHINE 37 , SCREWS, SORTED AND PACKED</t>
  </si>
  <si>
    <t>SORTED AND PACKED (SCREWS)</t>
  </si>
  <si>
    <t>SCREWS, SORTED AND PACKED</t>
  </si>
  <si>
    <t xml:space="preserve">SORTED AND PACKED </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</si>
  <si>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</si>
  <si>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</si>
  <si>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</si>
  <si>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</si>
  <si>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</si>
  <si>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</si>
  <si>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</si>
  <si>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</si>
  <si>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</si>
  <si>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</si>
  <si>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</si>
  <si>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</si>
  <si>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</si>
  <si>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</si>
  <si>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</si>
  <si>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</si>
  <si>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</si>
  <si>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</si>
  <si>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</si>
  <si>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</si>
  <si>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</si>
  <si>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</si>
  <si>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</si>
  <si>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</si>
  <si>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</si>
  <si>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</si>
  <si>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</si>
  <si>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029</t>
  </si>
  <si>
    <t>030</t>
  </si>
  <si>
    <t>031</t>
  </si>
  <si>
    <t>032</t>
  </si>
  <si>
    <t>034</t>
  </si>
  <si>
    <t>035</t>
  </si>
  <si>
    <t>036</t>
  </si>
  <si>
    <t>037</t>
  </si>
  <si>
    <t>038</t>
  </si>
  <si>
    <t>039</t>
  </si>
  <si>
    <t>040</t>
  </si>
  <si>
    <t>041</t>
  </si>
  <si>
    <t>042</t>
  </si>
  <si>
    <t>043</t>
  </si>
  <si>
    <t>044</t>
  </si>
  <si>
    <t>046</t>
  </si>
  <si>
    <t>047</t>
  </si>
  <si>
    <t>048</t>
  </si>
  <si>
    <t>049</t>
  </si>
  <si>
    <t>050</t>
  </si>
  <si>
    <t>051</t>
  </si>
  <si>
    <t>052</t>
  </si>
  <si>
    <t>053</t>
  </si>
  <si>
    <t>054</t>
  </si>
  <si>
    <t>055</t>
  </si>
  <si>
    <t>056</t>
  </si>
  <si>
    <t>057</t>
  </si>
  <si>
    <t>058</t>
  </si>
  <si>
    <t>059</t>
  </si>
  <si>
    <t>064</t>
  </si>
  <si>
    <t>060</t>
  </si>
  <si>
    <t>061</t>
  </si>
  <si>
    <t>062</t>
  </si>
  <si>
    <t>063</t>
  </si>
  <si>
    <t>065</t>
  </si>
  <si>
    <t>066</t>
  </si>
  <si>
    <t>067</t>
  </si>
  <si>
    <t>068</t>
  </si>
  <si>
    <t>069</t>
  </si>
  <si>
    <t>070</t>
  </si>
  <si>
    <t>071</t>
  </si>
  <si>
    <t>072</t>
  </si>
  <si>
    <t>073</t>
  </si>
  <si>
    <t>074</t>
  </si>
  <si>
    <t>075</t>
  </si>
  <si>
    <t>076</t>
  </si>
  <si>
    <t>077</t>
  </si>
  <si>
    <t>078</t>
  </si>
  <si>
    <t>BF102</t>
  </si>
  <si>
    <t>BF103</t>
  </si>
  <si>
    <t>BF104</t>
  </si>
  <si>
    <t>BF105</t>
  </si>
  <si>
    <t>BF106</t>
  </si>
  <si>
    <t>BF107</t>
  </si>
  <si>
    <t>BF108</t>
  </si>
  <si>
    <t>BF109</t>
  </si>
  <si>
    <t>BF110</t>
  </si>
  <si>
    <t>BF111</t>
  </si>
  <si>
    <t>BF112</t>
  </si>
  <si>
    <t>BF113</t>
  </si>
  <si>
    <t>MC019</t>
  </si>
  <si>
    <t>MC024</t>
  </si>
  <si>
    <t>MC026</t>
  </si>
  <si>
    <t>MC037</t>
  </si>
  <si>
    <t>MC061</t>
  </si>
  <si>
    <t>MC074</t>
  </si>
  <si>
    <t>MC078</t>
  </si>
  <si>
    <t>MC110</t>
  </si>
  <si>
    <t>MC112</t>
  </si>
  <si>
    <t>AVP_PAK003_UNIVERSAL</t>
  </si>
  <si>
    <t>AVP_PAK006_LA VITA DI SETA</t>
  </si>
  <si>
    <t>AVP_PAK007_6 HEAD FILLING MACHINE</t>
  </si>
  <si>
    <t>AVP_PAK008_CATALYST INTERSCIENCE</t>
  </si>
  <si>
    <t>AVP_PAK009_2 HEAD FILLING MACHINE</t>
  </si>
  <si>
    <t>RPPL Industries Limited</t>
  </si>
  <si>
    <t>Visque</t>
  </si>
  <si>
    <t>Unit Quantity</t>
  </si>
  <si>
    <t>Total Quantity</t>
  </si>
  <si>
    <t>Station</t>
  </si>
  <si>
    <t>Count Verified</t>
  </si>
  <si>
    <t>Station Cleaned</t>
  </si>
  <si>
    <t>Scale Zeroed</t>
  </si>
  <si>
    <t>Boxes Labelled</t>
  </si>
  <si>
    <t>Bin Emptied</t>
  </si>
  <si>
    <t>Total number of skids finished:</t>
  </si>
  <si>
    <t>Specs followed</t>
  </si>
  <si>
    <t>Bin Cleaned</t>
  </si>
  <si>
    <t>Autherized1</t>
  </si>
  <si>
    <t>Autherized2</t>
  </si>
  <si>
    <t>Autherized3</t>
  </si>
  <si>
    <t>Autherized4</t>
  </si>
  <si>
    <t>Autherized5</t>
  </si>
  <si>
    <t>Autherized6</t>
  </si>
  <si>
    <t>Autherized7</t>
  </si>
  <si>
    <t>Yes</t>
  </si>
  <si>
    <t>Price</t>
  </si>
  <si>
    <t>Grand Total</t>
  </si>
  <si>
    <t>Client</t>
  </si>
  <si>
    <t>Quantity Processed</t>
  </si>
  <si>
    <t>AVP Solutions</t>
  </si>
  <si>
    <t>packed only in VCI. sorting for missing thread, mixed part, mis-coating</t>
  </si>
  <si>
    <t>bolts</t>
  </si>
  <si>
    <t>bolts, packed only in VCI</t>
  </si>
  <si>
    <t>sorted packed only in VCI</t>
  </si>
  <si>
    <t>PACKED</t>
  </si>
  <si>
    <t>3052250-02S</t>
  </si>
  <si>
    <t>packed only</t>
  </si>
  <si>
    <t>7150-1549-03</t>
  </si>
  <si>
    <t>7150-3033-02</t>
  </si>
  <si>
    <t>7150-3036-W0</t>
  </si>
  <si>
    <t>G5030AC</t>
  </si>
  <si>
    <t>s/p in vci</t>
  </si>
  <si>
    <t>M1482AC</t>
  </si>
  <si>
    <t>NU1144</t>
  </si>
  <si>
    <t>packed only in GL</t>
  </si>
  <si>
    <t>NU1237</t>
  </si>
  <si>
    <t>P3001150</t>
  </si>
  <si>
    <t>packed only in VCI</t>
  </si>
  <si>
    <t>P7241150</t>
  </si>
  <si>
    <t>NU5108</t>
  </si>
  <si>
    <t>NU5210</t>
  </si>
  <si>
    <t>NU2255</t>
  </si>
  <si>
    <t>NU1510</t>
  </si>
  <si>
    <t>NU1305</t>
  </si>
  <si>
    <t>15047163A</t>
  </si>
  <si>
    <t>07336-54</t>
  </si>
  <si>
    <t>M51017</t>
  </si>
  <si>
    <t>sorted and packed</t>
  </si>
  <si>
    <t>06511847AA</t>
  </si>
  <si>
    <t>nu1054</t>
  </si>
  <si>
    <t>sort and packed in gaylord</t>
  </si>
  <si>
    <t>06511874aa</t>
  </si>
  <si>
    <t xml:space="preserve">sort and packed  </t>
  </si>
  <si>
    <t>MC78</t>
  </si>
  <si>
    <t>11610091S</t>
  </si>
  <si>
    <t>SORT AND PACKED</t>
  </si>
  <si>
    <t>ZRASCO503114808</t>
  </si>
  <si>
    <t>P2152050B</t>
  </si>
  <si>
    <t>NU1136</t>
  </si>
  <si>
    <t>MC74</t>
  </si>
  <si>
    <t>MC26</t>
  </si>
  <si>
    <t>P3001650</t>
  </si>
  <si>
    <t>P3326750</t>
  </si>
  <si>
    <t>720003S442</t>
  </si>
  <si>
    <t>IF4JZ0-00</t>
  </si>
  <si>
    <t>M1495AB</t>
  </si>
  <si>
    <t>SORTED AND PACKED IN GAYLORD</t>
  </si>
  <si>
    <t>Work Station</t>
  </si>
  <si>
    <t>NU3014</t>
  </si>
  <si>
    <t>W520773-S300</t>
  </si>
  <si>
    <t>INfasco</t>
  </si>
  <si>
    <t>sort and packed</t>
  </si>
  <si>
    <t>BF115</t>
  </si>
  <si>
    <t>MC04</t>
  </si>
  <si>
    <t>MC109</t>
  </si>
  <si>
    <t>MC016</t>
  </si>
  <si>
    <t>MC051</t>
  </si>
  <si>
    <t>MC075</t>
  </si>
  <si>
    <t>TABLE1-INFASCO</t>
  </si>
  <si>
    <t>TABLE2-INFASCO</t>
  </si>
  <si>
    <t>TABLE3-INFASCO</t>
  </si>
  <si>
    <t>TABLE4-INFASCO</t>
  </si>
  <si>
    <t>TABLE5-INFASCO</t>
  </si>
  <si>
    <t>TABLE6-INFASCO</t>
  </si>
  <si>
    <t>TABLE7-INFASCO</t>
  </si>
  <si>
    <t>W715851-S450</t>
  </si>
  <si>
    <t>SP2103-03</t>
  </si>
  <si>
    <t>Work Stations</t>
  </si>
  <si>
    <t>Weekly Sales by Work Station</t>
  </si>
  <si>
    <t>Daily Sales by Work Station</t>
  </si>
  <si>
    <t>NU2090</t>
  </si>
  <si>
    <t>Weekly Sales Analysis By Station</t>
  </si>
  <si>
    <t>STATION</t>
  </si>
  <si>
    <t>BF114</t>
  </si>
  <si>
    <t>Infasco - Samples</t>
  </si>
  <si>
    <t>MC16</t>
  </si>
  <si>
    <t>MC19</t>
  </si>
  <si>
    <t>MC24</t>
  </si>
  <si>
    <t>MC37</t>
  </si>
  <si>
    <t>MC51</t>
  </si>
  <si>
    <t>MC61</t>
  </si>
  <si>
    <t>MC75</t>
  </si>
  <si>
    <t>MMD ENTERPRISE</t>
  </si>
  <si>
    <t>TB1-MN</t>
  </si>
  <si>
    <t>TB2-MN</t>
  </si>
  <si>
    <t>TB3 -MN</t>
  </si>
  <si>
    <t>TB4 -MN</t>
  </si>
  <si>
    <t>TB1-INF</t>
  </si>
  <si>
    <t>TB2-INF</t>
  </si>
  <si>
    <t>TB3-INF</t>
  </si>
  <si>
    <t>TB4-INF</t>
  </si>
  <si>
    <t>TB5-INF</t>
  </si>
  <si>
    <t>TB6-INF</t>
  </si>
  <si>
    <t>TB7-INF</t>
  </si>
  <si>
    <t>PAK003-PROCLEAN</t>
  </si>
  <si>
    <t>PAK006-LA VITA</t>
  </si>
  <si>
    <t>PAK008-CATALYST</t>
  </si>
  <si>
    <t>PAK007-6 HEADS</t>
  </si>
  <si>
    <t>PAK009-2 HEADS FILLING</t>
  </si>
  <si>
    <t>PAK010-MISC BUY/SELL</t>
  </si>
  <si>
    <t>AVP2_VISQUE</t>
  </si>
  <si>
    <t>AVP3_FARM</t>
  </si>
  <si>
    <t>GROVE SHAFT</t>
  </si>
  <si>
    <t>AIR COMPRESSURE</t>
  </si>
  <si>
    <t>TECH</t>
  </si>
  <si>
    <t>LHI</t>
  </si>
  <si>
    <t>PRO SUP</t>
  </si>
  <si>
    <t>SHIPPING</t>
  </si>
  <si>
    <t>ADMIN</t>
  </si>
  <si>
    <t>TOTAL</t>
  </si>
  <si>
    <t>WEEK 5 - JAN 29-FEB 4</t>
  </si>
  <si>
    <t>EXPENSES</t>
  </si>
  <si>
    <t>Prof/Loss</t>
  </si>
  <si>
    <t>% Gr Mar</t>
  </si>
  <si>
    <t>REVENUE</t>
  </si>
  <si>
    <t>WEEK 6 - FEB 5-FEB 11</t>
  </si>
  <si>
    <t>LINE 1</t>
  </si>
  <si>
    <t>LINE 2</t>
  </si>
  <si>
    <t>LINE 3</t>
  </si>
  <si>
    <t>Total Sales by WS</t>
  </si>
  <si>
    <t>Unit Price</t>
  </si>
  <si>
    <t>4200818HJSA00Z</t>
  </si>
  <si>
    <t>2101-50516</t>
  </si>
  <si>
    <t>2012-65662</t>
  </si>
  <si>
    <t>2011-63984</t>
  </si>
  <si>
    <t>2102-52944</t>
  </si>
  <si>
    <t>2101-51529</t>
  </si>
  <si>
    <t>1-8 X 10</t>
  </si>
  <si>
    <t>M16 X 2.00 X 60MM</t>
  </si>
  <si>
    <t>1-8 X 2 1/2</t>
  </si>
  <si>
    <t>M20 X 2.5 X 100MM</t>
  </si>
  <si>
    <t>M20 X 1.50 X 160MM</t>
  </si>
  <si>
    <t>1-8 X 5</t>
  </si>
  <si>
    <t xml:space="preserve">1-8 X 3 </t>
  </si>
  <si>
    <t>Inspection for bolt head craking</t>
  </si>
  <si>
    <t>SORT FOR CRACKED HEAD</t>
  </si>
  <si>
    <t>Infasco-Marieville</t>
  </si>
  <si>
    <t>LINE1</t>
  </si>
  <si>
    <t>LINE2</t>
  </si>
  <si>
    <t>LINE3</t>
  </si>
  <si>
    <t>LINE4</t>
  </si>
  <si>
    <t>Lot No.</t>
  </si>
  <si>
    <t>Description</t>
  </si>
  <si>
    <t>Pot No.</t>
  </si>
  <si>
    <t>Failed</t>
  </si>
  <si>
    <t>Passed</t>
  </si>
  <si>
    <t>Total Pieces</t>
  </si>
  <si>
    <t>MC No.</t>
  </si>
  <si>
    <t>Shipped</t>
  </si>
  <si>
    <t>Part#:</t>
  </si>
  <si>
    <t>Rejected</t>
  </si>
  <si>
    <t>AVP Bin#:</t>
  </si>
  <si>
    <t xml:space="preserve">Lot#: </t>
  </si>
  <si>
    <t>Client: Infasco-Marieville</t>
  </si>
  <si>
    <t>PO No.</t>
  </si>
  <si>
    <t>placeholder</t>
  </si>
  <si>
    <t>Ship Marieville</t>
  </si>
  <si>
    <t>marieville - bin #01</t>
  </si>
  <si>
    <t>marieville - bin #02</t>
  </si>
  <si>
    <t>marieville - bin #03</t>
  </si>
  <si>
    <t>marieville - bin #04</t>
  </si>
  <si>
    <t>marieville - bin #05</t>
  </si>
  <si>
    <t>marieville - bin #06</t>
  </si>
  <si>
    <t>marieville - bin #07</t>
  </si>
  <si>
    <t>marieville - bin #08</t>
  </si>
  <si>
    <t>marieville - bin #09</t>
  </si>
  <si>
    <t>marieville - bin #10</t>
  </si>
  <si>
    <t>marieville - bin #11</t>
  </si>
  <si>
    <t>marieville - bin #12</t>
  </si>
  <si>
    <t>marieville - bin #13</t>
  </si>
  <si>
    <t>marieville - bin #14</t>
  </si>
  <si>
    <t>marieville - bin #15</t>
  </si>
  <si>
    <t>marieville - bin #16</t>
  </si>
  <si>
    <t>marieville - bin #17</t>
  </si>
  <si>
    <t>marieville - bin #18</t>
  </si>
  <si>
    <t>marieville - bin #19</t>
  </si>
  <si>
    <t>marieville - bin #20</t>
  </si>
  <si>
    <t>marieville - bin #21</t>
  </si>
  <si>
    <t>marieville - bin #22</t>
  </si>
  <si>
    <t>marieville - bin #23</t>
  </si>
  <si>
    <t>marieville - bin #24</t>
  </si>
  <si>
    <t>marieville - bin #25</t>
  </si>
  <si>
    <t>marieville - bin #26</t>
  </si>
  <si>
    <t>marieville - bin #27</t>
  </si>
  <si>
    <t>marieville - bin #28</t>
  </si>
  <si>
    <t>marieville - bin #29</t>
  </si>
  <si>
    <t>marieville - bin #30</t>
  </si>
  <si>
    <t>marieville - bin #31</t>
  </si>
  <si>
    <t>marieville - bin #32</t>
  </si>
  <si>
    <t>marieville - bin #33</t>
  </si>
  <si>
    <t>marieville - bin #34</t>
  </si>
  <si>
    <t>marieville - bin #35</t>
  </si>
  <si>
    <t>marieville - bin #36</t>
  </si>
  <si>
    <t>marieville - bin #37</t>
  </si>
  <si>
    <t>marieville - bin #38</t>
  </si>
  <si>
    <t>marieville - bin #39</t>
  </si>
  <si>
    <t>marieville - bin #40</t>
  </si>
  <si>
    <t>marieville - bin #41</t>
  </si>
  <si>
    <t>marieville - bin #42</t>
  </si>
  <si>
    <t>marieville - bin #43</t>
  </si>
  <si>
    <t>marieville - bin #44</t>
  </si>
  <si>
    <t>marieville - bin #45</t>
  </si>
  <si>
    <t>marieville - bin #46</t>
  </si>
  <si>
    <t>marieville - bin #47</t>
  </si>
  <si>
    <t>marieville - bin #48</t>
  </si>
  <si>
    <t>marieville - bin #49</t>
  </si>
  <si>
    <t>marieville - bin #50</t>
  </si>
  <si>
    <t>marieville - bin #51</t>
  </si>
  <si>
    <t>marieville - bin #52</t>
  </si>
  <si>
    <t>marieville - bin #53</t>
  </si>
  <si>
    <t>marieville - bin #54</t>
  </si>
  <si>
    <t>marieville - bin #55</t>
  </si>
  <si>
    <t>marieville - bin #56</t>
  </si>
  <si>
    <t>marieville - bin #57</t>
  </si>
  <si>
    <t>marieville - bin #58</t>
  </si>
  <si>
    <t>marieville - bin #59</t>
  </si>
  <si>
    <t>marieville - bin #60</t>
  </si>
  <si>
    <t>marieville - bin #61</t>
  </si>
  <si>
    <t>marieville - bin #62</t>
  </si>
  <si>
    <t>marieville - bin #63</t>
  </si>
  <si>
    <t>marieville - bin #64</t>
  </si>
  <si>
    <t>marieville - bin #65</t>
  </si>
  <si>
    <t>marieville - bin #66</t>
  </si>
  <si>
    <t>marieville - bin #67</t>
  </si>
  <si>
    <t>marieville - bin #68</t>
  </si>
  <si>
    <t>marieville - bin #69</t>
  </si>
  <si>
    <t>marieville - bin #70</t>
  </si>
  <si>
    <t>marieville - bin #71</t>
  </si>
  <si>
    <t>marieville - bin #72</t>
  </si>
  <si>
    <t>marieville - bin #73</t>
  </si>
  <si>
    <t>marieville - bin #74</t>
  </si>
  <si>
    <t>marieville - bin #75</t>
  </si>
  <si>
    <t>marieville - bin #76</t>
  </si>
  <si>
    <t>marieville - bin #77</t>
  </si>
  <si>
    <t>marieville - bin #78</t>
  </si>
  <si>
    <t>marieville - bin #79</t>
  </si>
  <si>
    <t>marieville - bin #80</t>
  </si>
  <si>
    <t>marieville - bin #81</t>
  </si>
  <si>
    <t>marieville - bin #82</t>
  </si>
  <si>
    <t>marieville - bin #83</t>
  </si>
  <si>
    <t>marieville - bin #84</t>
  </si>
  <si>
    <t>marieville - bin #85</t>
  </si>
  <si>
    <t>marieville - bin #86</t>
  </si>
  <si>
    <t>marieville - bin #87</t>
  </si>
  <si>
    <t>marieville - bin #88</t>
  </si>
  <si>
    <t>marieville - bin #89</t>
  </si>
  <si>
    <t>marieville - bin #90</t>
  </si>
  <si>
    <t>marieville - bin #91</t>
  </si>
  <si>
    <t>marieville - bin #92</t>
  </si>
  <si>
    <t>marieville - bin #93</t>
  </si>
  <si>
    <t>marieville - bin #94</t>
  </si>
  <si>
    <t>marieville - bin #95</t>
  </si>
  <si>
    <t>marieville - bin #96</t>
  </si>
  <si>
    <t>marieville - bin #97</t>
  </si>
  <si>
    <t>marieville - bin #98</t>
  </si>
  <si>
    <t>marieville - bin #99</t>
  </si>
  <si>
    <t>marieville - bin #100</t>
  </si>
  <si>
    <t>Boxes / Pieces</t>
  </si>
  <si>
    <t>Ship</t>
  </si>
  <si>
    <t>SHIPPED</t>
  </si>
  <si>
    <t>Ship to:</t>
  </si>
  <si>
    <t>PS No.:</t>
  </si>
  <si>
    <t>Date:</t>
  </si>
  <si>
    <t>Total # of Pots:</t>
  </si>
  <si>
    <t>New</t>
  </si>
  <si>
    <t>BF 107</t>
  </si>
  <si>
    <t>BF 109</t>
  </si>
  <si>
    <t>BF 106</t>
  </si>
  <si>
    <t>BF 110</t>
  </si>
  <si>
    <t>BF 108</t>
  </si>
  <si>
    <t>BF 103</t>
  </si>
  <si>
    <t>BF 104</t>
  </si>
  <si>
    <t>BF 112</t>
  </si>
  <si>
    <t>BF 102</t>
  </si>
  <si>
    <t>MC 26</t>
  </si>
  <si>
    <t>MC 110</t>
  </si>
  <si>
    <t>MC 78</t>
  </si>
  <si>
    <t>MC 24</t>
  </si>
  <si>
    <t>M5HFN10-PS11036</t>
  </si>
  <si>
    <t>NU3013</t>
  </si>
  <si>
    <t>W720123-S440</t>
  </si>
  <si>
    <t>E6267AB</t>
  </si>
  <si>
    <t>W707019-S440</t>
  </si>
  <si>
    <t>PCKD</t>
  </si>
  <si>
    <t>NU1348</t>
  </si>
  <si>
    <t>SORT AND PACK</t>
  </si>
  <si>
    <t>sort and pack</t>
  </si>
  <si>
    <t>06511701AA</t>
  </si>
  <si>
    <t>BF 105</t>
  </si>
  <si>
    <t>MC 112</t>
  </si>
  <si>
    <t>BO1311</t>
  </si>
  <si>
    <t>SORT AND PACKED IN TWBUCK</t>
  </si>
  <si>
    <t>P7241250</t>
  </si>
  <si>
    <t>06511689AA</t>
  </si>
  <si>
    <t>B1300AC</t>
  </si>
  <si>
    <t>06512278AA</t>
  </si>
  <si>
    <t>NU6100</t>
  </si>
  <si>
    <t>E4074210</t>
  </si>
  <si>
    <t>LX6A-62428-BD-58502</t>
  </si>
  <si>
    <t>NU5718</t>
  </si>
  <si>
    <t>G5100AA</t>
  </si>
  <si>
    <t>P2117050</t>
  </si>
  <si>
    <t>NU3025</t>
  </si>
  <si>
    <t>N/A</t>
  </si>
  <si>
    <t>NU3014-01</t>
  </si>
  <si>
    <t>W520217-s440</t>
  </si>
  <si>
    <t>nu3019</t>
  </si>
  <si>
    <t>PACK</t>
  </si>
  <si>
    <t>S2116-03-RB</t>
  </si>
  <si>
    <t xml:space="preserve">         </t>
  </si>
  <si>
    <t>NA-1055-02</t>
  </si>
  <si>
    <t>S2116-04</t>
  </si>
  <si>
    <t>P4020449</t>
  </si>
  <si>
    <t>7y</t>
  </si>
  <si>
    <t>PO#: yy</t>
  </si>
  <si>
    <t>BF 116</t>
  </si>
  <si>
    <t>P7241650</t>
  </si>
  <si>
    <t>M5HFN10PS11036</t>
  </si>
  <si>
    <t>AS1503058</t>
  </si>
  <si>
    <t>PJ10221-68</t>
  </si>
  <si>
    <t>p4355350</t>
  </si>
  <si>
    <t>E12538</t>
  </si>
  <si>
    <t>ANM-12TOPLOK</t>
  </si>
  <si>
    <t>C5183</t>
  </si>
  <si>
    <t>bolts PCKD</t>
  </si>
  <si>
    <t>P11546546</t>
  </si>
  <si>
    <t>BF 117</t>
  </si>
  <si>
    <t>SORT AND PACK(bolt)</t>
  </si>
  <si>
    <t>BO1316</t>
  </si>
  <si>
    <t>pckd</t>
  </si>
  <si>
    <t>17-Jun</t>
  </si>
  <si>
    <t>TABLE-INFACSO</t>
  </si>
  <si>
    <t>TABLE2-INFACSO</t>
  </si>
  <si>
    <t>18-Jun</t>
  </si>
  <si>
    <t>20-Jun</t>
  </si>
  <si>
    <t>21-Jun</t>
  </si>
  <si>
    <t>22-Jun</t>
  </si>
  <si>
    <t>23-Jun</t>
  </si>
  <si>
    <t>Jun</t>
  </si>
  <si>
    <t>BF116</t>
  </si>
  <si>
    <t>BF117</t>
  </si>
  <si>
    <t>MC114</t>
  </si>
  <si>
    <t>WEEK  -JUNE17-JUNE 23</t>
  </si>
  <si>
    <t>M93000340</t>
  </si>
  <si>
    <t>SORT AND PACK IN VCI BAGS</t>
  </si>
  <si>
    <t>1454548-00</t>
  </si>
  <si>
    <t>Traveler</t>
  </si>
  <si>
    <t>Re-certified or New</t>
  </si>
  <si>
    <t>VCI BAGS</t>
  </si>
  <si>
    <t>Re-certified</t>
  </si>
  <si>
    <t>BF120</t>
  </si>
  <si>
    <t>BF124</t>
  </si>
  <si>
    <t>BF121</t>
  </si>
  <si>
    <t>BF123</t>
  </si>
  <si>
    <t>BF122</t>
  </si>
  <si>
    <t>BF114A/B</t>
  </si>
  <si>
    <t>BF118A/B</t>
  </si>
  <si>
    <t>06508265AA</t>
  </si>
  <si>
    <t>06104725AA</t>
  </si>
  <si>
    <t>F1302AB</t>
  </si>
  <si>
    <t>06101968-A</t>
  </si>
  <si>
    <t>06101831-A</t>
  </si>
  <si>
    <t>06512834AA</t>
  </si>
  <si>
    <t>06502979-A</t>
  </si>
  <si>
    <t>06101447-A</t>
  </si>
  <si>
    <t>06514720AA</t>
  </si>
  <si>
    <t>06513554AA</t>
  </si>
  <si>
    <t>06105048AA</t>
  </si>
  <si>
    <t>W711953-S900</t>
  </si>
  <si>
    <t>W520111-s440</t>
  </si>
  <si>
    <t>06105102aa</t>
  </si>
  <si>
    <t>279+245</t>
  </si>
  <si>
    <t>06509967AA</t>
  </si>
  <si>
    <t>NU1405</t>
  </si>
  <si>
    <t>06513485AA</t>
  </si>
  <si>
    <t>W520101-S442</t>
  </si>
  <si>
    <t>11546367-b</t>
  </si>
  <si>
    <t>cert</t>
  </si>
  <si>
    <t>W705606-S440</t>
  </si>
  <si>
    <t>W520101-S450</t>
  </si>
  <si>
    <t>W520113-S440</t>
  </si>
  <si>
    <t>06511777AA</t>
  </si>
  <si>
    <t>11546377BR</t>
  </si>
  <si>
    <t>W711468-S437</t>
  </si>
  <si>
    <t>W520412-S442</t>
  </si>
  <si>
    <t>06503825-a</t>
  </si>
  <si>
    <t>55364498AA</t>
  </si>
  <si>
    <t>06100050-a</t>
  </si>
  <si>
    <t>11611883HT</t>
  </si>
  <si>
    <t>06513555aa</t>
  </si>
  <si>
    <t>06104384AA</t>
  </si>
  <si>
    <t>06508711AA</t>
  </si>
  <si>
    <t>KIB. BOLT</t>
  </si>
  <si>
    <t>PCKD BOLT</t>
  </si>
  <si>
    <t>BOLT</t>
  </si>
  <si>
    <t>06105051aa</t>
  </si>
  <si>
    <t>NU3034-02</t>
  </si>
  <si>
    <t>PACK ONLY</t>
  </si>
  <si>
    <t>06514094AA</t>
  </si>
  <si>
    <t>06512104AA</t>
  </si>
  <si>
    <t>06104388aa</t>
  </si>
  <si>
    <t>715150010W</t>
  </si>
  <si>
    <t>06101736-a</t>
  </si>
  <si>
    <t>11549171-MY-AK</t>
  </si>
  <si>
    <t>W520514-s442</t>
  </si>
  <si>
    <t>06513904aa</t>
  </si>
  <si>
    <t>06509474AA</t>
  </si>
  <si>
    <t>06511799AA</t>
  </si>
  <si>
    <t>R38076595120</t>
  </si>
  <si>
    <t>W715851-S450B</t>
  </si>
  <si>
    <t>L0668498AA02</t>
  </si>
  <si>
    <t>N620483-S2</t>
  </si>
  <si>
    <t>06513514AA</t>
  </si>
  <si>
    <t>47336AE</t>
  </si>
  <si>
    <t>W520101-S437</t>
  </si>
  <si>
    <t>06513544AA</t>
  </si>
  <si>
    <t>11546366-MY-AK</t>
  </si>
  <si>
    <t>06512349AA</t>
  </si>
  <si>
    <t>11549168-B</t>
  </si>
  <si>
    <t>11546367-MY-AK</t>
  </si>
  <si>
    <t>06513804AA</t>
  </si>
  <si>
    <t>11546368-MY-AK</t>
  </si>
  <si>
    <t>11546365-MY-AK</t>
  </si>
  <si>
    <t>W520413-S450</t>
  </si>
  <si>
    <t>11549170-my-ak</t>
  </si>
  <si>
    <t>06102612AA</t>
  </si>
  <si>
    <t>11546364-MY-AK</t>
  </si>
  <si>
    <t>11516077BR</t>
  </si>
  <si>
    <t>06505668AA</t>
  </si>
  <si>
    <t>06511684AA</t>
  </si>
  <si>
    <t>11546367-ca-in</t>
  </si>
  <si>
    <t>W520113-S441</t>
  </si>
  <si>
    <t>06102398aa</t>
  </si>
  <si>
    <t>06513805AA</t>
  </si>
  <si>
    <t>W716298-S450</t>
  </si>
  <si>
    <t>11546377-PH-RO</t>
  </si>
  <si>
    <t>HL3W-4320-AA</t>
  </si>
  <si>
    <t>11546389-PH-RO</t>
  </si>
  <si>
    <t>SORTED AND PACKED -BIG BOX-DUMPING</t>
  </si>
  <si>
    <t>SORTED AND PACKED-BIG BOX-DUMPING</t>
  </si>
  <si>
    <t>SORTED AND PACKED BOLT</t>
  </si>
  <si>
    <t>SORT AND PACKED BOLT</t>
  </si>
  <si>
    <t>Column1</t>
  </si>
  <si>
    <t>SORT AND PACK BOLT</t>
  </si>
  <si>
    <t>11546437-MY-AK</t>
  </si>
  <si>
    <t>W520414-s440</t>
  </si>
  <si>
    <t>11546364-PH-RO</t>
  </si>
  <si>
    <t>CERT FOR DAMAGE LOCKING, MISSING LOCKING</t>
  </si>
  <si>
    <t>11549168-CA-IN</t>
  </si>
  <si>
    <t>11514596-CA-IN</t>
  </si>
  <si>
    <t>YELLOW TRAVELER</t>
  </si>
  <si>
    <t>11546389-MY-AK</t>
  </si>
  <si>
    <t>11546449-MY-AK</t>
  </si>
  <si>
    <t>NUT. RED TRAVELER</t>
  </si>
  <si>
    <t>SL2404-00</t>
  </si>
  <si>
    <t>SA-7000-13</t>
  </si>
  <si>
    <t>11516078-MY-AK</t>
  </si>
  <si>
    <t>11516077-MY-AK</t>
  </si>
  <si>
    <t>w20-1028-012</t>
  </si>
  <si>
    <t>11516077-IN-BA</t>
  </si>
  <si>
    <t>w20-1028-012NA</t>
  </si>
  <si>
    <t>SORT AND PACK IN KIB</t>
  </si>
  <si>
    <t>11546378-ca-in</t>
  </si>
  <si>
    <t>11549168-MY-AK</t>
  </si>
  <si>
    <t>W520413-S442</t>
  </si>
  <si>
    <t>w20-1028-016</t>
  </si>
  <si>
    <t>11502717-TH-TC</t>
  </si>
  <si>
    <t>SORT AND PACK in vci bags and black orbis</t>
  </si>
  <si>
    <t>06512686AA</t>
  </si>
  <si>
    <t>11549170-CA-IN</t>
  </si>
  <si>
    <t>SORT AND PACK yellow traveler</t>
  </si>
  <si>
    <t>SORT AND PACK bf/mc</t>
  </si>
  <si>
    <t>391+285</t>
  </si>
  <si>
    <t>285+391</t>
  </si>
  <si>
    <t>W704790-s440</t>
  </si>
  <si>
    <t>SORT AND PACK kib</t>
  </si>
  <si>
    <t>Bl3w-4320-ba</t>
  </si>
  <si>
    <t>SORT AND PACKED bolt in kib</t>
  </si>
  <si>
    <t>06509787aa</t>
  </si>
  <si>
    <t>w20-1028-016LT</t>
  </si>
  <si>
    <t>11546368-CA-IN</t>
  </si>
  <si>
    <t>382802-s440</t>
  </si>
  <si>
    <t>SORT AND PACK bolt</t>
  </si>
  <si>
    <t>85158B</t>
  </si>
  <si>
    <t>5536498AA</t>
  </si>
  <si>
    <t>11546389BR-PH-RO</t>
  </si>
  <si>
    <t>06504080-T</t>
  </si>
  <si>
    <t>NA105502</t>
  </si>
  <si>
    <t>NU3041</t>
  </si>
  <si>
    <t>SORT AND PACK m6</t>
  </si>
  <si>
    <t>11516133-CA-IN</t>
  </si>
  <si>
    <t>06509487aa</t>
  </si>
  <si>
    <t>CY5011</t>
  </si>
  <si>
    <t>PACK ONLY IN VCI BAG</t>
  </si>
  <si>
    <t>11611883-np</t>
  </si>
  <si>
    <t>06505232aa</t>
  </si>
  <si>
    <t>06506707AA</t>
  </si>
  <si>
    <t>11546370-my-ak</t>
  </si>
  <si>
    <t>11611883np</t>
  </si>
  <si>
    <t>06514095aa</t>
  </si>
  <si>
    <t>06514634aa</t>
  </si>
  <si>
    <t>W520111-s450B</t>
  </si>
  <si>
    <t>SORT AND PACK BOLT IN GAYLORD</t>
  </si>
  <si>
    <t>22800396-IN-PN</t>
  </si>
  <si>
    <t>06508200AA</t>
  </si>
  <si>
    <t>06514644AA</t>
  </si>
  <si>
    <t>NU5210-03</t>
  </si>
  <si>
    <t>W520203-S440</t>
  </si>
  <si>
    <t>11546774-MY-AK</t>
  </si>
  <si>
    <t>11516077-VN-VT</t>
  </si>
  <si>
    <t>PZ18-7P483-AA</t>
  </si>
  <si>
    <t>06105049AA</t>
  </si>
  <si>
    <t>11546364-BH-RA</t>
  </si>
  <si>
    <t>SORT AND PACK BOLT IN KIB</t>
  </si>
  <si>
    <t>11603389-MY-AK</t>
  </si>
  <si>
    <t>BO4027-00</t>
  </si>
  <si>
    <t>PACK ONLY FROM KIB TO GAYLORD</t>
  </si>
  <si>
    <t>PACK ONLY KIB</t>
  </si>
  <si>
    <t>11514596-MY-AK</t>
  </si>
  <si>
    <t>11546378-my-ak</t>
  </si>
  <si>
    <t>w20-1028-010NA</t>
  </si>
  <si>
    <t>11612078-B</t>
  </si>
  <si>
    <t>11549168-IN-BA</t>
  </si>
  <si>
    <t>293+245</t>
  </si>
  <si>
    <t>279+293+245</t>
  </si>
  <si>
    <t>11546368-IN-PN</t>
  </si>
  <si>
    <t>11549169-MY-AK</t>
  </si>
  <si>
    <t>157+245</t>
  </si>
  <si>
    <t>W520217-S440</t>
  </si>
  <si>
    <t>06505246AA</t>
  </si>
  <si>
    <t>11610091-MY-AK</t>
  </si>
  <si>
    <t>11516078-CA-IN</t>
  </si>
  <si>
    <t>190+268</t>
  </si>
  <si>
    <t>06514113AA</t>
  </si>
  <si>
    <t>06105102AA</t>
  </si>
  <si>
    <t>C51017</t>
  </si>
  <si>
    <t>W520111-S440</t>
  </si>
  <si>
    <t>W20-1028-020</t>
  </si>
  <si>
    <t>06509494AA</t>
  </si>
  <si>
    <t>06503825-A</t>
  </si>
  <si>
    <t>NU3019</t>
  </si>
  <si>
    <t>11516382-MY-AK</t>
  </si>
  <si>
    <t>11546377BR-PH-RO</t>
  </si>
  <si>
    <t>W20-1028-012</t>
  </si>
  <si>
    <t>W520101-S440</t>
  </si>
  <si>
    <t>11610091-CA-IN</t>
  </si>
  <si>
    <t>0204788122-L</t>
  </si>
  <si>
    <t>11549204-IN-MR</t>
  </si>
  <si>
    <t>06508689AA</t>
  </si>
  <si>
    <t>06100050-A</t>
  </si>
  <si>
    <t>BF118</t>
  </si>
  <si>
    <t>06104388AA</t>
  </si>
  <si>
    <t>157+197</t>
  </si>
  <si>
    <t>15047163-MY-AK</t>
  </si>
  <si>
    <t>11516077BR-MY-AK</t>
  </si>
  <si>
    <t>TABLE9-INFASCO</t>
  </si>
  <si>
    <t>11546377-CA-IN</t>
  </si>
  <si>
    <t>11609746-CA-IN</t>
  </si>
  <si>
    <t>11546379-MY-AK</t>
  </si>
  <si>
    <t>11546370-MY-AK</t>
  </si>
  <si>
    <t>06102398AA</t>
  </si>
  <si>
    <t>11549168-VN-VT</t>
  </si>
  <si>
    <t>06513904AA</t>
  </si>
  <si>
    <t>06105051AA</t>
  </si>
  <si>
    <t>06101736-A</t>
  </si>
  <si>
    <t>294+252</t>
  </si>
  <si>
    <t>11546369-MY-AK</t>
  </si>
  <si>
    <t>06512732AA</t>
  </si>
  <si>
    <t>W520414-S440</t>
  </si>
  <si>
    <t>NU1136-01</t>
  </si>
  <si>
    <t>11546367-CA-IN</t>
  </si>
  <si>
    <t>W520111-S450B</t>
  </si>
  <si>
    <t>06513555AA</t>
  </si>
  <si>
    <t>11548414-MY-AK</t>
  </si>
  <si>
    <t>BTOB</t>
  </si>
  <si>
    <t>11546389BR</t>
  </si>
  <si>
    <t>11546378-MY-AK</t>
  </si>
  <si>
    <t>NU3014-02</t>
  </si>
  <si>
    <t>1K2GZ0-00</t>
  </si>
  <si>
    <t>MC004</t>
  </si>
  <si>
    <t>011+252</t>
  </si>
  <si>
    <t>9442939-CA-IN</t>
  </si>
  <si>
    <t>157+293</t>
  </si>
  <si>
    <t>245+279</t>
  </si>
  <si>
    <t>011+292</t>
  </si>
  <si>
    <t>BL3W-4320-BA</t>
  </si>
  <si>
    <t>157+279</t>
  </si>
  <si>
    <t>011+293</t>
  </si>
  <si>
    <t>W20-1028-020SL</t>
  </si>
  <si>
    <t>11561645-MY-AK</t>
  </si>
  <si>
    <t>06513734AA</t>
  </si>
  <si>
    <t>06105051-A</t>
  </si>
  <si>
    <t>11609789-IN-MR</t>
  </si>
  <si>
    <t>TABLE 2</t>
  </si>
  <si>
    <t>NU3516-00-B</t>
  </si>
  <si>
    <t>11+272</t>
  </si>
  <si>
    <t>06513404AA</t>
  </si>
  <si>
    <t>55718-S2</t>
  </si>
  <si>
    <t>24576407-B</t>
  </si>
  <si>
    <t>06513399AA</t>
  </si>
  <si>
    <t>07336-54-D01</t>
  </si>
  <si>
    <t>11547369-BR-HA</t>
  </si>
  <si>
    <t>11546449-TH-TC</t>
  </si>
  <si>
    <t>272+011</t>
  </si>
  <si>
    <t>H62534A</t>
  </si>
  <si>
    <t>11546463-TH-TC</t>
  </si>
  <si>
    <t>11602031-IN-PN</t>
  </si>
  <si>
    <t>L0668498AA-02</t>
  </si>
  <si>
    <t>252+011</t>
  </si>
  <si>
    <t>157+297</t>
  </si>
  <si>
    <t>4200818SH55A-002</t>
  </si>
  <si>
    <t>011+197</t>
  </si>
  <si>
    <t>252+11</t>
  </si>
  <si>
    <t>11546545-TH-TC</t>
  </si>
  <si>
    <t>297+157</t>
  </si>
  <si>
    <t>279+391</t>
  </si>
  <si>
    <t>257+157</t>
  </si>
  <si>
    <t>06509787AA</t>
  </si>
  <si>
    <t>197+285</t>
  </si>
  <si>
    <t>7150-1710-03</t>
  </si>
  <si>
    <t>SORT AND PACK IN BOLTS</t>
  </si>
  <si>
    <t>06514085AA</t>
  </si>
  <si>
    <t>W20-1028-010NA</t>
  </si>
  <si>
    <t>06509475AA</t>
  </si>
  <si>
    <t>P7241950-IN-PN</t>
  </si>
  <si>
    <t>W520203-S450B</t>
  </si>
  <si>
    <t>11611122-BR-HA</t>
  </si>
  <si>
    <t>NU3516-00</t>
  </si>
  <si>
    <t>SORT AND PACK IN GAYLORD</t>
  </si>
  <si>
    <t>SORT AND PACK IN BOLTS CERTIFIED</t>
  </si>
  <si>
    <t>SORT AND PACK (KIB)</t>
  </si>
  <si>
    <t>11546378-CA-IN-B</t>
  </si>
  <si>
    <t>11546369-IN-PN</t>
  </si>
  <si>
    <t>11546378-CA-IN</t>
  </si>
  <si>
    <t>391+297</t>
  </si>
  <si>
    <t>240+BAO</t>
  </si>
  <si>
    <t>BAO</t>
  </si>
  <si>
    <t>11546370-IN-PN</t>
  </si>
  <si>
    <t>11610128-BR-HA</t>
  </si>
  <si>
    <t>SORT AND PACK BOLTS CERT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</si>
</sst>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quot;$&quot;* #,##0.00_);_(&quot;$&quot;* \(#,##0.00\);_(&quot;$&quot;* &quot;-&quot;??_);_(@_)"/>
    <numFmt numFmtId="165" formatCode="_(* #,##0.00_);_(* \(#,##0.00\);_(* &quot;-&quot;??_);_(@_)"/>
    <numFmt numFmtId="166" formatCode="_-* #,##0_-;\-* #,##0_-;_-* &quot;-&quot;??_-;_-@_-"/>
    <numFmt numFmtId="167" formatCode="_(* #,##0_);_(* \(#,##0\);_(* &quot;-&quot;??_);_(@_)"/>
    <numFmt numFmtId="168" formatCode="dd/mm/yyyy;@"/>
    <numFmt numFmtId="169" formatCode="0.00_ ;[Red]\-0.00\ "/>
    <numFmt numFmtId="170" formatCode="m/d/yyyy\ h:mm"/>
  </numFmts>
  <fonts count="53" x14ac:knownFonts="1">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1"/>
      <name val="Calibri"/>
      <family val="2"/>
      <scheme val="minor"/>
    </font>
    <font>
      <b/>
      <sz val="9"/>
      <color theme="1"/>
      <name val="Calibri"/>
      <family val="2"/>
      <scheme val="minor"/>
    </font>
    <font>
      <b/>
      <sz val="10"/>
      <color theme="1"/>
      <name val="Calibri"/>
      <family val="2"/>
      <scheme val="minor"/>
    </font>
    <font>
      <b/>
      <sz val="8"/>
      <color theme="1"/>
      <name val="Calibri"/>
      <family val="2"/>
      <scheme val="minor"/>
    </font>
    <font>
      <b/>
      <sz val="5"/>
      <color theme="1"/>
      <name val="Calibri"/>
      <family val="2"/>
      <scheme val="minor"/>
    </font>
    <font>
      <sz val="5"/>
      <color theme="1"/>
      <name val="Calibri"/>
      <family val="2"/>
      <scheme val="minor"/>
    </font>
    <font>
      <u/>
      <sz val="11"/>
      <color theme="1"/>
      <name val="Calibri"/>
      <family val="2"/>
      <scheme val="minor"/>
    </font>
    <font>
      <b/>
      <u/>
      <sz val="11"/>
      <color theme="1"/>
      <name val="Calibri"/>
      <family val="2"/>
      <scheme val="minor"/>
    </font>
    <font>
      <sz val="7"/>
      <color theme="1"/>
      <name val="Calibri"/>
      <family val="2"/>
      <scheme val="minor"/>
    </font>
    <font>
      <b/>
      <sz val="11"/>
      <color theme="1"/>
      <name val="Calibri"/>
      <family val="2"/>
      <scheme val="minor"/>
    </font>
    <font>
      <b/>
      <sz val="7"/>
      <color theme="1"/>
      <name val="Calibri"/>
      <family val="2"/>
      <scheme val="minor"/>
    </font>
    <font>
      <b/>
      <u/>
      <sz val="14"/>
      <color theme="1"/>
      <name val="Calibri"/>
      <family val="2"/>
      <scheme val="minor"/>
    </font>
    <font>
      <sz val="9"/>
      <color theme="1"/>
      <name val="Calibri"/>
      <family val="2"/>
      <scheme val="minor"/>
    </font>
    <font>
      <b/>
      <sz val="11"/>
      <name val="Calibri"/>
      <family val="2"/>
      <scheme val="minor"/>
    </font>
    <font>
      <sz val="11"/>
      <color theme="1"/>
      <name val="Calibri"/>
      <family val="2"/>
      <scheme val="minor"/>
    </font>
    <font>
      <b/>
      <sz val="16"/>
      <color theme="1"/>
      <name val="Calibri"/>
      <family val="2"/>
      <scheme val="minor"/>
    </font>
    <font>
      <sz val="8"/>
      <color theme="1"/>
      <name val="Calibri"/>
      <family val="2"/>
      <scheme val="minor"/>
    </font>
    <font>
      <b/>
      <u/>
      <sz val="8"/>
      <color theme="1"/>
      <name val="Palatino Linotype"/>
      <family val="1"/>
    </font>
    <font>
      <sz val="11"/>
      <color theme="1"/>
      <name val="Palatino Linotype"/>
      <family val="1"/>
    </font>
    <font>
      <i/>
      <sz val="8"/>
      <color theme="1"/>
      <name val="Palatino Linotype"/>
      <family val="1"/>
    </font>
    <font>
      <b/>
      <sz val="10"/>
      <color theme="1"/>
      <name val="Palatino Linotype"/>
      <family val="1"/>
    </font>
    <font>
      <b/>
      <sz val="11"/>
      <color theme="1"/>
      <name val="Palatino Linotype"/>
      <family val="1"/>
    </font>
    <font>
      <b/>
      <sz val="9"/>
      <color theme="1"/>
      <name val="Palatino Linotype"/>
      <family val="1"/>
    </font>
    <font>
      <sz val="9"/>
      <color theme="1"/>
      <name val="Palatino Linotype"/>
      <family val="1"/>
    </font>
    <font>
      <b/>
      <sz val="12"/>
      <color theme="1"/>
      <name val="Calibri"/>
      <family val="2"/>
      <scheme val="minor"/>
    </font>
    <font>
      <sz val="12"/>
      <color theme="1"/>
      <name val="Calibri"/>
      <family val="2"/>
      <scheme val="minor"/>
    </font>
    <font>
      <u/>
      <sz val="7"/>
      <color theme="1"/>
      <name val="Palatino Linotype"/>
      <family val="1"/>
    </font>
    <font>
      <sz val="8"/>
      <color theme="1"/>
      <name val="Palatino Linotype"/>
      <family val="1"/>
    </font>
    <font>
      <sz val="10"/>
      <color theme="1"/>
      <name val="Palatino Linotype"/>
      <family val="1"/>
    </font>
    <font>
      <sz val="7"/>
      <color theme="1"/>
      <name val="Palatino Linotype"/>
      <family val="1"/>
    </font>
    <font>
      <sz val="8"/>
      <name val="Calibri"/>
      <family val="2"/>
      <scheme val="minor"/>
    </font>
    <font>
      <sz val="7"/>
      <color theme="1"/>
      <name val="Calibri"/>
      <family val="2"/>
      <scheme val="minor"/>
    </font>
    <font>
      <sz val="11"/>
      <color theme="1"/>
      <name val="Calibri"/>
      <family val="2"/>
      <scheme val="minor"/>
    </font>
    <font>
      <sz val="9"/>
      <color theme="1"/>
      <name val="Calibri"/>
      <family val="2"/>
      <scheme val="minor"/>
    </font>
    <font>
      <sz val="11"/>
      <color theme="1"/>
      <name val="Calibri"/>
      <family val="2"/>
      <scheme val="minor"/>
    </font>
    <font>
      <sz val="7"/>
      <color theme="1"/>
      <name val="Calibri"/>
      <family val="2"/>
      <scheme val="minor"/>
    </font>
    <font>
      <sz val="9"/>
      <color theme="1"/>
      <name val="Calibri"/>
      <family val="2"/>
      <scheme val="minor"/>
    </font>
    <font>
      <sz val="7"/>
      <color theme="1"/>
      <name val="Calibri"/>
      <family val="2"/>
      <scheme val="minor"/>
    </font>
    <font>
      <sz val="11"/>
      <color theme="1"/>
      <name val="Calibri"/>
      <family val="2"/>
      <scheme val="minor"/>
    </font>
    <font>
      <sz val="9"/>
      <color theme="1"/>
      <name val="Calibri"/>
      <family val="2"/>
      <scheme val="minor"/>
    </font>
    <font>
      <sz val="11"/>
      <color theme="1"/>
      <name val="Calibri"/>
      <family val="2"/>
      <scheme val="minor"/>
    </font>
    <font>
      <sz val="7"/>
      <color theme="1"/>
      <name val="Calibri"/>
      <family val="2"/>
      <scheme val="minor"/>
    </font>
    <font>
      <sz val="9"/>
      <color theme="1"/>
      <name val="Calibri"/>
      <family val="2"/>
      <scheme val="minor"/>
    </font>
    <font>
      <sz val="7"/>
      <color theme="1"/>
      <name val="Calibri"/>
      <family val="2"/>
      <scheme val="minor"/>
    </font>
    <font>
      <sz val="11"/>
      <color theme="1"/>
      <name val="Calibri"/>
      <scheme val="minor"/>
    </font>
    <font>
      <sz val="7"/>
      <color theme="1"/>
      <name val="Calibri"/>
      <scheme val="minor"/>
    </font>
    <font>
      <sz val="9"/>
      <color theme="1"/>
      <name val="Calibri"/>
      <scheme val="minor"/>
    </font>
    <font>
      <sz val="9"/>
      <color indexed="81"/>
      <name val="Tahoma"/>
      <charset val="1"/>
    </font>
    <font>
      <b/>
      <sz val="9"/>
      <color indexed="81"/>
      <name val="Tahoma"/>
      <charset val="1"/>
    </font>
  </fonts>
  <fills count="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indexed="64"/>
      </patternFill>
    </fill>
    <fill>
      <patternFill patternType="solid">
        <fgColor rgb="FFFFFF00"/>
        <bgColor indexed="64"/>
      </patternFill>
    </fill>
  </fills>
  <borders count="1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theme="9"/>
      </left>
      <right style="thin">
        <color theme="9"/>
      </right>
      <top style="thin">
        <color theme="9"/>
      </top>
      <bottom style="thin">
        <color theme="9"/>
      </bottom>
      <diagonal/>
    </border>
  </borders>
  <cellStyleXfs count="7">
    <xf numFmtId="0" fontId="0" fillId="0" borderId="0"/>
    <xf numFmtId="165" fontId="1" fillId="0" borderId="0" applyFont="0" applyFill="0" applyBorder="0" applyAlignment="0" applyProtection="0"/>
    <xf numFmtId="165" fontId="1" fillId="0" borderId="0" applyFont="0" applyFill="0" applyBorder="0" applyAlignment="0" applyProtection="0"/>
    <xf numFmtId="0" fontId="3"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153">
    <xf numFmtId="0" fontId="0" fillId="0" borderId="0" xfId="0"/>
    <xf numFmtId="0" fontId="2" fillId="3" borderId="3" xfId="0" applyFont="1" applyFill="1" applyBorder="1"/>
    <xf numFmtId="0" fontId="2" fillId="3" borderId="4" xfId="0" applyFont="1" applyFill="1" applyBorder="1"/>
    <xf numFmtId="0" fontId="0" fillId="2" borderId="1" xfId="0" applyFill="1" applyBorder="1"/>
    <xf numFmtId="165" fontId="0" fillId="2" borderId="2" xfId="1" applyFont="1" applyFill="1" applyBorder="1"/>
    <xf numFmtId="0" fontId="0" fillId="0" borderId="0" xfId="0" applyAlignment="1">
      <alignment horizontal="left" vertical="center"/>
    </xf>
    <xf numFmtId="0" fontId="0" fillId="0" borderId="0" xfId="0" applyAlignment="1">
      <alignment horizontal="left"/>
    </xf>
    <xf numFmtId="49" fontId="4" fillId="4" borderId="0" xfId="0" applyNumberFormat="1" applyFont="1" applyFill="1"/>
    <xf numFmtId="0" fontId="13" fillId="0" borderId="0" xfId="0" applyFont="1"/>
    <xf numFmtId="0" fontId="15" fillId="0" borderId="0" xfId="0" applyFont="1"/>
    <xf numFmtId="0" fontId="0" fillId="2" borderId="3" xfId="0" applyFill="1" applyBorder="1"/>
    <xf numFmtId="165" fontId="0" fillId="2" borderId="4" xfId="1" applyFont="1" applyFill="1" applyBorder="1"/>
    <xf numFmtId="0" fontId="0" fillId="0" borderId="0" xfId="0" applyAlignment="1">
      <alignment horizontal="left" indent="2"/>
    </xf>
    <xf numFmtId="167" fontId="0" fillId="0" borderId="0" xfId="0" applyNumberFormat="1"/>
    <xf numFmtId="167" fontId="2" fillId="0" borderId="0" xfId="0" applyNumberFormat="1" applyFont="1" applyAlignment="1">
      <alignment horizontal="right" vertical="center"/>
    </xf>
    <xf numFmtId="168" fontId="0" fillId="0" borderId="0" xfId="0" applyNumberFormat="1" applyAlignment="1">
      <alignment horizontal="left"/>
    </xf>
    <xf numFmtId="0" fontId="2" fillId="0" borderId="0" xfId="0" pivotButton="1" applyFont="1" applyAlignment="1">
      <alignment horizontal="center" vertical="center"/>
    </xf>
    <xf numFmtId="0" fontId="13" fillId="0" borderId="0" xfId="0" pivotButton="1" applyFont="1" applyAlignment="1">
      <alignment horizontal="center"/>
    </xf>
    <xf numFmtId="0" fontId="19" fillId="0" borderId="0" xfId="0" applyFont="1"/>
    <xf numFmtId="0" fontId="13" fillId="0" borderId="9" xfId="0" applyFont="1" applyBorder="1"/>
    <xf numFmtId="0" fontId="13" fillId="0" borderId="10" xfId="0" applyFont="1" applyBorder="1"/>
    <xf numFmtId="0" fontId="13" fillId="0" borderId="11" xfId="0" applyFont="1" applyBorder="1"/>
    <xf numFmtId="0" fontId="0" fillId="0" borderId="8" xfId="0" applyBorder="1"/>
    <xf numFmtId="0" fontId="13" fillId="0" borderId="8" xfId="0" applyFont="1" applyBorder="1"/>
    <xf numFmtId="9" fontId="0" fillId="0" borderId="8" xfId="5" applyFont="1" applyFill="1" applyBorder="1"/>
    <xf numFmtId="169" fontId="0" fillId="0" borderId="0" xfId="0" applyNumberFormat="1"/>
    <xf numFmtId="169" fontId="13" fillId="0" borderId="10" xfId="0" applyNumberFormat="1" applyFont="1" applyBorder="1"/>
    <xf numFmtId="169" fontId="0" fillId="0" borderId="8" xfId="0" applyNumberFormat="1" applyBorder="1"/>
    <xf numFmtId="169" fontId="13" fillId="0" borderId="8" xfId="0" applyNumberFormat="1" applyFont="1" applyBorder="1"/>
    <xf numFmtId="0" fontId="18" fillId="2" borderId="3" xfId="0" applyFont="1" applyFill="1" applyBorder="1"/>
    <xf numFmtId="165" fontId="18" fillId="2" borderId="4" xfId="1" applyFont="1" applyFill="1" applyBorder="1"/>
    <xf numFmtId="0" fontId="0" fillId="0" borderId="0" xfId="0" applyAlignment="1">
      <alignment horizontal="right"/>
    </xf>
    <xf numFmtId="0" fontId="0" fillId="0" borderId="0" xfId="0" applyAlignment="1">
      <alignment vertical="center"/>
    </xf>
    <xf numFmtId="0" fontId="0" fillId="0" borderId="0" xfId="0" applyAlignment="1">
      <alignment horizontal="right" vertical="center"/>
    </xf>
    <xf numFmtId="0" fontId="9" fillId="0" borderId="0" xfId="0" applyFont="1" applyAlignment="1">
      <alignment horizontal="right"/>
    </xf>
    <xf numFmtId="0" fontId="10" fillId="0" borderId="0" xfId="0" applyFont="1" applyAlignment="1">
      <alignment horizontal="center" vertical="center"/>
    </xf>
    <xf numFmtId="0" fontId="12" fillId="0" borderId="0" xfId="0" applyFont="1" applyAlignment="1">
      <alignment horizontal="right"/>
    </xf>
    <xf numFmtId="0" fontId="6" fillId="0" borderId="0" xfId="0" applyFont="1" applyAlignment="1">
      <alignment horizontal="center" vertical="center" wrapText="1"/>
    </xf>
    <xf numFmtId="0" fontId="6" fillId="0" borderId="0" xfId="0" applyFont="1" applyAlignment="1">
      <alignment horizontal="left" vertical="center" wrapText="1"/>
    </xf>
    <xf numFmtId="166" fontId="7" fillId="0" borderId="0" xfId="1" applyNumberFormat="1" applyFont="1" applyFill="1" applyAlignment="1">
      <alignment horizontal="center" vertical="center" wrapText="1"/>
    </xf>
    <xf numFmtId="167" fontId="6" fillId="0" borderId="0" xfId="1" applyNumberFormat="1" applyFont="1" applyFill="1" applyAlignment="1">
      <alignment horizontal="center" vertical="center" wrapText="1"/>
    </xf>
    <xf numFmtId="166" fontId="6" fillId="0" borderId="0" xfId="1" applyNumberFormat="1" applyFont="1" applyFill="1" applyAlignment="1">
      <alignment horizontal="center" vertical="center" wrapText="1"/>
    </xf>
    <xf numFmtId="167" fontId="5" fillId="0" borderId="0" xfId="1" applyNumberFormat="1" applyFont="1" applyFill="1" applyAlignment="1">
      <alignment horizontal="center" vertical="center" wrapText="1"/>
    </xf>
    <xf numFmtId="167" fontId="8" fillId="0" borderId="0" xfId="1" applyNumberFormat="1" applyFont="1" applyFill="1" applyAlignment="1">
      <alignment horizontal="center" vertical="center" wrapText="1"/>
    </xf>
    <xf numFmtId="166" fontId="5" fillId="0" borderId="0" xfId="1" applyNumberFormat="1" applyFont="1" applyFill="1" applyAlignment="1">
      <alignment horizontal="center" vertical="center" wrapText="1"/>
    </xf>
    <xf numFmtId="166" fontId="8" fillId="0" borderId="0" xfId="1" applyNumberFormat="1" applyFont="1" applyFill="1" applyAlignment="1">
      <alignment horizontal="center" vertical="center" wrapText="1"/>
    </xf>
    <xf numFmtId="166" fontId="14" fillId="0" borderId="0" xfId="1" applyNumberFormat="1" applyFont="1" applyFill="1" applyAlignment="1">
      <alignment horizontal="center" vertical="center" wrapText="1"/>
    </xf>
    <xf numFmtId="164" fontId="0" fillId="0" borderId="0" xfId="6" applyFont="1"/>
    <xf numFmtId="164" fontId="2" fillId="0" borderId="0" xfId="0" applyNumberFormat="1" applyFont="1" applyAlignment="1">
      <alignment horizontal="right" vertical="center"/>
    </xf>
    <xf numFmtId="164" fontId="0" fillId="0" borderId="0" xfId="0" applyNumberFormat="1"/>
    <xf numFmtId="0" fontId="20" fillId="0" borderId="0" xfId="0" applyFont="1"/>
    <xf numFmtId="0" fontId="21" fillId="0" borderId="0" xfId="0" applyFont="1" applyAlignment="1">
      <alignment vertical="center" wrapText="1"/>
    </xf>
    <xf numFmtId="0" fontId="0" fillId="0" borderId="0" xfId="0" applyAlignment="1">
      <alignment horizontal="center"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vertical="center"/>
    </xf>
    <xf numFmtId="0" fontId="26" fillId="0" borderId="0" xfId="0" applyFont="1" applyAlignment="1">
      <alignment horizontal="left" vertical="center"/>
    </xf>
    <xf numFmtId="0" fontId="27" fillId="0" borderId="0" xfId="0" applyFont="1" applyAlignment="1">
      <alignment vertical="center"/>
    </xf>
    <xf numFmtId="14" fontId="0" fillId="0" borderId="0" xfId="0" applyNumberFormat="1" applyAlignment="1">
      <alignment horizontal="left" vertical="center"/>
    </xf>
    <xf numFmtId="0" fontId="16" fillId="0" borderId="0" xfId="0" applyFont="1" applyAlignment="1">
      <alignment horizontal="right" vertical="center"/>
    </xf>
    <xf numFmtId="167" fontId="0" fillId="0" borderId="0" xfId="1" applyNumberFormat="1" applyFont="1" applyFill="1" applyAlignment="1">
      <alignment horizontal="right" vertical="center"/>
    </xf>
    <xf numFmtId="0" fontId="28" fillId="0" borderId="0" xfId="0" applyFont="1" applyAlignment="1">
      <alignment horizontal="center" vertical="center"/>
    </xf>
    <xf numFmtId="0" fontId="28" fillId="0" borderId="0" xfId="0" applyFont="1" applyAlignment="1">
      <alignment vertical="center" wrapText="1"/>
    </xf>
    <xf numFmtId="0" fontId="28" fillId="0" borderId="0" xfId="0" applyFont="1" applyAlignment="1">
      <alignment horizontal="left" vertical="center" wrapText="1"/>
    </xf>
    <xf numFmtId="0" fontId="29" fillId="0" borderId="0" xfId="0" applyFont="1" applyAlignment="1">
      <alignment horizontal="left" vertical="center"/>
    </xf>
    <xf numFmtId="0" fontId="29" fillId="0" borderId="0" xfId="0" applyFont="1" applyAlignment="1">
      <alignment horizontal="center" vertical="center"/>
    </xf>
    <xf numFmtId="14" fontId="29" fillId="0" borderId="0" xfId="0" applyNumberFormat="1" applyFont="1" applyAlignment="1">
      <alignment horizontal="left" vertical="center"/>
    </xf>
    <xf numFmtId="0" fontId="29" fillId="0" borderId="0" xfId="0" applyFont="1" applyAlignment="1">
      <alignment horizontal="right" vertical="center"/>
    </xf>
    <xf numFmtId="0" fontId="29" fillId="0" borderId="0" xfId="0" applyFont="1" applyAlignment="1">
      <alignment horizontal="right" vertical="center" wrapText="1"/>
    </xf>
    <xf numFmtId="0" fontId="29" fillId="0" borderId="0" xfId="0" applyFont="1"/>
    <xf numFmtId="0" fontId="29" fillId="0" borderId="0" xfId="0" applyFont="1" applyAlignment="1">
      <alignment horizontal="center" vertical="center" wrapText="1"/>
    </xf>
    <xf numFmtId="168" fontId="29" fillId="0" borderId="0" xfId="0" applyNumberFormat="1" applyFont="1" applyAlignment="1">
      <alignment horizontal="center" vertical="center"/>
    </xf>
    <xf numFmtId="0" fontId="30" fillId="0" borderId="0" xfId="0" applyFont="1" applyAlignment="1">
      <alignment horizontal="center" vertical="center"/>
    </xf>
    <xf numFmtId="0" fontId="30" fillId="0" borderId="0" xfId="0" applyFont="1" applyAlignment="1">
      <alignment horizontal="center" vertical="center" wrapText="1"/>
    </xf>
    <xf numFmtId="0" fontId="31" fillId="0" borderId="0" xfId="0" applyFont="1" applyAlignment="1">
      <alignment horizontal="right" vertical="center"/>
    </xf>
    <xf numFmtId="0" fontId="31" fillId="0" borderId="0" xfId="0" applyFont="1" applyAlignment="1">
      <alignment horizontal="left" vertical="center"/>
    </xf>
    <xf numFmtId="3" fontId="29" fillId="0" borderId="0" xfId="0" applyNumberFormat="1" applyFont="1" applyAlignment="1">
      <alignment horizontal="center" vertical="center"/>
    </xf>
    <xf numFmtId="3" fontId="29" fillId="0" borderId="0" xfId="0" applyNumberFormat="1" applyFont="1" applyAlignment="1">
      <alignment horizontal="right" vertical="center"/>
    </xf>
    <xf numFmtId="0" fontId="27" fillId="0" borderId="0" xfId="0" applyFont="1" applyAlignment="1">
      <alignment horizontal="left" vertical="center"/>
    </xf>
    <xf numFmtId="0" fontId="16" fillId="0" borderId="0" xfId="0" applyFont="1" applyAlignment="1">
      <alignment vertical="center"/>
    </xf>
    <xf numFmtId="0" fontId="25" fillId="0" borderId="0" xfId="0" applyFont="1" applyAlignment="1">
      <alignment horizontal="center" vertical="center"/>
    </xf>
    <xf numFmtId="0" fontId="24" fillId="0" borderId="0" xfId="0" applyFont="1" applyAlignment="1">
      <alignment horizontal="left" vertical="center"/>
    </xf>
    <xf numFmtId="0" fontId="32" fillId="0" borderId="0" xfId="0" applyFont="1" applyAlignment="1">
      <alignment horizontal="left" vertical="center" wrapText="1"/>
    </xf>
    <xf numFmtId="22" fontId="33" fillId="0" borderId="0" xfId="0" applyNumberFormat="1" applyFont="1" applyAlignment="1">
      <alignment horizontal="center" vertical="center"/>
    </xf>
    <xf numFmtId="0" fontId="33" fillId="0" borderId="0" xfId="0" applyFont="1" applyAlignment="1">
      <alignment horizontal="center" vertical="center"/>
    </xf>
    <xf numFmtId="0" fontId="32" fillId="0" borderId="0" xfId="0" applyFont="1" applyAlignment="1">
      <alignment horizontal="right" vertical="center"/>
    </xf>
    <xf numFmtId="165" fontId="0" fillId="0" borderId="0" xfId="0" applyNumberFormat="1"/>
    <xf numFmtId="165" fontId="13" fillId="0" borderId="0" xfId="0" applyNumberFormat="1" applyFont="1"/>
    <xf numFmtId="165" fontId="13" fillId="0" borderId="0" xfId="0" applyNumberFormat="1" applyFont="1" applyAlignment="1">
      <alignment horizontal="left" indent="1"/>
    </xf>
    <xf numFmtId="165" fontId="0" fillId="0" borderId="0" xfId="0" applyNumberFormat="1" applyAlignment="1">
      <alignment horizontal="left" indent="1"/>
    </xf>
    <xf numFmtId="0" fontId="0" fillId="0" borderId="0" xfId="0" applyAlignment="1">
      <alignment vertical="center" wrapText="1"/>
    </xf>
    <xf numFmtId="14" fontId="0" fillId="0" borderId="0" xfId="0" applyNumberFormat="1" applyAlignment="1">
      <alignment vertical="center"/>
    </xf>
    <xf numFmtId="14" fontId="11" fillId="0" borderId="0" xfId="0" applyNumberFormat="1" applyFont="1" applyAlignment="1">
      <alignment vertical="center"/>
    </xf>
    <xf numFmtId="0" fontId="2" fillId="3" borderId="0" xfId="0" applyFont="1" applyFill="1" applyAlignment="1">
      <alignment horizontal="left"/>
    </xf>
    <xf numFmtId="0" fontId="2" fillId="3" borderId="0" xfId="0" applyFont="1" applyFill="1"/>
    <xf numFmtId="0" fontId="0" fillId="0" borderId="0" xfId="0" applyAlignment="1">
      <alignment horizontal="left" indent="3"/>
    </xf>
    <xf numFmtId="22" fontId="17" fillId="0" borderId="0" xfId="0" applyNumberFormat="1" applyFont="1" applyAlignment="1">
      <alignment horizontal="left" indent="1"/>
    </xf>
    <xf numFmtId="164" fontId="0" fillId="0" borderId="0" xfId="6" applyFont="1" applyFill="1"/>
    <xf numFmtId="164" fontId="13" fillId="0" borderId="8" xfId="6" applyFont="1" applyFill="1" applyBorder="1"/>
    <xf numFmtId="164" fontId="13" fillId="0" borderId="9" xfId="6" applyFont="1" applyFill="1" applyBorder="1"/>
    <xf numFmtId="164" fontId="0" fillId="0" borderId="8" xfId="6" applyFont="1" applyFill="1" applyBorder="1"/>
    <xf numFmtId="164" fontId="0" fillId="0" borderId="0" xfId="6" applyFont="1" applyFill="1" applyBorder="1"/>
    <xf numFmtId="22" fontId="6" fillId="0" borderId="0" xfId="0" applyNumberFormat="1" applyFont="1" applyAlignment="1">
      <alignment horizontal="center" vertical="center" wrapText="1"/>
    </xf>
    <xf numFmtId="165" fontId="12" fillId="0" borderId="0" xfId="1" applyFont="1" applyFill="1" applyAlignment="1">
      <alignment horizontal="right" vertical="center"/>
    </xf>
    <xf numFmtId="167" fontId="12" fillId="0" borderId="0" xfId="1" applyNumberFormat="1" applyFont="1" applyFill="1" applyAlignment="1">
      <alignment horizontal="right" vertical="center"/>
    </xf>
    <xf numFmtId="0" fontId="0" fillId="0" borderId="0" xfId="0" applyAlignment="1">
      <alignment horizontal="left" indent="1"/>
    </xf>
    <xf numFmtId="168" fontId="17" fillId="0" borderId="0" xfId="0" applyNumberFormat="1" applyFont="1" applyAlignment="1">
      <alignment horizontal="left"/>
    </xf>
    <xf numFmtId="165" fontId="0" fillId="0" borderId="0" xfId="1" applyFont="1"/>
    <xf numFmtId="165" fontId="0" fillId="0" borderId="0" xfId="1" applyFont="1" applyFill="1" applyAlignment="1">
      <alignment horizontal="right" vertical="center"/>
    </xf>
    <xf numFmtId="0" fontId="0" fillId="5" borderId="0" xfId="0" applyFill="1" applyAlignment="1">
      <alignment horizontal="left"/>
    </xf>
    <xf numFmtId="0" fontId="0" fillId="5" borderId="0" xfId="0" applyFill="1"/>
    <xf numFmtId="0" fontId="12" fillId="0" borderId="0" xfId="0" applyFont="1" applyAlignment="1">
      <alignment horizontal="right" vertical="center"/>
    </xf>
    <xf numFmtId="170" fontId="0" fillId="0" borderId="0" xfId="0" applyNumberFormat="1" applyAlignment="1">
      <alignment horizontal="left" vertical="center"/>
    </xf>
    <xf numFmtId="0" fontId="0" fillId="5" borderId="0" xfId="0" applyFill="1" applyAlignment="1">
      <alignment horizontal="left" vertical="center"/>
    </xf>
    <xf numFmtId="0" fontId="0" fillId="5" borderId="0" xfId="0" applyFill="1" applyAlignment="1">
      <alignment horizontal="right" vertical="center"/>
    </xf>
    <xf numFmtId="167" fontId="0" fillId="5" borderId="0" xfId="1" applyNumberFormat="1" applyFont="1" applyFill="1" applyAlignment="1">
      <alignment horizontal="right" vertical="center"/>
    </xf>
    <xf numFmtId="0" fontId="35" fillId="0" borderId="0" xfId="0" applyFont="1" applyAlignment="1">
      <alignment horizontal="right" vertical="center"/>
    </xf>
    <xf numFmtId="167" fontId="36" fillId="0" borderId="0" xfId="1" applyNumberFormat="1" applyFont="1" applyFill="1" applyAlignment="1">
      <alignment horizontal="right" vertical="center"/>
    </xf>
    <xf numFmtId="167" fontId="35" fillId="0" borderId="0" xfId="1" applyNumberFormat="1" applyFont="1" applyFill="1" applyAlignment="1">
      <alignment horizontal="right" vertical="center"/>
    </xf>
    <xf numFmtId="0" fontId="37" fillId="0" borderId="0" xfId="0" applyFont="1" applyAlignment="1">
      <alignment horizontal="right" vertical="center"/>
    </xf>
    <xf numFmtId="167" fontId="38" fillId="0" borderId="0" xfId="1" applyNumberFormat="1" applyFont="1" applyFill="1" applyAlignment="1">
      <alignment horizontal="right" vertical="center"/>
    </xf>
    <xf numFmtId="167" fontId="39" fillId="0" borderId="0" xfId="1" applyNumberFormat="1" applyFont="1" applyFill="1" applyAlignment="1">
      <alignment horizontal="right" vertical="center"/>
    </xf>
    <xf numFmtId="0" fontId="39" fillId="0" borderId="0" xfId="0" applyFont="1" applyAlignment="1">
      <alignment horizontal="right" vertical="center"/>
    </xf>
    <xf numFmtId="0" fontId="40" fillId="0" borderId="0" xfId="0" applyFont="1" applyAlignment="1">
      <alignment horizontal="right" vertical="center"/>
    </xf>
    <xf numFmtId="0" fontId="0" fillId="0" borderId="14" xfId="0" applyBorder="1" applyAlignment="1">
      <alignment horizontal="left" vertical="center"/>
    </xf>
    <xf numFmtId="0" fontId="41" fillId="0" borderId="0" xfId="0" applyFont="1" applyAlignment="1">
      <alignment horizontal="right" vertical="center"/>
    </xf>
    <xf numFmtId="167" fontId="42" fillId="0" borderId="0" xfId="1" applyNumberFormat="1" applyFont="1" applyFill="1" applyAlignment="1">
      <alignment horizontal="right" vertical="center"/>
    </xf>
    <xf numFmtId="167" fontId="41" fillId="0" borderId="0" xfId="1" applyNumberFormat="1" applyFont="1" applyFill="1" applyAlignment="1">
      <alignment horizontal="right" vertical="center"/>
    </xf>
    <xf numFmtId="0" fontId="43" fillId="0" borderId="0" xfId="0" applyFont="1" applyAlignment="1">
      <alignment horizontal="right" vertical="center"/>
    </xf>
    <xf numFmtId="0" fontId="41" fillId="0" borderId="0" xfId="1" applyNumberFormat="1" applyFont="1" applyFill="1" applyAlignment="1">
      <alignment horizontal="right" vertical="center"/>
    </xf>
    <xf numFmtId="167" fontId="44" fillId="0" borderId="0" xfId="1" applyNumberFormat="1" applyFont="1" applyFill="1" applyAlignment="1">
      <alignment horizontal="right" vertical="center"/>
    </xf>
    <xf numFmtId="167" fontId="45" fillId="0" borderId="0" xfId="1" applyNumberFormat="1" applyFont="1" applyFill="1" applyAlignment="1">
      <alignment horizontal="right" vertical="center"/>
    </xf>
    <xf numFmtId="0" fontId="45" fillId="0" borderId="0" xfId="0" applyFont="1" applyAlignment="1">
      <alignment horizontal="right" vertical="center"/>
    </xf>
    <xf numFmtId="0" fontId="46" fillId="0" borderId="0" xfId="0" applyFont="1" applyAlignment="1">
      <alignment horizontal="right" vertical="center"/>
    </xf>
    <xf numFmtId="165" fontId="45" fillId="0" borderId="0" xfId="1" applyFont="1" applyFill="1" applyAlignment="1">
      <alignment horizontal="right" vertical="center"/>
    </xf>
    <xf numFmtId="165" fontId="47" fillId="0" borderId="0" xfId="1" applyFont="1" applyFill="1" applyAlignment="1">
      <alignment horizontal="right" vertical="center"/>
    </xf>
    <xf numFmtId="0" fontId="31" fillId="0" borderId="0" xfId="0" applyFont="1" applyAlignment="1">
      <alignment horizontal="left" vertical="center" wrapText="1" indent="1"/>
    </xf>
    <xf numFmtId="0" fontId="25" fillId="0" borderId="0" xfId="0" applyFont="1" applyAlignment="1">
      <alignment horizontal="center" vertical="center" wrapText="1"/>
    </xf>
    <xf numFmtId="0" fontId="13" fillId="0" borderId="5" xfId="0" applyFont="1" applyBorder="1" applyAlignment="1">
      <alignment horizontal="center"/>
    </xf>
    <xf numFmtId="0" fontId="13" fillId="0" borderId="6" xfId="0" applyFont="1" applyBorder="1" applyAlignment="1">
      <alignment horizontal="center"/>
    </xf>
    <xf numFmtId="0" fontId="13" fillId="0" borderId="7" xfId="0" applyFont="1" applyBorder="1" applyAlignment="1">
      <alignment horizontal="center"/>
    </xf>
    <xf numFmtId="0" fontId="13" fillId="0" borderId="12" xfId="0" applyFont="1" applyBorder="1" applyAlignment="1">
      <alignment horizontal="center"/>
    </xf>
    <xf numFmtId="0" fontId="13" fillId="0" borderId="13" xfId="0" applyFont="1" applyBorder="1" applyAlignment="1">
      <alignment horizontal="center"/>
    </xf>
    <xf numFmtId="170" fontId="0" fillId="0" borderId="0" xfId="0" applyNumberFormat="1" applyFill="1" applyAlignment="1">
      <alignment horizontal="left" vertical="center"/>
    </xf>
    <xf numFmtId="0" fontId="0" fillId="0" borderId="0" xfId="0" applyFill="1" applyAlignment="1">
      <alignment horizontal="left" vertical="center"/>
    </xf>
    <xf numFmtId="0" fontId="0" fillId="0" borderId="0" xfId="0" applyFill="1" applyAlignment="1">
      <alignment horizontal="right" vertical="center"/>
    </xf>
    <xf numFmtId="167" fontId="48" fillId="0" borderId="0" xfId="1" applyNumberFormat="1" applyFont="1" applyFill="1" applyAlignment="1">
      <alignment horizontal="right" vertical="center"/>
    </xf>
    <xf numFmtId="167" fontId="49" fillId="0" borderId="0" xfId="1" applyNumberFormat="1" applyFont="1" applyFill="1" applyAlignment="1">
      <alignment horizontal="right" vertical="center"/>
    </xf>
    <xf numFmtId="0" fontId="49" fillId="0" borderId="0" xfId="0" applyFont="1" applyFill="1" applyAlignment="1">
      <alignment horizontal="right" vertical="center"/>
    </xf>
    <xf numFmtId="0" fontId="50" fillId="0" borderId="0" xfId="0" applyFont="1" applyFill="1" applyAlignment="1">
      <alignment horizontal="right" vertical="center"/>
    </xf>
    <xf numFmtId="0" fontId="49" fillId="0" borderId="0" xfId="0" applyNumberFormat="1" applyFont="1" applyFill="1" applyAlignment="1">
      <alignment horizontal="right" vertical="center"/>
    </xf>
    <xf numFmtId="165" fontId="49" fillId="0" borderId="0" xfId="1" applyNumberFormat="1" applyFont="1" applyFill="1" applyAlignment="1">
      <alignment horizontal="right" vertical="center"/>
    </xf>
    <xf numFmtId="0" fontId="16" fillId="0" borderId="0" xfId="0" applyFont="1" applyFill="1" applyAlignment="1">
      <alignment horizontal="right" vertical="center"/>
    </xf>
  </cellXfs>
  <cellStyles count="7">
    <cellStyle name="Comma" xfId="1" builtinId="3"/>
    <cellStyle name="Comma 2" xfId="2" xr:uid="{00000000-0005-0000-0000-000001000000}"/>
    <cellStyle name="Currency" xfId="6" builtinId="4"/>
    <cellStyle name="Currency 2" xfId="4" xr:uid="{00000000-0005-0000-0000-000003000000}"/>
    <cellStyle name="Normal" xfId="0" builtinId="0"/>
    <cellStyle name="Normal 2" xfId="3" xr:uid="{00000000-0005-0000-0000-000005000000}"/>
    <cellStyle name="Percent" xfId="5" builtinId="5"/>
  </cellStyles>
  <dxfs count="1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theme="1"/>
        <name val="Calibri"/>
        <scheme val="minor"/>
      </font>
      <numFmt numFmtId="165" formatCode="_(* #,##0.00_);_(* \(#,##0.00\);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right style="thin">
          <color theme="4" tint="0.39997558519241921"/>
        </right>
      </border>
    </dxf>
    <dxf>
      <font>
        <b val="0"/>
        <i val="0"/>
        <strike val="0"/>
        <condense val="0"/>
        <extend val="0"/>
        <outline val="0"/>
        <shadow val="0"/>
        <u val="none"/>
        <vertAlign val="baseline"/>
        <sz val="11"/>
        <color auto="1"/>
        <name val="Calibri"/>
        <scheme val="minor"/>
      </font>
      <numFmt numFmtId="30" formatCode="@"/>
      <fill>
        <patternFill patternType="solid">
          <fgColor indexed="64"/>
          <bgColor theme="0"/>
        </patternFill>
      </fill>
    </dxf>
    <dxf>
      <border outline="0">
        <bottom style="thin">
          <color theme="1"/>
        </bottom>
      </border>
    </dxf>
    <dxf>
      <font>
        <b val="0"/>
        <i val="0"/>
        <strike val="0"/>
        <condense val="0"/>
        <extend val="0"/>
        <outline val="0"/>
        <shadow val="0"/>
        <u val="none"/>
        <vertAlign val="baseline"/>
        <sz val="11"/>
        <color auto="1"/>
        <name val="Calibri"/>
        <scheme val="minor"/>
      </font>
      <fill>
        <patternFill patternType="solid">
          <fgColor indexed="64"/>
          <bgColor theme="0"/>
        </patternFill>
      </fill>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165" formatCode="_(* #,##0.00_);_(* \(#,##0.00\);_(* &quot;-&quot;??_);_(@_)"/>
    </dxf>
    <dxf>
      <numFmt numFmtId="165" formatCode="_(* #,##0.00_);_(* \(#,##0.00\);_(* &quot;-&quot;??_);_(@_)"/>
    </dxf>
    <dxf>
      <numFmt numFmtId="165" formatCode="_(* #,##0.00_);_(* \(#,##0.00\);_(* &quot;-&quot;??_);_(@_)"/>
    </dxf>
    <dxf>
      <numFmt numFmtId="165" formatCode="_(* #,##0.00_);_(* \(#,##0.00\);_(* &quot;-&quot;??_);_(@_)"/>
    </dxf>
    <dxf>
      <numFmt numFmtId="164" formatCode="_(&quot;$&quot;* #,##0.00_);_(&quot;$&quot;* \(#,##0.00\);_(&quot;$&quot;* &quot;-&quot;??_);_(@_)"/>
    </dxf>
    <dxf>
      <font>
        <b/>
      </font>
    </dxf>
    <dxf>
      <font>
        <b/>
      </font>
    </dxf>
    <dxf>
      <alignment horizontal="center" readingOrder="0"/>
    </dxf>
    <dxf>
      <numFmt numFmtId="168" formatCode="dd/mm/yyyy;@"/>
    </dxf>
    <dxf>
      <font>
        <color auto="1"/>
      </font>
    </dxf>
    <dxf>
      <font>
        <b/>
      </font>
    </dxf>
    <dxf>
      <alignment relativeIndent="-1" readingOrder="0"/>
    </dxf>
    <dxf>
      <alignment relativeIndent="-1" readingOrder="0"/>
    </dxf>
    <dxf>
      <alignment relativeIndent="1" readingOrder="0"/>
    </dxf>
    <dxf>
      <alignment relativeIndent="1" readingOrder="0"/>
    </dxf>
    <dxf>
      <alignment horizontal="left" relativeIndent="1" readingOrder="0"/>
    </dxf>
    <dxf>
      <numFmt numFmtId="164" formatCode="_(&quot;$&quot;* #,##0.00_);_(&quot;$&quot;* \(#,##0.00\);_(&quot;$&quot;* &quot;-&quot;??_);_(@_)"/>
    </dxf>
    <dxf>
      <numFmt numFmtId="167" formatCode="_(* #,##0_);_(* \(#,##0\);_(* &quot;-&quot;??_);_(@_)"/>
    </dxf>
    <dxf>
      <numFmt numFmtId="171" formatCode="_(* #,##0.0_);_(* \(#,##0.0\);_(* &quot;-&quot;??_);_(@_)"/>
    </dxf>
    <dxf>
      <numFmt numFmtId="165" formatCode="_(* #,##0.00_);_(* \(#,##0.00\);_(* &quot;-&quot;??_);_(@_)"/>
    </dxf>
    <dxf>
      <font>
        <b val="0"/>
        <i val="0"/>
        <strike val="0"/>
        <condense val="0"/>
        <extend val="0"/>
        <outline val="0"/>
        <shadow val="0"/>
        <u val="none"/>
        <vertAlign val="baseline"/>
        <sz val="7"/>
        <color theme="1"/>
        <name val="Calibri"/>
        <scheme val="minor"/>
      </font>
      <numFmt numFmtId="165" formatCode="_(* #,##0.00_);_(* \(#,##0.00\);_(* &quot;-&quot;??_);_(@_)"/>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numFmt numFmtId="165" formatCode="_(* #,##0.00_);_(* \(#,##0.00\);_(* &quot;-&quot;??_);_(@_)"/>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numFmt numFmtId="0" formatCode="General"/>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numFmt numFmtId="0" formatCode="General"/>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7"/>
        <color theme="1"/>
        <name val="Calibri"/>
        <scheme val="minor"/>
      </font>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7"/>
        <color theme="1"/>
        <name val="Calibri"/>
        <scheme val="minor"/>
      </font>
      <numFmt numFmtId="167" formatCode="_(* #,##0_);_(* \(#,##0\);_(* &quot;-&quot;??_);_(@_)"/>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_(* #,##0_);_(* \(#,##0\);_(* &quot;-&quot;??_);_(@_)"/>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numFmt numFmtId="167" formatCode="_(* #,##0_);_(* \(#,##0\);_(* &quot;-&quot;??_);_(@_)"/>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color theme="1"/>
        <name val="Calibri"/>
        <family val="2"/>
        <scheme val="minor"/>
      </font>
      <numFmt numFmtId="167" formatCode="_(* #,##0_);_(* \(#,##0\);_(* &quot;-&quot;??_);_(@_)"/>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color theme="1"/>
        <name val="Calibri"/>
        <family val="2"/>
        <scheme val="minor"/>
      </font>
      <numFmt numFmtId="167" formatCode="_(* #,##0_);_(* \(#,##0\);_(* &quot;-&quot;??_);_(@_)"/>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numFmt numFmtId="170" formatCode="m/d/yyyy\ h:mm"/>
      <fill>
        <patternFill patternType="none">
          <fgColor indexed="64"/>
          <bgColor indexed="65"/>
        </patternFill>
      </fill>
      <alignment horizontal="left" vertical="center" textRotation="0" wrapText="0" indent="0" justifyLastLine="0" shrinkToFit="0" readingOrder="0"/>
    </dxf>
    <dxf>
      <numFmt numFmtId="170" formatCode="m/d/yyyy\ h:mm"/>
      <fill>
        <patternFill patternType="none">
          <fgColor indexed="64"/>
          <bgColor auto="1"/>
        </patternFill>
      </fill>
      <alignment horizontal="left" vertical="center" textRotation="0" wrapText="0" indent="0" justifyLastLine="0" shrinkToFit="0" readingOrder="0"/>
    </dxf>
    <dxf>
      <numFmt numFmtId="166" formatCode="_-* #,##0_-;\-* #,##0_-;_-* &quot;-&quot;??_-;_-@_-"/>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12"/>
        <color theme="1"/>
        <name val="Calibri"/>
        <scheme val="minor"/>
      </font>
      <numFmt numFmtId="166" formatCode="_-* #,##0_-;\-* #,##0_-;_-* &quot;-&quot;??_-;_-@_-"/>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dxf>
    <dxf>
      <font>
        <strike val="0"/>
        <outline val="0"/>
        <shadow val="0"/>
        <u val="none"/>
        <vertAlign val="baseline"/>
        <sz val="9"/>
        <color theme="1"/>
        <name val="Calibri"/>
        <scheme val="minor"/>
      </font>
      <alignment horizontal="right" vertical="center" textRotation="0" wrapText="0" indent="0" justifyLastLine="0" shrinkToFit="0" readingOrder="0"/>
    </dxf>
    <dxf>
      <font>
        <strike val="0"/>
        <outline val="0"/>
        <shadow val="0"/>
        <u val="none"/>
        <vertAlign val="baseline"/>
        <sz val="9"/>
        <color theme="1"/>
        <name val="Calibri"/>
        <scheme val="minor"/>
      </font>
      <alignment horizontal="right" vertical="center" textRotation="0" wrapText="0" indent="0" justifyLastLine="0" shrinkToFit="0" readingOrder="0"/>
    </dxf>
    <dxf>
      <font>
        <strike val="0"/>
        <outline val="0"/>
        <shadow val="0"/>
        <u val="none"/>
        <vertAlign val="baseline"/>
        <sz val="9"/>
        <color theme="1"/>
        <name val="Calibri"/>
        <scheme val="minor"/>
      </font>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72" formatCode="m/d/yyyy"/>
      <alignment horizontal="left" vertical="center" textRotation="0" wrapText="0" indent="0" justifyLastLine="0" shrinkToFit="0" readingOrder="0"/>
    </dxf>
    <dxf>
      <numFmt numFmtId="172" formatCode="m/d/yyyy"/>
      <alignment horizontal="left" vertical="center" textRotation="0" wrapText="0" indent="0" justifyLastLine="0" shrinkToFit="0" readingOrder="0"/>
    </dxf>
    <dxf>
      <alignment horizontal="left" vertical="center" textRotation="0" wrapText="0" indent="0" justifyLastLine="0" shrinkToFit="0" readingOrder="0"/>
    </dxf>
    <dxf>
      <numFmt numFmtId="164" formatCode="_(&quot;$&quot;* #,##0.00_);_(&quot;$&quot;* \(#,##0.00\);_(&quot;$&quot;* &quot;-&quot;??_);_(@_)"/>
    </dxf>
    <dxf>
      <alignment wrapText="0" readingOrder="0"/>
    </dxf>
    <dxf>
      <alignment wrapText="1" readingOrder="0"/>
    </dxf>
    <dxf>
      <alignment horizontal="center" readingOrder="0"/>
    </dxf>
    <dxf>
      <alignment horizontal="left" readingOrder="0"/>
    </dxf>
    <dxf>
      <font>
        <b/>
      </font>
    </dxf>
    <dxf>
      <font>
        <b/>
      </font>
    </dxf>
    <dxf>
      <font>
        <color theme="0"/>
      </font>
    </dxf>
    <dxf>
      <font>
        <color theme="0"/>
      </font>
    </dxf>
    <dxf>
      <alignment vertical="center" readingOrder="0"/>
    </dxf>
    <dxf>
      <alignment vertical="center" readingOrder="0"/>
    </dxf>
    <dxf>
      <alignment horizontal="right" readingOrder="0"/>
    </dxf>
    <dxf>
      <alignment horizontal="right" readingOrder="0"/>
    </dxf>
    <dxf>
      <font>
        <color auto="1"/>
      </font>
    </dxf>
    <dxf>
      <font>
        <color auto="1"/>
      </font>
    </dxf>
    <dxf>
      <font>
        <color auto="1"/>
      </font>
    </dxf>
    <dxf>
      <fill>
        <patternFill patternType="none">
          <bgColor auto="1"/>
        </patternFill>
      </fill>
    </dxf>
    <dxf>
      <fill>
        <patternFill patternType="solid">
          <bgColor theme="1"/>
        </patternFill>
      </fill>
    </dxf>
    <dxf>
      <font>
        <b/>
      </font>
    </dxf>
    <dxf>
      <font>
        <i val="0"/>
      </font>
    </dxf>
    <dxf>
      <font>
        <i/>
      </font>
    </dxf>
    <dxf>
      <numFmt numFmtId="167" formatCode="_(* #,##0_);_(* \(#,##0\);_(* &quot;-&quot;??_);_(@_)"/>
    </dxf>
    <dxf>
      <numFmt numFmtId="171" formatCode="_(* #,##0.0_);_(* \(#,##0.0\);_(* &quot;-&quot;??_);_(@_)"/>
    </dxf>
    <dxf>
      <numFmt numFmtId="165" formatCode="_(* #,##0.00_);_(* \(#,##0.00\);_(* &quot;-&quot;??_);_(@_)"/>
    </dxf>
    <dxf>
      <numFmt numFmtId="164" formatCode="_(&quot;$&quot;* #,##0.00_);_(&quot;$&quot;* \(#,##0.00\);_(&quot;$&quot;* &quot;-&quot;??_);_(@_)"/>
    </dxf>
    <dxf>
      <numFmt numFmtId="173" formatCode="_-&quot;$&quot;* #,##0.0_-;\-&quot;$&quot;* #,##0.0_-;_-&quot;$&quot;* &quot;-&quot;??_-;_-@_-"/>
    </dxf>
    <dxf>
      <numFmt numFmtId="174" formatCode="_-&quot;$&quot;* #,##0_-;\-&quot;$&quot;* #,##0_-;_-&quot;$&quot;* &quot;-&quot;??_-;_-@_-"/>
    </dxf>
    <dxf>
      <numFmt numFmtId="173" formatCode="_-&quot;$&quot;* #,##0.0_-;\-&quot;$&quot;* #,##0.0_-;_-&quot;$&quot;* &quot;-&quot;??_-;_-@_-"/>
    </dxf>
    <dxf>
      <numFmt numFmtId="164" formatCode="_(&quot;$&quot;* #,##0.00_);_(&quot;$&quot;* \(#,##0.00\);_(&quot;$&quot;* &quot;-&quot;??_);_(@_)"/>
    </dxf>
  </dxfs>
  <tableStyles count="1" defaultTableStyle="TableStyleMedium2" defaultPivotStyle="PivotStyleLight16">
    <tableStyle name="Table Style 1" pivot="0" count="0" xr9:uid="{00000000-0011-0000-FFFF-FFFF00000000}"/>
  </tableStyles>
  <colors>
    <mruColors>
      <color rgb="FFF78C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523875</xdr:colOff>
          <xdr:row>7</xdr:row>
          <xdr:rowOff>0</xdr:rowOff>
        </xdr:from>
        <xdr:to>
          <xdr:col>16</xdr:col>
          <xdr:colOff>209550</xdr:colOff>
          <xdr:row>12</xdr:row>
          <xdr:rowOff>104775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409575</xdr:colOff>
          <xdr:row>18</xdr:row>
          <xdr:rowOff>19050</xdr:rowOff>
        </xdr:from>
        <xdr:to>
          <xdr:col>9</xdr:col>
          <xdr:colOff>323850</xdr:colOff>
          <xdr:row>19</xdr:row>
          <xdr:rowOff>171450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409575</xdr:colOff>
          <xdr:row>20</xdr:row>
          <xdr:rowOff>57150</xdr:rowOff>
        </xdr:from>
        <xdr:to>
          <xdr:col>9</xdr:col>
          <xdr:colOff>323850</xdr:colOff>
          <xdr:row>22</xdr:row>
          <xdr:rowOff>28575</xdr:rowOff>
        </xdr:to>
        <xdr:sp macro="" textlink="">
          <xdr:nvSpPr>
            <xdr:cNvPr id="6148" name="CommandButton2"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xdr:row>
          <xdr:rowOff>19050</xdr:rowOff>
        </xdr:from>
        <xdr:to>
          <xdr:col>10</xdr:col>
          <xdr:colOff>485775</xdr:colOff>
          <xdr:row>12</xdr:row>
          <xdr:rowOff>114300</xdr:rowOff>
        </xdr:to>
        <xdr:sp macro="" textlink="">
          <xdr:nvSpPr>
            <xdr:cNvPr id="6150" name="CommandButton5"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xdr:row>
          <xdr:rowOff>0</xdr:rowOff>
        </xdr:from>
        <xdr:to>
          <xdr:col>5</xdr:col>
          <xdr:colOff>123825</xdr:colOff>
          <xdr:row>12</xdr:row>
          <xdr:rowOff>104775</xdr:rowOff>
        </xdr:to>
        <xdr:sp macro="" textlink="">
          <xdr:nvSpPr>
            <xdr:cNvPr id="6151" name="CommandButton6"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13</xdr:row>
          <xdr:rowOff>19050</xdr:rowOff>
        </xdr:from>
        <xdr:to>
          <xdr:col>10</xdr:col>
          <xdr:colOff>57150</xdr:colOff>
          <xdr:row>14</xdr:row>
          <xdr:rowOff>123825</xdr:rowOff>
        </xdr:to>
        <xdr:sp macro="" textlink="">
          <xdr:nvSpPr>
            <xdr:cNvPr id="6152" name="CommandButton7" hidden="1">
              <a:extLst>
                <a:ext uri="{63B3BB69-23CF-44E3-9099-C40C66FF867C}">
                  <a14:compatExt spid="_x0000_s6152"/>
                </a:ext>
                <a:ext uri="{FF2B5EF4-FFF2-40B4-BE49-F238E27FC236}">
                  <a16:creationId xmlns:a16="http://schemas.microsoft.com/office/drawing/2014/main" id="{00000000-0008-0000-0000-000008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28576</xdr:colOff>
      <xdr:row>2</xdr:row>
      <xdr:rowOff>33618</xdr:rowOff>
    </xdr:from>
    <xdr:to>
      <xdr:col>2</xdr:col>
      <xdr:colOff>156882</xdr:colOff>
      <xdr:row>3</xdr:row>
      <xdr:rowOff>95249</xdr:rowOff>
    </xdr:to>
    <xdr:sp macro="" textlink="">
      <xdr:nvSpPr>
        <xdr:cNvPr id="2" name="Rounded Rectangle 1">
          <a:extLst>
            <a:ext uri="{FF2B5EF4-FFF2-40B4-BE49-F238E27FC236}">
              <a16:creationId xmlns:a16="http://schemas.microsoft.com/office/drawing/2014/main" id="{00000000-0008-0000-0200-000002000000}"/>
            </a:ext>
          </a:extLst>
        </xdr:cNvPr>
        <xdr:cNvSpPr/>
      </xdr:nvSpPr>
      <xdr:spPr>
        <a:xfrm>
          <a:off x="28576" y="605118"/>
          <a:ext cx="2817718" cy="666749"/>
        </a:xfrm>
        <a:prstGeom prst="roundRect">
          <a:avLst/>
        </a:prstGeom>
        <a:noFill/>
        <a:ln w="12700">
          <a:solidFill>
            <a:srgbClr val="006600"/>
          </a:solidFill>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endParaRPr lang="en-US" sz="1100"/>
        </a:p>
      </xdr:txBody>
    </xdr:sp>
    <xdr:clientData/>
  </xdr:twoCellAnchor>
  <xdr:twoCellAnchor>
    <xdr:from>
      <xdr:col>0</xdr:col>
      <xdr:colOff>235323</xdr:colOff>
      <xdr:row>1</xdr:row>
      <xdr:rowOff>77929</xdr:rowOff>
    </xdr:from>
    <xdr:to>
      <xdr:col>1</xdr:col>
      <xdr:colOff>100854</xdr:colOff>
      <xdr:row>1</xdr:row>
      <xdr:rowOff>246530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35323" y="369282"/>
          <a:ext cx="1008531" cy="16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700" b="1" baseline="0">
              <a:solidFill>
                <a:schemeClr val="dk1"/>
              </a:solidFill>
              <a:latin typeface="+mn-lt"/>
              <a:ea typeface="+mn-ea"/>
              <a:cs typeface="+mn-cs"/>
            </a:rPr>
            <a:t>1337905 </a:t>
          </a:r>
          <a:r>
            <a:rPr lang="en-US" sz="700" b="1">
              <a:solidFill>
                <a:srgbClr val="006600"/>
              </a:solidFill>
            </a:rPr>
            <a:t>Ontario</a:t>
          </a:r>
          <a:r>
            <a:rPr lang="en-US" sz="700" b="1" baseline="0">
              <a:solidFill>
                <a:srgbClr val="006600"/>
              </a:solidFill>
            </a:rPr>
            <a:t> Ltd. </a:t>
          </a:r>
          <a:endParaRPr lang="en-US" sz="700" b="1">
            <a:solidFill>
              <a:srgbClr val="006600"/>
            </a:solidFill>
          </a:endParaRPr>
        </a:p>
      </xdr:txBody>
    </xdr:sp>
    <xdr:clientData/>
  </xdr:twoCellAnchor>
  <xdr:twoCellAnchor editAs="oneCell">
    <xdr:from>
      <xdr:col>0</xdr:col>
      <xdr:colOff>304021</xdr:colOff>
      <xdr:row>0</xdr:row>
      <xdr:rowOff>56031</xdr:rowOff>
    </xdr:from>
    <xdr:to>
      <xdr:col>1</xdr:col>
      <xdr:colOff>55105</xdr:colOff>
      <xdr:row>1</xdr:row>
      <xdr:rowOff>89606</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021" y="56031"/>
          <a:ext cx="894084" cy="336134"/>
        </a:xfrm>
        <a:prstGeom prst="rect">
          <a:avLst/>
        </a:prstGeom>
      </xdr:spPr>
    </xdr:pic>
    <xdr:clientData/>
  </xdr:twoCellAnchor>
  <xdr:twoCellAnchor editAs="absolute">
    <xdr:from>
      <xdr:col>14</xdr:col>
      <xdr:colOff>54909</xdr:colOff>
      <xdr:row>0</xdr:row>
      <xdr:rowOff>56591</xdr:rowOff>
    </xdr:from>
    <xdr:to>
      <xdr:col>17</xdr:col>
      <xdr:colOff>54908</xdr:colOff>
      <xdr:row>2</xdr:row>
      <xdr:rowOff>280147</xdr:rowOff>
    </xdr:to>
    <mc:AlternateContent xmlns:mc="http://schemas.openxmlformats.org/markup-compatibility/2006" xmlns:sle15="http://schemas.microsoft.com/office/drawing/2012/slicer">
      <mc:Choice Requires="sle15">
        <xdr:graphicFrame macro="">
          <xdr:nvGraphicFramePr>
            <xdr:cNvPr id="8" name="Shipped">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Shipped"/>
            </a:graphicData>
          </a:graphic>
        </xdr:graphicFrame>
      </mc:Choice>
      <mc:Fallback xmlns="">
        <xdr:sp macro="" textlink="">
          <xdr:nvSpPr>
            <xdr:cNvPr id="0" name=""/>
            <xdr:cNvSpPr>
              <a:spLocks noTextEdit="1"/>
            </xdr:cNvSpPr>
          </xdr:nvSpPr>
          <xdr:spPr>
            <a:xfrm>
              <a:off x="12930468" y="56591"/>
              <a:ext cx="1815352" cy="828674"/>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1</xdr:col>
      <xdr:colOff>112059</xdr:colOff>
      <xdr:row>0</xdr:row>
      <xdr:rowOff>257735</xdr:rowOff>
    </xdr:from>
    <xdr:to>
      <xdr:col>10</xdr:col>
      <xdr:colOff>593912</xdr:colOff>
      <xdr:row>0</xdr:row>
      <xdr:rowOff>268941</xdr:rowOff>
    </xdr:to>
    <xdr:cxnSp macro="">
      <xdr:nvCxnSpPr>
        <xdr:cNvPr id="11" name="Straight Connector 10">
          <a:extLst>
            <a:ext uri="{FF2B5EF4-FFF2-40B4-BE49-F238E27FC236}">
              <a16:creationId xmlns:a16="http://schemas.microsoft.com/office/drawing/2014/main" id="{00000000-0008-0000-0200-00000B000000}"/>
            </a:ext>
          </a:extLst>
        </xdr:cNvPr>
        <xdr:cNvCxnSpPr/>
      </xdr:nvCxnSpPr>
      <xdr:spPr>
        <a:xfrm>
          <a:off x="1255059" y="257735"/>
          <a:ext cx="10354235" cy="11206"/>
        </a:xfrm>
        <a:prstGeom prst="line">
          <a:avLst/>
        </a:prstGeom>
        <a:ln w="28575"/>
      </xdr:spPr>
      <xdr:style>
        <a:lnRef idx="3">
          <a:schemeClr val="accent6"/>
        </a:lnRef>
        <a:fillRef idx="0">
          <a:schemeClr val="accent6"/>
        </a:fillRef>
        <a:effectRef idx="2">
          <a:schemeClr val="accent6"/>
        </a:effectRef>
        <a:fontRef idx="minor">
          <a:schemeClr val="tx1"/>
        </a:fontRef>
      </xdr:style>
    </xdr:cxnSp>
    <xdr:clientData/>
  </xdr:twoCellAnchor>
  <xdr:twoCellAnchor>
    <xdr:from>
      <xdr:col>1</xdr:col>
      <xdr:colOff>271183</xdr:colOff>
      <xdr:row>0</xdr:row>
      <xdr:rowOff>58833</xdr:rowOff>
    </xdr:from>
    <xdr:to>
      <xdr:col>2</xdr:col>
      <xdr:colOff>751767</xdr:colOff>
      <xdr:row>1</xdr:row>
      <xdr:rowOff>30257</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414183" y="58833"/>
          <a:ext cx="2026996" cy="2627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700" b="0">
              <a:solidFill>
                <a:sysClr val="windowText" lastClr="000000"/>
              </a:solidFill>
            </a:rPr>
            <a:t>2880 Slough St. Mississauga</a:t>
          </a:r>
          <a:r>
            <a:rPr lang="en-US" sz="700" b="0" baseline="0">
              <a:solidFill>
                <a:sysClr val="windowText" lastClr="000000"/>
              </a:solidFill>
            </a:rPr>
            <a:t> Ontario L4T 1G3</a:t>
          </a:r>
        </a:p>
      </xdr:txBody>
    </xdr:sp>
    <xdr:clientData/>
  </xdr:twoCellAnchor>
  <xdr:twoCellAnchor>
    <xdr:from>
      <xdr:col>1</xdr:col>
      <xdr:colOff>22412</xdr:colOff>
      <xdr:row>0</xdr:row>
      <xdr:rowOff>244286</xdr:rowOff>
    </xdr:from>
    <xdr:to>
      <xdr:col>2</xdr:col>
      <xdr:colOff>1070162</xdr:colOff>
      <xdr:row>1</xdr:row>
      <xdr:rowOff>134470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165412" y="244286"/>
          <a:ext cx="2594162" cy="181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700" b="0" i="0">
              <a:solidFill>
                <a:schemeClr val="dk1"/>
              </a:solidFill>
              <a:latin typeface="+mn-lt"/>
              <a:ea typeface="+mn-ea"/>
              <a:cs typeface="+mn-cs"/>
            </a:rPr>
            <a:t>Tel.  905-677-2227   Fax.  905-677-4285  www.avpsolutions.ca</a:t>
          </a:r>
          <a:endParaRPr lang="en-US" sz="700" b="1">
            <a:solidFill>
              <a:srgbClr val="006600"/>
            </a:solidFill>
          </a:endParaRPr>
        </a:p>
      </xdr:txBody>
    </xdr:sp>
    <xdr:clientData/>
  </xdr:twoCellAnchor>
  <xdr:twoCellAnchor>
    <xdr:from>
      <xdr:col>7</xdr:col>
      <xdr:colOff>437029</xdr:colOff>
      <xdr:row>0</xdr:row>
      <xdr:rowOff>72837</xdr:rowOff>
    </xdr:from>
    <xdr:to>
      <xdr:col>9</xdr:col>
      <xdr:colOff>542925</xdr:colOff>
      <xdr:row>1</xdr:row>
      <xdr:rowOff>168087</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8550088" y="72837"/>
          <a:ext cx="2459131" cy="38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700" b="1" baseline="0">
              <a:solidFill>
                <a:srgbClr val="006600"/>
              </a:solidFill>
            </a:rPr>
            <a:t>PACKING SLIP DETAILS </a:t>
          </a:r>
        </a:p>
      </xdr:txBody>
    </xdr:sp>
    <xdr:clientData/>
  </xdr:twoCellAnchor>
  <xdr:twoCellAnchor>
    <xdr:from>
      <xdr:col>2</xdr:col>
      <xdr:colOff>257736</xdr:colOff>
      <xdr:row>2</xdr:row>
      <xdr:rowOff>22412</xdr:rowOff>
    </xdr:from>
    <xdr:to>
      <xdr:col>10</xdr:col>
      <xdr:colOff>526677</xdr:colOff>
      <xdr:row>3</xdr:row>
      <xdr:rowOff>89647</xdr:rowOff>
    </xdr:to>
    <xdr:sp macro="" textlink="">
      <xdr:nvSpPr>
        <xdr:cNvPr id="15" name="Rounded Rectangle 14">
          <a:extLst>
            <a:ext uri="{FF2B5EF4-FFF2-40B4-BE49-F238E27FC236}">
              <a16:creationId xmlns:a16="http://schemas.microsoft.com/office/drawing/2014/main" id="{00000000-0008-0000-0200-00000F000000}"/>
            </a:ext>
          </a:extLst>
        </xdr:cNvPr>
        <xdr:cNvSpPr/>
      </xdr:nvSpPr>
      <xdr:spPr>
        <a:xfrm>
          <a:off x="2947148" y="593912"/>
          <a:ext cx="8594911" cy="672353"/>
        </a:xfrm>
        <a:prstGeom prst="roundRect">
          <a:avLst/>
        </a:prstGeom>
        <a:noFill/>
        <a:ln w="12700">
          <a:solidFill>
            <a:srgbClr val="006600"/>
          </a:solidFill>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59873</xdr:colOff>
      <xdr:row>0</xdr:row>
      <xdr:rowOff>42423</xdr:rowOff>
    </xdr:from>
    <xdr:to>
      <xdr:col>26</xdr:col>
      <xdr:colOff>63234</xdr:colOff>
      <xdr:row>2</xdr:row>
      <xdr:rowOff>165687</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59873" y="42423"/>
          <a:ext cx="11242861" cy="531478"/>
        </a:xfrm>
        <a:prstGeom prst="roundRect">
          <a:avLst/>
        </a:prstGeom>
        <a:noFill/>
        <a:ln w="12700">
          <a:solidFill>
            <a:srgbClr val="006600"/>
          </a:solidFill>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endParaRPr lang="en-US" sz="1100"/>
        </a:p>
      </xdr:txBody>
    </xdr:sp>
    <xdr:clientData/>
  </xdr:twoCellAnchor>
  <xdr:twoCellAnchor>
    <xdr:from>
      <xdr:col>0</xdr:col>
      <xdr:colOff>630330</xdr:colOff>
      <xdr:row>2</xdr:row>
      <xdr:rowOff>4993</xdr:rowOff>
    </xdr:from>
    <xdr:to>
      <xdr:col>0</xdr:col>
      <xdr:colOff>1625462</xdr:colOff>
      <xdr:row>2</xdr:row>
      <xdr:rowOff>103533</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630330" y="398417"/>
          <a:ext cx="995132" cy="985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700" b="1" baseline="0">
              <a:solidFill>
                <a:schemeClr val="dk1"/>
              </a:solidFill>
              <a:latin typeface="+mn-lt"/>
              <a:ea typeface="+mn-ea"/>
              <a:cs typeface="+mn-cs"/>
            </a:rPr>
            <a:t>1337905 </a:t>
          </a:r>
          <a:r>
            <a:rPr lang="en-US" sz="700" b="1">
              <a:solidFill>
                <a:srgbClr val="006600"/>
              </a:solidFill>
            </a:rPr>
            <a:t>Ontario</a:t>
          </a:r>
          <a:r>
            <a:rPr lang="en-US" sz="700" b="1" baseline="0">
              <a:solidFill>
                <a:srgbClr val="006600"/>
              </a:solidFill>
            </a:rPr>
            <a:t> Ltd. </a:t>
          </a:r>
          <a:endParaRPr lang="en-US" sz="700" b="1">
            <a:solidFill>
              <a:srgbClr val="006600"/>
            </a:solidFill>
          </a:endParaRPr>
        </a:p>
      </xdr:txBody>
    </xdr:sp>
    <xdr:clientData/>
  </xdr:twoCellAnchor>
  <xdr:twoCellAnchor>
    <xdr:from>
      <xdr:col>3</xdr:col>
      <xdr:colOff>907677</xdr:colOff>
      <xdr:row>0</xdr:row>
      <xdr:rowOff>179293</xdr:rowOff>
    </xdr:from>
    <xdr:to>
      <xdr:col>11</xdr:col>
      <xdr:colOff>239247</xdr:colOff>
      <xdr:row>2</xdr:row>
      <xdr:rowOff>44823</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6006353" y="179293"/>
          <a:ext cx="5483600" cy="268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700" b="1" baseline="0">
              <a:solidFill>
                <a:srgbClr val="006600"/>
              </a:solidFill>
            </a:rPr>
            <a:t>DAILY PRODUCTION - WORK STATIONS </a:t>
          </a:r>
        </a:p>
      </xdr:txBody>
    </xdr:sp>
    <xdr:clientData/>
  </xdr:twoCellAnchor>
  <xdr:twoCellAnchor>
    <xdr:from>
      <xdr:col>15</xdr:col>
      <xdr:colOff>231962</xdr:colOff>
      <xdr:row>0</xdr:row>
      <xdr:rowOff>158564</xdr:rowOff>
    </xdr:from>
    <xdr:to>
      <xdr:col>25</xdr:col>
      <xdr:colOff>403412</xdr:colOff>
      <xdr:row>1</xdr:row>
      <xdr:rowOff>89648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12984256" y="158564"/>
          <a:ext cx="2054038" cy="13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700" b="0">
              <a:solidFill>
                <a:sysClr val="windowText" lastClr="000000"/>
              </a:solidFill>
            </a:rPr>
            <a:t>2880 Slough St. Mississauga</a:t>
          </a:r>
          <a:r>
            <a:rPr lang="en-US" sz="700" b="0" baseline="0">
              <a:solidFill>
                <a:sysClr val="windowText" lastClr="000000"/>
              </a:solidFill>
            </a:rPr>
            <a:t> Ontario L4T 1G3</a:t>
          </a:r>
        </a:p>
      </xdr:txBody>
    </xdr:sp>
    <xdr:clientData/>
  </xdr:twoCellAnchor>
  <xdr:twoCellAnchor>
    <xdr:from>
      <xdr:col>14</xdr:col>
      <xdr:colOff>347382</xdr:colOff>
      <xdr:row>1</xdr:row>
      <xdr:rowOff>131669</xdr:rowOff>
    </xdr:from>
    <xdr:to>
      <xdr:col>26</xdr:col>
      <xdr:colOff>22411</xdr:colOff>
      <xdr:row>2</xdr:row>
      <xdr:rowOff>100853</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2651441" y="333375"/>
          <a:ext cx="2678205" cy="1708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700" b="0" i="0">
              <a:solidFill>
                <a:schemeClr val="dk1"/>
              </a:solidFill>
              <a:latin typeface="+mn-lt"/>
              <a:ea typeface="+mn-ea"/>
              <a:cs typeface="+mn-cs"/>
            </a:rPr>
            <a:t>Tel.  905-677-2227   Fax.  905-677-4285  www.avpsolutions.ca</a:t>
          </a:r>
          <a:endParaRPr lang="en-US" sz="700" b="1">
            <a:solidFill>
              <a:srgbClr val="006600"/>
            </a:solidFill>
          </a:endParaRPr>
        </a:p>
      </xdr:txBody>
    </xdr:sp>
    <xdr:clientData/>
  </xdr:twoCellAnchor>
  <xdr:twoCellAnchor editAs="oneCell">
    <xdr:from>
      <xdr:col>0</xdr:col>
      <xdr:colOff>607041</xdr:colOff>
      <xdr:row>0</xdr:row>
      <xdr:rowOff>98052</xdr:rowOff>
    </xdr:from>
    <xdr:to>
      <xdr:col>0</xdr:col>
      <xdr:colOff>1232603</xdr:colOff>
      <xdr:row>1</xdr:row>
      <xdr:rowOff>139983</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7041" y="98052"/>
          <a:ext cx="627963" cy="24195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402533</xdr:colOff>
      <xdr:row>0</xdr:row>
      <xdr:rowOff>203338</xdr:rowOff>
    </xdr:from>
    <xdr:to>
      <xdr:col>10</xdr:col>
      <xdr:colOff>155715</xdr:colOff>
      <xdr:row>16</xdr:row>
      <xdr:rowOff>12838</xdr:rowOff>
    </xdr:to>
    <mc:AlternateContent xmlns:mc="http://schemas.openxmlformats.org/markup-compatibility/2006" xmlns:a14="http://schemas.microsoft.com/office/drawing/2010/main">
      <mc:Choice Requires="a14">
        <xdr:graphicFrame macro="">
          <xdr:nvGraphicFramePr>
            <xdr:cNvPr id="2" name="Date ">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Date "/>
            </a:graphicData>
          </a:graphic>
        </xdr:graphicFrame>
      </mc:Choice>
      <mc:Fallback xmlns="">
        <xdr:sp macro="" textlink="">
          <xdr:nvSpPr>
            <xdr:cNvPr id="0" name=""/>
            <xdr:cNvSpPr>
              <a:spLocks noTextEdit="1"/>
            </xdr:cNvSpPr>
          </xdr:nvSpPr>
          <xdr:spPr>
            <a:xfrm>
              <a:off x="8635446" y="203338"/>
              <a:ext cx="1956355" cy="290719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28575</xdr:colOff>
      <xdr:row>2</xdr:row>
      <xdr:rowOff>171450</xdr:rowOff>
    </xdr:from>
    <xdr:to>
      <xdr:col>12</xdr:col>
      <xdr:colOff>28575</xdr:colOff>
      <xdr:row>16</xdr:row>
      <xdr:rowOff>28575</xdr:rowOff>
    </xdr:to>
    <mc:AlternateContent xmlns:mc="http://schemas.openxmlformats.org/markup-compatibility/2006" xmlns:a14="http://schemas.microsoft.com/office/drawing/2010/main">
      <mc:Choice Requires="a14">
        <xdr:graphicFrame macro="">
          <xdr:nvGraphicFramePr>
            <xdr:cNvPr id="3" name="Date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7086600" y="600075"/>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31925</xdr:colOff>
      <xdr:row>0</xdr:row>
      <xdr:rowOff>29310</xdr:rowOff>
    </xdr:from>
    <xdr:to>
      <xdr:col>4</xdr:col>
      <xdr:colOff>608134</xdr:colOff>
      <xdr:row>5</xdr:row>
      <xdr:rowOff>65943</xdr:rowOff>
    </xdr:to>
    <xdr:sp macro="" textlink="">
      <xdr:nvSpPr>
        <xdr:cNvPr id="2" name="Rounded Rectangle 1">
          <a:extLst>
            <a:ext uri="{FF2B5EF4-FFF2-40B4-BE49-F238E27FC236}">
              <a16:creationId xmlns:a16="http://schemas.microsoft.com/office/drawing/2014/main" id="{00000000-0008-0000-0700-000002000000}"/>
            </a:ext>
          </a:extLst>
        </xdr:cNvPr>
        <xdr:cNvSpPr/>
      </xdr:nvSpPr>
      <xdr:spPr>
        <a:xfrm>
          <a:off x="31925" y="29310"/>
          <a:ext cx="3463017" cy="1040421"/>
        </a:xfrm>
        <a:prstGeom prst="roundRect">
          <a:avLst/>
        </a:prstGeom>
        <a:noFill/>
        <a:ln>
          <a:solidFill>
            <a:sysClr val="windowText" lastClr="00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n>
              <a:noFill/>
            </a:ln>
            <a:noFill/>
          </a:endParaRPr>
        </a:p>
      </xdr:txBody>
    </xdr:sp>
    <xdr:clientData/>
  </xdr:twoCellAnchor>
  <xdr:twoCellAnchor editAs="oneCell">
    <xdr:from>
      <xdr:col>4</xdr:col>
      <xdr:colOff>220516</xdr:colOff>
      <xdr:row>4</xdr:row>
      <xdr:rowOff>89337</xdr:rowOff>
    </xdr:from>
    <xdr:to>
      <xdr:col>4</xdr:col>
      <xdr:colOff>562406</xdr:colOff>
      <xdr:row>5</xdr:row>
      <xdr:rowOff>11931</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04747" y="851337"/>
          <a:ext cx="341890" cy="1350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Chi%20Nguyen/2021/PROJECT%20COSTS.xlsx" TargetMode="External"/><Relationship Id="rId2" Type="http://schemas.openxmlformats.org/officeDocument/2006/relationships/externalLinkPath" Target="file:///Z:\YourFile\Chi%20Nguyen\2021\PROJECT%20COSTS.xlsx" TargetMode="External"/><Relationship Id="rId1" Type="http://schemas.openxmlformats.org/officeDocument/2006/relationships/externalLinkPath" Target="/YourFile/Chi%20Nguyen/2021/PROJECT%20COS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s>
    <sheetDataSet>
      <sheetData sheetId="0">
        <row r="4">
          <cell r="A4" t="str">
            <v>Project</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i Nguyen" refreshedDate="44765.603606597222" createdVersion="6" refreshedVersion="6" minRefreshableVersion="3" recordCount="3588" xr:uid="{00000000-000A-0000-FFFF-FFFFE1000000}">
  <cacheSource type="worksheet">
    <worksheetSource ref="AA6:AY6" sheet="Daily"/>
  </cacheSource>
  <cacheFields count="26">
    <cacheField name="Date " numFmtId="14">
      <sharedItems containsSemiMixedTypes="0" containsNonDate="0" containsDate="1" containsString="0" minDate="2022-04-22T00:00:00" maxDate="2022-07-23T14:06:33" count="1269">
        <d v="2022-04-22T00:00:00"/>
        <d v="2022-04-23T00:00:00"/>
        <d v="2022-04-25T00:00:00"/>
        <d v="2022-04-26T00:00:00"/>
        <d v="2022-04-27T00:00:00"/>
        <d v="2022-04-28T00:00:00"/>
        <d v="2022-04-29T00:00:00"/>
        <d v="2022-04-30T00:00:00"/>
        <d v="2022-05-02T00:00:00"/>
        <d v="2022-05-03T00:00:00"/>
        <d v="2022-05-04T00:00:00"/>
        <d v="2022-05-05T00:00:00"/>
        <d v="2022-05-06T00:00:00"/>
        <d v="2022-05-07T00:00:00"/>
        <d v="2022-05-09T00:00:00"/>
        <d v="2022-05-10T09:01:45"/>
        <d v="2022-05-10T09:28:22"/>
        <d v="2022-05-10T09:38:26"/>
        <d v="2022-05-10T10:29:25"/>
        <d v="2022-05-10T10:36:13"/>
        <d v="2022-05-10T11:21:02"/>
        <d v="2022-05-10T11:26:57"/>
        <d v="2022-05-10T11:30:03"/>
        <d v="2022-05-10T12:03:23"/>
        <d v="2022-05-10T12:18:40"/>
        <d v="2022-05-10T12:45:46"/>
        <d v="2022-05-10T13:07:26"/>
        <d v="2022-05-10T13:08:36"/>
        <d v="2022-05-10T13:09:39"/>
        <d v="2022-05-10T13:32:02"/>
        <d v="2022-05-10T13:38:09"/>
        <d v="2022-05-10T14:15:13"/>
        <d v="2022-05-10T14:29:43"/>
        <d v="2022-05-10T14:43:49"/>
        <d v="2022-05-10T14:45:59"/>
        <d v="2022-05-10T14:47:52"/>
        <d v="2022-05-10T15:08:28"/>
        <d v="2022-05-10T15:26:11"/>
        <d v="2022-05-10T15:40:37"/>
        <d v="2022-05-10T15:48:44"/>
        <d v="2022-05-10T15:57:36"/>
        <d v="2022-05-10T16:59:23"/>
        <d v="2022-05-10T17:16:41"/>
        <d v="2022-05-10T17:19:01"/>
        <d v="2022-05-10T17:20:10"/>
        <d v="2022-05-10T17:24:19"/>
        <d v="2022-05-10T17:54:48"/>
        <d v="2022-05-11T00:00:00"/>
        <d v="2022-05-11T08:21:21"/>
        <d v="2022-05-11T08:48:29"/>
        <d v="2022-05-11T09:18:22"/>
        <d v="2022-05-11T09:19:26"/>
        <d v="2022-05-11T09:25:42"/>
        <d v="2022-05-11T09:35:57"/>
        <d v="2022-05-11T10:42:21"/>
        <d v="2022-05-11T10:47:43"/>
        <d v="2022-05-11T11:52:22"/>
        <d v="2022-05-11T12:04:25"/>
        <d v="2022-05-11T12:06:00"/>
        <d v="2022-05-11T12:07:37"/>
        <d v="2022-05-11T12:08:46"/>
        <d v="2022-05-11T12:50:35"/>
        <d v="2022-05-11T12:51:39"/>
        <d v="2022-05-11T13:38:40"/>
        <d v="2022-05-11T14:36:13"/>
        <d v="2022-05-11T14:46:48"/>
        <d v="2022-05-11T14:57:55"/>
        <d v="2022-05-11T15:18:17"/>
        <d v="2022-05-11T15:22:36"/>
        <d v="2022-05-11T15:24:09"/>
        <d v="2022-05-11T15:41:19"/>
        <d v="2022-05-11T16:02:38"/>
        <d v="2022-05-11T16:08:57"/>
        <d v="2022-05-11T16:39:29"/>
        <d v="2022-05-11T16:41:14"/>
        <d v="2022-05-11T17:29:52"/>
        <d v="2022-05-11T17:36:27"/>
        <d v="2022-05-11T17:38:41"/>
        <d v="2022-05-11T17:39:37"/>
        <d v="2022-05-11T17:56:29"/>
        <d v="2022-05-12T08:28:13"/>
        <d v="2022-05-12T08:46:20"/>
        <d v="2022-05-12T08:48:02"/>
        <d v="2022-05-12T09:00:37"/>
        <d v="2022-05-12T09:03:34"/>
        <d v="2022-05-12T09:47:50"/>
        <d v="2022-05-12T10:24:40"/>
        <d v="2022-05-12T10:26:08"/>
        <d v="2022-05-12T10:32:15"/>
        <d v="2022-05-12T10:34:10"/>
        <d v="2022-05-12T10:37:22"/>
        <d v="2022-05-12T10:42:14"/>
        <d v="2022-05-12T11:06:07"/>
        <d v="2022-05-12T11:14:02"/>
        <d v="2022-05-12T11:16:24"/>
        <d v="2022-05-12T12:01:09"/>
        <d v="2022-05-12T12:04:07"/>
        <d v="2022-05-12T12:13:15"/>
        <d v="2022-05-12T12:18:01"/>
        <d v="2022-05-12T12:23:55"/>
        <d v="2022-05-12T12:24:35"/>
        <d v="2022-05-12T13:17:14"/>
        <d v="2022-05-12T13:51:20"/>
        <d v="2022-05-12T13:54:28"/>
        <d v="2022-05-12T13:57:19"/>
        <d v="2022-05-12T14:11:26"/>
        <d v="2022-05-12T14:12:37"/>
        <d v="2022-05-12T14:15:35"/>
        <d v="2022-05-12T14:16:37"/>
        <d v="2022-05-12T14:25:25"/>
        <d v="2022-05-12T15:01:38"/>
        <d v="2022-05-12T15:09:32"/>
        <d v="2022-05-12T15:15:11"/>
        <d v="2022-05-12T15:36:52"/>
        <d v="2022-05-12T15:37:37"/>
        <d v="2022-05-12T15:43:28"/>
        <d v="2022-05-12T15:44:35"/>
        <d v="2022-05-12T16:23:20"/>
        <d v="2022-05-12T16:32:30"/>
        <d v="2022-05-12T16:35:03"/>
        <d v="2022-05-12T16:43:06"/>
        <d v="2022-05-12T16:46:19"/>
        <d v="2022-05-12T17:17:40"/>
        <d v="2022-05-12T17:37:26"/>
        <d v="2022-05-12T17:38:25"/>
        <d v="2022-05-12T17:39:54"/>
        <d v="2022-05-12T17:43:34"/>
        <d v="2022-05-13T00:00:00"/>
        <d v="2022-05-13T08:36:58"/>
        <d v="2022-05-13T08:39:03"/>
        <d v="2022-05-13T08:40:44"/>
        <d v="2022-05-13T08:47:46"/>
        <d v="2022-05-13T09:29:27"/>
        <d v="2022-05-13T09:33:51"/>
        <d v="2022-05-13T10:02:31"/>
        <d v="2022-05-13T10:14:20"/>
        <d v="2022-05-13T10:15:03"/>
        <d v="2022-05-13T10:20:28"/>
        <d v="2022-05-13T10:28:21"/>
        <d v="2022-05-13T14:22:22"/>
        <d v="2022-05-13T14:23:29"/>
        <d v="2022-05-13T14:24:32"/>
        <d v="2022-05-13T14:26:35"/>
        <d v="2022-05-13T14:27:27"/>
        <d v="2022-05-13T14:28:45"/>
        <d v="2022-05-13T14:29:44"/>
        <d v="2022-05-13T14:36:23"/>
        <d v="2022-05-13T14:38:20"/>
        <d v="2022-05-13T14:39:55"/>
        <d v="2022-05-13T15:28:36"/>
        <d v="2022-05-13T15:33:41"/>
        <d v="2022-05-13T15:35:18"/>
        <d v="2022-05-13T15:36:02"/>
        <d v="2022-05-13T15:36:58"/>
        <d v="2022-05-13T15:37:55"/>
        <d v="2022-05-13T15:39:01"/>
        <d v="2022-05-13T16:09:51"/>
        <d v="2022-05-13T16:23:11"/>
        <d v="2022-05-13T16:24:08"/>
        <d v="2022-05-13T16:31:41"/>
        <d v="2022-05-13T17:02:38"/>
        <d v="2022-05-13T17:16:59"/>
        <d v="2022-05-13T17:17:30"/>
        <d v="2022-05-13T17:44:53"/>
        <d v="2022-05-14T00:00:00"/>
        <d v="2022-05-14T08:40:58"/>
        <d v="2022-05-14T09:20:50"/>
        <d v="2022-05-14T09:51:44"/>
        <d v="2022-05-14T09:59:58"/>
        <d v="2022-05-14T10:02:08"/>
        <d v="2022-05-14T10:43:38"/>
        <d v="2022-05-14T12:36:44"/>
        <d v="2022-05-14T12:54:53"/>
        <d v="2022-05-14T14:41:52"/>
        <d v="2022-05-14T15:19:38"/>
        <d v="2022-05-14T16:05:36"/>
        <d v="2022-05-14T16:06:39"/>
        <d v="2022-05-14T16:07:46"/>
        <d v="2022-05-14T16:08:47"/>
        <d v="2022-05-14T16:29:03"/>
        <d v="2022-05-16T00:00:00"/>
        <d v="2022-05-16T08:56:03"/>
        <d v="2022-05-16T09:00:24"/>
        <d v="2022-05-16T09:29:08"/>
        <d v="2022-05-16T09:36:44"/>
        <d v="2022-05-16T09:59:40"/>
        <d v="2022-05-16T10:01:22"/>
        <d v="2022-05-16T10:02:50"/>
        <d v="2022-05-16T10:08:22"/>
        <d v="2022-05-16T11:00:28"/>
        <d v="2022-05-16T12:07:47"/>
        <d v="2022-05-16T12:09:27"/>
        <d v="2022-05-16T12:33:08"/>
        <d v="2022-05-16T12:33:53"/>
        <d v="2022-05-16T12:35:33"/>
        <d v="2022-05-16T12:36:38"/>
        <d v="2022-05-16T12:37:46"/>
        <d v="2022-05-16T12:38:47"/>
        <d v="2022-05-16T13:29:41"/>
        <d v="2022-05-16T13:59:39"/>
        <d v="2022-05-16T14:00:50"/>
        <d v="2022-05-16T14:04:20"/>
        <d v="2022-05-16T14:18:51"/>
        <d v="2022-05-16T14:42:53"/>
        <d v="2022-05-16T15:10:36"/>
        <d v="2022-05-16T15:31:47"/>
        <d v="2022-05-16T16:25:05"/>
        <d v="2022-05-16T16:39:38"/>
        <d v="2022-05-16T17:41:47"/>
        <d v="2022-05-16T17:42:45"/>
        <d v="2022-05-16T17:48:20"/>
        <d v="2022-05-16T17:51:37"/>
        <d v="2022-05-17T08:45:23"/>
        <d v="2022-05-17T09:03:01"/>
        <d v="2022-05-17T09:17:42"/>
        <d v="2022-05-17T09:46:12"/>
        <d v="2022-05-17T09:58:34"/>
        <d v="2022-05-17T10:15:28"/>
        <d v="2022-05-17T10:16:43"/>
        <d v="2022-05-17T10:38:43"/>
        <d v="2022-05-17T10:39:32"/>
        <d v="2022-05-17T11:09:29"/>
        <d v="2022-05-17T11:14:56"/>
        <d v="2022-05-17T11:30:30"/>
        <d v="2022-05-17T12:05:30"/>
        <d v="2022-05-17T12:06:35"/>
        <d v="2022-05-17T12:07:48"/>
        <d v="2022-05-17T12:20:29"/>
        <d v="2022-05-17T12:41:48"/>
        <d v="2022-05-17T13:40:03"/>
        <d v="2022-05-17T13:50:52"/>
        <d v="2022-05-17T14:42:07"/>
        <d v="2022-05-17T14:43:17"/>
        <d v="2022-05-17T14:44:36"/>
        <d v="2022-05-17T15:18:07"/>
        <d v="2022-05-17T15:19:01"/>
        <d v="2022-05-17T15:19:53"/>
        <d v="2022-05-17T15:24:36"/>
        <d v="2022-05-17T15:43:49"/>
        <d v="2022-05-17T16:14:12"/>
        <d v="2022-05-17T16:24:30"/>
        <d v="2022-05-17T16:45:12"/>
        <d v="2022-05-17T16:48:31"/>
        <d v="2022-05-17T17:12:39"/>
        <d v="2022-05-17T17:15:19"/>
        <d v="2022-05-17T17:31:16"/>
        <d v="2022-05-17T17:34:32"/>
        <d v="2022-05-17T17:58:58"/>
        <d v="2022-05-17T18:00:00"/>
        <d v="2022-05-18T00:00:00"/>
        <d v="2022-05-18T08:40:06"/>
        <d v="2022-05-18T08:51:54"/>
        <d v="2022-05-18T09:24:26"/>
        <d v="2022-05-18T09:43:28"/>
        <d v="2022-05-18T09:49:33"/>
        <d v="2022-05-18T10:11:25"/>
        <d v="2022-05-18T10:13:46"/>
        <d v="2022-05-18T10:33:50"/>
        <d v="2022-05-18T10:44:38"/>
        <d v="2022-05-18T11:16:29"/>
        <d v="2022-05-18T11:28:31"/>
        <d v="2022-05-18T11:54:21"/>
        <d v="2022-05-18T12:17:23"/>
        <d v="2022-05-18T12:18:14"/>
        <d v="2022-05-18T13:30:29"/>
        <d v="2022-05-18T13:42:59"/>
        <d v="2022-05-18T13:53:13"/>
        <d v="2022-05-18T14:15:16"/>
        <d v="2022-05-18T14:46:48"/>
        <d v="2022-05-18T14:49:30"/>
        <d v="2022-05-18T14:59:18"/>
        <d v="2022-05-18T15:44:36"/>
        <d v="2022-05-18T15:50:13"/>
        <d v="2022-05-18T16:01:51"/>
        <d v="2022-05-18T16:45:35"/>
        <d v="2022-05-18T17:02:10"/>
        <d v="2022-05-18T17:04:41"/>
        <d v="2022-05-18T17:31:11"/>
        <d v="2022-05-18T17:56:54"/>
        <d v="2022-05-18T17:57:44"/>
        <d v="2022-05-19T08:46:46"/>
        <d v="2022-05-19T08:52:28"/>
        <d v="2022-05-19T10:39:25"/>
        <d v="2022-05-19T10:46:49"/>
        <d v="2022-05-19T11:54:20"/>
        <d v="2022-05-19T12:57:08"/>
        <d v="2022-05-19T13:55:31"/>
        <d v="2022-05-19T14:40:14"/>
        <d v="2022-05-19T14:41:34"/>
        <d v="2022-05-19T15:18:33"/>
        <d v="2022-05-19T16:55:37"/>
        <d v="2022-05-19T16:57:21"/>
        <d v="2022-05-19T17:03:00"/>
        <d v="2022-05-19T17:45:01"/>
        <d v="2022-05-19T17:46:16"/>
        <d v="2022-05-19T17:48:09"/>
        <d v="2022-05-19T17:50:27"/>
        <d v="2022-05-20T08:16:47"/>
        <d v="2022-05-20T08:53:51"/>
        <d v="2022-05-20T08:55:29"/>
        <d v="2022-05-20T09:01:34"/>
        <d v="2022-05-20T09:03:34"/>
        <d v="2022-05-20T09:18:15"/>
        <d v="2022-05-20T09:38:07"/>
        <d v="2022-05-20T09:47:12"/>
        <d v="2022-05-20T10:32:23"/>
        <d v="2022-05-20T10:36:17"/>
        <d v="2022-05-20T10:48:32"/>
        <d v="2022-05-20T10:49:34"/>
        <d v="2022-05-20T11:13:01"/>
        <d v="2022-05-20T11:15:46"/>
        <d v="2022-05-20T11:31:12"/>
        <d v="2022-05-20T11:37:30"/>
        <d v="2022-05-20T12:20:20"/>
        <d v="2022-05-20T12:37:18"/>
        <d v="2022-05-20T12:49:38"/>
        <d v="2022-05-20T13:17:08"/>
        <d v="2022-05-20T13:36:40"/>
        <d v="2022-05-20T14:00:42"/>
        <d v="2022-05-20T14:03:43"/>
        <d v="2022-05-20T14:04:56"/>
        <d v="2022-05-20T14:25:35"/>
        <d v="2022-05-20T14:37:28"/>
        <d v="2022-05-20T14:57:01"/>
        <d v="2022-05-20T15:03:11"/>
        <d v="2022-05-20T15:05:32"/>
        <d v="2022-05-20T15:19:46"/>
        <d v="2022-05-20T15:47:39"/>
        <d v="2022-05-20T15:48:55"/>
        <d v="2022-05-20T15:52:27"/>
        <d v="2022-05-20T16:13:03"/>
        <d v="2022-05-20T16:18:04"/>
        <d v="2022-05-20T16:47:56"/>
        <d v="2022-05-20T16:53:32"/>
        <d v="2022-05-23T09:03:59"/>
        <d v="2022-05-23T09:45:29"/>
        <d v="2022-05-23T10:44:21"/>
        <d v="2022-05-23T10:45:15"/>
        <d v="2022-05-23T12:01:49"/>
        <d v="2022-05-23T12:02:48"/>
        <d v="2022-05-23T13:22:10"/>
        <d v="2022-05-23T13:24:30"/>
        <d v="2022-05-23T14:09:10"/>
        <d v="2022-05-23T14:34:15"/>
        <d v="2022-05-23T15:11:21"/>
        <d v="2022-05-23T15:17:47"/>
        <d v="2022-05-23T15:42:31"/>
        <d v="2022-05-23T16:00:09"/>
        <d v="2022-05-23T16:24:38"/>
        <d v="2022-05-23T16:41:07"/>
        <d v="2022-05-23T16:41:54"/>
        <d v="2022-05-23T16:46:40"/>
        <d v="2022-05-23T17:11:42"/>
        <d v="2022-05-23T17:18:52"/>
        <d v="2022-05-23T17:42:18"/>
        <d v="2022-05-24T00:00:00"/>
        <d v="2022-05-24T08:32:29"/>
        <d v="2022-05-24T08:36:18"/>
        <d v="2022-05-24T09:28:38"/>
        <d v="2022-05-24T09:39:38"/>
        <d v="2022-05-24T10:37:03"/>
        <d v="2022-05-24T10:37:42"/>
        <d v="2022-05-24T10:44:58"/>
        <d v="2022-05-24T12:17:07"/>
        <d v="2022-05-24T14:19:05"/>
        <d v="2022-05-24T15:15:01"/>
        <d v="2022-05-24T16:11:12"/>
        <d v="2022-05-24T17:06:17"/>
        <d v="2022-05-24T17:34:03"/>
        <d v="2022-05-24T17:37:07"/>
        <d v="2022-05-25T00:00:00"/>
        <d v="2022-05-25T08:32:45"/>
        <d v="2022-05-25T09:54:20"/>
        <d v="2022-05-25T10:21:41"/>
        <d v="2022-05-25T10:23:06"/>
        <d v="2022-05-25T10:48:13"/>
        <d v="2022-05-25T11:13:31"/>
        <d v="2022-05-25T13:57:34"/>
        <d v="2022-05-25T14:41:23"/>
        <d v="2022-05-25T14:42:14"/>
        <d v="2022-05-25T14:42:47"/>
        <d v="2022-05-25T14:48:53"/>
        <d v="2022-05-25T15:10:06"/>
        <d v="2022-05-25T15:53:00"/>
        <d v="2022-05-25T16:22:38"/>
        <d v="2022-05-25T16:52:12"/>
        <d v="2022-05-25T17:10:46"/>
        <d v="2022-05-25T17:11:55"/>
        <d v="2022-05-25T17:13:00"/>
        <d v="2022-05-25T17:34:38"/>
        <d v="2022-05-25T17:38:33"/>
        <d v="2022-05-26T00:00:00"/>
        <d v="2022-05-26T08:50:02"/>
        <d v="2022-05-26T08:55:46"/>
        <d v="2022-05-26T09:05:36"/>
        <d v="2022-05-26T09:38:36"/>
        <d v="2022-05-26T10:00:52"/>
        <d v="2022-05-26T10:10:47"/>
        <d v="2022-05-26T10:22:27"/>
        <d v="2022-05-26T10:52:31"/>
        <d v="2022-05-26T11:24:52"/>
        <d v="2022-05-26T12:03:48"/>
        <d v="2022-05-26T12:06:24"/>
        <d v="2022-05-26T12:24:49"/>
        <d v="2022-05-26T13:51:42"/>
        <d v="2022-05-26T13:59:42"/>
        <d v="2022-05-26T14:01:01"/>
        <d v="2022-05-26T14:20:01"/>
        <d v="2022-05-26T14:24:53"/>
        <d v="2022-05-26T14:47:19"/>
        <d v="2022-05-26T15:03:50"/>
        <d v="2022-05-26T15:04:37"/>
        <d v="2022-05-26T15:23:29"/>
        <d v="2022-05-26T15:33:44"/>
        <d v="2022-05-26T16:06:25"/>
        <d v="2022-05-26T16:22:43"/>
        <d v="2022-05-26T16:40:15"/>
        <d v="2022-05-26T16:41:09"/>
        <d v="2022-05-26T17:13:21"/>
        <d v="2022-05-26T17:14:40"/>
        <d v="2022-05-26T17:33:58"/>
        <d v="2022-05-27T09:38:29"/>
        <d v="2022-05-27T10:36:53"/>
        <d v="2022-05-27T10:38:41"/>
        <d v="2022-05-27T10:39:44"/>
        <d v="2022-05-27T11:07:31"/>
        <d v="2022-05-27T11:08:25"/>
        <d v="2022-05-27T11:09:07"/>
        <d v="2022-05-27T11:09:56"/>
        <d v="2022-05-27T11:10:40"/>
        <d v="2022-05-28T00:00:00"/>
        <d v="2022-05-30T00:00:00"/>
        <d v="2022-05-30T08:59:39"/>
        <d v="2022-05-30T09:00:36"/>
        <d v="2022-05-30T09:09:33"/>
        <d v="2022-05-30T09:27:12"/>
        <d v="2022-05-30T10:21:15"/>
        <d v="2022-05-30T10:22:15"/>
        <d v="2022-05-30T10:24:45"/>
        <d v="2022-05-30T11:23:30"/>
        <d v="2022-05-30T12:38:06"/>
        <d v="2022-05-30T14:11:33"/>
        <d v="2022-05-30T14:12:15"/>
        <d v="2022-05-30T15:04:06"/>
        <d v="2022-05-30T15:05:14"/>
        <d v="2022-05-30T15:06:36"/>
        <d v="2022-05-30T15:09:57"/>
        <d v="2022-05-30T15:10:51"/>
        <d v="2022-05-30T16:06:15"/>
        <d v="2022-05-30T16:59:42"/>
        <d v="2022-05-30T17:01:03"/>
        <d v="2022-05-30T17:01:58"/>
        <d v="2022-05-30T17:55:48"/>
        <d v="2022-05-30T18:01:02"/>
        <d v="2022-05-31T00:00:00"/>
        <d v="2022-05-31T16:55:38"/>
        <d v="2022-05-31T17:18:54"/>
        <d v="2022-06-01T09:13:02"/>
        <d v="2022-06-01T10:31:20"/>
        <d v="2022-06-01T10:32:56"/>
        <d v="2022-06-01T10:33:51"/>
        <d v="2022-06-01T10:43:09"/>
        <d v="2022-06-01T11:31:55"/>
        <d v="2022-06-01T11:56:08"/>
        <d v="2022-06-01T13:04:10"/>
        <d v="2022-06-01T13:55:26"/>
        <d v="2022-06-01T14:52:50"/>
        <d v="2022-06-01T15:57:27"/>
        <d v="2022-06-01T16:01:42"/>
        <d v="2022-06-01T16:46:28"/>
        <d v="2022-06-01T17:04:22"/>
        <d v="2022-06-01T17:04:59"/>
        <d v="2022-06-01T17:32:27"/>
        <d v="2022-06-01T17:33:34"/>
        <d v="2022-06-02T08:52:41"/>
        <d v="2022-06-02T08:53:09"/>
        <d v="2022-06-02T09:35:20"/>
        <d v="2022-06-02T10:01:11"/>
        <d v="2022-06-02T10:02:09"/>
        <d v="2022-06-02T10:34:53"/>
        <d v="2022-06-02T10:35:22"/>
        <d v="2022-06-02T11:26:28"/>
        <d v="2022-06-02T12:05:36"/>
        <d v="2022-06-02T12:06:07"/>
        <d v="2022-06-02T13:41:24"/>
        <d v="2022-06-02T13:44:20"/>
        <d v="2022-06-02T15:07:04"/>
        <d v="2022-06-02T15:07:39"/>
        <d v="2022-06-02T15:16:45"/>
        <d v="2022-06-02T15:38:44"/>
        <d v="2022-06-02T15:39:53"/>
        <d v="2022-06-02T16:33:38"/>
        <d v="2022-06-02T16:34:41"/>
        <d v="2022-06-02T16:39:01"/>
        <d v="2022-06-02T16:40:36"/>
        <d v="2022-06-02T16:55:03"/>
        <d v="2022-06-02T17:40:35"/>
        <d v="2022-06-02T17:42:29"/>
        <d v="2022-06-02T17:43:39"/>
        <d v="2022-06-03T00:00:00"/>
        <d v="2022-06-03T09:02:05"/>
        <d v="2022-06-03T09:12:27"/>
        <d v="2022-06-03T09:13:26"/>
        <d v="2022-06-03T09:31:44"/>
        <d v="2022-06-03T10:38:58"/>
        <d v="2022-06-03T10:40:10"/>
        <d v="2022-06-03T10:42:24"/>
        <d v="2022-06-03T10:53:52"/>
        <d v="2022-06-03T10:54:34"/>
        <d v="2022-06-03T11:30:48"/>
        <d v="2022-06-03T11:38:01"/>
        <d v="2022-06-03T11:59:12"/>
        <d v="2022-06-03T12:01:25"/>
        <d v="2022-06-03T12:37:14"/>
        <d v="2022-06-03T13:20:39"/>
        <d v="2022-06-03T14:04:53"/>
        <d v="2022-06-03T14:07:12"/>
        <d v="2022-06-03T15:14:31"/>
        <d v="2022-06-03T15:27:08"/>
        <d v="2022-06-03T16:15:25"/>
        <d v="2022-06-03T16:25:30"/>
        <d v="2022-06-03T16:40:10"/>
        <d v="2022-06-03T16:41:13"/>
        <d v="2022-06-03T16:41:52"/>
        <d v="2022-06-03T17:14:25"/>
        <d v="2022-06-03T17:42:55"/>
        <d v="2022-06-04T00:00:00"/>
        <d v="2022-06-04T16:10:15"/>
        <d v="2022-06-04T16:11:13"/>
        <d v="2022-06-04T16:12:21"/>
        <d v="2022-06-04T16:13:10"/>
        <d v="2022-06-04T16:16:37"/>
        <d v="2022-06-04T16:17:47"/>
        <d v="2022-06-04T16:20:17"/>
        <d v="2022-06-04T16:20:49"/>
        <d v="2022-06-04T16:21:15"/>
        <d v="2022-06-04T16:21:38"/>
        <d v="2022-06-04T16:22:07"/>
        <d v="2022-06-04T16:23:21"/>
        <d v="2022-06-04T16:23:58"/>
        <d v="2022-06-04T16:46:06"/>
        <d v="2022-06-04T16:47:23"/>
        <d v="2022-06-04T16:48:37"/>
        <d v="2022-06-04T16:49:52"/>
        <d v="2022-06-04T16:52:03"/>
        <d v="2022-06-04T16:53:45"/>
        <d v="2022-06-06T00:00:00"/>
        <d v="2022-06-06T08:40:21"/>
        <d v="2022-06-06T09:27:48"/>
        <d v="2022-06-06T09:34:14"/>
        <d v="2022-06-06T09:35:06"/>
        <d v="2022-06-06T10:09:17"/>
        <d v="2022-06-06T10:19:39"/>
        <d v="2022-06-06T11:03:00"/>
        <d v="2022-06-06T11:53:05"/>
        <d v="2022-06-06T12:53:24"/>
        <d v="2022-06-06T13:53:18"/>
        <d v="2022-06-06T14:24:36"/>
        <d v="2022-06-06T14:26:36"/>
        <d v="2022-06-06T14:30:54"/>
        <d v="2022-06-06T15:16:27"/>
        <d v="2022-06-06T15:41:20"/>
        <d v="2022-06-06T15:42:41"/>
        <d v="2022-06-06T16:30:49"/>
        <d v="2022-06-06T16:43:19"/>
        <d v="2022-06-06T17:47:35"/>
        <d v="2022-06-07T00:00:00"/>
        <d v="2022-06-07T08:08:31"/>
        <d v="2022-06-07T08:46:56"/>
        <d v="2022-06-07T09:23:16"/>
        <d v="2022-06-07T09:57:03"/>
        <d v="2022-06-07T10:07:47"/>
        <d v="2022-06-07T10:57:09"/>
        <d v="2022-06-07T12:01:24"/>
        <d v="2022-06-07T13:13:42"/>
        <d v="2022-06-07T13:14:46"/>
        <d v="2022-06-07T14:13:47"/>
        <d v="2022-06-07T14:14:27"/>
        <d v="2022-06-07T14:16:05"/>
        <d v="2022-06-07T15:01:36"/>
        <d v="2022-06-07T15:47:21"/>
        <d v="2022-06-07T15:55:12"/>
        <d v="2022-06-07T16:33:35"/>
        <d v="2022-06-07T16:50:56"/>
        <d v="2022-06-07T17:15:28"/>
        <d v="2022-06-07T17:42:01"/>
        <d v="2022-06-07T17:59:05"/>
        <d v="2022-06-08T00:00:00"/>
        <d v="2022-06-08T08:18:32"/>
        <d v="2022-06-08T09:09:44"/>
        <d v="2022-06-08T09:16:10"/>
        <d v="2022-06-08T09:32:14"/>
        <d v="2022-06-08T09:33:08"/>
        <d v="2022-06-08T10:29:56"/>
        <d v="2022-06-08T11:14:04"/>
        <d v="2022-06-08T11:25:30"/>
        <d v="2022-06-08T11:26:39"/>
        <d v="2022-06-08T11:27:55"/>
        <d v="2022-06-08T11:56:16"/>
        <d v="2022-06-08T11:56:55"/>
        <d v="2022-06-08T12:24:19"/>
        <d v="2022-06-08T12:38:04"/>
        <d v="2022-06-08T13:55:14"/>
        <d v="2022-06-08T14:04:53"/>
        <d v="2022-06-08T14:28:59"/>
        <d v="2022-06-08T14:41:14"/>
        <d v="2022-06-08T14:53:09"/>
        <d v="2022-06-08T15:28:26"/>
        <d v="2022-06-08T15:33:00"/>
        <d v="2022-06-08T16:25:44"/>
        <d v="2022-06-08T17:05:04"/>
        <d v="2022-06-08T17:05:53"/>
        <d v="2022-06-08T17:09:43"/>
        <d v="2022-06-09T08:27:14"/>
        <d v="2022-06-09T12:25:28"/>
        <d v="2022-06-09T14:25:00"/>
        <d v="2022-06-09T15:40:33"/>
        <d v="2022-06-09T15:49:06"/>
        <d v="2022-06-09T16:30:47"/>
        <d v="2022-06-09T16:42:45"/>
        <d v="2022-06-09T17:06:26"/>
        <d v="2022-06-09T17:29:38"/>
        <d v="2022-06-09T17:43:15"/>
        <d v="2022-06-09T17:56:50"/>
        <d v="2022-06-10T08:39:46"/>
        <d v="2022-06-11T10:27:48"/>
        <d v="2022-06-11T10:28:57"/>
        <d v="2022-06-11T10:29:57"/>
        <d v="2022-06-11T11:20:01"/>
        <d v="2022-06-11T12:11:34"/>
        <d v="2022-06-11T12:12:47"/>
        <d v="2022-06-11T14:03:13"/>
        <d v="2022-06-11T14:04:56"/>
        <d v="2022-06-11T14:26:45"/>
        <d v="2022-06-11T16:13:45"/>
        <d v="2022-06-11T16:47:52"/>
        <d v="2022-06-11T16:48:47"/>
        <d v="2022-06-11T16:50:10"/>
        <d v="2022-06-11T16:50:55"/>
        <d v="2022-06-11T16:51:43"/>
        <d v="2022-06-11T16:52:21"/>
        <d v="2022-06-11T16:52:55"/>
        <d v="2022-06-11T16:53:33"/>
        <d v="2022-06-11T16:54:12"/>
        <d v="2022-06-11T16:54:37"/>
        <d v="2022-06-11T16:55:16"/>
        <d v="2022-06-13T08:59:21"/>
        <d v="2022-06-13T09:00:26"/>
        <d v="2022-06-13T09:40:51"/>
        <d v="2022-06-13T10:01:50"/>
        <d v="2022-06-13T10:26:46"/>
        <d v="2022-06-13T11:10:47"/>
        <d v="2022-06-13T12:33:21"/>
        <d v="2022-06-13T14:07:02"/>
        <d v="2022-06-13T14:08:03"/>
        <d v="2022-06-13T14:09:07"/>
        <d v="2022-06-13T14:09:54"/>
        <d v="2022-06-13T14:30:38"/>
        <d v="2022-06-13T14:34:28"/>
        <d v="2022-06-13T14:34:49"/>
        <d v="2022-06-13T15:33:06"/>
        <d v="2022-06-13T15:34:19"/>
        <d v="2022-06-13T15:35:12"/>
        <d v="2022-06-13T15:55:43"/>
        <d v="2022-06-13T15:58:37"/>
        <d v="2022-06-13T16:27:27"/>
        <d v="2022-06-13T17:15:26"/>
        <d v="2022-06-14T00:00:00"/>
        <d v="2022-06-14T09:09:34"/>
        <d v="2022-06-14T09:45:50"/>
        <d v="2022-06-14T10:03:36"/>
        <d v="2022-06-14T10:25:53"/>
        <d v="2022-06-14T10:26:19"/>
        <d v="2022-06-14T10:29:37"/>
        <d v="2022-06-14T10:35:41"/>
        <d v="2022-06-14T10:36:55"/>
        <d v="2022-06-14T11:04:25"/>
        <d v="2022-06-14T11:04:52"/>
        <d v="2022-06-14T12:16:04"/>
        <d v="2022-06-14T12:16:51"/>
        <d v="2022-06-14T13:00:59"/>
        <d v="2022-06-14T13:18:30"/>
        <d v="2022-06-14T14:10:26"/>
        <d v="2022-06-14T14:14:24"/>
        <d v="2022-06-14T14:15:46"/>
        <d v="2022-06-14T14:16:43"/>
        <d v="2022-06-14T15:41:15"/>
        <d v="2022-06-14T16:10:56"/>
        <d v="2022-06-14T17:25:55"/>
        <d v="2022-06-14T17:37:03"/>
        <d v="2022-06-14T17:38:01"/>
        <d v="2022-06-14T17:39:11"/>
        <d v="2022-06-14T17:56:23"/>
        <d v="2022-06-15T09:46:29"/>
        <d v="2022-06-15T10:57:25"/>
        <d v="2022-06-15T12:07:56"/>
        <d v="2022-06-15T13:07:39"/>
        <d v="2022-06-15T13:37:08"/>
        <d v="2022-06-15T14:02:45"/>
        <d v="2022-06-15T14:03:45"/>
        <d v="2022-06-15T14:16:40"/>
        <d v="2022-06-15T14:17:07"/>
        <d v="2022-06-15T14:55:28"/>
        <d v="2022-06-15T14:56:42"/>
        <d v="2022-06-15T15:23:32"/>
        <d v="2022-06-15T15:34:47"/>
        <d v="2022-06-15T15:38:15"/>
        <d v="2022-06-15T15:44:21"/>
        <d v="2022-06-15T16:30:01"/>
        <d v="2022-06-15T17:54:43"/>
        <d v="2022-06-15T17:56:22"/>
        <d v="2022-06-16T00:00:00"/>
        <d v="2022-06-16T08:51:47"/>
        <d v="2022-06-16T09:26:16"/>
        <d v="2022-06-16T09:44:01"/>
        <d v="2022-06-16T10:16:30"/>
        <d v="2022-06-16T10:51:08"/>
        <d v="2022-06-16T11:07:00"/>
        <d v="2022-06-16T12:14:21"/>
        <d v="2022-06-16T12:15:59"/>
        <d v="2022-06-16T13:23:33"/>
        <d v="2022-06-16T13:38:00"/>
        <d v="2022-06-16T14:18:37"/>
        <d v="2022-06-16T14:28:42"/>
        <d v="2022-06-16T15:13:23"/>
        <d v="2022-06-16T15:14:48"/>
        <d v="2022-06-16T15:34:49"/>
        <d v="2022-06-16T16:00:23"/>
        <d v="2022-06-16T16:01:26"/>
        <d v="2022-06-16T16:51:22"/>
        <d v="2022-06-16T16:55:10"/>
        <d v="2022-06-16T16:56:37"/>
        <d v="2022-06-16T17:06:06"/>
        <d v="2022-06-16T17:52:48"/>
        <d v="2022-06-17T08:20:09"/>
        <d v="2022-06-17T11:02:17"/>
        <d v="2022-06-17T13:47:48"/>
        <d v="2022-06-17T14:38:16"/>
        <d v="2022-06-17T15:18:20"/>
        <d v="2022-06-17T16:44:24"/>
        <d v="2022-06-17T17:29:17"/>
        <d v="2022-06-18T00:00:00"/>
        <d v="2022-06-20T00:00:00"/>
        <d v="2022-06-21T00:00:00"/>
        <d v="2022-06-22T09:15:06"/>
        <d v="2022-06-22T09:17:45"/>
        <d v="2022-06-22T09:34:08"/>
        <d v="2022-06-22T09:35:20"/>
        <d v="2022-06-22T09:47:10"/>
        <d v="2022-06-22T10:13:25"/>
        <d v="2022-06-22T10:20:50"/>
        <d v="2022-06-22T10:29:02"/>
        <d v="2022-06-22T11:09:06"/>
        <d v="2022-06-22T11:24:06"/>
        <d v="2022-06-22T11:29:05"/>
        <d v="2022-06-22T12:32:30"/>
        <d v="2022-06-22T12:40:18"/>
        <d v="2022-06-22T12:55:15"/>
        <d v="2022-06-22T13:51:11"/>
        <d v="2022-06-22T14:37:33"/>
        <d v="2022-06-22T14:38:49"/>
        <d v="2022-06-22T15:35:32"/>
        <d v="2022-06-22T15:37:10"/>
        <d v="2022-06-22T16:10:33"/>
        <d v="2022-06-22T16:15:40"/>
        <d v="2022-06-22T16:16:38"/>
        <d v="2022-06-22T16:41:01"/>
        <d v="2022-06-22T17:03:32"/>
        <d v="2022-06-22T17:11:03"/>
        <d v="2022-06-22T17:35:14"/>
        <d v="2022-06-22T17:36:24"/>
        <d v="2022-06-22T17:57:00"/>
        <d v="2022-06-23T08:30:34"/>
        <d v="2022-06-23T09:13:40"/>
        <d v="2022-06-23T09:14:37"/>
        <d v="2022-06-23T09:19:03"/>
        <d v="2022-06-23T10:19:11"/>
        <d v="2022-06-23T10:20:16"/>
        <d v="2022-06-23T10:52:31"/>
        <d v="2022-06-23T11:02:43"/>
        <d v="2022-06-23T11:20:15"/>
        <d v="2022-06-23T11:57:47"/>
        <d v="2022-06-23T11:59:08"/>
        <d v="2022-06-23T12:12:56"/>
        <d v="2022-06-23T12:17:19"/>
        <d v="2022-06-23T12:24:45"/>
        <d v="2022-06-23T13:18:59"/>
        <d v="2022-06-23T14:36:33"/>
        <d v="2022-06-23T14:48:36"/>
        <d v="2022-06-23T14:49:42"/>
        <d v="2022-06-23T14:54:18"/>
        <d v="2022-06-23T15:08:40"/>
        <d v="2022-06-23T15:32:59"/>
        <d v="2022-06-23T15:36:22"/>
        <d v="2022-06-23T15:48:17"/>
        <d v="2022-06-23T15:54:58"/>
        <d v="2022-06-23T16:25:02"/>
        <d v="2022-06-23T16:35:13"/>
        <d v="2022-06-23T16:45:00"/>
        <d v="2022-06-23T16:52:57"/>
        <d v="2022-06-23T17:46:59"/>
        <d v="2022-06-24T08:28:33"/>
        <d v="2022-06-24T09:04:22"/>
        <d v="2022-06-24T09:21:44"/>
        <d v="2022-06-24T09:22:50"/>
        <d v="2022-06-24T09:30:47"/>
        <d v="2022-06-24T10:08:25"/>
        <d v="2022-06-24T10:09:19"/>
        <d v="2022-06-24T10:46:03"/>
        <d v="2022-06-24T10:51:32"/>
        <d v="2022-06-24T11:44:47"/>
        <d v="2022-06-24T11:52:51"/>
        <d v="2022-06-24T11:53:29"/>
        <d v="2022-06-24T12:10:29"/>
        <d v="2022-06-24T12:19:14"/>
        <d v="2022-06-24T12:46:10"/>
        <d v="2022-06-24T13:24:16"/>
        <d v="2022-06-24T13:39:04"/>
        <d v="2022-06-24T14:11:26"/>
        <d v="2022-06-24T14:33:26"/>
        <d v="2022-06-24T15:37:13"/>
        <d v="2022-06-24T15:38:16"/>
        <d v="2022-06-24T15:39:16"/>
        <d v="2022-06-24T15:40:01"/>
        <d v="2022-06-24T16:16:32"/>
        <d v="2022-06-24T16:47:22"/>
        <d v="2022-06-24T16:58:45"/>
        <d v="2022-06-24T17:21:27"/>
        <d v="2022-06-24T17:23:44"/>
        <d v="2022-06-24T17:36:05"/>
        <d v="2022-06-24T17:37:36"/>
        <d v="2022-06-24T17:39:38"/>
        <d v="2022-06-24T17:40:32"/>
        <d v="2022-06-24T17:41:40"/>
        <d v="2022-06-24T17:43:18"/>
        <d v="2022-06-24T17:53:22"/>
        <d v="2022-06-25T08:56:50"/>
        <d v="2022-06-25T09:37:37"/>
        <d v="2022-06-25T09:47:49"/>
        <d v="2022-06-25T09:48:45"/>
        <d v="2022-06-25T14:44:25"/>
        <d v="2022-06-25T14:45:30"/>
        <d v="2022-06-25T14:49:35"/>
        <d v="2022-06-25T14:50:49"/>
        <d v="2022-06-25T14:51:34"/>
        <d v="2022-06-25T14:52:38"/>
        <d v="2022-06-25T14:53:39"/>
        <d v="2022-06-25T14:54:42"/>
        <d v="2022-06-25T14:55:27"/>
        <d v="2022-06-25T15:04:06"/>
        <d v="2022-06-25T16:32:39"/>
        <d v="2022-06-27T15:42:01"/>
        <d v="2022-06-27T00:00:00"/>
        <d v="2022-06-27T11:23:02"/>
        <d v="2022-06-27T11:23:50"/>
        <d v="2022-06-27T14:49:17"/>
        <d v="2022-06-27T14:50:16"/>
        <d v="2022-06-27T15:24:05"/>
        <d v="2022-06-27T17:52:08"/>
        <d v="2022-06-27T17:53:42"/>
        <d v="2022-06-27T09:00:53"/>
        <d v="2022-06-27T14:46:41"/>
        <d v="2022-06-27T14:48:19"/>
        <d v="2022-06-27T17:38:05"/>
        <d v="2022-06-27T17:38:52"/>
        <d v="2022-06-27T09:38:53"/>
        <d v="2022-06-27T11:10:22"/>
        <d v="2022-06-27T12:57:17"/>
        <d v="2022-06-27T14:44:24"/>
        <d v="2022-06-28T08:10:32"/>
        <d v="2022-06-28T08:47:52"/>
        <d v="2022-06-28T09:50:58"/>
        <d v="2022-06-28T10:36:53"/>
        <d v="2022-06-28T12:13:56"/>
        <d v="2022-06-28T12:56:43"/>
        <d v="2022-06-28T14:09:32"/>
        <d v="2022-06-28T15:06:41"/>
        <d v="2022-06-28T16:29:20"/>
        <d v="2022-06-28T16:56:17"/>
        <d v="2022-06-28T17:43:57"/>
        <d v="2022-06-29T17:19:57"/>
        <d v="2022-06-29T13:06:07"/>
        <d v="2022-06-29T11:16:18"/>
        <d v="2022-06-29T12:30:36"/>
        <d v="2022-06-29T13:36:29"/>
        <d v="2022-06-29T14:37:41"/>
        <d v="2022-06-29T15:34:18"/>
        <d v="2022-06-29T16:24:37"/>
        <d v="2022-06-29T17:18:48"/>
        <d v="2022-06-29T17:45:28"/>
        <d v="2022-06-29T11:33:20"/>
        <d v="2022-06-29T11:34:31"/>
        <d v="2022-06-29T11:36:22"/>
        <d v="2022-06-29T11:37:19"/>
        <d v="2022-06-29T14:34:59"/>
        <d v="2022-06-29T14:35:55"/>
        <d v="2022-06-29T14:36:48"/>
        <d v="2022-06-29T15:25:53"/>
        <d v="2022-06-29T17:13:45"/>
        <d v="2022-06-29T17:14:41"/>
        <d v="2022-06-29T17:48:37"/>
        <d v="2022-06-29T17:27:26"/>
        <d v="2022-06-29T09:37:16"/>
        <d v="2022-06-30T08:40:34"/>
        <d v="2022-06-30T09:20:10"/>
        <d v="2022-06-30T09:29:21"/>
        <d v="2022-06-30T09:30:11"/>
        <d v="2022-06-30T11:12:43"/>
        <d v="2022-06-30T11:13:38"/>
        <d v="2022-06-30T11:23:47"/>
        <d v="2022-06-30T12:13:41"/>
        <d v="2022-06-30T13:07:56"/>
        <d v="2022-06-30T13:35:09"/>
        <d v="2022-06-30T13:36:01"/>
        <d v="2022-06-30T14:03:26"/>
        <d v="2022-06-30T14:14:48"/>
        <d v="2022-06-30T14:15:40"/>
        <d v="2022-06-30T14:57:34"/>
        <d v="2022-06-30T15:00:27"/>
        <d v="2022-06-30T15:14:38"/>
        <d v="2022-06-30T16:14:45"/>
        <d v="2022-06-30T16:16:15"/>
        <d v="2022-06-30T17:14:18"/>
        <d v="2022-06-30T17:34:22"/>
        <d v="2022-06-30T17:35:04"/>
        <d v="2022-07-01T09:47:31"/>
        <d v="2022-07-01T09:49:33"/>
        <d v="2022-07-01T09:54:35"/>
        <d v="2022-07-01T10:01:10"/>
        <d v="2022-07-01T10:01:52"/>
        <d v="2022-07-01T11:01:46"/>
        <d v="2022-07-01T11:02:50"/>
        <d v="2022-07-01T12:09:23"/>
        <d v="2022-07-01T12:10:03"/>
        <d v="2022-07-01T12:13:27"/>
        <d v="2022-07-01T12:14:29"/>
        <d v="2022-07-01T12:58:05"/>
        <d v="2022-07-04T14:25:27"/>
        <d v="2022-07-04T14:54:30"/>
        <d v="2022-07-04T14:56:09"/>
        <d v="2022-07-04T14:56:51"/>
        <d v="2022-07-04T14:58:19"/>
        <d v="2022-07-04T14:59:35"/>
        <d v="2022-07-04T15:51:25"/>
        <d v="2022-07-04T16:33:01"/>
        <d v="2022-07-04T16:35:46"/>
        <d v="2022-07-04T16:38:35"/>
        <d v="2022-07-04T17:34:21"/>
        <d v="2022-07-04T17:35:22"/>
        <d v="2022-07-04T17:38:17"/>
        <d v="2022-07-05T08:30:17"/>
        <d v="2022-07-05T08:39:33"/>
        <d v="2022-07-05T08:54:44"/>
        <d v="2022-07-05T09:03:03"/>
        <d v="2022-07-05T09:33:55"/>
        <d v="2022-07-05T09:50:01"/>
        <d v="2022-07-05T10:19:49"/>
        <d v="2022-07-05T10:44:39"/>
        <d v="2022-07-05T10:46:14"/>
        <d v="2022-07-05T10:50:55"/>
        <d v="2022-07-05T11:06:52"/>
        <d v="2022-07-05T11:52:59"/>
        <d v="2022-07-05T11:57:53"/>
        <d v="2022-07-05T11:59:02"/>
        <d v="2022-07-05T12:00:08"/>
        <d v="2022-07-05T12:00:53"/>
        <d v="2022-07-05T12:14:54"/>
        <d v="2022-07-05T12:21:37"/>
        <d v="2022-07-05T12:43:32"/>
        <d v="2022-07-05T13:07:02"/>
        <d v="2022-07-05T13:47:56"/>
        <d v="2022-07-05T14:19:21"/>
        <d v="2022-07-05T14:35:34"/>
        <d v="2022-07-05T14:37:35"/>
        <d v="2022-07-05T14:55:25"/>
        <d v="2022-07-05T15:08:48"/>
        <d v="2022-07-05T16:07:01"/>
        <d v="2022-07-05T16:12:47"/>
        <d v="2022-07-05T16:14:08"/>
        <d v="2022-07-05T16:41:53"/>
        <d v="2022-07-05T16:42:49"/>
        <d v="2022-07-05T16:47:29"/>
        <d v="2022-07-05T17:12:19"/>
        <d v="2022-07-05T17:32:16"/>
        <d v="2022-07-05T17:57:05"/>
        <d v="2022-07-06T08:42:05"/>
        <d v="2022-07-06T09:10:55"/>
        <d v="2022-07-06T09:27:50"/>
        <d v="2022-07-06T10:10:34"/>
        <d v="2022-07-06T10:47:49"/>
        <d v="2022-07-06T10:49:00"/>
        <d v="2022-07-06T11:11:25"/>
        <d v="2022-07-06T11:12:25"/>
        <d v="2022-07-06T11:31:33"/>
        <d v="2022-07-06T12:07:10"/>
        <d v="2022-07-06T12:33:03"/>
        <d v="2022-07-06T13:08:23"/>
        <d v="2022-07-06T14:06:58"/>
        <d v="2022-07-06T14:13:44"/>
        <d v="2022-07-06T14:30:33"/>
        <d v="2022-07-06T15:34:25"/>
        <d v="2022-07-06T15:37:35"/>
        <d v="2022-07-06T16:14:56"/>
        <d v="2022-07-06T16:15:50"/>
        <d v="2022-07-06T16:27:07"/>
        <d v="2022-07-06T17:04:29"/>
        <d v="2022-07-06T17:05:31"/>
        <d v="2022-07-06T17:07:47"/>
        <d v="2022-07-07T17:07:37"/>
        <d v="2022-07-07T11:48:16"/>
        <d v="2022-07-07T12:47:40"/>
        <d v="2022-07-07T14:42:26"/>
        <d v="2022-07-07T16:07:58"/>
        <d v="2022-07-07T17:06:40"/>
        <d v="2022-07-07T17:49:49"/>
        <d v="2022-07-07T10:41:01"/>
        <d v="2022-07-07T13:27:31"/>
        <d v="2022-07-07T14:49:07"/>
        <d v="2022-07-07T08:34:35"/>
        <d v="2022-07-07T09:57:04"/>
        <d v="2022-07-07T12:42:52"/>
        <d v="2022-07-07T14:34:45"/>
        <d v="2022-07-07T15:47:14"/>
        <d v="2022-07-07T15:48:15"/>
        <d v="2022-07-07T16:56:24"/>
        <d v="2022-07-07T17:51:37"/>
        <d v="2022-07-08T08:16:38"/>
        <d v="2022-07-08T08:28:33"/>
        <d v="2022-07-08T09:19:15"/>
        <d v="2022-07-08T09:21:03"/>
        <d v="2022-07-08T09:22:00"/>
        <d v="2022-07-08T09:47:11"/>
        <d v="2022-07-08T09:56:33"/>
        <d v="2022-07-08T09:57:34"/>
        <d v="2022-07-08T10:03:39"/>
        <d v="2022-07-08T10:06:09"/>
        <d v="2022-07-08T10:53:33"/>
        <d v="2022-07-08T11:30:25"/>
        <d v="2022-07-09T00:00:00"/>
        <d v="2022-07-09T14:10:44"/>
        <d v="2022-07-09T14:12:52"/>
        <d v="2022-07-09T14:21:49"/>
        <d v="2022-07-09T14:44:37"/>
        <d v="2022-07-09T15:36:22"/>
        <d v="2022-07-09T16:27:21"/>
        <d v="2022-07-09T14:11:45"/>
        <d v="2022-07-11T00:00:00"/>
        <d v="2022-07-11T09:24:15"/>
        <d v="2022-07-11T09:28:57"/>
        <d v="2022-07-11T10:18:59"/>
        <d v="2022-07-11T10:21:21"/>
        <d v="2022-07-11T11:00:19"/>
        <d v="2022-07-11T13:30:08"/>
        <d v="2022-07-11T13:49:46"/>
        <d v="2022-07-11T15:16:01"/>
        <d v="2022-07-11T17:02:06"/>
        <d v="2022-07-11T17:24:23"/>
        <d v="2022-07-11T17:25:29"/>
        <d v="2022-07-11T17:46:46"/>
        <d v="2022-07-12T08:59:22"/>
        <d v="2022-07-12T09:08:06"/>
        <d v="2022-07-12T10:11:41"/>
        <d v="2022-07-12T12:04:48"/>
        <d v="2022-07-12T12:06:15"/>
        <d v="2022-07-12T15:24:51"/>
        <d v="2022-07-12T15:31:07"/>
        <d v="2022-07-12T15:34:37"/>
        <d v="2022-07-12T15:37:40"/>
        <d v="2022-07-12T16:47:36"/>
        <d v="2022-07-12T16:48:07"/>
        <d v="2022-07-13T09:46:22"/>
        <d v="2022-07-13T09:54:05"/>
        <d v="2022-07-13T10:04:35"/>
        <d v="2022-07-13T10:14:58"/>
        <d v="2022-07-13T10:54:40"/>
        <d v="2022-07-13T11:19:40"/>
        <d v="2022-07-13T12:19:52"/>
        <d v="2022-07-13T13:09:40"/>
        <d v="2022-07-13T13:26:12"/>
        <d v="2022-07-13T14:19:06"/>
        <d v="2022-07-13T14:36:04"/>
        <d v="2022-07-13T15:23:54"/>
        <d v="2022-07-13T15:27:56"/>
        <d v="2022-07-13T16:29:20"/>
        <d v="2022-07-13T16:47:01"/>
        <d v="2022-07-13T17:11:15"/>
        <d v="2022-07-14T08:38:21"/>
        <d v="2022-07-14T08:49:27"/>
        <d v="2022-07-14T10:20:06"/>
        <d v="2022-07-14T10:21:32"/>
        <d v="2022-07-14T10:28:33"/>
        <d v="2022-07-14T10:29:27"/>
        <d v="2022-07-14T11:27:41"/>
        <d v="2022-07-14T12:13:43"/>
        <d v="2022-07-14T13:21:16"/>
        <d v="2022-07-14T13:24:16"/>
        <d v="2022-07-14T13:33:32"/>
        <d v="2022-07-14T14:00:04"/>
        <d v="2022-07-14T15:12:47"/>
        <d v="2022-07-14T15:35:56"/>
        <d v="2022-07-14T15:41:16"/>
        <d v="2022-07-14T16:49:13"/>
        <d v="2022-07-14T17:28:37"/>
        <d v="2022-07-14T17:29:37"/>
        <d v="2022-07-14T17:30:57"/>
        <d v="2022-07-14T17:33:25"/>
        <d v="2022-07-14T17:36:45"/>
        <d v="2022-07-15T08:38:29"/>
        <d v="2022-07-15T08:40:34"/>
        <d v="2022-07-15T09:34:43"/>
        <d v="2022-07-15T10:17:01"/>
        <d v="2022-07-15T10:56:56"/>
        <d v="2022-07-15T11:02:48"/>
        <d v="2022-07-15T11:04:03"/>
        <d v="2022-07-15T11:05:03"/>
        <d v="2022-07-15T11:15:08"/>
        <d v="2022-07-15T12:37:48"/>
        <d v="2022-07-15T12:40:38"/>
        <d v="2022-07-15T13:46:17"/>
        <d v="2022-07-15T14:10:47"/>
        <d v="2022-07-15T14:12:22"/>
        <d v="2022-07-15T14:13:16"/>
        <d v="2022-07-15T14:33:35"/>
        <d v="2022-07-15T15:31:46"/>
        <d v="2022-07-15T15:38:39"/>
        <d v="2022-07-15T16:20:57"/>
        <d v="2022-07-15T16:22:49"/>
        <d v="2022-07-15T17:01:17"/>
        <d v="2022-07-15T17:35:55"/>
        <d v="2022-07-15T17:49:23"/>
        <d v="2022-07-15T17:50:19"/>
        <d v="2022-07-15T17:51:16"/>
        <d v="2022-07-16T00:00:00"/>
        <d v="2022-07-16T08:15:44"/>
        <d v="2022-07-16T08:25:19"/>
        <d v="2022-07-16T09:17:06"/>
        <d v="2022-07-16T09:18:57"/>
        <d v="2022-07-16T09:40:40"/>
        <d v="2022-07-16T10:02:44"/>
        <d v="2022-07-16T10:03:55"/>
        <d v="2022-07-16T10:13:41"/>
        <d v="2022-07-16T10:27:02"/>
        <d v="2022-07-16T10:51:14"/>
        <d v="2022-07-16T11:04:08"/>
        <d v="2022-07-16T11:12:41"/>
        <d v="2022-07-16T12:12:15"/>
        <d v="2022-07-16T13:11:17"/>
        <d v="2022-07-16T13:18:41"/>
        <d v="2022-07-16T13:53:20"/>
        <d v="2022-07-16T13:54:25"/>
        <d v="2022-07-16T13:55:09"/>
        <d v="2022-07-16T14:01:03"/>
        <d v="2022-07-16T14:32:56"/>
        <d v="2022-07-16T14:36:03"/>
        <d v="2022-07-16T14:55:57"/>
        <d v="2022-07-16T15:37:29"/>
        <d v="2022-07-16T15:39:36"/>
        <d v="2022-07-16T16:16:34"/>
        <d v="2022-07-16T16:28:32"/>
        <d v="2022-07-16T16:30:56"/>
        <d v="2022-07-16T16:32:03"/>
        <d v="2022-07-18T08:26:21"/>
        <d v="2022-07-19T10:20:10"/>
        <d v="2022-07-19T10:43:28"/>
        <d v="2022-07-19T11:50:27"/>
        <d v="2022-07-19T11:51:22"/>
        <d v="2022-07-19T11:52:40"/>
        <d v="2022-07-19T11:53:43"/>
        <d v="2022-07-19T12:27:45"/>
        <d v="2022-07-19T13:19:14"/>
        <d v="2022-07-19T13:27:26"/>
        <d v="2022-07-19T14:13:24"/>
        <d v="2022-07-19T14:15:29"/>
        <d v="2022-07-19T15:33:34"/>
        <d v="2022-07-19T15:35:13"/>
        <d v="2022-07-19T15:37:34"/>
        <d v="2022-07-19T15:50:02"/>
        <d v="2022-07-19T16:40:36"/>
        <d v="2022-07-19T16:42:09"/>
        <d v="2022-07-19T17:04:19"/>
        <d v="2022-07-19T17:35:25"/>
        <d v="2022-07-19T17:56:33"/>
        <d v="2022-07-19T17:57:30"/>
        <d v="2022-07-19T17:59:18"/>
        <d v="2022-07-20T10:34:19"/>
        <d v="2022-07-20T10:36:13"/>
        <d v="2022-07-20T10:38:10"/>
        <d v="2022-07-20T10:39:58"/>
        <d v="2022-07-20T10:41:11"/>
        <d v="2022-07-20T11:12:03"/>
        <d v="2022-07-20T11:52:09"/>
        <d v="2022-07-20T11:59:29"/>
        <d v="2022-07-20T12:21:08"/>
        <d v="2022-07-20T13:56:03"/>
        <d v="2022-07-20T13:57:39"/>
        <d v="2022-07-20T14:18:33"/>
        <d v="2022-07-20T14:55:42"/>
        <d v="2022-07-20T14:56:59"/>
        <d v="2022-07-20T15:55:58"/>
        <d v="2022-07-20T16:52:48"/>
        <d v="2022-07-20T16:56:11"/>
        <d v="2022-07-20T16:56:38"/>
        <d v="2022-07-20T17:32:48"/>
        <d v="2022-07-20T18:00:58"/>
        <d v="2022-07-21T08:39:46"/>
        <d v="2022-07-21T08:42:07"/>
        <d v="2022-07-21T09:52:49"/>
        <d v="2022-07-21T10:57:21"/>
        <d v="2022-07-21T11:00:20"/>
        <d v="2022-07-21T11:15:46"/>
        <d v="2022-07-21T11:58:40"/>
        <d v="2022-07-21T12:32:55"/>
        <d v="2022-07-21T13:23:21"/>
        <d v="2022-07-21T13:44:25"/>
        <d v="2022-07-21T14:16:11"/>
        <d v="2022-07-21T14:28:40"/>
        <d v="2022-07-21T14:58:23"/>
        <d v="2022-07-21T15:36:28"/>
        <d v="2022-07-21T15:37:45"/>
        <d v="2022-07-21T16:18:55"/>
        <d v="2022-07-21T16:41:46"/>
        <d v="2022-07-21T16:59:38"/>
        <d v="2022-07-21T17:47:20"/>
        <d v="2022-07-21T17:47:54"/>
        <d v="2022-07-21T17:48:49"/>
        <d v="2022-07-22T08:51:31"/>
        <d v="2022-07-22T09:30:53"/>
        <d v="2022-07-22T10:29:58"/>
        <d v="2022-07-22T10:57:50"/>
        <d v="2022-07-22T10:58:19"/>
        <d v="2022-07-22T10:59:10"/>
        <d v="2022-07-22T10:59:34"/>
        <d v="2022-07-22T11:02:59"/>
        <d v="2022-07-22T11:34:51"/>
        <d v="2022-07-22T11:38:07"/>
        <d v="2022-07-22T11:38:53"/>
        <d v="2022-07-22T11:40:04"/>
        <d v="2022-07-22T11:41:03"/>
        <d v="2022-07-22T12:00:52"/>
        <d v="2022-07-22T12:29:33"/>
        <d v="2022-07-22T12:32:49"/>
        <d v="2022-07-22T12:46:29"/>
        <d v="2022-07-22T13:29:19"/>
        <d v="2022-07-22T13:34:35"/>
        <d v="2022-07-22T14:16:54"/>
        <d v="2022-07-22T15:00:34"/>
        <d v="2022-07-22T15:40:31"/>
        <d v="2022-07-22T16:24:02"/>
        <d v="2022-07-22T17:25:03"/>
        <d v="2022-07-22T17:39:41"/>
        <d v="2022-07-22T18:02:27"/>
        <d v="2022-07-22T18:03:11"/>
        <d v="2022-07-22T18:03:48"/>
        <d v="2022-07-22T18:04:25"/>
        <d v="2022-07-22T18:05:11"/>
        <d v="2022-07-23T08:52:19"/>
        <d v="2022-07-23T09:02:36"/>
        <d v="2022-07-23T09:20:44"/>
        <d v="2022-07-23T09:36:37"/>
        <d v="2022-07-23T10:17:30"/>
        <d v="2022-07-23T11:33:28"/>
        <d v="2022-07-23T11:34:15"/>
        <d v="2022-07-23T11:35:22"/>
        <d v="2022-07-23T11:35:44"/>
        <d v="2022-07-23T11:38:40"/>
        <d v="2022-07-23T11:39:44"/>
        <d v="2022-07-23T12:36:25"/>
        <d v="2022-07-23T13:46:27"/>
        <d v="2022-07-23T14:06:33"/>
      </sharedItems>
      <fieldGroup par="25" base="0">
        <rangePr groupBy="days" startDate="2022-04-22T00:00:00" endDate="2022-07-23T14:06:33"/>
        <groupItems count="368">
          <s v="&lt;4/22/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23/2022"/>
        </groupItems>
      </fieldGroup>
    </cacheField>
    <cacheField name="Station" numFmtId="0">
      <sharedItems containsBlank="1" count="106">
        <s v="MC 112"/>
        <s v="BF 103"/>
        <s v="BF 106"/>
        <s v="BF 116"/>
        <s v="BF 109"/>
        <s v="BF 104"/>
        <s v="BF 107"/>
        <s v="BF 110"/>
        <s v="TABLE2-INFASCO"/>
        <s v="MC 24"/>
        <s v="TABLE1-INFASCO"/>
        <s v="BF 108"/>
        <s v="BF 112"/>
        <s v="MC 110"/>
        <s v="MC 26"/>
        <s v="BF 102"/>
        <s v="MC 78"/>
        <s v="TABLE5-INFASCO"/>
        <s v="TABLE3-INFASCO"/>
        <s v="BF 105"/>
        <s v="MC 76"/>
        <s v="TABLE4-INFASCO"/>
        <s v="BF 1107"/>
        <s v="MC112"/>
        <s v="BF 113"/>
        <s v="BF 115"/>
        <s v="BF 117"/>
        <s v="BF  108"/>
        <s v="BF 12"/>
        <s v="TABLE2-INFACSO"/>
        <s v="TABLE-INFACSO"/>
        <s v="BF115"/>
        <s v="BF 18"/>
        <s v="BF106 - INFASCO"/>
        <s v="BF107 - INFASCO"/>
        <s v="BF109 - INFASCO"/>
        <s v="BF110 - INFASCO"/>
        <s v="BF116 - INFASCO"/>
        <s v="BF117 - INFASCO"/>
        <s v="MC024 - INFASCO"/>
        <s v="MC026 - INFASCO"/>
        <s v="MC078 - INFASCO"/>
        <s v="BF103 - INFASCO"/>
        <s v="BF104 - INFASCO"/>
        <s v="BF 111" u="1"/>
        <s v="TB3-INFASCO" u="1"/>
        <m u="1"/>
        <s v="BF104" u="1"/>
        <s v="LINE1" u="1"/>
        <s v="TB4-INFASCO" u="1"/>
        <s v="TB3- INFASCO" u="1"/>
        <s v="TB5-INFASCO" u="1"/>
        <s v="BF 07" u="1"/>
        <s v="BF113" u="1"/>
        <s v="TB6-INFASCO" u="1"/>
        <s v="TB7-INFASCO" u="1"/>
        <s v="F 109" u="1"/>
        <s v=" BF 103" u="1"/>
        <s v="BF103" u="1"/>
        <s v="TB3- INFACO" u="1"/>
        <s v="B109" u="1"/>
        <s v="MC 16" u="1"/>
        <s v="BF112" u="1"/>
        <s v="BF109" u="1"/>
        <s v="TABLE 1" u="1"/>
        <s v="MC19" u="1"/>
        <s v="MC 116" u="1"/>
        <s v="BF074" u="1"/>
        <s v="TABLE 2" u="1"/>
        <s v="BF102" u="1"/>
        <s v="MC18" u="1"/>
        <s v="MC074" u="1"/>
        <s v="BF108" u="1"/>
        <s v="TABLE 4" u="1"/>
        <s v="TABLE5-INSFASCO" u="1"/>
        <s v="AVP_PAK009_2 HEAD FILLING MACHINE" u="1"/>
        <s v="NF 106" u="1"/>
        <s v="TABLE 5" u="1"/>
        <s v="BF1112" u="1"/>
        <s v="MC78" u="1"/>
        <s v="BF110" u="1"/>
        <s v="NC 112" u="1"/>
        <s v="BF107" u="1"/>
        <s v="LINE4" u="1"/>
        <s v="MC026" u="1"/>
        <s v="MC26" u="1"/>
        <s v="placeholder" u="1"/>
        <s v="MC110" u="1"/>
        <s v="TABLE2-OtherClients" u="1"/>
        <s v="TABLE5-OtherClients" u="1"/>
        <s v="BF106" u="1"/>
        <s v="LINE3" u="1"/>
        <s v="MC100" u="1"/>
        <s v="MC 19" u="1"/>
        <s v="MC078" u="1"/>
        <s v="MC24" u="1"/>
        <s v="B103" u="1"/>
        <s v="M78" u="1"/>
        <s v="BF105" u="1"/>
        <s v="LINE2" u="1"/>
        <s v="MC024" u="1"/>
        <s v="MC74" u="1"/>
        <s v="MC 74" u="1"/>
        <s v="TB1-INFASCO" u="1"/>
        <s v="MC12" u="1"/>
        <s v="TB2-INFASCO" u="1"/>
      </sharedItems>
    </cacheField>
    <cacheField name="Part" numFmtId="0">
      <sharedItems containsMixedTypes="1" containsNumber="1" containsInteger="1" minValue="1400" maxValue="7150303302" count="335">
        <n v="11546449"/>
        <s v="ZDD423534432"/>
        <n v="11546456"/>
        <s v="P4355350"/>
        <n v="11516077"/>
        <n v="11549168"/>
        <n v="11603389"/>
        <n v="11546367"/>
        <n v="85158"/>
        <n v="11546774"/>
        <n v="11546368"/>
        <n v="11549171"/>
        <s v="NU3014"/>
        <s v="NU1136"/>
        <n v="11609826"/>
        <s v="G5030AC"/>
        <s v="W715851-S450"/>
        <s v="W715851-S750"/>
        <s v="06511637AA"/>
        <n v="11739913"/>
        <n v="11602292"/>
        <n v="11604439"/>
        <n v="11547059"/>
        <n v="11609279"/>
        <n v="11609789"/>
        <s v="P3001650"/>
        <n v="11588714"/>
        <s v="22275103AA"/>
        <s v="G51017"/>
        <n v="11516133"/>
        <n v="54043001"/>
        <n v="11549204"/>
        <n v="11546370"/>
        <n v="11602031"/>
        <s v="W520217-S440"/>
        <n v="11602326"/>
        <n v="11546703"/>
        <n v="11610091"/>
        <s v="W520514-S442"/>
        <n v="11610122"/>
        <n v="11547176"/>
        <s v="8111227C"/>
        <n v="11546463"/>
        <n v="40110160"/>
        <n v="94012078"/>
        <n v="11612078"/>
        <n v="11546377"/>
        <n v="90280051"/>
        <s v="NU5108"/>
        <s v="06511672AA"/>
        <n v="11611122"/>
        <n v="11611121"/>
        <n v="11517996"/>
        <n v="11548360"/>
        <n v="11547139"/>
        <n v="11549170"/>
        <n v="11604183"/>
        <n v="40179995"/>
        <s v="M1482AC"/>
        <s v="P7241650"/>
        <n v="11611883"/>
        <n v="11561645"/>
        <n v="11611887"/>
        <n v="11516382"/>
        <n v="11546382"/>
        <n v="61273"/>
        <n v="82246"/>
        <n v="11548535"/>
        <n v="11611548"/>
        <n v="11546365"/>
        <s v="W580514-S442"/>
        <n v="11546437"/>
        <n v="11588293"/>
        <n v="11547349"/>
        <n v="82218"/>
        <s v="X32151-AM49"/>
        <n v="11546389"/>
        <n v="11546571"/>
        <s v="NU1510"/>
        <n v="11547090"/>
        <s v="06510997AA"/>
        <n v="11516078"/>
        <n v="15685170"/>
        <n v="11546566"/>
        <n v="11548144"/>
        <n v="11548414"/>
        <n v="11546545"/>
        <n v="11546378"/>
        <n v="11562515"/>
        <n v="91058"/>
        <n v="11546379"/>
        <s v="A4495AB"/>
        <n v="11547369"/>
        <n v="11548147"/>
        <n v="82248"/>
        <s v="06511834AA"/>
        <s v="06512313AA"/>
        <n v="11588709"/>
        <s v="11610091S"/>
        <s v="NU1305"/>
        <n v="7320491"/>
        <s v="NU5210"/>
        <s v="06512851AA"/>
        <s v="NU1237"/>
        <n v="11602659"/>
        <n v="40073474"/>
        <n v="11549058"/>
        <s v="2W0399928"/>
        <n v="11546364"/>
        <n v="11549169"/>
        <s v="P11546546"/>
        <s v="K1046AB"/>
        <s v="06509598AA"/>
        <n v="11546546"/>
        <n v="11519114"/>
        <n v="11548630"/>
        <s v="06511689AA"/>
        <n v="11610126"/>
        <n v="11546369"/>
        <n v="11546366"/>
        <n v="1022168"/>
        <n v="11569637"/>
        <n v="40179994"/>
        <s v="PJ-10220-68-00"/>
        <n v="1022268"/>
        <s v="NU1205"/>
        <n v="11609411"/>
        <n v="11514596"/>
        <s v="W520773-S300"/>
        <n v="40109770"/>
        <s v="NU6100"/>
        <n v="94012039"/>
        <s v="4519-19"/>
        <s v="06512106AA"/>
        <s v="06511847AA"/>
        <n v="11546656"/>
        <n v="11502717"/>
        <n v="11602888"/>
        <n v="40037574"/>
        <n v="40173371"/>
        <n v="6511627"/>
        <n v="11546676"/>
        <n v="111561645"/>
        <n v="92468"/>
        <n v="11546391"/>
        <n v="1022068"/>
        <s v="06512149AA"/>
        <n v="61525"/>
        <n v="11518428"/>
        <s v="11518428-P"/>
        <s v="11549169-l"/>
        <n v="11546462"/>
        <s v="E12538"/>
        <n v="11516383"/>
        <s v="W719080-S450"/>
        <s v="ANM-12TOPLOK"/>
        <s v="NU1136-01-T"/>
        <s v="06511701AA"/>
        <s v="C5183"/>
        <s v="P3948750"/>
        <n v="11546448"/>
        <n v="11611653"/>
        <n v="11611960"/>
        <s v="06509078AA"/>
        <n v="71509333"/>
        <n v="11609280"/>
        <n v="11518532"/>
        <n v="11561114"/>
        <s v="06512278AA"/>
        <n v="10083390"/>
        <n v="11546333"/>
        <s v="LX6A-62428-BD-58502"/>
        <s v="S2116-04"/>
        <n v="98055704"/>
        <n v="11610128"/>
        <n v="11514597"/>
        <s v="P9054550"/>
        <s v="SP2103-03"/>
        <n v="11612261"/>
        <s v="E6267AB"/>
        <n v="1400"/>
        <s v="BO1316"/>
        <n v="11547830"/>
        <n v="40050697"/>
        <n v="11609746"/>
        <s v="P2152050"/>
        <s v="7150-3033-02"/>
        <n v="11546593"/>
        <s v="M1495AB"/>
        <n v="40161567"/>
        <n v="11610376"/>
        <s v="07336-54"/>
        <s v="H50-3033"/>
        <s v="P3001150"/>
        <n v="94012038"/>
        <s v="M93000252"/>
        <s v="G5100AA"/>
        <n v="1454548"/>
        <n v="40036961"/>
        <n v="11546465"/>
        <n v="40204491"/>
        <n v="500009297"/>
        <n v="15047163"/>
        <n v="22275103"/>
        <s v="07336-54001"/>
        <s v="P4382250"/>
        <s v="M93000340"/>
        <n v="11604143"/>
        <n v="11561662"/>
        <s v="W520217-S900"/>
        <s v="NU3025"/>
        <s v="E6267AA"/>
        <n v="11611990"/>
        <n v="82250"/>
        <n v="7520450"/>
        <s v="P7520450"/>
        <s v="PJ-102206800"/>
        <s v="PJ-1220-68-00"/>
        <s v="NU1205-T"/>
        <n v="1156571"/>
        <s v="NU1510-00"/>
        <s v="NU5108-00"/>
        <n v="115484414"/>
        <n v="1420503001"/>
        <s v="1454548-00"/>
        <n v="11547103"/>
        <n v="11548714" u="1"/>
        <n v="1154571" u="1"/>
        <n v="11546860" u="1"/>
        <n v="1156774" u="1"/>
        <n v="50043001" u="1"/>
        <n v="102268" u="1"/>
        <n v="11604000" u="1"/>
        <n v="24427848" u="1"/>
        <n v="115463678" u="1"/>
        <n v="15046285" u="1"/>
        <n v="115466593" u="1"/>
        <n v="11547327" u="1"/>
        <n v="11602904" u="1"/>
        <n v="71503036" u="1"/>
        <n v="210060" u="1"/>
        <n v="1154368" u="1"/>
        <n v="11588325" u="1"/>
        <n v="9422297" u="1"/>
        <n v="11546388" u="1"/>
        <n v="1080957" u="1"/>
        <n v="11517665" u="1"/>
        <n v="11569605" u="1"/>
        <n v="11516782" u="1"/>
        <n v="71511293" u="1"/>
        <n v="11146454" u="1"/>
        <n v="11569638" u="1"/>
        <n v="1546368" u="1"/>
        <n v="10500" u="1"/>
        <n v="19810" u="1"/>
        <n v="11547423" u="1"/>
        <n v="15546545" u="1"/>
        <n v="1156368" u="1"/>
        <n v="11547439" u="1"/>
        <n v="11612025" u="1"/>
        <n v="94012015" u="1"/>
        <n v="11516783" u="1"/>
        <n v="10383" u="1"/>
        <n v="11514598" u="1"/>
        <n v="11546335" u="1"/>
        <n v="11602078" u="1"/>
        <n v="11800396" u="1"/>
        <n v="71515010" u="1"/>
        <n v="91868" u="1"/>
        <n v="11516073" u="1"/>
        <n v="111547349" u="1"/>
        <n v="1546378" u="1"/>
        <n v="11546438" u="1"/>
        <n v="11548875" u="1"/>
        <n v="11602023" u="1"/>
        <n v="1546379" u="1"/>
        <n v="11569655" u="1"/>
        <n v="1080975" u="1"/>
        <n v="11547684" u="1"/>
        <n v="11547763" u="1"/>
        <n v="71505520" u="1"/>
        <n v="7150303302" u="1"/>
        <n v="1161208" u="1"/>
        <n v="46810" u="1"/>
        <n v="11516074" u="1"/>
        <n v="115477349" u="1"/>
        <n v="3035" u="1"/>
        <n v="11546439" u="1"/>
        <n v="11616382" u="1"/>
        <n v="115463" u="1"/>
        <n v="11547985" u="1"/>
        <n v="90280057" u="1"/>
        <n v="115466437" u="1"/>
        <n v="82244" u="1"/>
        <n v="11547685" u="1"/>
        <n v="85550" u="1"/>
        <n v="1546463" u="1"/>
        <n v="22764042" u="1"/>
        <n v="82253" u="1"/>
        <n v="11546076" u="1"/>
        <n v="16602326" u="1"/>
        <n v="82222" u="1"/>
        <n v="11603941" u="1"/>
        <n v="941012039" u="1"/>
        <n v="11606789" u="1"/>
        <n v="11549114" u="1"/>
        <n v="11546440" u="1"/>
        <n v="11516754" u="1"/>
        <n v="22766442" u="1"/>
        <n v="11547205" u="1"/>
        <n v="11561642" u="1"/>
        <n v="11601733" u="1"/>
        <n v="26204800" u="1"/>
        <n v="11546077" u="1"/>
        <n v="1585170" u="1"/>
        <n v="11603280" u="1"/>
        <n v="11542031" u="1"/>
        <n v="11516076" u="1"/>
        <n v="500009196" u="1"/>
        <n v="11603225" u="1"/>
        <n v="1161091" u="1"/>
        <n v="11541968" u="1"/>
        <n v="83106" u="1"/>
        <n v="3866766" u="1"/>
        <n v="11516755" u="1"/>
        <n v="11588560" u="1"/>
        <n v="11603904" u="1"/>
        <n v="40239029" u="1"/>
        <n v="52056965" u="1"/>
        <n v="1477856656" u="1"/>
        <n v="1154638" u="1"/>
        <n v="11548453" u="1"/>
        <n v="11541645" u="1"/>
        <n v="3009307" u="1"/>
        <n v="11562338" u="1"/>
      </sharedItems>
    </cacheField>
    <cacheField name="Boxes / Pieces" numFmtId="0">
      <sharedItems containsSemiMixedTypes="0" containsString="0" containsNumber="1" containsInteger="1" minValue="1" maxValue="334"/>
    </cacheField>
    <cacheField name="Unit Quantity" numFmtId="0">
      <sharedItems containsString="0" containsBlank="1" containsNumber="1" containsInteger="1" minValue="0" maxValue="83820"/>
    </cacheField>
    <cacheField name="Total Quantity" numFmtId="167">
      <sharedItems containsString="0" containsBlank="1" containsNumber="1" containsInteger="1" minValue="0" maxValue="703050"/>
    </cacheField>
    <cacheField name="Operator" numFmtId="167">
      <sharedItems containsBlank="1" containsMixedTypes="1" containsNumber="1" minValue="7.746478873239436E-2" maxValue="11196"/>
    </cacheField>
    <cacheField name="Specs followed" numFmtId="167">
      <sharedItems containsBlank="1"/>
    </cacheField>
    <cacheField name="Autherized1" numFmtId="167">
      <sharedItems containsNonDate="0" containsString="0" containsBlank="1"/>
    </cacheField>
    <cacheField name="Count Verified" numFmtId="0">
      <sharedItems containsBlank="1"/>
    </cacheField>
    <cacheField name="Autherized2" numFmtId="0">
      <sharedItems containsNonDate="0" containsString="0" containsBlank="1"/>
    </cacheField>
    <cacheField name="Station Cleaned" numFmtId="0">
      <sharedItems containsBlank="1"/>
    </cacheField>
    <cacheField name="Autherized3" numFmtId="0">
      <sharedItems containsNonDate="0" containsString="0" containsBlank="1"/>
    </cacheField>
    <cacheField name="Scale Zeroed" numFmtId="0">
      <sharedItems containsBlank="1"/>
    </cacheField>
    <cacheField name="Autherized4" numFmtId="0">
      <sharedItems containsNonDate="0" containsString="0" containsBlank="1"/>
    </cacheField>
    <cacheField name="Boxes Labelled" numFmtId="0">
      <sharedItems containsBlank="1"/>
    </cacheField>
    <cacheField name="Autherized5" numFmtId="0">
      <sharedItems containsNonDate="0" containsString="0" containsBlank="1"/>
    </cacheField>
    <cacheField name="Bin Emptied" numFmtId="0">
      <sharedItems containsBlank="1"/>
    </cacheField>
    <cacheField name="Autherized6" numFmtId="0">
      <sharedItems containsNonDate="0" containsString="0" containsBlank="1"/>
    </cacheField>
    <cacheField name="Bin Cleaned" numFmtId="0">
      <sharedItems containsBlank="1"/>
    </cacheField>
    <cacheField name="Autherized7" numFmtId="0">
      <sharedItems containsString="0" containsBlank="1" containsNumber="1" containsInteger="1" minValue="120" maxValue="120"/>
    </cacheField>
    <cacheField name="Re-certified" numFmtId="0">
      <sharedItems containsBlank="1" containsMixedTypes="1" containsNumber="1" containsInteger="1" minValue="120" maxValue="120"/>
    </cacheField>
    <cacheField name="Client" numFmtId="0">
      <sharedItems containsBlank="1"/>
    </cacheField>
    <cacheField name="Unit Price" numFmtId="0">
      <sharedItems containsBlank="1" containsMixedTypes="1" containsNumber="1" minValue="26" maxValue="787.5"/>
    </cacheField>
    <cacheField name="Price" numFmtId="0">
      <sharedItems containsMixedTypes="1" containsNumber="1" minValue="0" maxValue="787.5"/>
    </cacheField>
    <cacheField name="Months" numFmtId="0" databaseField="0">
      <fieldGroup base="0">
        <rangePr groupBy="months" startDate="2022-04-22T00:00:00" endDate="2022-07-23T14:06:33"/>
        <groupItems count="14">
          <s v="&lt;4/22/2022"/>
          <s v="Jan"/>
          <s v="Feb"/>
          <s v="Mar"/>
          <s v="Apr"/>
          <s v="May"/>
          <s v="Jun"/>
          <s v="Jul"/>
          <s v="Aug"/>
          <s v="Sep"/>
          <s v="Oct"/>
          <s v="Nov"/>
          <s v="Dec"/>
          <s v="&gt;7/23/2022"/>
        </groupItems>
      </fieldGroup>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PV AIO" refreshedDate="46279.404402199078" createdVersion="6" refreshedVersion="8" minRefreshableVersion="3" recordCount="3013" xr:uid="{00000000-000A-0000-FFFF-FFFFED000000}">
  <cacheSource type="worksheet">
    <worksheetSource name="OtherClients"/>
  </cacheSource>
  <cacheFields count="26">
    <cacheField name="Date " numFmtId="170">
      <sharedItems containsSemiMixedTypes="0" containsNonDate="0" containsDate="1" containsString="0" minDate="2026-08-03T13:44:13" maxDate="2026-09-12T00:00:00" count="32">
        <d v="2026-08-03T13:44:13"/>
        <d v="2026-08-04T16:36:10"/>
        <d v="2026-08-05T16:41:28"/>
        <d v="2026-08-06T00:00:00"/>
        <d v="2026-08-07T16:41:06"/>
        <d v="2026-08-10T16:34:48"/>
        <d v="2026-08-11T16:44:23"/>
        <d v="2026-08-12T16:44:03"/>
        <d v="2026-08-13T16:28:05"/>
        <d v="2026-08-14T15:52:39"/>
        <d v="2026-08-17T16:26:52"/>
        <d v="2026-08-18T16:31:53"/>
        <d v="2026-08-19T16:37:21"/>
        <d v="2026-08-20T16:18:04"/>
        <d v="2026-08-21T16:39:23"/>
        <d v="2026-08-22T00:00:00"/>
        <d v="2026-08-24T16:33:16"/>
        <d v="2026-08-25T16:33:16"/>
        <d v="2026-08-26T16:39:11"/>
        <d v="2026-08-27T16:38:46"/>
        <d v="2026-08-28T16:39:57"/>
        <d v="2026-08-29T00:00:00"/>
        <d v="2026-08-31T16:59:02"/>
        <d v="2026-09-01T00:00:00"/>
        <d v="2026-09-02T16:58:13"/>
        <d v="2026-09-03T17:00:29"/>
        <d v="2026-09-04T00:00:00"/>
        <d v="2026-09-05T15:01:54"/>
        <d v="2026-09-08T16:59:32"/>
        <d v="2026-09-09T16:58:10"/>
        <d v="2026-09-10T16:58:30"/>
        <d v="2026-09-11T00:00:00"/>
      </sharedItems>
    </cacheField>
    <cacheField name="Station" numFmtId="0">
      <sharedItems containsDate="1" containsBlank="1" containsMixedTypes="1" minDate="2021-02-17T11:26:56" maxDate="2021-02-17T11:26:56" count="133">
        <s v="MC019"/>
        <s v="MC024"/>
        <s v="MC110"/>
        <s v="BF117"/>
        <s v="BF113"/>
        <s v="BF116"/>
        <s v="BF103"/>
        <s v="MC004"/>
        <s v="BF112"/>
        <s v="MC112"/>
        <s v="BF104"/>
        <s v="BF102"/>
        <s v="BF108"/>
        <s v="TABLE5-INFASCO"/>
        <s v="MC074"/>
        <s v="TABLE1-INFASCO"/>
        <s v="TABLE2-INFASCO"/>
        <s v="TABLE3-INFASCO"/>
        <s v="TABLE9-INFASCO"/>
        <s v="MC026"/>
        <s v="BF121"/>
        <s v="BF123"/>
        <s v="BF118"/>
        <s v="BF114"/>
        <s v="BF124"/>
        <s v="BF120"/>
        <s v="BF107"/>
        <s v="MC078"/>
        <s v="BF105"/>
        <s v="BF106"/>
        <s v="BF109"/>
        <s v="BF110"/>
        <s v="TABLE4-INFASCO"/>
        <s v="TABLE6-INFASCO"/>
        <s v="MC04"/>
        <s v="TABLE 2"/>
        <s v="BF118A/B"/>
        <s v="BF114A/B" u="1"/>
        <s v="TABLE7-INFASCO" u="1"/>
        <s v="MC037" u="1"/>
        <m u="1"/>
        <s v="TABLE6" u="1"/>
        <s v="BF 111" u="1"/>
        <s v="TB3-INFASCO" u="1"/>
        <s v="LINE1" u="1"/>
        <s v="TB4-INFASCO" u="1"/>
        <s v="BF 112" u="1"/>
        <s v="MC 110" u="1"/>
        <s v="TB3- INFASCO" u="1"/>
        <s v="TB5-INFASCO" u="1"/>
        <s v="TABLE2-INFACSO" u="1"/>
        <s v="BF 1107" u="1"/>
        <s v="BF 07" u="1"/>
        <s v="BF 113" u="1"/>
        <s v="TB6-INFASCO" u="1"/>
        <s v="BF117 - INFASCO" u="1"/>
        <s v="TB7-INFASCO" u="1"/>
        <s v="MC 26" u="1"/>
        <s v="MC 112" u="1"/>
        <s v="BF122" u="1"/>
        <s v="F 109" u="1"/>
        <s v=" BF 103" u="1"/>
        <s v="BF 115" u="1"/>
        <s v="TB3- INFACO" u="1"/>
        <s v="BF110 - INFASCO" u="1"/>
        <s v="BF 102" u="1"/>
        <s v="BF107 - INFASCO" u="1"/>
        <s v="B109" u="1"/>
        <s v="BF 116" u="1"/>
        <s v="MC026 - INFASCO" u="1"/>
        <s v="MC 16" u="1"/>
        <s v="BF 103" u="1"/>
        <s v="BF 117" u="1"/>
        <s v="TABLE 1" u="1"/>
        <s v="BF116 - INFASCO" u="1"/>
        <s v="MC19" u="1"/>
        <s v="BF 104" u="1"/>
        <s v="MC 116" u="1"/>
        <s v="BF074" u="1"/>
        <s v="MC 78" u="1"/>
        <s v="BF 105" u="1"/>
        <s v="BF106 - INFASCO" u="1"/>
        <s v="MC18" u="1"/>
        <s v="BF 106" u="1"/>
        <s v="BF 107" u="1"/>
        <s v="MC078 - INFASCO" u="1"/>
        <e v="#NAME?" u="1"/>
        <s v="MC102" u="1"/>
        <s v="TB6-MN" u="1"/>
        <s v="TABLE 4" u="1"/>
        <s v="TABLE5-INSFASCO" u="1"/>
        <s v="AVP_PAK009_2 HEAD FILLING MACHINE" u="1"/>
        <s v="MC 24" u="1"/>
        <s v="NF 106" u="1"/>
        <s v="BF 108" u="1"/>
        <s v="TABLE 2-INFASCO" u="1"/>
        <s v="TABLE 5" u="1"/>
        <s v="BF 109" u="1"/>
        <s v="BF1112" u="1"/>
        <s v="TABLE-INFACSO" u="1"/>
        <s v="MC024 - INFASCO" u="1"/>
        <s v="MC78" u="1"/>
        <s v="NC 112" u="1"/>
        <s v="LINE4" u="1"/>
        <s v="MC26" u="1"/>
        <s v="placeholder" u="1"/>
        <s v="MC 76" u="1"/>
        <s v="BF104 - INFASCO" u="1"/>
        <s v="MC016" u="1"/>
        <s v="TABLE2-OtherClients" u="1"/>
        <s v="TABLE5-OtherClients" u="1"/>
        <s v="LINE3" u="1"/>
        <d v="2021-02-17T11:26:56" u="1"/>
        <s v="MC100" u="1"/>
        <s v="BF 12" u="1"/>
        <s v="MC 19" u="1"/>
        <s v="BF115" u="1"/>
        <s v="MC24" u="1"/>
        <s v="B103" u="1"/>
        <s v="BF  108" u="1"/>
        <s v="M78" u="1"/>
        <s v="BF103 - INFASCO" u="1"/>
        <s v="MC-GROOVE SHAFT" u="1"/>
        <s v="BF 18" u="1"/>
        <s v="LINE2" u="1"/>
        <s v="BF109 - INFASCO" u="1"/>
        <s v="MC74" u="1"/>
        <s v="MC 74" u="1"/>
        <s v="TB1-INFASCO" u="1"/>
        <s v="MC12" u="1"/>
        <s v="MC061" u="1"/>
        <s v="BF 110" u="1"/>
        <s v="TB2-INFASCO" u="1"/>
      </sharedItems>
    </cacheField>
    <cacheField name="Part" numFmtId="0">
      <sharedItems containsMixedTypes="1" containsNumber="1" containsInteger="1" minValue="61273" maxValue="7151143403"/>
    </cacheField>
    <cacheField name="Traveler" numFmtId="0">
      <sharedItems containsString="0" containsBlank="1" containsNumber="1" containsInteger="1" minValue="71269" maxValue="7116854"/>
    </cacheField>
    <cacheField name="Boxes / Pieces" numFmtId="0">
      <sharedItems containsSemiMixedTypes="0" containsString="0" containsNumber="1" containsInteger="1" minValue="1" maxValue="66"/>
    </cacheField>
    <cacheField name="Unit Quantity" numFmtId="167">
      <sharedItems containsSemiMixedTypes="0" containsString="0" containsNumber="1" containsInteger="1" minValue="0" maxValue="79050"/>
    </cacheField>
    <cacheField name="Total Quantity" numFmtId="167">
      <sharedItems containsSemiMixedTypes="0" containsString="0" containsNumber="1" containsInteger="1" minValue="0" maxValue="220000"/>
    </cacheField>
    <cacheField name="Operator" numFmtId="167">
      <sharedItems containsMixedTypes="1" containsNumber="1" containsInteger="1" minValue="4" maxValue="297"/>
    </cacheField>
    <cacheField name="Specs followed" numFmtId="167">
      <sharedItems/>
    </cacheField>
    <cacheField name="Autherized1" numFmtId="167">
      <sharedItems containsNonDate="0" containsString="0" containsBlank="1"/>
    </cacheField>
    <cacheField name="Count Verified" numFmtId="0">
      <sharedItems/>
    </cacheField>
    <cacheField name="Autherized2" numFmtId="0">
      <sharedItems containsNonDate="0" containsString="0" containsBlank="1"/>
    </cacheField>
    <cacheField name="Station Cleaned" numFmtId="0">
      <sharedItems/>
    </cacheField>
    <cacheField name="Autherized3" numFmtId="0">
      <sharedItems containsNonDate="0" containsString="0" containsBlank="1"/>
    </cacheField>
    <cacheField name="Scale Zeroed" numFmtId="0">
      <sharedItems/>
    </cacheField>
    <cacheField name="Autherized4" numFmtId="0">
      <sharedItems containsNonDate="0" containsString="0" containsBlank="1"/>
    </cacheField>
    <cacheField name="Boxes Labelled" numFmtId="0">
      <sharedItems/>
    </cacheField>
    <cacheField name="Autherized5" numFmtId="0">
      <sharedItems containsNonDate="0" containsString="0" containsBlank="1"/>
    </cacheField>
    <cacheField name="Bin Emptied" numFmtId="0">
      <sharedItems/>
    </cacheField>
    <cacheField name="Autherized6" numFmtId="0">
      <sharedItems containsNonDate="0" containsString="0" containsBlank="1"/>
    </cacheField>
    <cacheField name="Bin Cleaned" numFmtId="0">
      <sharedItems/>
    </cacheField>
    <cacheField name="Autherized7" numFmtId="0">
      <sharedItems containsNonDate="0" containsString="0" containsBlank="1"/>
    </cacheField>
    <cacheField name="Re-certified or New" numFmtId="0">
      <sharedItems containsBlank="1"/>
    </cacheField>
    <cacheField name="Client" numFmtId="0">
      <sharedItems/>
    </cacheField>
    <cacheField name="Unit Price" numFmtId="0">
      <sharedItems containsBlank="1" containsMixedTypes="1" containsNumber="1" minValue="0" maxValue="320.82"/>
    </cacheField>
    <cacheField name="Price" numFmtId="165">
      <sharedItems containsMixedTypes="1" containsNumber="1" minValue="0" maxValue="320.8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588">
  <r>
    <x v="0"/>
    <x v="0"/>
    <x v="0"/>
    <n v="36"/>
    <n v="2500"/>
    <n v="90000"/>
    <m/>
    <m/>
    <m/>
    <m/>
    <m/>
    <m/>
    <m/>
    <m/>
    <m/>
    <m/>
    <m/>
    <m/>
    <m/>
    <m/>
    <m/>
    <m/>
    <s v="INFASCO"/>
    <m/>
    <n v="97.85"/>
  </r>
  <r>
    <x v="0"/>
    <x v="1"/>
    <x v="1"/>
    <n v="28"/>
    <n v="2500"/>
    <n v="70000"/>
    <m/>
    <m/>
    <m/>
    <m/>
    <m/>
    <m/>
    <m/>
    <m/>
    <m/>
    <m/>
    <m/>
    <m/>
    <m/>
    <m/>
    <m/>
    <m/>
    <e v="#N/A"/>
    <m/>
    <n v="95"/>
  </r>
  <r>
    <x v="0"/>
    <x v="2"/>
    <x v="2"/>
    <n v="24"/>
    <n v="2700"/>
    <n v="64800"/>
    <m/>
    <m/>
    <m/>
    <m/>
    <m/>
    <m/>
    <m/>
    <m/>
    <m/>
    <m/>
    <m/>
    <m/>
    <m/>
    <m/>
    <m/>
    <m/>
    <s v="INFASCO"/>
    <m/>
    <n v="97.85"/>
  </r>
  <r>
    <x v="0"/>
    <x v="3"/>
    <x v="3"/>
    <n v="26"/>
    <n v="1900"/>
    <n v="49400"/>
    <m/>
    <m/>
    <m/>
    <m/>
    <m/>
    <m/>
    <m/>
    <m/>
    <m/>
    <m/>
    <m/>
    <m/>
    <m/>
    <m/>
    <m/>
    <m/>
    <s v="INFASCO"/>
    <m/>
    <n v="97.85"/>
  </r>
  <r>
    <x v="0"/>
    <x v="4"/>
    <x v="4"/>
    <n v="36"/>
    <n v="1200"/>
    <n v="43200"/>
    <m/>
    <m/>
    <m/>
    <m/>
    <m/>
    <m/>
    <m/>
    <m/>
    <m/>
    <m/>
    <m/>
    <m/>
    <m/>
    <m/>
    <m/>
    <m/>
    <s v="INFASCO"/>
    <m/>
    <n v="97.85"/>
  </r>
  <r>
    <x v="0"/>
    <x v="5"/>
    <x v="5"/>
    <n v="30"/>
    <n v="1000"/>
    <n v="30000"/>
    <m/>
    <m/>
    <m/>
    <m/>
    <m/>
    <m/>
    <m/>
    <m/>
    <m/>
    <m/>
    <m/>
    <m/>
    <m/>
    <m/>
    <m/>
    <m/>
    <s v="INFASCO"/>
    <m/>
    <n v="97.85"/>
  </r>
  <r>
    <x v="0"/>
    <x v="6"/>
    <x v="6"/>
    <n v="36"/>
    <n v="700"/>
    <n v="25200"/>
    <m/>
    <m/>
    <m/>
    <m/>
    <m/>
    <m/>
    <m/>
    <m/>
    <m/>
    <m/>
    <m/>
    <m/>
    <m/>
    <m/>
    <m/>
    <m/>
    <s v="INFASCO"/>
    <m/>
    <n v="97.85"/>
  </r>
  <r>
    <x v="0"/>
    <x v="6"/>
    <x v="6"/>
    <n v="36"/>
    <n v="700"/>
    <n v="25200"/>
    <m/>
    <m/>
    <m/>
    <m/>
    <m/>
    <m/>
    <m/>
    <m/>
    <m/>
    <m/>
    <m/>
    <m/>
    <m/>
    <m/>
    <m/>
    <m/>
    <s v="INFASCO"/>
    <m/>
    <n v="97.85"/>
  </r>
  <r>
    <x v="0"/>
    <x v="7"/>
    <x v="7"/>
    <n v="36"/>
    <n v="700"/>
    <n v="25200"/>
    <m/>
    <m/>
    <m/>
    <m/>
    <m/>
    <m/>
    <m/>
    <m/>
    <m/>
    <m/>
    <m/>
    <m/>
    <m/>
    <m/>
    <m/>
    <m/>
    <s v="INFASCO"/>
    <m/>
    <n v="97.85"/>
  </r>
  <r>
    <x v="0"/>
    <x v="8"/>
    <x v="8"/>
    <n v="36"/>
    <n v="600"/>
    <n v="21600"/>
    <m/>
    <m/>
    <m/>
    <m/>
    <m/>
    <m/>
    <m/>
    <m/>
    <m/>
    <m/>
    <m/>
    <m/>
    <m/>
    <m/>
    <m/>
    <m/>
    <s v="INFASCO"/>
    <m/>
    <n v="123.6"/>
  </r>
  <r>
    <x v="0"/>
    <x v="9"/>
    <x v="5"/>
    <n v="19"/>
    <n v="1000"/>
    <n v="19000"/>
    <m/>
    <m/>
    <m/>
    <m/>
    <m/>
    <m/>
    <m/>
    <m/>
    <m/>
    <m/>
    <m/>
    <m/>
    <m/>
    <m/>
    <m/>
    <m/>
    <s v="INFASCO"/>
    <m/>
    <n v="97.85"/>
  </r>
  <r>
    <x v="0"/>
    <x v="10"/>
    <x v="9"/>
    <n v="36"/>
    <n v="450"/>
    <n v="16200"/>
    <m/>
    <m/>
    <m/>
    <m/>
    <m/>
    <m/>
    <m/>
    <m/>
    <m/>
    <m/>
    <m/>
    <m/>
    <m/>
    <m/>
    <m/>
    <m/>
    <s v="INFASCO"/>
    <m/>
    <n v="97.85"/>
  </r>
  <r>
    <x v="0"/>
    <x v="10"/>
    <x v="9"/>
    <n v="36"/>
    <n v="450"/>
    <n v="16200"/>
    <m/>
    <m/>
    <m/>
    <m/>
    <m/>
    <m/>
    <m/>
    <m/>
    <m/>
    <m/>
    <m/>
    <m/>
    <m/>
    <m/>
    <m/>
    <m/>
    <s v="INFASCO"/>
    <m/>
    <n v="97.85"/>
  </r>
  <r>
    <x v="0"/>
    <x v="10"/>
    <x v="9"/>
    <n v="36"/>
    <n v="450"/>
    <n v="16200"/>
    <m/>
    <m/>
    <m/>
    <m/>
    <m/>
    <m/>
    <m/>
    <m/>
    <m/>
    <m/>
    <m/>
    <m/>
    <m/>
    <m/>
    <m/>
    <m/>
    <s v="INFASCO"/>
    <m/>
    <n v="97.85"/>
  </r>
  <r>
    <x v="0"/>
    <x v="10"/>
    <x v="9"/>
    <n v="36"/>
    <n v="450"/>
    <n v="16200"/>
    <m/>
    <m/>
    <m/>
    <m/>
    <m/>
    <m/>
    <m/>
    <m/>
    <m/>
    <m/>
    <m/>
    <m/>
    <m/>
    <m/>
    <m/>
    <m/>
    <s v="INFASCO"/>
    <m/>
    <n v="97.85"/>
  </r>
  <r>
    <x v="0"/>
    <x v="8"/>
    <x v="9"/>
    <n v="36"/>
    <n v="450"/>
    <n v="16200"/>
    <m/>
    <m/>
    <m/>
    <m/>
    <m/>
    <m/>
    <m/>
    <m/>
    <m/>
    <m/>
    <m/>
    <m/>
    <m/>
    <m/>
    <m/>
    <m/>
    <s v="INFASCO"/>
    <m/>
    <n v="97.85"/>
  </r>
  <r>
    <x v="0"/>
    <x v="8"/>
    <x v="9"/>
    <n v="36"/>
    <n v="450"/>
    <n v="16200"/>
    <m/>
    <m/>
    <m/>
    <m/>
    <m/>
    <m/>
    <m/>
    <m/>
    <m/>
    <m/>
    <m/>
    <m/>
    <m/>
    <m/>
    <m/>
    <m/>
    <s v="INFASCO"/>
    <m/>
    <n v="97.85"/>
  </r>
  <r>
    <x v="0"/>
    <x v="4"/>
    <x v="9"/>
    <n v="36"/>
    <n v="450"/>
    <n v="16200"/>
    <m/>
    <m/>
    <m/>
    <m/>
    <m/>
    <m/>
    <m/>
    <m/>
    <m/>
    <m/>
    <m/>
    <m/>
    <m/>
    <m/>
    <m/>
    <m/>
    <s v="INFASCO"/>
    <m/>
    <n v="97.85"/>
  </r>
  <r>
    <x v="0"/>
    <x v="4"/>
    <x v="9"/>
    <n v="36"/>
    <n v="450"/>
    <n v="16200"/>
    <m/>
    <m/>
    <m/>
    <m/>
    <m/>
    <m/>
    <m/>
    <m/>
    <m/>
    <m/>
    <m/>
    <m/>
    <m/>
    <m/>
    <m/>
    <m/>
    <s v="INFASCO"/>
    <m/>
    <n v="97.85"/>
  </r>
  <r>
    <x v="0"/>
    <x v="4"/>
    <x v="9"/>
    <n v="36"/>
    <n v="450"/>
    <n v="16200"/>
    <m/>
    <m/>
    <m/>
    <m/>
    <m/>
    <m/>
    <m/>
    <m/>
    <m/>
    <m/>
    <m/>
    <m/>
    <m/>
    <m/>
    <m/>
    <m/>
    <s v="INFASCO"/>
    <m/>
    <n v="97.85"/>
  </r>
  <r>
    <x v="0"/>
    <x v="4"/>
    <x v="9"/>
    <n v="36"/>
    <n v="450"/>
    <n v="16200"/>
    <m/>
    <m/>
    <m/>
    <m/>
    <m/>
    <m/>
    <m/>
    <m/>
    <m/>
    <m/>
    <m/>
    <m/>
    <m/>
    <m/>
    <m/>
    <m/>
    <s v="INFASCO"/>
    <m/>
    <n v="97.85"/>
  </r>
  <r>
    <x v="0"/>
    <x v="11"/>
    <x v="10"/>
    <n v="36"/>
    <n v="450"/>
    <n v="16200"/>
    <m/>
    <m/>
    <m/>
    <m/>
    <m/>
    <m/>
    <m/>
    <m/>
    <m/>
    <m/>
    <m/>
    <m/>
    <m/>
    <m/>
    <m/>
    <m/>
    <s v="INFASCO"/>
    <m/>
    <n v="97.85"/>
  </r>
  <r>
    <x v="0"/>
    <x v="11"/>
    <x v="10"/>
    <n v="36"/>
    <n v="450"/>
    <n v="16200"/>
    <m/>
    <m/>
    <m/>
    <m/>
    <m/>
    <m/>
    <m/>
    <m/>
    <m/>
    <m/>
    <m/>
    <m/>
    <m/>
    <m/>
    <m/>
    <m/>
    <s v="INFASCO"/>
    <m/>
    <n v="97.85"/>
  </r>
  <r>
    <x v="0"/>
    <x v="12"/>
    <x v="10"/>
    <n v="36"/>
    <n v="450"/>
    <n v="16200"/>
    <m/>
    <m/>
    <m/>
    <m/>
    <m/>
    <m/>
    <m/>
    <m/>
    <m/>
    <m/>
    <m/>
    <m/>
    <m/>
    <m/>
    <m/>
    <m/>
    <s v="INFASCO"/>
    <m/>
    <n v="97.85"/>
  </r>
  <r>
    <x v="0"/>
    <x v="10"/>
    <x v="11"/>
    <n v="36"/>
    <n v="280"/>
    <n v="10080"/>
    <m/>
    <m/>
    <m/>
    <m/>
    <m/>
    <m/>
    <m/>
    <m/>
    <m/>
    <m/>
    <m/>
    <m/>
    <m/>
    <m/>
    <m/>
    <m/>
    <s v="INFASCO"/>
    <m/>
    <n v="97.85"/>
  </r>
  <r>
    <x v="0"/>
    <x v="10"/>
    <x v="11"/>
    <n v="36"/>
    <n v="280"/>
    <n v="10080"/>
    <m/>
    <m/>
    <m/>
    <m/>
    <m/>
    <m/>
    <m/>
    <m/>
    <m/>
    <m/>
    <m/>
    <m/>
    <m/>
    <m/>
    <m/>
    <m/>
    <s v="INFASCO"/>
    <m/>
    <n v="97.85"/>
  </r>
  <r>
    <x v="0"/>
    <x v="10"/>
    <x v="11"/>
    <n v="36"/>
    <n v="280"/>
    <n v="10080"/>
    <m/>
    <m/>
    <m/>
    <m/>
    <m/>
    <m/>
    <m/>
    <m/>
    <m/>
    <m/>
    <m/>
    <m/>
    <m/>
    <m/>
    <m/>
    <m/>
    <s v="INFASCO"/>
    <m/>
    <n v="97.85"/>
  </r>
  <r>
    <x v="0"/>
    <x v="10"/>
    <x v="11"/>
    <n v="36"/>
    <n v="280"/>
    <n v="10080"/>
    <m/>
    <m/>
    <m/>
    <m/>
    <m/>
    <m/>
    <m/>
    <m/>
    <m/>
    <m/>
    <m/>
    <m/>
    <m/>
    <m/>
    <m/>
    <m/>
    <s v="INFASCO"/>
    <m/>
    <n v="97.85"/>
  </r>
  <r>
    <x v="0"/>
    <x v="10"/>
    <x v="11"/>
    <n v="36"/>
    <n v="280"/>
    <n v="10080"/>
    <m/>
    <m/>
    <m/>
    <m/>
    <m/>
    <m/>
    <m/>
    <m/>
    <m/>
    <m/>
    <m/>
    <m/>
    <m/>
    <m/>
    <m/>
    <m/>
    <s v="INFASCO"/>
    <m/>
    <n v="97.85"/>
  </r>
  <r>
    <x v="0"/>
    <x v="8"/>
    <x v="11"/>
    <n v="36"/>
    <n v="280"/>
    <n v="10080"/>
    <m/>
    <m/>
    <m/>
    <m/>
    <m/>
    <m/>
    <m/>
    <m/>
    <m/>
    <m/>
    <m/>
    <m/>
    <m/>
    <m/>
    <m/>
    <m/>
    <s v="INFASCO"/>
    <m/>
    <n v="97.85"/>
  </r>
  <r>
    <x v="0"/>
    <x v="8"/>
    <x v="11"/>
    <n v="36"/>
    <n v="280"/>
    <n v="10080"/>
    <m/>
    <m/>
    <m/>
    <m/>
    <m/>
    <m/>
    <m/>
    <m/>
    <m/>
    <m/>
    <m/>
    <m/>
    <m/>
    <m/>
    <m/>
    <m/>
    <s v="INFASCO"/>
    <m/>
    <n v="97.85"/>
  </r>
  <r>
    <x v="0"/>
    <x v="8"/>
    <x v="11"/>
    <n v="36"/>
    <n v="280"/>
    <n v="10080"/>
    <m/>
    <m/>
    <m/>
    <m/>
    <m/>
    <m/>
    <m/>
    <m/>
    <m/>
    <m/>
    <m/>
    <m/>
    <m/>
    <m/>
    <m/>
    <m/>
    <s v="INFASCO"/>
    <m/>
    <n v="97.85"/>
  </r>
  <r>
    <x v="0"/>
    <x v="8"/>
    <x v="11"/>
    <n v="36"/>
    <n v="280"/>
    <n v="10080"/>
    <m/>
    <m/>
    <m/>
    <m/>
    <m/>
    <m/>
    <m/>
    <m/>
    <m/>
    <m/>
    <m/>
    <m/>
    <m/>
    <m/>
    <m/>
    <m/>
    <s v="INFASCO"/>
    <m/>
    <n v="97.85"/>
  </r>
  <r>
    <x v="0"/>
    <x v="10"/>
    <x v="12"/>
    <n v="1"/>
    <n v="10000"/>
    <n v="10000"/>
    <m/>
    <m/>
    <m/>
    <m/>
    <m/>
    <m/>
    <m/>
    <m/>
    <m/>
    <m/>
    <m/>
    <m/>
    <m/>
    <m/>
    <m/>
    <m/>
    <s v="INFASCO"/>
    <m/>
    <n v="118.45"/>
  </r>
  <r>
    <x v="0"/>
    <x v="10"/>
    <x v="11"/>
    <n v="33"/>
    <n v="280"/>
    <n v="9240"/>
    <m/>
    <m/>
    <m/>
    <m/>
    <m/>
    <m/>
    <m/>
    <m/>
    <m/>
    <m/>
    <m/>
    <m/>
    <m/>
    <m/>
    <m/>
    <m/>
    <s v="INFASCO"/>
    <m/>
    <n v="97.85"/>
  </r>
  <r>
    <x v="0"/>
    <x v="10"/>
    <x v="13"/>
    <n v="1"/>
    <n v="9038"/>
    <n v="9038"/>
    <m/>
    <m/>
    <m/>
    <m/>
    <m/>
    <m/>
    <m/>
    <m/>
    <m/>
    <m/>
    <m/>
    <m/>
    <m/>
    <m/>
    <m/>
    <m/>
    <s v="INFASCO"/>
    <m/>
    <n v="118.45"/>
  </r>
  <r>
    <x v="0"/>
    <x v="8"/>
    <x v="8"/>
    <n v="15"/>
    <n v="600"/>
    <n v="9000"/>
    <m/>
    <m/>
    <m/>
    <m/>
    <m/>
    <m/>
    <m/>
    <m/>
    <m/>
    <m/>
    <m/>
    <m/>
    <m/>
    <m/>
    <m/>
    <m/>
    <s v="INFASCO"/>
    <m/>
    <n v="123.6"/>
  </r>
  <r>
    <x v="0"/>
    <x v="8"/>
    <x v="9"/>
    <n v="18"/>
    <n v="450"/>
    <n v="8100"/>
    <m/>
    <m/>
    <m/>
    <m/>
    <m/>
    <m/>
    <m/>
    <m/>
    <m/>
    <m/>
    <m/>
    <m/>
    <m/>
    <m/>
    <m/>
    <m/>
    <s v="INFASCO"/>
    <m/>
    <n v="97.85"/>
  </r>
  <r>
    <x v="0"/>
    <x v="8"/>
    <x v="9"/>
    <n v="18"/>
    <n v="450"/>
    <n v="8100"/>
    <m/>
    <m/>
    <m/>
    <m/>
    <m/>
    <m/>
    <m/>
    <m/>
    <m/>
    <m/>
    <m/>
    <m/>
    <m/>
    <m/>
    <m/>
    <m/>
    <s v="INFASCO"/>
    <m/>
    <n v="97.85"/>
  </r>
  <r>
    <x v="0"/>
    <x v="10"/>
    <x v="11"/>
    <n v="24"/>
    <n v="280"/>
    <n v="6720"/>
    <m/>
    <m/>
    <m/>
    <m/>
    <m/>
    <m/>
    <m/>
    <m/>
    <m/>
    <m/>
    <m/>
    <m/>
    <m/>
    <m/>
    <m/>
    <m/>
    <s v="INFASCO"/>
    <m/>
    <n v="97.85"/>
  </r>
  <r>
    <x v="0"/>
    <x v="8"/>
    <x v="11"/>
    <n v="21"/>
    <n v="280"/>
    <n v="5880"/>
    <m/>
    <m/>
    <m/>
    <m/>
    <m/>
    <m/>
    <m/>
    <m/>
    <m/>
    <m/>
    <m/>
    <m/>
    <m/>
    <m/>
    <m/>
    <m/>
    <s v="INFASCO"/>
    <m/>
    <n v="97.85"/>
  </r>
  <r>
    <x v="0"/>
    <x v="10"/>
    <x v="9"/>
    <n v="12"/>
    <n v="450"/>
    <n v="5400"/>
    <m/>
    <m/>
    <m/>
    <m/>
    <m/>
    <m/>
    <m/>
    <m/>
    <m/>
    <m/>
    <m/>
    <m/>
    <m/>
    <m/>
    <m/>
    <m/>
    <s v="INFASCO"/>
    <m/>
    <n v="97.85"/>
  </r>
  <r>
    <x v="0"/>
    <x v="10"/>
    <x v="12"/>
    <n v="1"/>
    <n v="4748"/>
    <n v="4748"/>
    <m/>
    <m/>
    <m/>
    <m/>
    <m/>
    <m/>
    <m/>
    <m/>
    <m/>
    <m/>
    <m/>
    <m/>
    <m/>
    <m/>
    <m/>
    <m/>
    <s v="INFASCO"/>
    <m/>
    <n v="118.45"/>
  </r>
  <r>
    <x v="0"/>
    <x v="13"/>
    <x v="7"/>
    <n v="1"/>
    <m/>
    <n v="0"/>
    <m/>
    <m/>
    <m/>
    <m/>
    <m/>
    <m/>
    <m/>
    <m/>
    <m/>
    <m/>
    <m/>
    <m/>
    <m/>
    <m/>
    <m/>
    <m/>
    <s v="INFASCO"/>
    <m/>
    <n v="0"/>
  </r>
  <r>
    <x v="0"/>
    <x v="14"/>
    <x v="7"/>
    <n v="1"/>
    <m/>
    <n v="0"/>
    <m/>
    <m/>
    <m/>
    <m/>
    <m/>
    <m/>
    <m/>
    <m/>
    <m/>
    <m/>
    <m/>
    <m/>
    <m/>
    <m/>
    <m/>
    <m/>
    <s v="INFASCO"/>
    <m/>
    <n v="0"/>
  </r>
  <r>
    <x v="0"/>
    <x v="8"/>
    <x v="14"/>
    <n v="1"/>
    <m/>
    <n v="0"/>
    <m/>
    <m/>
    <m/>
    <m/>
    <m/>
    <m/>
    <m/>
    <m/>
    <m/>
    <m/>
    <m/>
    <m/>
    <m/>
    <m/>
    <m/>
    <m/>
    <s v="INFASCO"/>
    <m/>
    <n v="69"/>
  </r>
  <r>
    <x v="0"/>
    <x v="8"/>
    <x v="14"/>
    <n v="1"/>
    <m/>
    <n v="0"/>
    <m/>
    <m/>
    <m/>
    <m/>
    <m/>
    <m/>
    <m/>
    <m/>
    <m/>
    <m/>
    <m/>
    <m/>
    <m/>
    <m/>
    <m/>
    <m/>
    <s v="INFASCO"/>
    <m/>
    <n v="69"/>
  </r>
  <r>
    <x v="1"/>
    <x v="15"/>
    <x v="0"/>
    <n v="36"/>
    <n v="2500"/>
    <n v="90000"/>
    <m/>
    <m/>
    <m/>
    <m/>
    <m/>
    <m/>
    <m/>
    <m/>
    <m/>
    <m/>
    <m/>
    <m/>
    <m/>
    <m/>
    <m/>
    <m/>
    <s v="INFASCO"/>
    <m/>
    <n v="97.85"/>
  </r>
  <r>
    <x v="1"/>
    <x v="10"/>
    <x v="15"/>
    <n v="29"/>
    <n v="1800"/>
    <n v="52200"/>
    <m/>
    <m/>
    <m/>
    <m/>
    <m/>
    <m/>
    <m/>
    <m/>
    <m/>
    <m/>
    <m/>
    <m/>
    <m/>
    <m/>
    <m/>
    <m/>
    <s v="INFASCO"/>
    <m/>
    <n v="123.6"/>
  </r>
  <r>
    <x v="1"/>
    <x v="8"/>
    <x v="16"/>
    <n v="26"/>
    <n v="1900"/>
    <n v="49400"/>
    <m/>
    <m/>
    <m/>
    <m/>
    <m/>
    <m/>
    <m/>
    <m/>
    <m/>
    <m/>
    <m/>
    <m/>
    <m/>
    <m/>
    <m/>
    <m/>
    <s v="INFASCO"/>
    <m/>
    <n v="97.85"/>
  </r>
  <r>
    <x v="1"/>
    <x v="10"/>
    <x v="17"/>
    <n v="25"/>
    <n v="1900"/>
    <n v="47500"/>
    <m/>
    <m/>
    <m/>
    <m/>
    <m/>
    <m/>
    <m/>
    <m/>
    <m/>
    <m/>
    <m/>
    <m/>
    <m/>
    <m/>
    <m/>
    <m/>
    <e v="#N/A"/>
    <m/>
    <n v="95"/>
  </r>
  <r>
    <x v="1"/>
    <x v="6"/>
    <x v="18"/>
    <n v="36"/>
    <n v="1200"/>
    <n v="43200"/>
    <m/>
    <m/>
    <m/>
    <m/>
    <m/>
    <m/>
    <m/>
    <m/>
    <m/>
    <m/>
    <m/>
    <m/>
    <m/>
    <m/>
    <m/>
    <m/>
    <s v="INFASCO"/>
    <m/>
    <n v="97.85"/>
  </r>
  <r>
    <x v="1"/>
    <x v="6"/>
    <x v="18"/>
    <n v="36"/>
    <n v="1200"/>
    <n v="43200"/>
    <m/>
    <m/>
    <m/>
    <m/>
    <m/>
    <m/>
    <m/>
    <m/>
    <m/>
    <m/>
    <m/>
    <m/>
    <m/>
    <m/>
    <m/>
    <m/>
    <s v="INFASCO"/>
    <m/>
    <n v="97.85"/>
  </r>
  <r>
    <x v="1"/>
    <x v="3"/>
    <x v="19"/>
    <n v="32"/>
    <n v="1200"/>
    <n v="38400"/>
    <m/>
    <m/>
    <m/>
    <m/>
    <m/>
    <m/>
    <m/>
    <m/>
    <m/>
    <m/>
    <m/>
    <m/>
    <m/>
    <m/>
    <m/>
    <m/>
    <s v="INFASCO"/>
    <m/>
    <n v="97.85"/>
  </r>
  <r>
    <x v="1"/>
    <x v="1"/>
    <x v="19"/>
    <n v="30"/>
    <n v="1200"/>
    <n v="36000"/>
    <m/>
    <m/>
    <m/>
    <m/>
    <m/>
    <m/>
    <m/>
    <m/>
    <m/>
    <m/>
    <m/>
    <m/>
    <m/>
    <m/>
    <m/>
    <m/>
    <s v="INFASCO"/>
    <m/>
    <n v="97.85"/>
  </r>
  <r>
    <x v="1"/>
    <x v="5"/>
    <x v="5"/>
    <n v="36"/>
    <n v="1000"/>
    <n v="36000"/>
    <m/>
    <m/>
    <m/>
    <m/>
    <m/>
    <m/>
    <m/>
    <m/>
    <m/>
    <m/>
    <m/>
    <m/>
    <m/>
    <m/>
    <m/>
    <m/>
    <s v="INFASCO"/>
    <m/>
    <n v="97.85"/>
  </r>
  <r>
    <x v="1"/>
    <x v="10"/>
    <x v="7"/>
    <n v="36"/>
    <n v="700"/>
    <n v="25200"/>
    <m/>
    <m/>
    <m/>
    <m/>
    <m/>
    <m/>
    <m/>
    <m/>
    <m/>
    <m/>
    <m/>
    <m/>
    <m/>
    <m/>
    <m/>
    <m/>
    <s v="INFASCO"/>
    <m/>
    <n v="97.85"/>
  </r>
  <r>
    <x v="1"/>
    <x v="10"/>
    <x v="7"/>
    <n v="36"/>
    <n v="700"/>
    <n v="25200"/>
    <m/>
    <m/>
    <m/>
    <m/>
    <m/>
    <m/>
    <m/>
    <m/>
    <m/>
    <m/>
    <m/>
    <m/>
    <m/>
    <m/>
    <m/>
    <m/>
    <s v="INFASCO"/>
    <m/>
    <n v="97.85"/>
  </r>
  <r>
    <x v="1"/>
    <x v="10"/>
    <x v="7"/>
    <n v="36"/>
    <n v="700"/>
    <n v="25200"/>
    <m/>
    <m/>
    <m/>
    <m/>
    <m/>
    <m/>
    <m/>
    <m/>
    <m/>
    <m/>
    <m/>
    <m/>
    <m/>
    <m/>
    <m/>
    <m/>
    <s v="INFASCO"/>
    <m/>
    <n v="97.85"/>
  </r>
  <r>
    <x v="1"/>
    <x v="10"/>
    <x v="7"/>
    <n v="36"/>
    <n v="700"/>
    <n v="25200"/>
    <m/>
    <m/>
    <m/>
    <m/>
    <m/>
    <m/>
    <m/>
    <m/>
    <m/>
    <m/>
    <m/>
    <m/>
    <m/>
    <m/>
    <m/>
    <m/>
    <s v="INFASCO"/>
    <m/>
    <n v="97.85"/>
  </r>
  <r>
    <x v="1"/>
    <x v="6"/>
    <x v="6"/>
    <n v="36"/>
    <n v="700"/>
    <n v="25200"/>
    <m/>
    <m/>
    <m/>
    <m/>
    <m/>
    <m/>
    <m/>
    <m/>
    <m/>
    <m/>
    <m/>
    <m/>
    <m/>
    <m/>
    <m/>
    <m/>
    <s v="INFASCO"/>
    <m/>
    <n v="97.85"/>
  </r>
  <r>
    <x v="1"/>
    <x v="6"/>
    <x v="6"/>
    <n v="36"/>
    <n v="700"/>
    <n v="25200"/>
    <m/>
    <m/>
    <m/>
    <m/>
    <m/>
    <m/>
    <m/>
    <m/>
    <m/>
    <m/>
    <m/>
    <m/>
    <m/>
    <m/>
    <m/>
    <m/>
    <s v="INFASCO"/>
    <m/>
    <n v="97.85"/>
  </r>
  <r>
    <x v="1"/>
    <x v="7"/>
    <x v="7"/>
    <n v="36"/>
    <n v="700"/>
    <n v="25200"/>
    <m/>
    <m/>
    <m/>
    <m/>
    <m/>
    <m/>
    <m/>
    <m/>
    <m/>
    <m/>
    <m/>
    <m/>
    <m/>
    <m/>
    <m/>
    <m/>
    <s v="INFASCO"/>
    <m/>
    <n v="97.85"/>
  </r>
  <r>
    <x v="1"/>
    <x v="2"/>
    <x v="2"/>
    <n v="36"/>
    <n v="700"/>
    <n v="25200"/>
    <m/>
    <m/>
    <m/>
    <m/>
    <m/>
    <m/>
    <m/>
    <m/>
    <m/>
    <m/>
    <m/>
    <m/>
    <m/>
    <m/>
    <m/>
    <m/>
    <s v="INFASCO"/>
    <m/>
    <n v="97.85"/>
  </r>
  <r>
    <x v="1"/>
    <x v="8"/>
    <x v="7"/>
    <n v="36"/>
    <n v="700"/>
    <n v="25200"/>
    <m/>
    <m/>
    <m/>
    <m/>
    <m/>
    <m/>
    <m/>
    <m/>
    <m/>
    <m/>
    <m/>
    <m/>
    <m/>
    <m/>
    <m/>
    <m/>
    <s v="INFASCO"/>
    <m/>
    <n v="97.85"/>
  </r>
  <r>
    <x v="1"/>
    <x v="8"/>
    <x v="7"/>
    <n v="36"/>
    <n v="700"/>
    <n v="25200"/>
    <m/>
    <m/>
    <m/>
    <m/>
    <m/>
    <m/>
    <m/>
    <m/>
    <m/>
    <m/>
    <m/>
    <m/>
    <m/>
    <m/>
    <m/>
    <m/>
    <s v="INFASCO"/>
    <m/>
    <n v="97.85"/>
  </r>
  <r>
    <x v="1"/>
    <x v="8"/>
    <x v="7"/>
    <n v="36"/>
    <n v="700"/>
    <n v="25200"/>
    <m/>
    <m/>
    <m/>
    <m/>
    <m/>
    <m/>
    <m/>
    <m/>
    <m/>
    <m/>
    <m/>
    <m/>
    <m/>
    <m/>
    <m/>
    <m/>
    <s v="INFASCO"/>
    <m/>
    <n v="97.85"/>
  </r>
  <r>
    <x v="1"/>
    <x v="8"/>
    <x v="7"/>
    <n v="36"/>
    <n v="700"/>
    <n v="25200"/>
    <m/>
    <m/>
    <m/>
    <m/>
    <m/>
    <m/>
    <m/>
    <m/>
    <m/>
    <m/>
    <m/>
    <m/>
    <m/>
    <m/>
    <m/>
    <m/>
    <s v="INFASCO"/>
    <m/>
    <n v="97.85"/>
  </r>
  <r>
    <x v="1"/>
    <x v="10"/>
    <x v="20"/>
    <n v="24"/>
    <n v="1000"/>
    <n v="24000"/>
    <m/>
    <m/>
    <m/>
    <m/>
    <m/>
    <m/>
    <m/>
    <m/>
    <m/>
    <m/>
    <m/>
    <m/>
    <m/>
    <m/>
    <m/>
    <m/>
    <s v="INFASCO"/>
    <m/>
    <n v="123.6"/>
  </r>
  <r>
    <x v="1"/>
    <x v="10"/>
    <x v="20"/>
    <n v="22"/>
    <n v="1000"/>
    <n v="22000"/>
    <m/>
    <m/>
    <m/>
    <m/>
    <m/>
    <m/>
    <m/>
    <m/>
    <m/>
    <m/>
    <m/>
    <m/>
    <m/>
    <m/>
    <m/>
    <m/>
    <s v="INFASCO"/>
    <m/>
    <n v="123.6"/>
  </r>
  <r>
    <x v="1"/>
    <x v="10"/>
    <x v="21"/>
    <n v="29"/>
    <n v="700"/>
    <n v="20300"/>
    <m/>
    <m/>
    <m/>
    <m/>
    <m/>
    <m/>
    <m/>
    <m/>
    <m/>
    <m/>
    <m/>
    <m/>
    <m/>
    <m/>
    <m/>
    <m/>
    <e v="#N/A"/>
    <m/>
    <n v="95"/>
  </r>
  <r>
    <x v="1"/>
    <x v="8"/>
    <x v="22"/>
    <n v="35"/>
    <n v="550"/>
    <n v="19250"/>
    <m/>
    <m/>
    <m/>
    <m/>
    <m/>
    <m/>
    <m/>
    <m/>
    <m/>
    <m/>
    <m/>
    <m/>
    <m/>
    <m/>
    <m/>
    <m/>
    <s v="INFASCO"/>
    <m/>
    <n v="123.6"/>
  </r>
  <r>
    <x v="1"/>
    <x v="11"/>
    <x v="7"/>
    <n v="27"/>
    <n v="700"/>
    <n v="18900"/>
    <m/>
    <m/>
    <m/>
    <m/>
    <m/>
    <m/>
    <m/>
    <m/>
    <m/>
    <m/>
    <m/>
    <m/>
    <m/>
    <m/>
    <m/>
    <m/>
    <s v="INFASCO"/>
    <m/>
    <n v="97.85"/>
  </r>
  <r>
    <x v="1"/>
    <x v="12"/>
    <x v="10"/>
    <n v="40"/>
    <n v="450"/>
    <n v="18000"/>
    <m/>
    <m/>
    <m/>
    <m/>
    <m/>
    <m/>
    <m/>
    <m/>
    <m/>
    <m/>
    <m/>
    <m/>
    <m/>
    <m/>
    <m/>
    <m/>
    <s v="INFASCO"/>
    <m/>
    <n v="97.85"/>
  </r>
  <r>
    <x v="1"/>
    <x v="10"/>
    <x v="20"/>
    <n v="18"/>
    <n v="1000"/>
    <n v="18000"/>
    <m/>
    <m/>
    <m/>
    <m/>
    <m/>
    <m/>
    <m/>
    <m/>
    <m/>
    <m/>
    <m/>
    <m/>
    <m/>
    <m/>
    <m/>
    <m/>
    <s v="INFASCO"/>
    <m/>
    <n v="123.6"/>
  </r>
  <r>
    <x v="1"/>
    <x v="4"/>
    <x v="9"/>
    <n v="36"/>
    <n v="450"/>
    <n v="16200"/>
    <m/>
    <m/>
    <m/>
    <m/>
    <m/>
    <m/>
    <m/>
    <m/>
    <m/>
    <m/>
    <m/>
    <m/>
    <m/>
    <m/>
    <m/>
    <m/>
    <s v="INFASCO"/>
    <m/>
    <n v="97.85"/>
  </r>
  <r>
    <x v="1"/>
    <x v="4"/>
    <x v="9"/>
    <n v="36"/>
    <n v="450"/>
    <n v="16200"/>
    <m/>
    <m/>
    <m/>
    <m/>
    <m/>
    <m/>
    <m/>
    <m/>
    <m/>
    <m/>
    <m/>
    <m/>
    <m/>
    <m/>
    <m/>
    <m/>
    <s v="INFASCO"/>
    <m/>
    <n v="97.85"/>
  </r>
  <r>
    <x v="1"/>
    <x v="4"/>
    <x v="10"/>
    <n v="36"/>
    <n v="450"/>
    <n v="16200"/>
    <m/>
    <m/>
    <m/>
    <m/>
    <m/>
    <m/>
    <m/>
    <m/>
    <m/>
    <m/>
    <m/>
    <m/>
    <m/>
    <m/>
    <m/>
    <m/>
    <s v="INFASCO"/>
    <m/>
    <n v="97.85"/>
  </r>
  <r>
    <x v="1"/>
    <x v="4"/>
    <x v="10"/>
    <n v="36"/>
    <n v="450"/>
    <n v="16200"/>
    <m/>
    <m/>
    <m/>
    <m/>
    <m/>
    <m/>
    <m/>
    <m/>
    <m/>
    <m/>
    <m/>
    <m/>
    <m/>
    <m/>
    <m/>
    <m/>
    <s v="INFASCO"/>
    <m/>
    <n v="97.85"/>
  </r>
  <r>
    <x v="1"/>
    <x v="4"/>
    <x v="10"/>
    <n v="36"/>
    <n v="450"/>
    <n v="16200"/>
    <m/>
    <m/>
    <m/>
    <m/>
    <m/>
    <m/>
    <m/>
    <m/>
    <m/>
    <m/>
    <m/>
    <m/>
    <m/>
    <m/>
    <m/>
    <m/>
    <s v="INFASCO"/>
    <m/>
    <n v="97.85"/>
  </r>
  <r>
    <x v="1"/>
    <x v="11"/>
    <x v="10"/>
    <n v="30"/>
    <n v="450"/>
    <n v="13500"/>
    <m/>
    <m/>
    <m/>
    <m/>
    <m/>
    <m/>
    <m/>
    <m/>
    <m/>
    <m/>
    <m/>
    <m/>
    <m/>
    <m/>
    <m/>
    <m/>
    <s v="INFASCO"/>
    <m/>
    <n v="97.85"/>
  </r>
  <r>
    <x v="1"/>
    <x v="11"/>
    <x v="10"/>
    <n v="14"/>
    <n v="450"/>
    <n v="6300"/>
    <m/>
    <m/>
    <m/>
    <m/>
    <m/>
    <m/>
    <m/>
    <m/>
    <m/>
    <m/>
    <m/>
    <m/>
    <m/>
    <m/>
    <m/>
    <m/>
    <s v="INFASCO"/>
    <m/>
    <n v="97.85"/>
  </r>
  <r>
    <x v="1"/>
    <x v="12"/>
    <x v="10"/>
    <n v="10"/>
    <n v="450"/>
    <n v="4500"/>
    <m/>
    <m/>
    <m/>
    <m/>
    <m/>
    <m/>
    <m/>
    <m/>
    <m/>
    <m/>
    <m/>
    <m/>
    <m/>
    <m/>
    <m/>
    <m/>
    <s v="INFASCO"/>
    <m/>
    <n v="97.85"/>
  </r>
  <r>
    <x v="1"/>
    <x v="14"/>
    <x v="7"/>
    <n v="36"/>
    <m/>
    <n v="0"/>
    <m/>
    <m/>
    <m/>
    <m/>
    <m/>
    <m/>
    <m/>
    <m/>
    <m/>
    <m/>
    <m/>
    <m/>
    <m/>
    <m/>
    <m/>
    <m/>
    <s v="INFASCO"/>
    <m/>
    <n v="97.85"/>
  </r>
  <r>
    <x v="2"/>
    <x v="8"/>
    <x v="23"/>
    <n v="27"/>
    <n v="4000"/>
    <n v="108000"/>
    <m/>
    <m/>
    <m/>
    <m/>
    <m/>
    <m/>
    <m/>
    <m/>
    <m/>
    <m/>
    <m/>
    <m/>
    <m/>
    <m/>
    <m/>
    <m/>
    <s v="INFASCO"/>
    <m/>
    <n v="97.85"/>
  </r>
  <r>
    <x v="2"/>
    <x v="8"/>
    <x v="24"/>
    <n v="29"/>
    <n v="3600"/>
    <n v="104400"/>
    <m/>
    <m/>
    <m/>
    <m/>
    <m/>
    <m/>
    <m/>
    <m/>
    <m/>
    <m/>
    <m/>
    <m/>
    <m/>
    <m/>
    <m/>
    <m/>
    <s v="INFASCO"/>
    <m/>
    <n v="97.85"/>
  </r>
  <r>
    <x v="2"/>
    <x v="2"/>
    <x v="2"/>
    <n v="36"/>
    <n v="2700"/>
    <n v="97200"/>
    <m/>
    <m/>
    <m/>
    <m/>
    <m/>
    <m/>
    <m/>
    <m/>
    <m/>
    <m/>
    <m/>
    <m/>
    <m/>
    <m/>
    <m/>
    <m/>
    <s v="INFASCO"/>
    <m/>
    <n v="97.85"/>
  </r>
  <r>
    <x v="2"/>
    <x v="8"/>
    <x v="23"/>
    <n v="23"/>
    <n v="4000"/>
    <n v="92000"/>
    <m/>
    <m/>
    <m/>
    <m/>
    <m/>
    <m/>
    <m/>
    <m/>
    <m/>
    <m/>
    <m/>
    <m/>
    <m/>
    <m/>
    <m/>
    <m/>
    <s v="INFASCO"/>
    <m/>
    <n v="97.85"/>
  </r>
  <r>
    <x v="2"/>
    <x v="15"/>
    <x v="0"/>
    <n v="36"/>
    <n v="2500"/>
    <n v="90000"/>
    <m/>
    <m/>
    <m/>
    <m/>
    <m/>
    <m/>
    <m/>
    <m/>
    <m/>
    <m/>
    <m/>
    <m/>
    <m/>
    <m/>
    <m/>
    <m/>
    <s v="INFASCO"/>
    <m/>
    <n v="97.85"/>
  </r>
  <r>
    <x v="2"/>
    <x v="0"/>
    <x v="0"/>
    <n v="32"/>
    <n v="2500"/>
    <n v="80000"/>
    <m/>
    <m/>
    <m/>
    <m/>
    <m/>
    <m/>
    <m/>
    <m/>
    <m/>
    <m/>
    <m/>
    <m/>
    <m/>
    <m/>
    <m/>
    <m/>
    <s v="INFASCO"/>
    <m/>
    <n v="97.85"/>
  </r>
  <r>
    <x v="2"/>
    <x v="12"/>
    <x v="25"/>
    <n v="36"/>
    <n v="1900"/>
    <n v="68400"/>
    <m/>
    <m/>
    <m/>
    <m/>
    <m/>
    <m/>
    <m/>
    <m/>
    <m/>
    <m/>
    <m/>
    <m/>
    <m/>
    <m/>
    <m/>
    <m/>
    <s v="INFASCO"/>
    <m/>
    <n v="97.85"/>
  </r>
  <r>
    <x v="2"/>
    <x v="8"/>
    <x v="26"/>
    <n v="36"/>
    <n v="1400"/>
    <n v="50400"/>
    <m/>
    <m/>
    <m/>
    <m/>
    <m/>
    <m/>
    <m/>
    <m/>
    <m/>
    <m/>
    <m/>
    <m/>
    <m/>
    <m/>
    <m/>
    <m/>
    <s v="INFASCO"/>
    <m/>
    <n v="123.6"/>
  </r>
  <r>
    <x v="2"/>
    <x v="6"/>
    <x v="18"/>
    <n v="36"/>
    <n v="1200"/>
    <n v="43200"/>
    <m/>
    <m/>
    <m/>
    <m/>
    <m/>
    <m/>
    <m/>
    <m/>
    <m/>
    <m/>
    <m/>
    <m/>
    <m/>
    <m/>
    <m/>
    <m/>
    <s v="INFASCO"/>
    <m/>
    <n v="97.85"/>
  </r>
  <r>
    <x v="2"/>
    <x v="5"/>
    <x v="19"/>
    <n v="36"/>
    <n v="1200"/>
    <n v="43200"/>
    <m/>
    <m/>
    <m/>
    <m/>
    <m/>
    <m/>
    <m/>
    <m/>
    <m/>
    <m/>
    <m/>
    <m/>
    <m/>
    <m/>
    <m/>
    <m/>
    <s v="INFASCO"/>
    <m/>
    <n v="97.85"/>
  </r>
  <r>
    <x v="2"/>
    <x v="3"/>
    <x v="19"/>
    <n v="36"/>
    <n v="1200"/>
    <n v="43200"/>
    <m/>
    <m/>
    <m/>
    <m/>
    <m/>
    <m/>
    <m/>
    <m/>
    <m/>
    <m/>
    <m/>
    <m/>
    <m/>
    <m/>
    <m/>
    <m/>
    <s v="INFASCO"/>
    <m/>
    <n v="97.85"/>
  </r>
  <r>
    <x v="2"/>
    <x v="1"/>
    <x v="19"/>
    <n v="33"/>
    <n v="1200"/>
    <n v="39600"/>
    <m/>
    <m/>
    <m/>
    <m/>
    <m/>
    <m/>
    <m/>
    <m/>
    <m/>
    <m/>
    <m/>
    <m/>
    <m/>
    <m/>
    <m/>
    <m/>
    <s v="INFASCO"/>
    <m/>
    <n v="97.85"/>
  </r>
  <r>
    <x v="2"/>
    <x v="3"/>
    <x v="19"/>
    <n v="32"/>
    <n v="1200"/>
    <n v="38400"/>
    <m/>
    <m/>
    <m/>
    <m/>
    <m/>
    <m/>
    <m/>
    <m/>
    <m/>
    <m/>
    <m/>
    <m/>
    <m/>
    <m/>
    <m/>
    <m/>
    <s v="INFASCO"/>
    <m/>
    <n v="97.85"/>
  </r>
  <r>
    <x v="2"/>
    <x v="8"/>
    <x v="27"/>
    <n v="30"/>
    <n v="1200"/>
    <n v="36000"/>
    <m/>
    <m/>
    <m/>
    <m/>
    <m/>
    <m/>
    <m/>
    <m/>
    <m/>
    <m/>
    <m/>
    <m/>
    <m/>
    <m/>
    <m/>
    <m/>
    <e v="#N/A"/>
    <m/>
    <n v="95"/>
  </r>
  <r>
    <x v="2"/>
    <x v="9"/>
    <x v="4"/>
    <n v="29"/>
    <n v="1200"/>
    <n v="34800"/>
    <m/>
    <m/>
    <m/>
    <m/>
    <m/>
    <m/>
    <m/>
    <m/>
    <m/>
    <m/>
    <m/>
    <m/>
    <m/>
    <m/>
    <m/>
    <m/>
    <s v="INFASCO"/>
    <m/>
    <n v="97.85"/>
  </r>
  <r>
    <x v="2"/>
    <x v="8"/>
    <x v="26"/>
    <n v="24"/>
    <n v="1400"/>
    <n v="33600"/>
    <m/>
    <m/>
    <m/>
    <m/>
    <m/>
    <m/>
    <m/>
    <m/>
    <m/>
    <m/>
    <m/>
    <m/>
    <m/>
    <m/>
    <m/>
    <m/>
    <s v="INFASCO"/>
    <m/>
    <n v="123.6"/>
  </r>
  <r>
    <x v="2"/>
    <x v="11"/>
    <x v="7"/>
    <n v="45"/>
    <n v="700"/>
    <n v="31500"/>
    <m/>
    <m/>
    <m/>
    <m/>
    <m/>
    <m/>
    <m/>
    <m/>
    <m/>
    <m/>
    <m/>
    <m/>
    <m/>
    <m/>
    <m/>
    <m/>
    <s v="INFASCO"/>
    <m/>
    <n v="97.85"/>
  </r>
  <r>
    <x v="2"/>
    <x v="10"/>
    <x v="28"/>
    <n v="36"/>
    <n v="800"/>
    <n v="28800"/>
    <m/>
    <m/>
    <m/>
    <m/>
    <m/>
    <m/>
    <m/>
    <m/>
    <m/>
    <m/>
    <m/>
    <m/>
    <m/>
    <m/>
    <m/>
    <m/>
    <s v="INFASCO"/>
    <m/>
    <n v="97.85"/>
  </r>
  <r>
    <x v="2"/>
    <x v="8"/>
    <x v="28"/>
    <n v="36"/>
    <n v="800"/>
    <n v="28800"/>
    <m/>
    <m/>
    <m/>
    <m/>
    <m/>
    <m/>
    <m/>
    <m/>
    <m/>
    <m/>
    <m/>
    <m/>
    <m/>
    <m/>
    <m/>
    <m/>
    <s v="INFASCO"/>
    <m/>
    <n v="97.85"/>
  </r>
  <r>
    <x v="2"/>
    <x v="10"/>
    <x v="22"/>
    <n v="49"/>
    <n v="550"/>
    <n v="26950"/>
    <m/>
    <m/>
    <m/>
    <m/>
    <m/>
    <m/>
    <m/>
    <m/>
    <m/>
    <m/>
    <m/>
    <m/>
    <m/>
    <m/>
    <m/>
    <m/>
    <s v="INFASCO"/>
    <m/>
    <n v="123.6"/>
  </r>
  <r>
    <x v="2"/>
    <x v="10"/>
    <x v="7"/>
    <n v="36"/>
    <n v="700"/>
    <n v="25200"/>
    <m/>
    <m/>
    <m/>
    <m/>
    <m/>
    <m/>
    <m/>
    <m/>
    <m/>
    <m/>
    <m/>
    <m/>
    <m/>
    <m/>
    <m/>
    <m/>
    <s v="INFASCO"/>
    <m/>
    <n v="97.85"/>
  </r>
  <r>
    <x v="2"/>
    <x v="16"/>
    <x v="7"/>
    <n v="36"/>
    <n v="700"/>
    <n v="25200"/>
    <m/>
    <m/>
    <m/>
    <m/>
    <m/>
    <m/>
    <m/>
    <m/>
    <m/>
    <m/>
    <m/>
    <m/>
    <m/>
    <m/>
    <m/>
    <m/>
    <s v="INFASCO"/>
    <m/>
    <n v="97.85"/>
  </r>
  <r>
    <x v="2"/>
    <x v="7"/>
    <x v="7"/>
    <n v="36"/>
    <n v="700"/>
    <n v="25200"/>
    <m/>
    <m/>
    <m/>
    <m/>
    <m/>
    <m/>
    <m/>
    <m/>
    <m/>
    <m/>
    <m/>
    <m/>
    <m/>
    <m/>
    <m/>
    <m/>
    <s v="INFASCO"/>
    <m/>
    <n v="97.85"/>
  </r>
  <r>
    <x v="2"/>
    <x v="11"/>
    <x v="7"/>
    <n v="36"/>
    <n v="700"/>
    <n v="25200"/>
    <m/>
    <m/>
    <m/>
    <m/>
    <m/>
    <m/>
    <m/>
    <m/>
    <m/>
    <m/>
    <m/>
    <m/>
    <m/>
    <m/>
    <m/>
    <m/>
    <s v="INFASCO"/>
    <m/>
    <n v="97.85"/>
  </r>
  <r>
    <x v="2"/>
    <x v="13"/>
    <x v="7"/>
    <n v="36"/>
    <n v="700"/>
    <n v="25200"/>
    <m/>
    <m/>
    <m/>
    <m/>
    <m/>
    <m/>
    <m/>
    <m/>
    <m/>
    <m/>
    <m/>
    <m/>
    <m/>
    <m/>
    <m/>
    <m/>
    <s v="INFASCO"/>
    <m/>
    <n v="97.85"/>
  </r>
  <r>
    <x v="2"/>
    <x v="14"/>
    <x v="7"/>
    <n v="36"/>
    <n v="700"/>
    <n v="25200"/>
    <m/>
    <m/>
    <m/>
    <m/>
    <m/>
    <m/>
    <m/>
    <m/>
    <m/>
    <m/>
    <m/>
    <m/>
    <m/>
    <m/>
    <m/>
    <m/>
    <s v="INFASCO"/>
    <m/>
    <n v="97.85"/>
  </r>
  <r>
    <x v="2"/>
    <x v="10"/>
    <x v="22"/>
    <n v="39"/>
    <n v="550"/>
    <n v="21450"/>
    <m/>
    <m/>
    <m/>
    <m/>
    <m/>
    <m/>
    <m/>
    <m/>
    <m/>
    <m/>
    <m/>
    <m/>
    <m/>
    <m/>
    <m/>
    <m/>
    <s v="INFASCO"/>
    <m/>
    <n v="123.6"/>
  </r>
  <r>
    <x v="2"/>
    <x v="10"/>
    <x v="22"/>
    <n v="35"/>
    <n v="550"/>
    <n v="19250"/>
    <m/>
    <m/>
    <m/>
    <m/>
    <m/>
    <m/>
    <m/>
    <m/>
    <m/>
    <m/>
    <m/>
    <m/>
    <m/>
    <m/>
    <m/>
    <m/>
    <s v="INFASCO"/>
    <m/>
    <n v="123.6"/>
  </r>
  <r>
    <x v="2"/>
    <x v="4"/>
    <x v="10"/>
    <n v="36"/>
    <n v="450"/>
    <n v="16200"/>
    <m/>
    <m/>
    <m/>
    <m/>
    <m/>
    <m/>
    <m/>
    <m/>
    <m/>
    <m/>
    <m/>
    <m/>
    <m/>
    <m/>
    <m/>
    <m/>
    <s v="INFASCO"/>
    <m/>
    <n v="97.85"/>
  </r>
  <r>
    <x v="2"/>
    <x v="10"/>
    <x v="29"/>
    <n v="29"/>
    <n v="550"/>
    <n v="15950"/>
    <m/>
    <m/>
    <m/>
    <m/>
    <m/>
    <m/>
    <m/>
    <m/>
    <m/>
    <m/>
    <m/>
    <m/>
    <m/>
    <m/>
    <m/>
    <m/>
    <s v="INFASCO"/>
    <m/>
    <n v="97.85"/>
  </r>
  <r>
    <x v="2"/>
    <x v="8"/>
    <x v="30"/>
    <n v="36"/>
    <n v="425"/>
    <n v="15300"/>
    <m/>
    <m/>
    <m/>
    <m/>
    <m/>
    <m/>
    <m/>
    <m/>
    <m/>
    <m/>
    <m/>
    <m/>
    <m/>
    <m/>
    <m/>
    <m/>
    <s v="INFASCO"/>
    <m/>
    <n v="97.85"/>
  </r>
  <r>
    <x v="2"/>
    <x v="10"/>
    <x v="31"/>
    <n v="43"/>
    <n v="210"/>
    <n v="9030"/>
    <m/>
    <m/>
    <m/>
    <m/>
    <m/>
    <m/>
    <m/>
    <m/>
    <m/>
    <m/>
    <m/>
    <m/>
    <m/>
    <m/>
    <m/>
    <m/>
    <s v="INFASCO"/>
    <m/>
    <n v="97.85"/>
  </r>
  <r>
    <x v="2"/>
    <x v="8"/>
    <x v="32"/>
    <n v="36"/>
    <n v="220"/>
    <n v="7920"/>
    <m/>
    <m/>
    <m/>
    <m/>
    <m/>
    <m/>
    <m/>
    <m/>
    <m/>
    <m/>
    <m/>
    <m/>
    <m/>
    <m/>
    <m/>
    <m/>
    <s v="INFASCO"/>
    <m/>
    <n v="97.85"/>
  </r>
  <r>
    <x v="2"/>
    <x v="10"/>
    <x v="32"/>
    <n v="35"/>
    <n v="210"/>
    <n v="7350"/>
    <m/>
    <m/>
    <m/>
    <m/>
    <m/>
    <m/>
    <m/>
    <m/>
    <m/>
    <m/>
    <m/>
    <m/>
    <m/>
    <m/>
    <m/>
    <m/>
    <s v="INFASCO"/>
    <m/>
    <n v="97.85"/>
  </r>
  <r>
    <x v="2"/>
    <x v="6"/>
    <x v="18"/>
    <n v="6"/>
    <n v="1200"/>
    <n v="7200"/>
    <m/>
    <m/>
    <m/>
    <m/>
    <m/>
    <m/>
    <m/>
    <m/>
    <m/>
    <m/>
    <m/>
    <m/>
    <m/>
    <m/>
    <m/>
    <m/>
    <s v="INFASCO"/>
    <m/>
    <n v="97.85"/>
  </r>
  <r>
    <x v="2"/>
    <x v="1"/>
    <x v="19"/>
    <n v="5"/>
    <n v="1200"/>
    <n v="6000"/>
    <m/>
    <m/>
    <m/>
    <m/>
    <m/>
    <m/>
    <m/>
    <m/>
    <m/>
    <m/>
    <m/>
    <m/>
    <m/>
    <m/>
    <m/>
    <m/>
    <s v="INFASCO"/>
    <m/>
    <n v="97.85"/>
  </r>
  <r>
    <x v="2"/>
    <x v="8"/>
    <x v="33"/>
    <n v="32"/>
    <n v="145"/>
    <n v="4640"/>
    <m/>
    <m/>
    <m/>
    <m/>
    <m/>
    <m/>
    <m/>
    <m/>
    <m/>
    <m/>
    <m/>
    <m/>
    <m/>
    <m/>
    <m/>
    <m/>
    <s v="INFASCO"/>
    <m/>
    <n v="123.6"/>
  </r>
  <r>
    <x v="2"/>
    <x v="8"/>
    <x v="34"/>
    <n v="33"/>
    <n v="135"/>
    <n v="4455"/>
    <m/>
    <m/>
    <m/>
    <m/>
    <m/>
    <m/>
    <m/>
    <m/>
    <m/>
    <m/>
    <m/>
    <m/>
    <m/>
    <m/>
    <m/>
    <m/>
    <s v="INFASCO"/>
    <m/>
    <n v="97.85"/>
  </r>
  <r>
    <x v="2"/>
    <x v="10"/>
    <x v="35"/>
    <n v="36"/>
    <n v="120"/>
    <n v="4320"/>
    <m/>
    <m/>
    <m/>
    <m/>
    <m/>
    <m/>
    <m/>
    <m/>
    <m/>
    <m/>
    <m/>
    <m/>
    <m/>
    <m/>
    <m/>
    <m/>
    <s v="INFASCO"/>
    <m/>
    <n v="97.85"/>
  </r>
  <r>
    <x v="2"/>
    <x v="10"/>
    <x v="35"/>
    <n v="36"/>
    <n v="120"/>
    <n v="4320"/>
    <m/>
    <m/>
    <m/>
    <m/>
    <m/>
    <m/>
    <m/>
    <m/>
    <m/>
    <m/>
    <m/>
    <m/>
    <m/>
    <m/>
    <m/>
    <m/>
    <s v="INFASCO"/>
    <m/>
    <n v="97.85"/>
  </r>
  <r>
    <x v="3"/>
    <x v="8"/>
    <x v="36"/>
    <n v="36"/>
    <n v="4000"/>
    <n v="144000"/>
    <m/>
    <m/>
    <m/>
    <m/>
    <m/>
    <m/>
    <m/>
    <m/>
    <m/>
    <m/>
    <m/>
    <m/>
    <m/>
    <m/>
    <m/>
    <m/>
    <s v="INFASCO"/>
    <m/>
    <n v="123.6"/>
  </r>
  <r>
    <x v="3"/>
    <x v="8"/>
    <x v="36"/>
    <n v="31"/>
    <n v="4000"/>
    <n v="124000"/>
    <m/>
    <m/>
    <m/>
    <m/>
    <m/>
    <m/>
    <m/>
    <m/>
    <m/>
    <m/>
    <m/>
    <m/>
    <m/>
    <m/>
    <m/>
    <m/>
    <s v="INFASCO"/>
    <m/>
    <n v="123.6"/>
  </r>
  <r>
    <x v="3"/>
    <x v="8"/>
    <x v="36"/>
    <n v="30"/>
    <n v="4000"/>
    <n v="120000"/>
    <m/>
    <m/>
    <m/>
    <m/>
    <m/>
    <m/>
    <m/>
    <m/>
    <m/>
    <m/>
    <m/>
    <m/>
    <m/>
    <m/>
    <m/>
    <m/>
    <s v="INFASCO"/>
    <m/>
    <n v="123.6"/>
  </r>
  <r>
    <x v="3"/>
    <x v="8"/>
    <x v="36"/>
    <n v="27"/>
    <n v="4000"/>
    <n v="108000"/>
    <m/>
    <m/>
    <m/>
    <m/>
    <m/>
    <m/>
    <m/>
    <m/>
    <m/>
    <m/>
    <m/>
    <m/>
    <m/>
    <m/>
    <m/>
    <m/>
    <s v="INFASCO"/>
    <m/>
    <n v="123.6"/>
  </r>
  <r>
    <x v="3"/>
    <x v="2"/>
    <x v="2"/>
    <n v="36"/>
    <n v="2700"/>
    <n v="97200"/>
    <m/>
    <m/>
    <m/>
    <m/>
    <m/>
    <m/>
    <m/>
    <m/>
    <m/>
    <m/>
    <m/>
    <m/>
    <m/>
    <m/>
    <m/>
    <m/>
    <s v="INFASCO"/>
    <m/>
    <n v="97.85"/>
  </r>
  <r>
    <x v="3"/>
    <x v="4"/>
    <x v="37"/>
    <n v="36"/>
    <n v="2500"/>
    <n v="90000"/>
    <m/>
    <m/>
    <m/>
    <m/>
    <m/>
    <m/>
    <m/>
    <m/>
    <m/>
    <m/>
    <m/>
    <m/>
    <m/>
    <m/>
    <m/>
    <m/>
    <s v="INFASCO"/>
    <m/>
    <n v="97.85"/>
  </r>
  <r>
    <x v="3"/>
    <x v="4"/>
    <x v="37"/>
    <n v="36"/>
    <n v="2500"/>
    <n v="90000"/>
    <m/>
    <m/>
    <m/>
    <m/>
    <m/>
    <m/>
    <m/>
    <m/>
    <m/>
    <m/>
    <m/>
    <m/>
    <m/>
    <m/>
    <m/>
    <m/>
    <s v="INFASCO"/>
    <m/>
    <n v="97.85"/>
  </r>
  <r>
    <x v="3"/>
    <x v="15"/>
    <x v="0"/>
    <n v="36"/>
    <n v="2500"/>
    <n v="90000"/>
    <m/>
    <m/>
    <m/>
    <m/>
    <m/>
    <m/>
    <m/>
    <m/>
    <m/>
    <m/>
    <m/>
    <m/>
    <m/>
    <m/>
    <m/>
    <m/>
    <s v="INFASCO"/>
    <m/>
    <n v="97.85"/>
  </r>
  <r>
    <x v="3"/>
    <x v="12"/>
    <x v="25"/>
    <n v="36"/>
    <n v="1900"/>
    <n v="68400"/>
    <m/>
    <m/>
    <m/>
    <m/>
    <m/>
    <m/>
    <m/>
    <m/>
    <m/>
    <m/>
    <m/>
    <m/>
    <m/>
    <m/>
    <m/>
    <m/>
    <s v="INFASCO"/>
    <m/>
    <n v="97.85"/>
  </r>
  <r>
    <x v="3"/>
    <x v="0"/>
    <x v="0"/>
    <n v="27"/>
    <n v="2500"/>
    <n v="67500"/>
    <m/>
    <m/>
    <m/>
    <m/>
    <m/>
    <m/>
    <m/>
    <m/>
    <m/>
    <m/>
    <m/>
    <m/>
    <m/>
    <m/>
    <m/>
    <m/>
    <s v="INFASCO"/>
    <m/>
    <n v="97.85"/>
  </r>
  <r>
    <x v="3"/>
    <x v="6"/>
    <x v="18"/>
    <n v="36"/>
    <n v="1200"/>
    <n v="43200"/>
    <m/>
    <m/>
    <m/>
    <m/>
    <m/>
    <m/>
    <m/>
    <m/>
    <m/>
    <m/>
    <m/>
    <m/>
    <m/>
    <m/>
    <m/>
    <m/>
    <s v="INFASCO"/>
    <m/>
    <n v="97.85"/>
  </r>
  <r>
    <x v="3"/>
    <x v="6"/>
    <x v="18"/>
    <n v="36"/>
    <n v="1200"/>
    <n v="43200"/>
    <m/>
    <m/>
    <m/>
    <m/>
    <m/>
    <m/>
    <m/>
    <m/>
    <m/>
    <m/>
    <m/>
    <m/>
    <m/>
    <m/>
    <m/>
    <m/>
    <s v="INFASCO"/>
    <m/>
    <n v="97.85"/>
  </r>
  <r>
    <x v="3"/>
    <x v="5"/>
    <x v="19"/>
    <n v="36"/>
    <n v="1200"/>
    <n v="43200"/>
    <m/>
    <m/>
    <m/>
    <m/>
    <m/>
    <m/>
    <m/>
    <m/>
    <m/>
    <m/>
    <m/>
    <m/>
    <m/>
    <m/>
    <m/>
    <m/>
    <s v="INFASCO"/>
    <m/>
    <n v="97.85"/>
  </r>
  <r>
    <x v="3"/>
    <x v="1"/>
    <x v="5"/>
    <n v="42"/>
    <n v="1000"/>
    <n v="42000"/>
    <m/>
    <m/>
    <m/>
    <m/>
    <m/>
    <m/>
    <m/>
    <m/>
    <m/>
    <m/>
    <m/>
    <m/>
    <m/>
    <m/>
    <m/>
    <m/>
    <s v="INFASCO"/>
    <m/>
    <n v="97.85"/>
  </r>
  <r>
    <x v="3"/>
    <x v="9"/>
    <x v="4"/>
    <n v="34"/>
    <n v="1200"/>
    <n v="40800"/>
    <m/>
    <m/>
    <m/>
    <m/>
    <m/>
    <m/>
    <m/>
    <m/>
    <m/>
    <m/>
    <m/>
    <m/>
    <m/>
    <m/>
    <m/>
    <m/>
    <s v="INFASCO"/>
    <m/>
    <n v="97.85"/>
  </r>
  <r>
    <x v="3"/>
    <x v="12"/>
    <x v="38"/>
    <n v="36"/>
    <n v="1125"/>
    <n v="40500"/>
    <m/>
    <m/>
    <m/>
    <m/>
    <m/>
    <m/>
    <m/>
    <m/>
    <m/>
    <m/>
    <m/>
    <m/>
    <m/>
    <m/>
    <m/>
    <m/>
    <e v="#N/A"/>
    <m/>
    <n v="95"/>
  </r>
  <r>
    <x v="3"/>
    <x v="17"/>
    <x v="39"/>
    <n v="33"/>
    <n v="1200"/>
    <n v="39600"/>
    <m/>
    <m/>
    <m/>
    <m/>
    <m/>
    <m/>
    <m/>
    <m/>
    <m/>
    <m/>
    <m/>
    <m/>
    <m/>
    <m/>
    <m/>
    <m/>
    <s v="INFASCO"/>
    <m/>
    <n v="123.6"/>
  </r>
  <r>
    <x v="3"/>
    <x v="10"/>
    <x v="40"/>
    <n v="36"/>
    <n v="850"/>
    <n v="30600"/>
    <m/>
    <m/>
    <m/>
    <m/>
    <m/>
    <m/>
    <m/>
    <m/>
    <m/>
    <m/>
    <m/>
    <m/>
    <m/>
    <m/>
    <m/>
    <m/>
    <s v="INFASCO"/>
    <m/>
    <n v="123.6"/>
  </r>
  <r>
    <x v="3"/>
    <x v="17"/>
    <x v="41"/>
    <n v="15"/>
    <n v="1950"/>
    <n v="29250"/>
    <m/>
    <m/>
    <m/>
    <m/>
    <m/>
    <m/>
    <m/>
    <m/>
    <m/>
    <m/>
    <m/>
    <m/>
    <m/>
    <m/>
    <m/>
    <m/>
    <e v="#N/A"/>
    <m/>
    <e v="#N/A"/>
  </r>
  <r>
    <x v="3"/>
    <x v="16"/>
    <x v="7"/>
    <n v="36"/>
    <n v="700"/>
    <n v="25200"/>
    <m/>
    <m/>
    <m/>
    <m/>
    <m/>
    <m/>
    <m/>
    <m/>
    <m/>
    <m/>
    <m/>
    <m/>
    <m/>
    <m/>
    <m/>
    <m/>
    <s v="INFASCO"/>
    <m/>
    <n v="97.85"/>
  </r>
  <r>
    <x v="3"/>
    <x v="16"/>
    <x v="7"/>
    <n v="36"/>
    <n v="700"/>
    <n v="25200"/>
    <m/>
    <m/>
    <m/>
    <m/>
    <m/>
    <m/>
    <m/>
    <m/>
    <m/>
    <m/>
    <m/>
    <m/>
    <m/>
    <m/>
    <m/>
    <m/>
    <s v="INFASCO"/>
    <m/>
    <n v="97.85"/>
  </r>
  <r>
    <x v="3"/>
    <x v="7"/>
    <x v="7"/>
    <n v="36"/>
    <n v="700"/>
    <n v="25200"/>
    <m/>
    <m/>
    <m/>
    <m/>
    <m/>
    <m/>
    <m/>
    <m/>
    <m/>
    <m/>
    <m/>
    <m/>
    <m/>
    <m/>
    <m/>
    <m/>
    <s v="INFASCO"/>
    <m/>
    <n v="97.85"/>
  </r>
  <r>
    <x v="3"/>
    <x v="11"/>
    <x v="7"/>
    <n v="36"/>
    <n v="700"/>
    <n v="25200"/>
    <m/>
    <m/>
    <m/>
    <m/>
    <m/>
    <m/>
    <m/>
    <m/>
    <m/>
    <m/>
    <m/>
    <m/>
    <m/>
    <m/>
    <m/>
    <m/>
    <s v="INFASCO"/>
    <m/>
    <n v="97.85"/>
  </r>
  <r>
    <x v="3"/>
    <x v="11"/>
    <x v="7"/>
    <n v="36"/>
    <n v="700"/>
    <n v="25200"/>
    <m/>
    <m/>
    <m/>
    <m/>
    <m/>
    <m/>
    <m/>
    <m/>
    <m/>
    <m/>
    <m/>
    <m/>
    <m/>
    <m/>
    <m/>
    <m/>
    <s v="INFASCO"/>
    <m/>
    <n v="97.85"/>
  </r>
  <r>
    <x v="3"/>
    <x v="14"/>
    <x v="7"/>
    <n v="36"/>
    <n v="700"/>
    <n v="25200"/>
    <m/>
    <m/>
    <m/>
    <m/>
    <m/>
    <m/>
    <m/>
    <m/>
    <m/>
    <m/>
    <m/>
    <m/>
    <m/>
    <m/>
    <m/>
    <m/>
    <s v="INFASCO"/>
    <m/>
    <n v="97.85"/>
  </r>
  <r>
    <x v="3"/>
    <x v="3"/>
    <x v="7"/>
    <n v="30"/>
    <n v="700"/>
    <n v="21000"/>
    <m/>
    <m/>
    <m/>
    <m/>
    <m/>
    <m/>
    <m/>
    <m/>
    <m/>
    <m/>
    <m/>
    <m/>
    <m/>
    <m/>
    <m/>
    <m/>
    <s v="INFASCO"/>
    <m/>
    <n v="97.85"/>
  </r>
  <r>
    <x v="3"/>
    <x v="17"/>
    <x v="42"/>
    <n v="31"/>
    <n v="450"/>
    <n v="13950"/>
    <m/>
    <m/>
    <m/>
    <m/>
    <m/>
    <m/>
    <m/>
    <m/>
    <m/>
    <m/>
    <m/>
    <m/>
    <m/>
    <m/>
    <m/>
    <m/>
    <s v="INFASCO"/>
    <m/>
    <n v="97.85"/>
  </r>
  <r>
    <x v="3"/>
    <x v="10"/>
    <x v="40"/>
    <n v="16"/>
    <n v="850"/>
    <n v="13600"/>
    <m/>
    <m/>
    <m/>
    <m/>
    <m/>
    <m/>
    <m/>
    <m/>
    <m/>
    <m/>
    <m/>
    <m/>
    <m/>
    <m/>
    <m/>
    <m/>
    <s v="INFASCO"/>
    <m/>
    <n v="123.6"/>
  </r>
  <r>
    <x v="3"/>
    <x v="17"/>
    <x v="42"/>
    <n v="27"/>
    <n v="450"/>
    <n v="12150"/>
    <m/>
    <m/>
    <m/>
    <m/>
    <m/>
    <m/>
    <m/>
    <m/>
    <m/>
    <m/>
    <m/>
    <m/>
    <m/>
    <m/>
    <m/>
    <m/>
    <s v="INFASCO"/>
    <m/>
    <n v="97.85"/>
  </r>
  <r>
    <x v="3"/>
    <x v="8"/>
    <x v="13"/>
    <n v="1"/>
    <n v="10500"/>
    <n v="10500"/>
    <m/>
    <m/>
    <m/>
    <m/>
    <m/>
    <m/>
    <m/>
    <m/>
    <m/>
    <m/>
    <m/>
    <m/>
    <m/>
    <m/>
    <m/>
    <m/>
    <s v="INFASCO"/>
    <m/>
    <n v="118.45"/>
  </r>
  <r>
    <x v="3"/>
    <x v="8"/>
    <x v="13"/>
    <n v="1"/>
    <n v="10000"/>
    <n v="10000"/>
    <m/>
    <m/>
    <m/>
    <m/>
    <m/>
    <m/>
    <m/>
    <m/>
    <m/>
    <m/>
    <m/>
    <m/>
    <m/>
    <m/>
    <m/>
    <m/>
    <s v="INFASCO"/>
    <m/>
    <n v="118.45"/>
  </r>
  <r>
    <x v="3"/>
    <x v="8"/>
    <x v="13"/>
    <n v="1"/>
    <n v="10000"/>
    <n v="10000"/>
    <m/>
    <m/>
    <m/>
    <m/>
    <m/>
    <m/>
    <m/>
    <m/>
    <m/>
    <m/>
    <m/>
    <m/>
    <m/>
    <m/>
    <m/>
    <m/>
    <s v="INFASCO"/>
    <m/>
    <n v="118.45"/>
  </r>
  <r>
    <x v="3"/>
    <x v="10"/>
    <x v="13"/>
    <n v="1"/>
    <n v="10000"/>
    <n v="10000"/>
    <m/>
    <m/>
    <m/>
    <m/>
    <m/>
    <m/>
    <m/>
    <m/>
    <m/>
    <m/>
    <m/>
    <m/>
    <m/>
    <m/>
    <m/>
    <m/>
    <s v="INFASCO"/>
    <m/>
    <n v="118.45"/>
  </r>
  <r>
    <x v="3"/>
    <x v="17"/>
    <x v="13"/>
    <n v="1"/>
    <n v="9900"/>
    <n v="9900"/>
    <m/>
    <m/>
    <m/>
    <m/>
    <m/>
    <m/>
    <m/>
    <m/>
    <m/>
    <m/>
    <m/>
    <m/>
    <m/>
    <m/>
    <m/>
    <m/>
    <s v="INFASCO"/>
    <m/>
    <n v="118.45"/>
  </r>
  <r>
    <x v="3"/>
    <x v="10"/>
    <x v="13"/>
    <n v="1"/>
    <n v="9281"/>
    <n v="9281"/>
    <m/>
    <m/>
    <m/>
    <m/>
    <m/>
    <m/>
    <m/>
    <m/>
    <m/>
    <m/>
    <m/>
    <m/>
    <m/>
    <m/>
    <m/>
    <m/>
    <s v="INFASCO"/>
    <m/>
    <n v="118.45"/>
  </r>
  <r>
    <x v="3"/>
    <x v="10"/>
    <x v="13"/>
    <n v="1"/>
    <n v="9000"/>
    <n v="9000"/>
    <m/>
    <m/>
    <m/>
    <m/>
    <m/>
    <m/>
    <m/>
    <m/>
    <m/>
    <m/>
    <m/>
    <m/>
    <m/>
    <m/>
    <m/>
    <m/>
    <s v="INFASCO"/>
    <m/>
    <n v="118.45"/>
  </r>
  <r>
    <x v="3"/>
    <x v="17"/>
    <x v="32"/>
    <n v="35"/>
    <n v="220"/>
    <n v="7700"/>
    <m/>
    <m/>
    <m/>
    <m/>
    <m/>
    <m/>
    <m/>
    <m/>
    <m/>
    <m/>
    <m/>
    <m/>
    <m/>
    <m/>
    <m/>
    <m/>
    <s v="INFASCO"/>
    <m/>
    <n v="97.85"/>
  </r>
  <r>
    <x v="3"/>
    <x v="8"/>
    <x v="43"/>
    <n v="36"/>
    <n v="200"/>
    <n v="7200"/>
    <m/>
    <m/>
    <m/>
    <m/>
    <m/>
    <m/>
    <m/>
    <m/>
    <m/>
    <m/>
    <m/>
    <m/>
    <m/>
    <m/>
    <m/>
    <m/>
    <s v="INFASCO"/>
    <m/>
    <n v="97.85"/>
  </r>
  <r>
    <x v="3"/>
    <x v="17"/>
    <x v="42"/>
    <n v="16"/>
    <n v="450"/>
    <n v="7200"/>
    <m/>
    <m/>
    <m/>
    <m/>
    <m/>
    <m/>
    <m/>
    <m/>
    <m/>
    <m/>
    <m/>
    <m/>
    <m/>
    <m/>
    <m/>
    <m/>
    <s v="INFASCO"/>
    <m/>
    <n v="97.85"/>
  </r>
  <r>
    <x v="3"/>
    <x v="8"/>
    <x v="43"/>
    <n v="33"/>
    <n v="200"/>
    <n v="6600"/>
    <m/>
    <m/>
    <m/>
    <m/>
    <m/>
    <m/>
    <m/>
    <m/>
    <m/>
    <m/>
    <m/>
    <m/>
    <m/>
    <m/>
    <m/>
    <m/>
    <s v="INFASCO"/>
    <m/>
    <n v="97.85"/>
  </r>
  <r>
    <x v="3"/>
    <x v="8"/>
    <x v="32"/>
    <n v="29"/>
    <n v="220"/>
    <n v="6380"/>
    <m/>
    <m/>
    <m/>
    <m/>
    <m/>
    <m/>
    <m/>
    <m/>
    <m/>
    <m/>
    <m/>
    <m/>
    <m/>
    <m/>
    <m/>
    <m/>
    <s v="INFASCO"/>
    <m/>
    <n v="97.85"/>
  </r>
  <r>
    <x v="3"/>
    <x v="10"/>
    <x v="32"/>
    <n v="27"/>
    <n v="220"/>
    <n v="5940"/>
    <m/>
    <m/>
    <m/>
    <m/>
    <m/>
    <m/>
    <m/>
    <m/>
    <m/>
    <m/>
    <m/>
    <m/>
    <m/>
    <m/>
    <m/>
    <m/>
    <s v="INFASCO"/>
    <m/>
    <n v="97.85"/>
  </r>
  <r>
    <x v="3"/>
    <x v="8"/>
    <x v="32"/>
    <n v="20"/>
    <n v="220"/>
    <n v="4400"/>
    <m/>
    <m/>
    <m/>
    <m/>
    <m/>
    <m/>
    <m/>
    <m/>
    <m/>
    <m/>
    <m/>
    <m/>
    <m/>
    <m/>
    <m/>
    <m/>
    <s v="INFASCO"/>
    <m/>
    <n v="97.85"/>
  </r>
  <r>
    <x v="3"/>
    <x v="10"/>
    <x v="44"/>
    <n v="26"/>
    <n v="100"/>
    <n v="2600"/>
    <m/>
    <m/>
    <m/>
    <m/>
    <m/>
    <m/>
    <m/>
    <m/>
    <m/>
    <m/>
    <m/>
    <m/>
    <m/>
    <m/>
    <m/>
    <m/>
    <s v="INFASCO"/>
    <m/>
    <n v="51"/>
  </r>
  <r>
    <x v="3"/>
    <x v="10"/>
    <x v="45"/>
    <n v="1"/>
    <m/>
    <n v="0"/>
    <m/>
    <m/>
    <m/>
    <m/>
    <m/>
    <m/>
    <m/>
    <m/>
    <m/>
    <m/>
    <m/>
    <m/>
    <m/>
    <m/>
    <m/>
    <m/>
    <s v="INFASCO"/>
    <m/>
    <n v="69"/>
  </r>
  <r>
    <x v="3"/>
    <x v="10"/>
    <x v="45"/>
    <n v="1"/>
    <m/>
    <n v="0"/>
    <m/>
    <m/>
    <m/>
    <m/>
    <m/>
    <m/>
    <m/>
    <m/>
    <m/>
    <m/>
    <m/>
    <m/>
    <m/>
    <m/>
    <m/>
    <m/>
    <s v="INFASCO"/>
    <m/>
    <n v="69"/>
  </r>
  <r>
    <x v="4"/>
    <x v="10"/>
    <x v="36"/>
    <n v="36"/>
    <n v="4000"/>
    <n v="144000"/>
    <m/>
    <m/>
    <m/>
    <m/>
    <m/>
    <m/>
    <m/>
    <m/>
    <m/>
    <m/>
    <m/>
    <m/>
    <m/>
    <m/>
    <m/>
    <m/>
    <s v="INFASCO"/>
    <m/>
    <n v="123.6"/>
  </r>
  <r>
    <x v="4"/>
    <x v="10"/>
    <x v="36"/>
    <n v="36"/>
    <n v="4000"/>
    <n v="144000"/>
    <m/>
    <m/>
    <m/>
    <m/>
    <m/>
    <m/>
    <m/>
    <m/>
    <m/>
    <m/>
    <m/>
    <m/>
    <m/>
    <m/>
    <m/>
    <m/>
    <s v="INFASCO"/>
    <m/>
    <n v="123.6"/>
  </r>
  <r>
    <x v="4"/>
    <x v="4"/>
    <x v="37"/>
    <n v="33"/>
    <n v="2500"/>
    <n v="82500"/>
    <m/>
    <m/>
    <m/>
    <m/>
    <m/>
    <m/>
    <m/>
    <m/>
    <m/>
    <m/>
    <m/>
    <m/>
    <m/>
    <m/>
    <m/>
    <m/>
    <s v="INFASCO"/>
    <m/>
    <n v="97.85"/>
  </r>
  <r>
    <x v="4"/>
    <x v="10"/>
    <x v="36"/>
    <n v="20"/>
    <n v="4000"/>
    <n v="80000"/>
    <m/>
    <m/>
    <m/>
    <m/>
    <m/>
    <m/>
    <m/>
    <m/>
    <m/>
    <m/>
    <m/>
    <m/>
    <m/>
    <m/>
    <m/>
    <m/>
    <s v="INFASCO"/>
    <m/>
    <n v="123.6"/>
  </r>
  <r>
    <x v="4"/>
    <x v="1"/>
    <x v="46"/>
    <n v="36"/>
    <n v="2150"/>
    <n v="77400"/>
    <m/>
    <m/>
    <m/>
    <m/>
    <m/>
    <m/>
    <m/>
    <m/>
    <m/>
    <m/>
    <m/>
    <m/>
    <m/>
    <m/>
    <m/>
    <m/>
    <s v="INFASCO"/>
    <m/>
    <n v="97.85"/>
  </r>
  <r>
    <x v="4"/>
    <x v="5"/>
    <x v="37"/>
    <n v="30"/>
    <n v="2500"/>
    <n v="75000"/>
    <m/>
    <m/>
    <m/>
    <m/>
    <m/>
    <m/>
    <m/>
    <m/>
    <m/>
    <m/>
    <m/>
    <m/>
    <m/>
    <m/>
    <m/>
    <m/>
    <s v="INFASCO"/>
    <m/>
    <n v="97.85"/>
  </r>
  <r>
    <x v="4"/>
    <x v="10"/>
    <x v="47"/>
    <n v="18"/>
    <n v="4000"/>
    <n v="72000"/>
    <m/>
    <m/>
    <m/>
    <m/>
    <m/>
    <m/>
    <m/>
    <m/>
    <m/>
    <m/>
    <m/>
    <m/>
    <m/>
    <m/>
    <m/>
    <m/>
    <s v="INFASCO"/>
    <m/>
    <n v="97.85"/>
  </r>
  <r>
    <x v="4"/>
    <x v="11"/>
    <x v="48"/>
    <n v="1"/>
    <n v="71870"/>
    <n v="71870"/>
    <m/>
    <m/>
    <m/>
    <m/>
    <m/>
    <m/>
    <m/>
    <m/>
    <m/>
    <m/>
    <m/>
    <m/>
    <m/>
    <m/>
    <m/>
    <m/>
    <s v="INFASCO"/>
    <m/>
    <n v="118.45"/>
  </r>
  <r>
    <x v="4"/>
    <x v="11"/>
    <x v="48"/>
    <n v="1"/>
    <n v="68000"/>
    <n v="68000"/>
    <m/>
    <m/>
    <m/>
    <m/>
    <m/>
    <m/>
    <m/>
    <m/>
    <m/>
    <m/>
    <m/>
    <m/>
    <m/>
    <m/>
    <m/>
    <m/>
    <s v="INFASCO"/>
    <m/>
    <n v="118.45"/>
  </r>
  <r>
    <x v="4"/>
    <x v="5"/>
    <x v="46"/>
    <n v="28"/>
    <n v="2150"/>
    <n v="60200"/>
    <m/>
    <m/>
    <m/>
    <m/>
    <m/>
    <m/>
    <m/>
    <m/>
    <m/>
    <m/>
    <m/>
    <m/>
    <m/>
    <m/>
    <m/>
    <m/>
    <s v="INFASCO"/>
    <m/>
    <n v="97.85"/>
  </r>
  <r>
    <x v="4"/>
    <x v="5"/>
    <x v="46"/>
    <n v="25"/>
    <n v="2150"/>
    <n v="53750"/>
    <m/>
    <m/>
    <m/>
    <m/>
    <m/>
    <m/>
    <m/>
    <m/>
    <m/>
    <m/>
    <m/>
    <m/>
    <m/>
    <m/>
    <m/>
    <m/>
    <s v="INFASCO"/>
    <m/>
    <n v="97.85"/>
  </r>
  <r>
    <x v="4"/>
    <x v="10"/>
    <x v="49"/>
    <n v="36"/>
    <n v="1400"/>
    <n v="50400"/>
    <m/>
    <m/>
    <m/>
    <m/>
    <m/>
    <m/>
    <m/>
    <m/>
    <m/>
    <m/>
    <m/>
    <m/>
    <m/>
    <m/>
    <m/>
    <m/>
    <s v="INFASCO"/>
    <m/>
    <n v="97.85"/>
  </r>
  <r>
    <x v="4"/>
    <x v="10"/>
    <x v="50"/>
    <n v="19"/>
    <n v="2500"/>
    <n v="47500"/>
    <m/>
    <m/>
    <m/>
    <m/>
    <m/>
    <m/>
    <m/>
    <m/>
    <m/>
    <m/>
    <m/>
    <m/>
    <m/>
    <m/>
    <m/>
    <m/>
    <s v="INFASCO"/>
    <m/>
    <n v="123.6"/>
  </r>
  <r>
    <x v="4"/>
    <x v="10"/>
    <x v="51"/>
    <n v="36"/>
    <n v="1300"/>
    <n v="46800"/>
    <m/>
    <m/>
    <m/>
    <m/>
    <m/>
    <m/>
    <m/>
    <m/>
    <m/>
    <m/>
    <m/>
    <m/>
    <m/>
    <m/>
    <m/>
    <m/>
    <s v="INFASCO"/>
    <m/>
    <n v="123.6"/>
  </r>
  <r>
    <x v="4"/>
    <x v="17"/>
    <x v="52"/>
    <n v="34"/>
    <n v="1200"/>
    <n v="40800"/>
    <m/>
    <m/>
    <m/>
    <m/>
    <m/>
    <m/>
    <m/>
    <m/>
    <m/>
    <m/>
    <m/>
    <m/>
    <m/>
    <m/>
    <m/>
    <m/>
    <s v="INFASCO"/>
    <m/>
    <n v="97.85"/>
  </r>
  <r>
    <x v="4"/>
    <x v="12"/>
    <x v="38"/>
    <n v="36"/>
    <n v="1125"/>
    <n v="40500"/>
    <m/>
    <m/>
    <m/>
    <m/>
    <m/>
    <m/>
    <m/>
    <m/>
    <m/>
    <m/>
    <m/>
    <m/>
    <m/>
    <m/>
    <m/>
    <m/>
    <e v="#N/A"/>
    <m/>
    <n v="95"/>
  </r>
  <r>
    <x v="4"/>
    <x v="6"/>
    <x v="53"/>
    <n v="36"/>
    <n v="800"/>
    <n v="28800"/>
    <m/>
    <m/>
    <m/>
    <m/>
    <m/>
    <m/>
    <m/>
    <m/>
    <m/>
    <m/>
    <m/>
    <m/>
    <m/>
    <m/>
    <m/>
    <m/>
    <s v="INFASCO"/>
    <m/>
    <n v="97.85"/>
  </r>
  <r>
    <x v="4"/>
    <x v="10"/>
    <x v="49"/>
    <n v="19"/>
    <n v="1400"/>
    <n v="26600"/>
    <m/>
    <m/>
    <m/>
    <m/>
    <m/>
    <m/>
    <m/>
    <m/>
    <m/>
    <m/>
    <m/>
    <m/>
    <m/>
    <m/>
    <m/>
    <m/>
    <s v="INFASCO"/>
    <m/>
    <n v="97.85"/>
  </r>
  <r>
    <x v="4"/>
    <x v="3"/>
    <x v="7"/>
    <n v="36"/>
    <n v="700"/>
    <n v="25200"/>
    <m/>
    <m/>
    <m/>
    <m/>
    <m/>
    <m/>
    <m/>
    <m/>
    <m/>
    <m/>
    <m/>
    <m/>
    <m/>
    <m/>
    <m/>
    <m/>
    <s v="INFASCO"/>
    <m/>
    <n v="97.85"/>
  </r>
  <r>
    <x v="4"/>
    <x v="3"/>
    <x v="7"/>
    <n v="36"/>
    <n v="700"/>
    <n v="25200"/>
    <m/>
    <m/>
    <m/>
    <m/>
    <m/>
    <m/>
    <m/>
    <m/>
    <m/>
    <m/>
    <m/>
    <m/>
    <m/>
    <m/>
    <m/>
    <m/>
    <s v="INFASCO"/>
    <m/>
    <n v="97.85"/>
  </r>
  <r>
    <x v="4"/>
    <x v="13"/>
    <x v="7"/>
    <n v="36"/>
    <n v="700"/>
    <n v="25200"/>
    <m/>
    <m/>
    <m/>
    <m/>
    <m/>
    <m/>
    <m/>
    <m/>
    <m/>
    <m/>
    <m/>
    <m/>
    <m/>
    <m/>
    <m/>
    <m/>
    <s v="INFASCO"/>
    <m/>
    <n v="97.85"/>
  </r>
  <r>
    <x v="4"/>
    <x v="16"/>
    <x v="7"/>
    <n v="36"/>
    <n v="700"/>
    <n v="25200"/>
    <m/>
    <m/>
    <m/>
    <m/>
    <m/>
    <m/>
    <m/>
    <m/>
    <m/>
    <m/>
    <m/>
    <m/>
    <m/>
    <m/>
    <m/>
    <m/>
    <s v="INFASCO"/>
    <m/>
    <n v="97.85"/>
  </r>
  <r>
    <x v="4"/>
    <x v="10"/>
    <x v="54"/>
    <n v="35"/>
    <n v="700"/>
    <n v="24500"/>
    <m/>
    <m/>
    <m/>
    <m/>
    <m/>
    <m/>
    <m/>
    <m/>
    <m/>
    <m/>
    <m/>
    <m/>
    <m/>
    <m/>
    <m/>
    <m/>
    <s v="INFASCO"/>
    <m/>
    <n v="97.85"/>
  </r>
  <r>
    <x v="4"/>
    <x v="14"/>
    <x v="7"/>
    <n v="34"/>
    <n v="700"/>
    <n v="23800"/>
    <m/>
    <m/>
    <m/>
    <m/>
    <m/>
    <m/>
    <m/>
    <m/>
    <m/>
    <m/>
    <m/>
    <m/>
    <m/>
    <m/>
    <m/>
    <m/>
    <s v="INFASCO"/>
    <m/>
    <n v="97.85"/>
  </r>
  <r>
    <x v="4"/>
    <x v="10"/>
    <x v="54"/>
    <n v="34"/>
    <n v="700"/>
    <n v="23800"/>
    <m/>
    <m/>
    <m/>
    <m/>
    <m/>
    <m/>
    <m/>
    <m/>
    <m/>
    <m/>
    <m/>
    <m/>
    <m/>
    <m/>
    <m/>
    <m/>
    <s v="INFASCO"/>
    <m/>
    <n v="97.85"/>
  </r>
  <r>
    <x v="4"/>
    <x v="6"/>
    <x v="53"/>
    <n v="29"/>
    <n v="800"/>
    <n v="23200"/>
    <m/>
    <m/>
    <m/>
    <m/>
    <m/>
    <m/>
    <m/>
    <m/>
    <m/>
    <m/>
    <m/>
    <m/>
    <m/>
    <m/>
    <m/>
    <m/>
    <s v="INFASCO"/>
    <m/>
    <n v="97.85"/>
  </r>
  <r>
    <x v="4"/>
    <x v="7"/>
    <x v="7"/>
    <n v="33"/>
    <n v="700"/>
    <n v="23100"/>
    <m/>
    <m/>
    <m/>
    <m/>
    <m/>
    <m/>
    <m/>
    <m/>
    <m/>
    <m/>
    <m/>
    <m/>
    <m/>
    <m/>
    <m/>
    <m/>
    <s v="INFASCO"/>
    <m/>
    <n v="97.85"/>
  </r>
  <r>
    <x v="4"/>
    <x v="17"/>
    <x v="42"/>
    <n v="36"/>
    <n v="450"/>
    <n v="16200"/>
    <m/>
    <m/>
    <m/>
    <m/>
    <m/>
    <m/>
    <m/>
    <m/>
    <m/>
    <m/>
    <m/>
    <m/>
    <m/>
    <m/>
    <m/>
    <m/>
    <s v="INFASCO"/>
    <m/>
    <n v="97.85"/>
  </r>
  <r>
    <x v="4"/>
    <x v="17"/>
    <x v="42"/>
    <n v="33"/>
    <n v="450"/>
    <n v="14850"/>
    <m/>
    <m/>
    <m/>
    <m/>
    <m/>
    <m/>
    <m/>
    <m/>
    <m/>
    <m/>
    <m/>
    <m/>
    <m/>
    <m/>
    <m/>
    <m/>
    <s v="INFASCO"/>
    <m/>
    <n v="97.85"/>
  </r>
  <r>
    <x v="4"/>
    <x v="6"/>
    <x v="55"/>
    <n v="36"/>
    <n v="400"/>
    <n v="14400"/>
    <m/>
    <m/>
    <m/>
    <m/>
    <m/>
    <m/>
    <m/>
    <m/>
    <m/>
    <m/>
    <m/>
    <m/>
    <m/>
    <m/>
    <m/>
    <m/>
    <s v="INFASCO"/>
    <m/>
    <n v="97.85"/>
  </r>
  <r>
    <x v="4"/>
    <x v="10"/>
    <x v="56"/>
    <n v="33"/>
    <n v="370"/>
    <n v="12210"/>
    <m/>
    <m/>
    <m/>
    <m/>
    <m/>
    <m/>
    <m/>
    <m/>
    <m/>
    <m/>
    <m/>
    <m/>
    <m/>
    <m/>
    <m/>
    <m/>
    <e v="#N/A"/>
    <m/>
    <n v="95"/>
  </r>
  <r>
    <x v="4"/>
    <x v="4"/>
    <x v="9"/>
    <n v="27"/>
    <n v="450"/>
    <n v="12150"/>
    <m/>
    <m/>
    <m/>
    <m/>
    <m/>
    <m/>
    <m/>
    <m/>
    <m/>
    <m/>
    <m/>
    <m/>
    <m/>
    <m/>
    <m/>
    <m/>
    <s v="INFASCO"/>
    <m/>
    <n v="97.85"/>
  </r>
  <r>
    <x v="4"/>
    <x v="16"/>
    <x v="7"/>
    <n v="14"/>
    <n v="700"/>
    <n v="9800"/>
    <m/>
    <m/>
    <m/>
    <m/>
    <m/>
    <m/>
    <m/>
    <m/>
    <m/>
    <m/>
    <m/>
    <m/>
    <m/>
    <m/>
    <m/>
    <m/>
    <s v="INFASCO"/>
    <m/>
    <n v="97.85"/>
  </r>
  <r>
    <x v="4"/>
    <x v="10"/>
    <x v="57"/>
    <n v="36"/>
    <n v="270"/>
    <n v="9720"/>
    <m/>
    <m/>
    <m/>
    <m/>
    <m/>
    <m/>
    <m/>
    <m/>
    <m/>
    <m/>
    <m/>
    <m/>
    <m/>
    <m/>
    <m/>
    <m/>
    <s v="INFASCO"/>
    <m/>
    <n v="97.85"/>
  </r>
  <r>
    <x v="4"/>
    <x v="10"/>
    <x v="32"/>
    <n v="36"/>
    <n v="220"/>
    <n v="7920"/>
    <m/>
    <m/>
    <m/>
    <m/>
    <m/>
    <m/>
    <m/>
    <m/>
    <m/>
    <m/>
    <m/>
    <m/>
    <m/>
    <m/>
    <m/>
    <m/>
    <s v="INFASCO"/>
    <m/>
    <n v="97.85"/>
  </r>
  <r>
    <x v="4"/>
    <x v="10"/>
    <x v="32"/>
    <n v="36"/>
    <n v="220"/>
    <n v="7920"/>
    <m/>
    <m/>
    <m/>
    <m/>
    <m/>
    <m/>
    <m/>
    <m/>
    <m/>
    <m/>
    <m/>
    <m/>
    <m/>
    <m/>
    <m/>
    <m/>
    <s v="INFASCO"/>
    <m/>
    <n v="97.85"/>
  </r>
  <r>
    <x v="4"/>
    <x v="10"/>
    <x v="58"/>
    <n v="36"/>
    <n v="220"/>
    <n v="7920"/>
    <m/>
    <m/>
    <m/>
    <m/>
    <m/>
    <m/>
    <m/>
    <m/>
    <m/>
    <m/>
    <m/>
    <m/>
    <m/>
    <m/>
    <m/>
    <m/>
    <s v="INFASCO"/>
    <m/>
    <n v="123.6"/>
  </r>
  <r>
    <x v="4"/>
    <x v="10"/>
    <x v="32"/>
    <n v="34"/>
    <n v="220"/>
    <n v="7480"/>
    <m/>
    <m/>
    <m/>
    <m/>
    <m/>
    <m/>
    <m/>
    <m/>
    <m/>
    <m/>
    <m/>
    <m/>
    <m/>
    <m/>
    <m/>
    <m/>
    <s v="INFASCO"/>
    <m/>
    <n v="97.85"/>
  </r>
  <r>
    <x v="4"/>
    <x v="10"/>
    <x v="56"/>
    <n v="20"/>
    <n v="370"/>
    <n v="7400"/>
    <m/>
    <m/>
    <m/>
    <m/>
    <m/>
    <m/>
    <m/>
    <m/>
    <m/>
    <m/>
    <m/>
    <m/>
    <m/>
    <m/>
    <m/>
    <m/>
    <e v="#N/A"/>
    <m/>
    <n v="95"/>
  </r>
  <r>
    <x v="4"/>
    <x v="10"/>
    <x v="32"/>
    <n v="23"/>
    <n v="220"/>
    <n v="5060"/>
    <m/>
    <m/>
    <m/>
    <m/>
    <m/>
    <m/>
    <m/>
    <m/>
    <m/>
    <m/>
    <m/>
    <m/>
    <m/>
    <m/>
    <m/>
    <m/>
    <s v="INFASCO"/>
    <m/>
    <n v="97.85"/>
  </r>
  <r>
    <x v="4"/>
    <x v="17"/>
    <x v="59"/>
    <n v="23"/>
    <n v="180"/>
    <n v="4140"/>
    <m/>
    <m/>
    <m/>
    <m/>
    <m/>
    <m/>
    <m/>
    <m/>
    <m/>
    <m/>
    <m/>
    <m/>
    <m/>
    <m/>
    <m/>
    <m/>
    <s v="INFASCO"/>
    <m/>
    <n v="97.85"/>
  </r>
  <r>
    <x v="4"/>
    <x v="10"/>
    <x v="58"/>
    <n v="13"/>
    <n v="200"/>
    <n v="2600"/>
    <m/>
    <m/>
    <m/>
    <m/>
    <m/>
    <m/>
    <m/>
    <m/>
    <m/>
    <m/>
    <m/>
    <m/>
    <m/>
    <m/>
    <m/>
    <m/>
    <s v="INFASCO"/>
    <m/>
    <n v="123.6"/>
  </r>
  <r>
    <x v="5"/>
    <x v="8"/>
    <x v="60"/>
    <n v="25"/>
    <n v="5500"/>
    <n v="137500"/>
    <m/>
    <m/>
    <m/>
    <m/>
    <m/>
    <m/>
    <m/>
    <m/>
    <m/>
    <m/>
    <m/>
    <m/>
    <m/>
    <m/>
    <m/>
    <m/>
    <s v="INFASCO"/>
    <m/>
    <n v="123.6"/>
  </r>
  <r>
    <x v="5"/>
    <x v="17"/>
    <x v="36"/>
    <n v="33"/>
    <n v="4000"/>
    <n v="132000"/>
    <m/>
    <m/>
    <m/>
    <m/>
    <m/>
    <m/>
    <m/>
    <m/>
    <m/>
    <m/>
    <m/>
    <m/>
    <m/>
    <m/>
    <m/>
    <m/>
    <s v="INFASCO"/>
    <m/>
    <n v="123.6"/>
  </r>
  <r>
    <x v="5"/>
    <x v="15"/>
    <x v="61"/>
    <n v="29"/>
    <n v="4000"/>
    <n v="116000"/>
    <m/>
    <m/>
    <m/>
    <m/>
    <m/>
    <m/>
    <m/>
    <m/>
    <m/>
    <m/>
    <m/>
    <m/>
    <m/>
    <m/>
    <m/>
    <m/>
    <s v="INFASCO"/>
    <m/>
    <n v="97.85"/>
  </r>
  <r>
    <x v="5"/>
    <x v="8"/>
    <x v="60"/>
    <n v="21"/>
    <n v="5500"/>
    <n v="115500"/>
    <m/>
    <m/>
    <m/>
    <m/>
    <m/>
    <m/>
    <m/>
    <m/>
    <m/>
    <m/>
    <m/>
    <m/>
    <m/>
    <m/>
    <m/>
    <m/>
    <s v="INFASCO"/>
    <m/>
    <n v="123.6"/>
  </r>
  <r>
    <x v="5"/>
    <x v="2"/>
    <x v="61"/>
    <n v="22"/>
    <n v="4000"/>
    <n v="88000"/>
    <m/>
    <m/>
    <m/>
    <m/>
    <m/>
    <m/>
    <m/>
    <m/>
    <m/>
    <m/>
    <m/>
    <m/>
    <m/>
    <m/>
    <m/>
    <m/>
    <s v="INFASCO"/>
    <m/>
    <n v="97.85"/>
  </r>
  <r>
    <x v="5"/>
    <x v="5"/>
    <x v="46"/>
    <n v="33"/>
    <n v="2150"/>
    <n v="70950"/>
    <m/>
    <m/>
    <m/>
    <m/>
    <m/>
    <m/>
    <m/>
    <m/>
    <m/>
    <m/>
    <m/>
    <m/>
    <m/>
    <m/>
    <m/>
    <m/>
    <s v="INFASCO"/>
    <m/>
    <n v="97.85"/>
  </r>
  <r>
    <x v="5"/>
    <x v="11"/>
    <x v="48"/>
    <n v="1"/>
    <n v="66000"/>
    <n v="66000"/>
    <m/>
    <m/>
    <m/>
    <m/>
    <m/>
    <m/>
    <m/>
    <m/>
    <m/>
    <m/>
    <m/>
    <m/>
    <m/>
    <m/>
    <m/>
    <m/>
    <s v="INFASCO"/>
    <m/>
    <n v="118.45"/>
  </r>
  <r>
    <x v="5"/>
    <x v="5"/>
    <x v="46"/>
    <n v="30"/>
    <n v="2150"/>
    <n v="64500"/>
    <m/>
    <m/>
    <m/>
    <m/>
    <m/>
    <m/>
    <m/>
    <m/>
    <m/>
    <m/>
    <m/>
    <m/>
    <m/>
    <m/>
    <m/>
    <m/>
    <s v="INFASCO"/>
    <m/>
    <n v="97.85"/>
  </r>
  <r>
    <x v="5"/>
    <x v="17"/>
    <x v="48"/>
    <n v="1"/>
    <n v="62000"/>
    <n v="62000"/>
    <m/>
    <m/>
    <m/>
    <m/>
    <m/>
    <m/>
    <m/>
    <m/>
    <m/>
    <m/>
    <m/>
    <m/>
    <m/>
    <m/>
    <m/>
    <m/>
    <s v="INFASCO"/>
    <m/>
    <n v="118.45"/>
  </r>
  <r>
    <x v="5"/>
    <x v="1"/>
    <x v="46"/>
    <n v="25"/>
    <n v="2150"/>
    <n v="53750"/>
    <m/>
    <m/>
    <m/>
    <m/>
    <m/>
    <m/>
    <m/>
    <m/>
    <m/>
    <m/>
    <m/>
    <m/>
    <m/>
    <m/>
    <m/>
    <m/>
    <s v="INFASCO"/>
    <m/>
    <n v="97.85"/>
  </r>
  <r>
    <x v="5"/>
    <x v="8"/>
    <x v="62"/>
    <n v="7"/>
    <n v="7600"/>
    <n v="53200"/>
    <m/>
    <m/>
    <m/>
    <m/>
    <m/>
    <m/>
    <m/>
    <m/>
    <m/>
    <m/>
    <m/>
    <m/>
    <m/>
    <m/>
    <m/>
    <m/>
    <s v="INFASCO"/>
    <m/>
    <n v="123.6"/>
  </r>
  <r>
    <x v="5"/>
    <x v="10"/>
    <x v="49"/>
    <n v="36"/>
    <n v="1400"/>
    <n v="50400"/>
    <m/>
    <m/>
    <m/>
    <m/>
    <m/>
    <m/>
    <m/>
    <m/>
    <m/>
    <m/>
    <m/>
    <m/>
    <m/>
    <m/>
    <m/>
    <m/>
    <s v="INFASCO"/>
    <m/>
    <n v="97.85"/>
  </r>
  <r>
    <x v="5"/>
    <x v="10"/>
    <x v="49"/>
    <n v="28"/>
    <n v="1400"/>
    <n v="39200"/>
    <m/>
    <m/>
    <m/>
    <m/>
    <m/>
    <m/>
    <m/>
    <m/>
    <m/>
    <m/>
    <m/>
    <m/>
    <m/>
    <m/>
    <m/>
    <m/>
    <s v="INFASCO"/>
    <m/>
    <n v="97.85"/>
  </r>
  <r>
    <x v="5"/>
    <x v="7"/>
    <x v="7"/>
    <n v="36"/>
    <n v="700"/>
    <n v="25200"/>
    <m/>
    <m/>
    <m/>
    <m/>
    <m/>
    <m/>
    <m/>
    <m/>
    <m/>
    <m/>
    <m/>
    <m/>
    <m/>
    <m/>
    <m/>
    <m/>
    <s v="INFASCO"/>
    <m/>
    <n v="97.85"/>
  </r>
  <r>
    <x v="5"/>
    <x v="16"/>
    <x v="7"/>
    <n v="36"/>
    <n v="700"/>
    <n v="25200"/>
    <m/>
    <m/>
    <m/>
    <m/>
    <m/>
    <m/>
    <m/>
    <m/>
    <m/>
    <m/>
    <m/>
    <m/>
    <m/>
    <m/>
    <m/>
    <m/>
    <s v="INFASCO"/>
    <m/>
    <n v="97.85"/>
  </r>
  <r>
    <x v="5"/>
    <x v="13"/>
    <x v="7"/>
    <n v="31"/>
    <n v="700"/>
    <n v="21700"/>
    <m/>
    <m/>
    <m/>
    <m/>
    <m/>
    <m/>
    <m/>
    <m/>
    <m/>
    <m/>
    <m/>
    <m/>
    <m/>
    <m/>
    <m/>
    <m/>
    <s v="INFASCO"/>
    <m/>
    <n v="97.85"/>
  </r>
  <r>
    <x v="5"/>
    <x v="14"/>
    <x v="7"/>
    <n v="25"/>
    <n v="700"/>
    <n v="17500"/>
    <m/>
    <m/>
    <m/>
    <m/>
    <m/>
    <m/>
    <m/>
    <m/>
    <m/>
    <m/>
    <m/>
    <m/>
    <m/>
    <m/>
    <m/>
    <m/>
    <s v="INFASCO"/>
    <m/>
    <n v="97.85"/>
  </r>
  <r>
    <x v="5"/>
    <x v="17"/>
    <x v="63"/>
    <n v="36"/>
    <n v="450"/>
    <n v="16200"/>
    <m/>
    <m/>
    <m/>
    <m/>
    <m/>
    <m/>
    <m/>
    <m/>
    <m/>
    <m/>
    <m/>
    <m/>
    <m/>
    <m/>
    <m/>
    <m/>
    <s v="INFASCO"/>
    <m/>
    <n v="97.85"/>
  </r>
  <r>
    <x v="5"/>
    <x v="4"/>
    <x v="9"/>
    <n v="36"/>
    <n v="450"/>
    <n v="16200"/>
    <m/>
    <m/>
    <m/>
    <m/>
    <m/>
    <m/>
    <m/>
    <m/>
    <m/>
    <m/>
    <m/>
    <m/>
    <m/>
    <m/>
    <m/>
    <m/>
    <s v="INFASCO"/>
    <m/>
    <n v="97.85"/>
  </r>
  <r>
    <x v="5"/>
    <x v="4"/>
    <x v="9"/>
    <n v="36"/>
    <n v="450"/>
    <n v="16200"/>
    <m/>
    <m/>
    <m/>
    <m/>
    <m/>
    <m/>
    <m/>
    <m/>
    <m/>
    <m/>
    <m/>
    <m/>
    <m/>
    <m/>
    <m/>
    <m/>
    <s v="INFASCO"/>
    <m/>
    <n v="97.85"/>
  </r>
  <r>
    <x v="5"/>
    <x v="6"/>
    <x v="10"/>
    <n v="36"/>
    <n v="450"/>
    <n v="16200"/>
    <m/>
    <m/>
    <m/>
    <m/>
    <m/>
    <m/>
    <m/>
    <m/>
    <m/>
    <m/>
    <m/>
    <m/>
    <m/>
    <m/>
    <m/>
    <m/>
    <s v="INFASCO"/>
    <m/>
    <n v="97.85"/>
  </r>
  <r>
    <x v="5"/>
    <x v="11"/>
    <x v="10"/>
    <n v="36"/>
    <n v="450"/>
    <n v="16200"/>
    <m/>
    <m/>
    <m/>
    <m/>
    <m/>
    <m/>
    <m/>
    <m/>
    <m/>
    <m/>
    <m/>
    <m/>
    <m/>
    <m/>
    <m/>
    <m/>
    <s v="INFASCO"/>
    <m/>
    <n v="97.85"/>
  </r>
  <r>
    <x v="5"/>
    <x v="12"/>
    <x v="63"/>
    <n v="33"/>
    <n v="450"/>
    <n v="14850"/>
    <m/>
    <m/>
    <m/>
    <m/>
    <m/>
    <m/>
    <m/>
    <m/>
    <m/>
    <m/>
    <m/>
    <m/>
    <m/>
    <m/>
    <m/>
    <m/>
    <s v="INFASCO"/>
    <m/>
    <n v="97.85"/>
  </r>
  <r>
    <x v="5"/>
    <x v="10"/>
    <x v="64"/>
    <n v="33"/>
    <n v="450"/>
    <n v="14850"/>
    <m/>
    <m/>
    <m/>
    <m/>
    <m/>
    <m/>
    <m/>
    <m/>
    <m/>
    <m/>
    <m/>
    <m/>
    <m/>
    <m/>
    <m/>
    <m/>
    <e v="#N/A"/>
    <m/>
    <e v="#N/A"/>
  </r>
  <r>
    <x v="5"/>
    <x v="8"/>
    <x v="55"/>
    <n v="36"/>
    <n v="400"/>
    <n v="14400"/>
    <m/>
    <m/>
    <m/>
    <m/>
    <m/>
    <m/>
    <m/>
    <m/>
    <m/>
    <m/>
    <m/>
    <m/>
    <m/>
    <m/>
    <m/>
    <m/>
    <s v="INFASCO"/>
    <m/>
    <n v="97.85"/>
  </r>
  <r>
    <x v="5"/>
    <x v="8"/>
    <x v="55"/>
    <n v="36"/>
    <n v="400"/>
    <n v="14400"/>
    <m/>
    <m/>
    <m/>
    <m/>
    <m/>
    <m/>
    <m/>
    <m/>
    <m/>
    <m/>
    <m/>
    <m/>
    <m/>
    <m/>
    <m/>
    <m/>
    <s v="INFASCO"/>
    <m/>
    <n v="97.85"/>
  </r>
  <r>
    <x v="5"/>
    <x v="6"/>
    <x v="55"/>
    <n v="36"/>
    <n v="400"/>
    <n v="14400"/>
    <m/>
    <m/>
    <m/>
    <m/>
    <m/>
    <m/>
    <m/>
    <m/>
    <m/>
    <m/>
    <m/>
    <m/>
    <m/>
    <m/>
    <m/>
    <m/>
    <s v="INFASCO"/>
    <m/>
    <n v="97.85"/>
  </r>
  <r>
    <x v="5"/>
    <x v="4"/>
    <x v="9"/>
    <n v="26"/>
    <n v="450"/>
    <n v="11700"/>
    <m/>
    <m/>
    <m/>
    <m/>
    <m/>
    <m/>
    <m/>
    <m/>
    <m/>
    <m/>
    <m/>
    <m/>
    <m/>
    <m/>
    <m/>
    <m/>
    <s v="INFASCO"/>
    <m/>
    <n v="97.85"/>
  </r>
  <r>
    <x v="5"/>
    <x v="4"/>
    <x v="9"/>
    <n v="26"/>
    <n v="450"/>
    <n v="11700"/>
    <m/>
    <m/>
    <m/>
    <m/>
    <m/>
    <m/>
    <m/>
    <m/>
    <m/>
    <m/>
    <m/>
    <m/>
    <m/>
    <m/>
    <m/>
    <m/>
    <s v="INFASCO"/>
    <m/>
    <n v="97.85"/>
  </r>
  <r>
    <x v="5"/>
    <x v="8"/>
    <x v="13"/>
    <n v="1"/>
    <n v="10687"/>
    <n v="10687"/>
    <m/>
    <m/>
    <m/>
    <m/>
    <m/>
    <m/>
    <m/>
    <m/>
    <m/>
    <m/>
    <m/>
    <m/>
    <m/>
    <m/>
    <m/>
    <m/>
    <s v="INFASCO"/>
    <m/>
    <n v="118.45"/>
  </r>
  <r>
    <x v="5"/>
    <x v="8"/>
    <x v="13"/>
    <n v="1"/>
    <n v="10500"/>
    <n v="10500"/>
    <m/>
    <m/>
    <m/>
    <m/>
    <m/>
    <m/>
    <m/>
    <m/>
    <m/>
    <m/>
    <m/>
    <m/>
    <m/>
    <m/>
    <m/>
    <m/>
    <s v="INFASCO"/>
    <m/>
    <n v="118.45"/>
  </r>
  <r>
    <x v="5"/>
    <x v="3"/>
    <x v="7"/>
    <n v="13"/>
    <n v="700"/>
    <n v="9100"/>
    <m/>
    <m/>
    <m/>
    <m/>
    <m/>
    <m/>
    <m/>
    <m/>
    <m/>
    <m/>
    <m/>
    <m/>
    <m/>
    <m/>
    <m/>
    <m/>
    <s v="INFASCO"/>
    <m/>
    <n v="97.85"/>
  </r>
  <r>
    <x v="5"/>
    <x v="4"/>
    <x v="9"/>
    <n v="20"/>
    <n v="450"/>
    <n v="9000"/>
    <m/>
    <m/>
    <m/>
    <m/>
    <m/>
    <m/>
    <m/>
    <m/>
    <m/>
    <m/>
    <m/>
    <m/>
    <m/>
    <m/>
    <m/>
    <m/>
    <s v="INFASCO"/>
    <m/>
    <n v="97.85"/>
  </r>
  <r>
    <x v="5"/>
    <x v="8"/>
    <x v="65"/>
    <n v="27"/>
    <n v="300"/>
    <n v="8100"/>
    <m/>
    <m/>
    <m/>
    <m/>
    <m/>
    <m/>
    <m/>
    <m/>
    <m/>
    <m/>
    <m/>
    <m/>
    <m/>
    <m/>
    <m/>
    <m/>
    <s v="INFASCO"/>
    <m/>
    <n v="123.6"/>
  </r>
  <r>
    <x v="5"/>
    <x v="10"/>
    <x v="32"/>
    <n v="36"/>
    <n v="220"/>
    <n v="7920"/>
    <m/>
    <m/>
    <m/>
    <m/>
    <m/>
    <m/>
    <m/>
    <m/>
    <m/>
    <m/>
    <m/>
    <m/>
    <m/>
    <m/>
    <m/>
    <m/>
    <s v="INFASCO"/>
    <m/>
    <n v="97.85"/>
  </r>
  <r>
    <x v="5"/>
    <x v="17"/>
    <x v="32"/>
    <n v="36"/>
    <n v="220"/>
    <n v="7920"/>
    <m/>
    <m/>
    <m/>
    <m/>
    <m/>
    <m/>
    <m/>
    <m/>
    <m/>
    <m/>
    <m/>
    <m/>
    <m/>
    <m/>
    <m/>
    <m/>
    <s v="INFASCO"/>
    <m/>
    <n v="97.85"/>
  </r>
  <r>
    <x v="5"/>
    <x v="17"/>
    <x v="32"/>
    <n v="36"/>
    <n v="220"/>
    <n v="7920"/>
    <m/>
    <m/>
    <m/>
    <m/>
    <m/>
    <m/>
    <m/>
    <m/>
    <m/>
    <m/>
    <m/>
    <m/>
    <m/>
    <m/>
    <m/>
    <m/>
    <s v="INFASCO"/>
    <m/>
    <n v="97.85"/>
  </r>
  <r>
    <x v="5"/>
    <x v="8"/>
    <x v="65"/>
    <n v="26"/>
    <n v="300"/>
    <n v="7800"/>
    <m/>
    <m/>
    <m/>
    <m/>
    <m/>
    <m/>
    <m/>
    <m/>
    <m/>
    <m/>
    <m/>
    <m/>
    <m/>
    <m/>
    <m/>
    <m/>
    <s v="INFASCO"/>
    <m/>
    <n v="123.6"/>
  </r>
  <r>
    <x v="5"/>
    <x v="10"/>
    <x v="66"/>
    <n v="31"/>
    <n v="250"/>
    <n v="7750"/>
    <m/>
    <m/>
    <m/>
    <m/>
    <m/>
    <m/>
    <m/>
    <m/>
    <m/>
    <m/>
    <m/>
    <m/>
    <m/>
    <m/>
    <m/>
    <m/>
    <s v="INFASCO"/>
    <m/>
    <n v="123.6"/>
  </r>
  <r>
    <x v="5"/>
    <x v="8"/>
    <x v="65"/>
    <n v="25"/>
    <n v="300"/>
    <n v="7500"/>
    <m/>
    <m/>
    <m/>
    <m/>
    <m/>
    <m/>
    <m/>
    <m/>
    <m/>
    <m/>
    <m/>
    <m/>
    <m/>
    <m/>
    <m/>
    <m/>
    <s v="INFASCO"/>
    <m/>
    <n v="123.6"/>
  </r>
  <r>
    <x v="5"/>
    <x v="17"/>
    <x v="32"/>
    <n v="33"/>
    <n v="220"/>
    <n v="7260"/>
    <m/>
    <m/>
    <m/>
    <m/>
    <m/>
    <m/>
    <m/>
    <m/>
    <m/>
    <m/>
    <m/>
    <m/>
    <m/>
    <m/>
    <m/>
    <m/>
    <s v="INFASCO"/>
    <m/>
    <n v="97.85"/>
  </r>
  <r>
    <x v="5"/>
    <x v="8"/>
    <x v="65"/>
    <n v="21"/>
    <n v="300"/>
    <n v="6300"/>
    <m/>
    <m/>
    <m/>
    <m/>
    <m/>
    <m/>
    <m/>
    <m/>
    <m/>
    <m/>
    <m/>
    <m/>
    <m/>
    <m/>
    <m/>
    <m/>
    <s v="INFASCO"/>
    <m/>
    <n v="123.6"/>
  </r>
  <r>
    <x v="5"/>
    <x v="10"/>
    <x v="67"/>
    <n v="36"/>
    <n v="150"/>
    <n v="5400"/>
    <m/>
    <m/>
    <m/>
    <m/>
    <m/>
    <m/>
    <m/>
    <m/>
    <m/>
    <m/>
    <m/>
    <m/>
    <m/>
    <m/>
    <m/>
    <m/>
    <s v="INFASCO"/>
    <m/>
    <n v="97.85"/>
  </r>
  <r>
    <x v="5"/>
    <x v="17"/>
    <x v="32"/>
    <n v="24"/>
    <n v="220"/>
    <n v="5280"/>
    <m/>
    <m/>
    <m/>
    <m/>
    <m/>
    <m/>
    <m/>
    <m/>
    <m/>
    <m/>
    <m/>
    <m/>
    <m/>
    <m/>
    <m/>
    <m/>
    <s v="INFASCO"/>
    <m/>
    <n v="97.85"/>
  </r>
  <r>
    <x v="5"/>
    <x v="10"/>
    <x v="66"/>
    <n v="20"/>
    <n v="250"/>
    <n v="5000"/>
    <m/>
    <m/>
    <m/>
    <m/>
    <m/>
    <m/>
    <m/>
    <m/>
    <m/>
    <m/>
    <m/>
    <m/>
    <m/>
    <m/>
    <m/>
    <m/>
    <s v="INFASCO"/>
    <m/>
    <n v="123.6"/>
  </r>
  <r>
    <x v="5"/>
    <x v="10"/>
    <x v="32"/>
    <n v="20"/>
    <n v="220"/>
    <n v="4400"/>
    <m/>
    <m/>
    <m/>
    <m/>
    <m/>
    <m/>
    <m/>
    <m/>
    <m/>
    <m/>
    <m/>
    <m/>
    <m/>
    <m/>
    <m/>
    <m/>
    <s v="INFASCO"/>
    <m/>
    <n v="97.85"/>
  </r>
  <r>
    <x v="5"/>
    <x v="17"/>
    <x v="32"/>
    <n v="19"/>
    <n v="220"/>
    <n v="4180"/>
    <m/>
    <m/>
    <m/>
    <m/>
    <m/>
    <m/>
    <m/>
    <m/>
    <m/>
    <m/>
    <m/>
    <m/>
    <m/>
    <m/>
    <m/>
    <m/>
    <s v="INFASCO"/>
    <m/>
    <n v="97.85"/>
  </r>
  <r>
    <x v="5"/>
    <x v="6"/>
    <x v="55"/>
    <n v="9"/>
    <n v="400"/>
    <n v="3600"/>
    <m/>
    <m/>
    <m/>
    <m/>
    <m/>
    <m/>
    <m/>
    <m/>
    <m/>
    <m/>
    <m/>
    <m/>
    <m/>
    <m/>
    <m/>
    <m/>
    <s v="INFASCO"/>
    <m/>
    <n v="97.85"/>
  </r>
  <r>
    <x v="5"/>
    <x v="10"/>
    <x v="68"/>
    <n v="36"/>
    <n v="100"/>
    <n v="3600"/>
    <m/>
    <m/>
    <m/>
    <m/>
    <m/>
    <m/>
    <m/>
    <m/>
    <m/>
    <m/>
    <m/>
    <m/>
    <m/>
    <m/>
    <m/>
    <m/>
    <s v="INFASCO"/>
    <m/>
    <n v="123.6"/>
  </r>
  <r>
    <x v="5"/>
    <x v="10"/>
    <x v="68"/>
    <n v="17"/>
    <n v="100"/>
    <n v="1700"/>
    <m/>
    <m/>
    <m/>
    <m/>
    <m/>
    <m/>
    <m/>
    <m/>
    <m/>
    <m/>
    <m/>
    <m/>
    <m/>
    <m/>
    <m/>
    <m/>
    <s v="INFASCO"/>
    <m/>
    <n v="123.6"/>
  </r>
  <r>
    <x v="6"/>
    <x v="3"/>
    <x v="10"/>
    <n v="334"/>
    <n v="450"/>
    <n v="150300"/>
    <m/>
    <m/>
    <m/>
    <m/>
    <m/>
    <m/>
    <m/>
    <m/>
    <m/>
    <m/>
    <m/>
    <m/>
    <m/>
    <m/>
    <m/>
    <m/>
    <s v="INFASCO"/>
    <m/>
    <n v="97.85"/>
  </r>
  <r>
    <x v="6"/>
    <x v="2"/>
    <x v="61"/>
    <n v="36"/>
    <n v="4000"/>
    <n v="144000"/>
    <m/>
    <m/>
    <m/>
    <m/>
    <m/>
    <m/>
    <m/>
    <m/>
    <m/>
    <m/>
    <m/>
    <m/>
    <m/>
    <m/>
    <m/>
    <m/>
    <s v="INFASCO"/>
    <m/>
    <n v="97.85"/>
  </r>
  <r>
    <x v="6"/>
    <x v="10"/>
    <x v="36"/>
    <n v="32"/>
    <n v="4000"/>
    <n v="128000"/>
    <m/>
    <m/>
    <m/>
    <m/>
    <m/>
    <m/>
    <m/>
    <m/>
    <m/>
    <m/>
    <m/>
    <m/>
    <m/>
    <m/>
    <m/>
    <m/>
    <s v="INFASCO"/>
    <m/>
    <n v="123.6"/>
  </r>
  <r>
    <x v="6"/>
    <x v="0"/>
    <x v="0"/>
    <n v="36"/>
    <n v="2500"/>
    <n v="90000"/>
    <m/>
    <m/>
    <m/>
    <m/>
    <m/>
    <m/>
    <m/>
    <m/>
    <m/>
    <m/>
    <m/>
    <m/>
    <m/>
    <m/>
    <m/>
    <m/>
    <s v="INFASCO"/>
    <m/>
    <n v="97.85"/>
  </r>
  <r>
    <x v="6"/>
    <x v="1"/>
    <x v="46"/>
    <n v="33"/>
    <n v="2150"/>
    <n v="70950"/>
    <m/>
    <m/>
    <m/>
    <m/>
    <m/>
    <m/>
    <m/>
    <m/>
    <m/>
    <m/>
    <m/>
    <m/>
    <m/>
    <m/>
    <m/>
    <m/>
    <s v="INFASCO"/>
    <m/>
    <n v="97.85"/>
  </r>
  <r>
    <x v="6"/>
    <x v="9"/>
    <x v="48"/>
    <n v="1"/>
    <n v="64937"/>
    <n v="64937"/>
    <m/>
    <m/>
    <m/>
    <m/>
    <m/>
    <m/>
    <m/>
    <m/>
    <m/>
    <m/>
    <m/>
    <m/>
    <m/>
    <m/>
    <m/>
    <m/>
    <s v="INFASCO"/>
    <m/>
    <n v="118.45"/>
  </r>
  <r>
    <x v="6"/>
    <x v="17"/>
    <x v="69"/>
    <n v="34"/>
    <n v="1900"/>
    <n v="64600"/>
    <m/>
    <m/>
    <m/>
    <m/>
    <m/>
    <m/>
    <m/>
    <m/>
    <m/>
    <m/>
    <m/>
    <m/>
    <m/>
    <m/>
    <m/>
    <m/>
    <s v="INFASCO"/>
    <m/>
    <n v="97.85"/>
  </r>
  <r>
    <x v="6"/>
    <x v="5"/>
    <x v="46"/>
    <n v="27"/>
    <n v="2150"/>
    <n v="58050"/>
    <m/>
    <m/>
    <m/>
    <m/>
    <m/>
    <m/>
    <m/>
    <m/>
    <m/>
    <m/>
    <m/>
    <m/>
    <m/>
    <m/>
    <m/>
    <m/>
    <s v="INFASCO"/>
    <m/>
    <n v="97.85"/>
  </r>
  <r>
    <x v="6"/>
    <x v="17"/>
    <x v="10"/>
    <n v="24"/>
    <n v="1900"/>
    <n v="45600"/>
    <m/>
    <m/>
    <m/>
    <m/>
    <m/>
    <m/>
    <m/>
    <m/>
    <m/>
    <m/>
    <m/>
    <m/>
    <m/>
    <m/>
    <m/>
    <m/>
    <s v="INFASCO"/>
    <m/>
    <n v="97.85"/>
  </r>
  <r>
    <x v="6"/>
    <x v="12"/>
    <x v="70"/>
    <n v="39"/>
    <n v="1125"/>
    <n v="43875"/>
    <m/>
    <m/>
    <m/>
    <m/>
    <m/>
    <m/>
    <m/>
    <m/>
    <m/>
    <m/>
    <m/>
    <m/>
    <m/>
    <m/>
    <m/>
    <m/>
    <e v="#N/A"/>
    <m/>
    <n v="95"/>
  </r>
  <r>
    <x v="6"/>
    <x v="11"/>
    <x v="71"/>
    <n v="29"/>
    <n v="1500"/>
    <n v="43500"/>
    <m/>
    <m/>
    <m/>
    <m/>
    <m/>
    <m/>
    <m/>
    <m/>
    <m/>
    <m/>
    <m/>
    <m/>
    <m/>
    <m/>
    <m/>
    <m/>
    <s v="INFASCO"/>
    <m/>
    <n v="97.85"/>
  </r>
  <r>
    <x v="6"/>
    <x v="4"/>
    <x v="5"/>
    <n v="36"/>
    <n v="1000"/>
    <n v="36000"/>
    <m/>
    <m/>
    <m/>
    <m/>
    <m/>
    <m/>
    <m/>
    <m/>
    <m/>
    <m/>
    <m/>
    <m/>
    <m/>
    <m/>
    <m/>
    <m/>
    <s v="INFASCO"/>
    <m/>
    <n v="97.85"/>
  </r>
  <r>
    <x v="6"/>
    <x v="4"/>
    <x v="5"/>
    <n v="36"/>
    <n v="1000"/>
    <n v="36000"/>
    <m/>
    <m/>
    <m/>
    <m/>
    <m/>
    <m/>
    <m/>
    <m/>
    <m/>
    <m/>
    <m/>
    <m/>
    <m/>
    <m/>
    <m/>
    <m/>
    <s v="INFASCO"/>
    <m/>
    <n v="97.85"/>
  </r>
  <r>
    <x v="6"/>
    <x v="10"/>
    <x v="72"/>
    <n v="31"/>
    <n v="1150"/>
    <n v="35650"/>
    <m/>
    <m/>
    <m/>
    <m/>
    <m/>
    <m/>
    <m/>
    <m/>
    <m/>
    <m/>
    <m/>
    <m/>
    <m/>
    <m/>
    <m/>
    <m/>
    <s v="INFASCO"/>
    <m/>
    <n v="97.85"/>
  </r>
  <r>
    <x v="6"/>
    <x v="10"/>
    <x v="72"/>
    <n v="30"/>
    <n v="1150"/>
    <n v="34500"/>
    <m/>
    <m/>
    <m/>
    <m/>
    <m/>
    <m/>
    <m/>
    <m/>
    <m/>
    <m/>
    <m/>
    <m/>
    <m/>
    <m/>
    <m/>
    <m/>
    <s v="INFASCO"/>
    <m/>
    <n v="97.85"/>
  </r>
  <r>
    <x v="6"/>
    <x v="16"/>
    <x v="7"/>
    <n v="36"/>
    <n v="700"/>
    <n v="25200"/>
    <m/>
    <m/>
    <m/>
    <m/>
    <m/>
    <m/>
    <m/>
    <m/>
    <m/>
    <m/>
    <m/>
    <m/>
    <m/>
    <m/>
    <m/>
    <m/>
    <s v="INFASCO"/>
    <m/>
    <n v="97.85"/>
  </r>
  <r>
    <x v="6"/>
    <x v="7"/>
    <x v="7"/>
    <n v="36"/>
    <n v="700"/>
    <n v="25200"/>
    <m/>
    <m/>
    <m/>
    <m/>
    <m/>
    <m/>
    <m/>
    <m/>
    <m/>
    <m/>
    <m/>
    <m/>
    <m/>
    <m/>
    <m/>
    <m/>
    <s v="INFASCO"/>
    <m/>
    <n v="97.85"/>
  </r>
  <r>
    <x v="6"/>
    <x v="13"/>
    <x v="7"/>
    <n v="36"/>
    <n v="700"/>
    <n v="25200"/>
    <m/>
    <m/>
    <m/>
    <m/>
    <m/>
    <m/>
    <m/>
    <m/>
    <m/>
    <m/>
    <m/>
    <m/>
    <m/>
    <m/>
    <m/>
    <m/>
    <s v="INFASCO"/>
    <m/>
    <n v="97.85"/>
  </r>
  <r>
    <x v="6"/>
    <x v="14"/>
    <x v="7"/>
    <n v="36"/>
    <n v="700"/>
    <n v="25200"/>
    <m/>
    <m/>
    <m/>
    <m/>
    <m/>
    <m/>
    <m/>
    <m/>
    <m/>
    <m/>
    <m/>
    <m/>
    <m/>
    <m/>
    <m/>
    <m/>
    <s v="INFASCO"/>
    <m/>
    <n v="97.85"/>
  </r>
  <r>
    <x v="6"/>
    <x v="3"/>
    <x v="7"/>
    <n v="36"/>
    <n v="700"/>
    <n v="25200"/>
    <m/>
    <m/>
    <m/>
    <m/>
    <m/>
    <m/>
    <m/>
    <m/>
    <m/>
    <m/>
    <m/>
    <m/>
    <m/>
    <m/>
    <m/>
    <m/>
    <s v="INFASCO"/>
    <m/>
    <n v="97.85"/>
  </r>
  <r>
    <x v="6"/>
    <x v="8"/>
    <x v="10"/>
    <n v="36"/>
    <n v="450"/>
    <n v="16200"/>
    <m/>
    <m/>
    <m/>
    <m/>
    <m/>
    <m/>
    <m/>
    <m/>
    <m/>
    <m/>
    <m/>
    <m/>
    <m/>
    <m/>
    <m/>
    <m/>
    <s v="INFASCO"/>
    <m/>
    <n v="97.85"/>
  </r>
  <r>
    <x v="6"/>
    <x v="8"/>
    <x v="9"/>
    <n v="36"/>
    <n v="450"/>
    <n v="16200"/>
    <m/>
    <m/>
    <m/>
    <m/>
    <m/>
    <m/>
    <m/>
    <m/>
    <m/>
    <m/>
    <m/>
    <m/>
    <m/>
    <m/>
    <m/>
    <m/>
    <s v="INFASCO"/>
    <m/>
    <n v="97.85"/>
  </r>
  <r>
    <x v="6"/>
    <x v="8"/>
    <x v="10"/>
    <n v="36"/>
    <n v="450"/>
    <n v="16200"/>
    <m/>
    <m/>
    <m/>
    <m/>
    <m/>
    <m/>
    <m/>
    <m/>
    <m/>
    <m/>
    <m/>
    <m/>
    <m/>
    <m/>
    <m/>
    <m/>
    <s v="INFASCO"/>
    <m/>
    <n v="97.85"/>
  </r>
  <r>
    <x v="6"/>
    <x v="6"/>
    <x v="10"/>
    <n v="36"/>
    <n v="450"/>
    <n v="16200"/>
    <m/>
    <m/>
    <m/>
    <m/>
    <m/>
    <m/>
    <m/>
    <m/>
    <m/>
    <m/>
    <m/>
    <m/>
    <m/>
    <m/>
    <m/>
    <m/>
    <s v="INFASCO"/>
    <m/>
    <n v="97.85"/>
  </r>
  <r>
    <x v="6"/>
    <x v="6"/>
    <x v="10"/>
    <n v="36"/>
    <n v="450"/>
    <n v="16200"/>
    <m/>
    <m/>
    <m/>
    <m/>
    <m/>
    <m/>
    <m/>
    <m/>
    <m/>
    <m/>
    <m/>
    <m/>
    <m/>
    <m/>
    <m/>
    <m/>
    <s v="INFASCO"/>
    <m/>
    <n v="97.85"/>
  </r>
  <r>
    <x v="6"/>
    <x v="6"/>
    <x v="10"/>
    <n v="36"/>
    <n v="450"/>
    <n v="16200"/>
    <m/>
    <m/>
    <m/>
    <m/>
    <m/>
    <m/>
    <m/>
    <m/>
    <m/>
    <m/>
    <m/>
    <m/>
    <m/>
    <m/>
    <m/>
    <m/>
    <s v="INFASCO"/>
    <m/>
    <n v="97.85"/>
  </r>
  <r>
    <x v="6"/>
    <x v="6"/>
    <x v="10"/>
    <n v="36"/>
    <n v="450"/>
    <n v="16200"/>
    <m/>
    <m/>
    <m/>
    <m/>
    <m/>
    <m/>
    <m/>
    <m/>
    <m/>
    <m/>
    <m/>
    <m/>
    <m/>
    <m/>
    <m/>
    <m/>
    <s v="INFASCO"/>
    <m/>
    <n v="97.85"/>
  </r>
  <r>
    <x v="6"/>
    <x v="4"/>
    <x v="9"/>
    <n v="36"/>
    <n v="450"/>
    <n v="16200"/>
    <m/>
    <m/>
    <m/>
    <m/>
    <m/>
    <m/>
    <m/>
    <m/>
    <m/>
    <m/>
    <m/>
    <m/>
    <m/>
    <m/>
    <m/>
    <m/>
    <s v="INFASCO"/>
    <m/>
    <n v="97.85"/>
  </r>
  <r>
    <x v="6"/>
    <x v="4"/>
    <x v="9"/>
    <n v="36"/>
    <n v="450"/>
    <n v="16200"/>
    <m/>
    <m/>
    <m/>
    <m/>
    <m/>
    <m/>
    <m/>
    <m/>
    <m/>
    <m/>
    <m/>
    <m/>
    <m/>
    <m/>
    <m/>
    <m/>
    <s v="INFASCO"/>
    <m/>
    <n v="97.85"/>
  </r>
  <r>
    <x v="6"/>
    <x v="10"/>
    <x v="10"/>
    <n v="36"/>
    <n v="450"/>
    <n v="16200"/>
    <m/>
    <m/>
    <m/>
    <m/>
    <m/>
    <m/>
    <m/>
    <m/>
    <m/>
    <m/>
    <m/>
    <m/>
    <m/>
    <m/>
    <m/>
    <m/>
    <s v="INFASCO"/>
    <m/>
    <n v="97.85"/>
  </r>
  <r>
    <x v="6"/>
    <x v="10"/>
    <x v="9"/>
    <n v="36"/>
    <n v="450"/>
    <n v="16200"/>
    <m/>
    <m/>
    <m/>
    <m/>
    <m/>
    <m/>
    <m/>
    <m/>
    <m/>
    <m/>
    <m/>
    <m/>
    <m/>
    <m/>
    <m/>
    <m/>
    <s v="INFASCO"/>
    <m/>
    <n v="97.85"/>
  </r>
  <r>
    <x v="6"/>
    <x v="11"/>
    <x v="10"/>
    <n v="36"/>
    <n v="450"/>
    <n v="16200"/>
    <m/>
    <m/>
    <m/>
    <m/>
    <m/>
    <m/>
    <m/>
    <m/>
    <m/>
    <m/>
    <m/>
    <m/>
    <m/>
    <m/>
    <m/>
    <m/>
    <s v="INFASCO"/>
    <m/>
    <n v="97.85"/>
  </r>
  <r>
    <x v="6"/>
    <x v="12"/>
    <x v="10"/>
    <n v="36"/>
    <n v="450"/>
    <n v="16200"/>
    <m/>
    <m/>
    <m/>
    <m/>
    <m/>
    <m/>
    <m/>
    <m/>
    <m/>
    <m/>
    <m/>
    <m/>
    <m/>
    <m/>
    <m/>
    <m/>
    <s v="INFASCO"/>
    <m/>
    <n v="97.85"/>
  </r>
  <r>
    <x v="6"/>
    <x v="12"/>
    <x v="63"/>
    <n v="35"/>
    <n v="450"/>
    <n v="15750"/>
    <m/>
    <m/>
    <m/>
    <m/>
    <m/>
    <m/>
    <m/>
    <m/>
    <m/>
    <m/>
    <m/>
    <m/>
    <m/>
    <m/>
    <m/>
    <m/>
    <s v="INFASCO"/>
    <m/>
    <n v="97.85"/>
  </r>
  <r>
    <x v="6"/>
    <x v="17"/>
    <x v="9"/>
    <n v="31"/>
    <n v="450"/>
    <n v="13950"/>
    <m/>
    <m/>
    <m/>
    <m/>
    <m/>
    <m/>
    <m/>
    <m/>
    <m/>
    <m/>
    <m/>
    <m/>
    <m/>
    <m/>
    <m/>
    <m/>
    <s v="INFASCO"/>
    <m/>
    <n v="97.85"/>
  </r>
  <r>
    <x v="6"/>
    <x v="11"/>
    <x v="10"/>
    <n v="29"/>
    <n v="450"/>
    <n v="13050"/>
    <m/>
    <m/>
    <m/>
    <m/>
    <m/>
    <m/>
    <m/>
    <m/>
    <m/>
    <m/>
    <m/>
    <m/>
    <m/>
    <m/>
    <m/>
    <m/>
    <s v="INFASCO"/>
    <m/>
    <n v="97.85"/>
  </r>
  <r>
    <x v="6"/>
    <x v="10"/>
    <x v="73"/>
    <n v="36"/>
    <n v="350"/>
    <n v="12600"/>
    <m/>
    <m/>
    <m/>
    <m/>
    <m/>
    <m/>
    <m/>
    <m/>
    <m/>
    <m/>
    <m/>
    <m/>
    <m/>
    <m/>
    <m/>
    <m/>
    <s v="INFASCO"/>
    <m/>
    <n v="97.85"/>
  </r>
  <r>
    <x v="6"/>
    <x v="10"/>
    <x v="9"/>
    <n v="27"/>
    <n v="450"/>
    <n v="12150"/>
    <m/>
    <m/>
    <m/>
    <m/>
    <m/>
    <m/>
    <m/>
    <m/>
    <m/>
    <m/>
    <m/>
    <m/>
    <m/>
    <m/>
    <m/>
    <m/>
    <s v="INFASCO"/>
    <m/>
    <n v="97.85"/>
  </r>
  <r>
    <x v="6"/>
    <x v="17"/>
    <x v="9"/>
    <n v="26"/>
    <n v="450"/>
    <n v="11700"/>
    <m/>
    <m/>
    <m/>
    <m/>
    <m/>
    <m/>
    <m/>
    <m/>
    <m/>
    <m/>
    <m/>
    <m/>
    <m/>
    <m/>
    <m/>
    <m/>
    <s v="INFASCO"/>
    <m/>
    <n v="97.85"/>
  </r>
  <r>
    <x v="6"/>
    <x v="10"/>
    <x v="74"/>
    <n v="36"/>
    <n v="320"/>
    <n v="11520"/>
    <m/>
    <m/>
    <m/>
    <m/>
    <m/>
    <m/>
    <m/>
    <m/>
    <m/>
    <m/>
    <m/>
    <m/>
    <m/>
    <m/>
    <m/>
    <m/>
    <s v="INFASCO"/>
    <m/>
    <n v="97.85"/>
  </r>
  <r>
    <x v="6"/>
    <x v="10"/>
    <x v="73"/>
    <n v="32"/>
    <n v="350"/>
    <n v="11200"/>
    <m/>
    <m/>
    <m/>
    <m/>
    <m/>
    <m/>
    <m/>
    <m/>
    <m/>
    <m/>
    <m/>
    <m/>
    <m/>
    <m/>
    <m/>
    <m/>
    <s v="INFASCO"/>
    <m/>
    <n v="97.85"/>
  </r>
  <r>
    <x v="6"/>
    <x v="8"/>
    <x v="9"/>
    <n v="24"/>
    <n v="450"/>
    <n v="10800"/>
    <m/>
    <m/>
    <m/>
    <m/>
    <m/>
    <m/>
    <m/>
    <m/>
    <m/>
    <m/>
    <m/>
    <m/>
    <m/>
    <m/>
    <m/>
    <m/>
    <s v="INFASCO"/>
    <m/>
    <n v="97.85"/>
  </r>
  <r>
    <x v="6"/>
    <x v="10"/>
    <x v="9"/>
    <n v="24"/>
    <n v="450"/>
    <n v="10800"/>
    <m/>
    <m/>
    <m/>
    <m/>
    <m/>
    <m/>
    <m/>
    <m/>
    <m/>
    <m/>
    <m/>
    <m/>
    <m/>
    <m/>
    <m/>
    <m/>
    <s v="INFASCO"/>
    <m/>
    <n v="97.85"/>
  </r>
  <r>
    <x v="6"/>
    <x v="7"/>
    <x v="7"/>
    <n v="14"/>
    <n v="700"/>
    <n v="9800"/>
    <m/>
    <m/>
    <m/>
    <m/>
    <m/>
    <m/>
    <m/>
    <m/>
    <m/>
    <m/>
    <m/>
    <m/>
    <m/>
    <m/>
    <m/>
    <m/>
    <s v="INFASCO"/>
    <m/>
    <n v="97.85"/>
  </r>
  <r>
    <x v="6"/>
    <x v="10"/>
    <x v="74"/>
    <n v="22"/>
    <n v="320"/>
    <n v="7040"/>
    <m/>
    <m/>
    <m/>
    <m/>
    <m/>
    <m/>
    <m/>
    <m/>
    <m/>
    <m/>
    <m/>
    <m/>
    <m/>
    <m/>
    <m/>
    <m/>
    <s v="INFASCO"/>
    <m/>
    <n v="97.85"/>
  </r>
  <r>
    <x v="6"/>
    <x v="17"/>
    <x v="75"/>
    <n v="3"/>
    <n v="2300"/>
    <n v="6900"/>
    <m/>
    <m/>
    <m/>
    <m/>
    <m/>
    <m/>
    <m/>
    <m/>
    <m/>
    <m/>
    <m/>
    <m/>
    <m/>
    <m/>
    <m/>
    <m/>
    <e v="#N/A"/>
    <m/>
    <n v="95"/>
  </r>
  <r>
    <x v="6"/>
    <x v="17"/>
    <x v="32"/>
    <n v="30"/>
    <n v="220"/>
    <n v="6600"/>
    <m/>
    <m/>
    <m/>
    <m/>
    <m/>
    <m/>
    <m/>
    <m/>
    <m/>
    <m/>
    <m/>
    <m/>
    <m/>
    <m/>
    <m/>
    <m/>
    <s v="INFASCO"/>
    <m/>
    <n v="97.85"/>
  </r>
  <r>
    <x v="6"/>
    <x v="10"/>
    <x v="32"/>
    <n v="28"/>
    <n v="220"/>
    <n v="6160"/>
    <m/>
    <m/>
    <m/>
    <m/>
    <m/>
    <m/>
    <m/>
    <m/>
    <m/>
    <m/>
    <m/>
    <m/>
    <m/>
    <m/>
    <m/>
    <m/>
    <s v="INFASCO"/>
    <m/>
    <n v="97.85"/>
  </r>
  <r>
    <x v="6"/>
    <x v="8"/>
    <x v="74"/>
    <n v="16"/>
    <n v="320"/>
    <n v="5120"/>
    <m/>
    <m/>
    <m/>
    <m/>
    <m/>
    <m/>
    <m/>
    <m/>
    <m/>
    <m/>
    <m/>
    <m/>
    <m/>
    <m/>
    <m/>
    <m/>
    <s v="INFASCO"/>
    <m/>
    <n v="97.85"/>
  </r>
  <r>
    <x v="6"/>
    <x v="8"/>
    <x v="33"/>
    <n v="26"/>
    <n v="145"/>
    <n v="3770"/>
    <m/>
    <m/>
    <m/>
    <m/>
    <m/>
    <m/>
    <m/>
    <m/>
    <m/>
    <m/>
    <m/>
    <m/>
    <m/>
    <m/>
    <m/>
    <m/>
    <s v="INFASCO"/>
    <m/>
    <n v="123.6"/>
  </r>
  <r>
    <x v="6"/>
    <x v="17"/>
    <x v="45"/>
    <n v="1"/>
    <m/>
    <n v="0"/>
    <m/>
    <m/>
    <m/>
    <m/>
    <m/>
    <m/>
    <m/>
    <m/>
    <m/>
    <m/>
    <m/>
    <m/>
    <m/>
    <m/>
    <m/>
    <m/>
    <s v="INFASCO"/>
    <m/>
    <n v="69"/>
  </r>
  <r>
    <x v="6"/>
    <x v="17"/>
    <x v="45"/>
    <n v="1"/>
    <m/>
    <n v="0"/>
    <m/>
    <m/>
    <m/>
    <m/>
    <m/>
    <m/>
    <m/>
    <m/>
    <m/>
    <m/>
    <m/>
    <m/>
    <m/>
    <m/>
    <m/>
    <m/>
    <s v="INFASCO"/>
    <m/>
    <n v="69"/>
  </r>
  <r>
    <x v="6"/>
    <x v="17"/>
    <x v="45"/>
    <n v="1"/>
    <m/>
    <n v="0"/>
    <m/>
    <m/>
    <m/>
    <m/>
    <m/>
    <m/>
    <m/>
    <m/>
    <m/>
    <m/>
    <m/>
    <m/>
    <m/>
    <m/>
    <m/>
    <m/>
    <s v="INFASCO"/>
    <m/>
    <n v="69"/>
  </r>
  <r>
    <x v="7"/>
    <x v="0"/>
    <x v="0"/>
    <n v="33"/>
    <n v="2500"/>
    <n v="82500"/>
    <m/>
    <m/>
    <m/>
    <m/>
    <m/>
    <m/>
    <m/>
    <m/>
    <m/>
    <m/>
    <m/>
    <m/>
    <m/>
    <m/>
    <m/>
    <m/>
    <s v="INFASCO"/>
    <m/>
    <n v="97.85"/>
  </r>
  <r>
    <x v="7"/>
    <x v="15"/>
    <x v="76"/>
    <n v="18"/>
    <n v="4500"/>
    <n v="81000"/>
    <m/>
    <m/>
    <m/>
    <m/>
    <m/>
    <m/>
    <m/>
    <m/>
    <m/>
    <m/>
    <m/>
    <m/>
    <m/>
    <m/>
    <m/>
    <m/>
    <s v="INFASCO"/>
    <m/>
    <n v="97.85"/>
  </r>
  <r>
    <x v="7"/>
    <x v="1"/>
    <x v="46"/>
    <n v="36"/>
    <n v="2150"/>
    <n v="77400"/>
    <m/>
    <m/>
    <m/>
    <m/>
    <m/>
    <m/>
    <m/>
    <m/>
    <m/>
    <m/>
    <m/>
    <m/>
    <m/>
    <m/>
    <m/>
    <m/>
    <s v="INFASCO"/>
    <m/>
    <n v="97.85"/>
  </r>
  <r>
    <x v="7"/>
    <x v="5"/>
    <x v="69"/>
    <n v="36"/>
    <n v="1900"/>
    <n v="68400"/>
    <m/>
    <m/>
    <m/>
    <m/>
    <m/>
    <m/>
    <m/>
    <m/>
    <m/>
    <m/>
    <m/>
    <m/>
    <m/>
    <m/>
    <m/>
    <m/>
    <s v="INFASCO"/>
    <m/>
    <n v="97.85"/>
  </r>
  <r>
    <x v="7"/>
    <x v="17"/>
    <x v="77"/>
    <n v="36"/>
    <n v="1550"/>
    <n v="55800"/>
    <m/>
    <m/>
    <m/>
    <m/>
    <m/>
    <m/>
    <m/>
    <m/>
    <m/>
    <m/>
    <m/>
    <m/>
    <m/>
    <m/>
    <m/>
    <m/>
    <s v="INFASCO"/>
    <m/>
    <n v="123.6"/>
  </r>
  <r>
    <x v="7"/>
    <x v="17"/>
    <x v="77"/>
    <n v="36"/>
    <n v="1550"/>
    <n v="55800"/>
    <m/>
    <m/>
    <m/>
    <m/>
    <m/>
    <m/>
    <m/>
    <m/>
    <m/>
    <m/>
    <m/>
    <m/>
    <m/>
    <m/>
    <m/>
    <m/>
    <s v="INFASCO"/>
    <m/>
    <n v="123.6"/>
  </r>
  <r>
    <x v="7"/>
    <x v="8"/>
    <x v="77"/>
    <n v="36"/>
    <n v="1550"/>
    <n v="55800"/>
    <m/>
    <m/>
    <m/>
    <m/>
    <m/>
    <m/>
    <m/>
    <m/>
    <m/>
    <m/>
    <m/>
    <m/>
    <m/>
    <m/>
    <m/>
    <m/>
    <s v="INFASCO"/>
    <m/>
    <n v="123.6"/>
  </r>
  <r>
    <x v="7"/>
    <x v="10"/>
    <x v="77"/>
    <n v="36"/>
    <n v="1550"/>
    <n v="55800"/>
    <m/>
    <m/>
    <m/>
    <m/>
    <m/>
    <m/>
    <m/>
    <m/>
    <m/>
    <m/>
    <m/>
    <m/>
    <m/>
    <m/>
    <m/>
    <m/>
    <s v="INFASCO"/>
    <m/>
    <n v="123.6"/>
  </r>
  <r>
    <x v="7"/>
    <x v="2"/>
    <x v="71"/>
    <n v="36"/>
    <n v="1500"/>
    <n v="54000"/>
    <m/>
    <m/>
    <m/>
    <m/>
    <m/>
    <m/>
    <m/>
    <m/>
    <m/>
    <m/>
    <m/>
    <m/>
    <m/>
    <m/>
    <m/>
    <m/>
    <s v="INFASCO"/>
    <m/>
    <n v="97.85"/>
  </r>
  <r>
    <x v="7"/>
    <x v="8"/>
    <x v="77"/>
    <n v="33"/>
    <n v="1550"/>
    <n v="51150"/>
    <m/>
    <m/>
    <m/>
    <m/>
    <m/>
    <m/>
    <m/>
    <m/>
    <m/>
    <m/>
    <m/>
    <m/>
    <m/>
    <m/>
    <m/>
    <m/>
    <s v="INFASCO"/>
    <m/>
    <n v="123.6"/>
  </r>
  <r>
    <x v="7"/>
    <x v="10"/>
    <x v="77"/>
    <n v="32"/>
    <n v="1550"/>
    <n v="49600"/>
    <m/>
    <m/>
    <m/>
    <m/>
    <m/>
    <m/>
    <m/>
    <m/>
    <m/>
    <m/>
    <m/>
    <m/>
    <m/>
    <m/>
    <m/>
    <m/>
    <s v="INFASCO"/>
    <m/>
    <n v="123.6"/>
  </r>
  <r>
    <x v="7"/>
    <x v="10"/>
    <x v="78"/>
    <n v="1"/>
    <n v="43850"/>
    <n v="43850"/>
    <m/>
    <m/>
    <m/>
    <m/>
    <m/>
    <m/>
    <m/>
    <m/>
    <m/>
    <m/>
    <m/>
    <m/>
    <m/>
    <m/>
    <m/>
    <m/>
    <s v="INFASCO"/>
    <m/>
    <n v="118.45"/>
  </r>
  <r>
    <x v="7"/>
    <x v="10"/>
    <x v="77"/>
    <n v="28"/>
    <n v="1550"/>
    <n v="43400"/>
    <m/>
    <m/>
    <m/>
    <m/>
    <m/>
    <m/>
    <m/>
    <m/>
    <m/>
    <m/>
    <m/>
    <m/>
    <m/>
    <m/>
    <m/>
    <m/>
    <s v="INFASCO"/>
    <m/>
    <n v="123.6"/>
  </r>
  <r>
    <x v="7"/>
    <x v="17"/>
    <x v="78"/>
    <n v="1"/>
    <n v="41943"/>
    <n v="41943"/>
    <m/>
    <m/>
    <m/>
    <m/>
    <m/>
    <m/>
    <m/>
    <m/>
    <m/>
    <m/>
    <m/>
    <m/>
    <m/>
    <m/>
    <m/>
    <m/>
    <s v="INFASCO"/>
    <m/>
    <n v="118.45"/>
  </r>
  <r>
    <x v="7"/>
    <x v="10"/>
    <x v="78"/>
    <n v="1"/>
    <n v="40465"/>
    <n v="40465"/>
    <m/>
    <m/>
    <m/>
    <m/>
    <m/>
    <m/>
    <m/>
    <m/>
    <m/>
    <m/>
    <m/>
    <m/>
    <m/>
    <m/>
    <m/>
    <m/>
    <s v="INFASCO"/>
    <m/>
    <n v="118.45"/>
  </r>
  <r>
    <x v="7"/>
    <x v="17"/>
    <x v="77"/>
    <n v="25"/>
    <n v="1550"/>
    <n v="38750"/>
    <m/>
    <m/>
    <m/>
    <m/>
    <m/>
    <m/>
    <m/>
    <m/>
    <m/>
    <m/>
    <m/>
    <m/>
    <m/>
    <m/>
    <m/>
    <m/>
    <s v="INFASCO"/>
    <m/>
    <n v="123.6"/>
  </r>
  <r>
    <x v="7"/>
    <x v="8"/>
    <x v="78"/>
    <n v="1"/>
    <n v="38000"/>
    <n v="38000"/>
    <m/>
    <m/>
    <m/>
    <m/>
    <m/>
    <m/>
    <m/>
    <m/>
    <m/>
    <m/>
    <m/>
    <m/>
    <m/>
    <m/>
    <m/>
    <m/>
    <s v="INFASCO"/>
    <m/>
    <n v="118.45"/>
  </r>
  <r>
    <x v="7"/>
    <x v="4"/>
    <x v="5"/>
    <n v="36"/>
    <n v="1000"/>
    <n v="36000"/>
    <m/>
    <m/>
    <m/>
    <m/>
    <m/>
    <m/>
    <m/>
    <m/>
    <m/>
    <m/>
    <m/>
    <m/>
    <m/>
    <m/>
    <m/>
    <m/>
    <s v="INFASCO"/>
    <m/>
    <n v="97.85"/>
  </r>
  <r>
    <x v="7"/>
    <x v="4"/>
    <x v="5"/>
    <n v="36"/>
    <n v="1000"/>
    <n v="36000"/>
    <m/>
    <m/>
    <m/>
    <m/>
    <m/>
    <m/>
    <m/>
    <m/>
    <m/>
    <m/>
    <m/>
    <m/>
    <m/>
    <m/>
    <m/>
    <m/>
    <s v="INFASCO"/>
    <m/>
    <n v="97.85"/>
  </r>
  <r>
    <x v="7"/>
    <x v="4"/>
    <x v="5"/>
    <n v="36"/>
    <n v="1000"/>
    <n v="36000"/>
    <m/>
    <m/>
    <m/>
    <m/>
    <m/>
    <m/>
    <m/>
    <m/>
    <m/>
    <m/>
    <m/>
    <m/>
    <m/>
    <m/>
    <m/>
    <m/>
    <s v="INFASCO"/>
    <m/>
    <n v="97.85"/>
  </r>
  <r>
    <x v="7"/>
    <x v="11"/>
    <x v="5"/>
    <n v="36"/>
    <n v="1000"/>
    <n v="36000"/>
    <m/>
    <m/>
    <m/>
    <m/>
    <m/>
    <m/>
    <m/>
    <m/>
    <m/>
    <m/>
    <m/>
    <m/>
    <m/>
    <m/>
    <m/>
    <m/>
    <s v="INFASCO"/>
    <m/>
    <n v="97.85"/>
  </r>
  <r>
    <x v="7"/>
    <x v="10"/>
    <x v="78"/>
    <n v="1"/>
    <n v="30575"/>
    <n v="30575"/>
    <m/>
    <m/>
    <m/>
    <m/>
    <m/>
    <m/>
    <m/>
    <m/>
    <m/>
    <m/>
    <m/>
    <m/>
    <m/>
    <m/>
    <m/>
    <m/>
    <s v="INFASCO"/>
    <m/>
    <n v="118.45"/>
  </r>
  <r>
    <x v="7"/>
    <x v="9"/>
    <x v="5"/>
    <n v="30"/>
    <n v="1000"/>
    <n v="30000"/>
    <m/>
    <m/>
    <m/>
    <m/>
    <m/>
    <m/>
    <m/>
    <m/>
    <m/>
    <m/>
    <m/>
    <m/>
    <m/>
    <m/>
    <m/>
    <m/>
    <s v="INFASCO"/>
    <m/>
    <n v="97.85"/>
  </r>
  <r>
    <x v="7"/>
    <x v="10"/>
    <x v="79"/>
    <n v="34"/>
    <n v="830"/>
    <n v="28220"/>
    <m/>
    <m/>
    <m/>
    <m/>
    <m/>
    <m/>
    <m/>
    <m/>
    <m/>
    <m/>
    <m/>
    <m/>
    <m/>
    <m/>
    <m/>
    <m/>
    <s v="INFASCO"/>
    <m/>
    <n v="97.85"/>
  </r>
  <r>
    <x v="7"/>
    <x v="16"/>
    <x v="7"/>
    <n v="36"/>
    <n v="700"/>
    <n v="25200"/>
    <m/>
    <m/>
    <m/>
    <m/>
    <m/>
    <m/>
    <m/>
    <m/>
    <m/>
    <m/>
    <m/>
    <m/>
    <m/>
    <m/>
    <m/>
    <m/>
    <s v="INFASCO"/>
    <m/>
    <n v="97.85"/>
  </r>
  <r>
    <x v="7"/>
    <x v="7"/>
    <x v="7"/>
    <n v="36"/>
    <n v="700"/>
    <n v="25200"/>
    <m/>
    <m/>
    <m/>
    <m/>
    <m/>
    <m/>
    <m/>
    <m/>
    <m/>
    <m/>
    <m/>
    <m/>
    <m/>
    <m/>
    <m/>
    <m/>
    <s v="INFASCO"/>
    <m/>
    <n v="97.85"/>
  </r>
  <r>
    <x v="7"/>
    <x v="3"/>
    <x v="7"/>
    <n v="35"/>
    <n v="700"/>
    <n v="24500"/>
    <m/>
    <m/>
    <m/>
    <m/>
    <m/>
    <m/>
    <m/>
    <m/>
    <m/>
    <m/>
    <m/>
    <m/>
    <m/>
    <m/>
    <m/>
    <m/>
    <s v="INFASCO"/>
    <m/>
    <n v="97.85"/>
  </r>
  <r>
    <x v="7"/>
    <x v="13"/>
    <x v="7"/>
    <n v="32"/>
    <n v="700"/>
    <n v="22400"/>
    <m/>
    <m/>
    <m/>
    <m/>
    <m/>
    <m/>
    <m/>
    <m/>
    <m/>
    <m/>
    <m/>
    <m/>
    <m/>
    <m/>
    <m/>
    <m/>
    <s v="INFASCO"/>
    <m/>
    <n v="97.85"/>
  </r>
  <r>
    <x v="7"/>
    <x v="18"/>
    <x v="79"/>
    <n v="25"/>
    <n v="830"/>
    <n v="20750"/>
    <m/>
    <m/>
    <m/>
    <m/>
    <m/>
    <m/>
    <m/>
    <m/>
    <m/>
    <m/>
    <m/>
    <m/>
    <m/>
    <m/>
    <m/>
    <m/>
    <s v="INFASCO"/>
    <m/>
    <n v="97.85"/>
  </r>
  <r>
    <x v="7"/>
    <x v="12"/>
    <x v="10"/>
    <n v="42"/>
    <n v="450"/>
    <n v="18900"/>
    <m/>
    <m/>
    <m/>
    <m/>
    <m/>
    <m/>
    <m/>
    <m/>
    <m/>
    <m/>
    <m/>
    <m/>
    <m/>
    <m/>
    <m/>
    <m/>
    <s v="INFASCO"/>
    <m/>
    <n v="97.85"/>
  </r>
  <r>
    <x v="7"/>
    <x v="6"/>
    <x v="10"/>
    <n v="36"/>
    <n v="450"/>
    <n v="16200"/>
    <m/>
    <m/>
    <m/>
    <m/>
    <m/>
    <m/>
    <m/>
    <m/>
    <m/>
    <m/>
    <m/>
    <m/>
    <m/>
    <m/>
    <m/>
    <m/>
    <s v="INFASCO"/>
    <m/>
    <n v="97.85"/>
  </r>
  <r>
    <x v="7"/>
    <x v="6"/>
    <x v="10"/>
    <n v="36"/>
    <n v="450"/>
    <n v="16200"/>
    <m/>
    <m/>
    <m/>
    <m/>
    <m/>
    <m/>
    <m/>
    <m/>
    <m/>
    <m/>
    <m/>
    <m/>
    <m/>
    <m/>
    <m/>
    <m/>
    <s v="INFASCO"/>
    <m/>
    <n v="97.85"/>
  </r>
  <r>
    <x v="7"/>
    <x v="6"/>
    <x v="10"/>
    <n v="36"/>
    <n v="450"/>
    <n v="16200"/>
    <m/>
    <m/>
    <m/>
    <m/>
    <m/>
    <m/>
    <m/>
    <m/>
    <m/>
    <m/>
    <m/>
    <m/>
    <m/>
    <m/>
    <m/>
    <m/>
    <s v="INFASCO"/>
    <m/>
    <n v="97.85"/>
  </r>
  <r>
    <x v="7"/>
    <x v="17"/>
    <x v="10"/>
    <n v="36"/>
    <n v="450"/>
    <n v="16200"/>
    <m/>
    <m/>
    <m/>
    <m/>
    <m/>
    <m/>
    <m/>
    <m/>
    <m/>
    <m/>
    <m/>
    <m/>
    <m/>
    <m/>
    <m/>
    <m/>
    <s v="INFASCO"/>
    <m/>
    <n v="97.85"/>
  </r>
  <r>
    <x v="7"/>
    <x v="8"/>
    <x v="10"/>
    <n v="36"/>
    <n v="450"/>
    <n v="16200"/>
    <m/>
    <m/>
    <m/>
    <m/>
    <m/>
    <m/>
    <m/>
    <m/>
    <m/>
    <m/>
    <m/>
    <m/>
    <m/>
    <m/>
    <m/>
    <m/>
    <s v="INFASCO"/>
    <m/>
    <n v="97.85"/>
  </r>
  <r>
    <x v="7"/>
    <x v="8"/>
    <x v="10"/>
    <n v="36"/>
    <n v="450"/>
    <n v="16200"/>
    <m/>
    <m/>
    <m/>
    <m/>
    <m/>
    <m/>
    <m/>
    <m/>
    <m/>
    <m/>
    <m/>
    <m/>
    <m/>
    <m/>
    <m/>
    <m/>
    <s v="INFASCO"/>
    <m/>
    <n v="97.85"/>
  </r>
  <r>
    <x v="7"/>
    <x v="10"/>
    <x v="10"/>
    <n v="36"/>
    <n v="450"/>
    <n v="16200"/>
    <m/>
    <m/>
    <m/>
    <m/>
    <m/>
    <m/>
    <m/>
    <m/>
    <m/>
    <m/>
    <m/>
    <m/>
    <m/>
    <m/>
    <m/>
    <m/>
    <s v="INFASCO"/>
    <m/>
    <n v="97.85"/>
  </r>
  <r>
    <x v="7"/>
    <x v="10"/>
    <x v="10"/>
    <n v="36"/>
    <n v="450"/>
    <n v="16200"/>
    <m/>
    <m/>
    <m/>
    <m/>
    <m/>
    <m/>
    <m/>
    <m/>
    <m/>
    <m/>
    <m/>
    <m/>
    <m/>
    <m/>
    <m/>
    <m/>
    <s v="INFASCO"/>
    <m/>
    <n v="97.85"/>
  </r>
  <r>
    <x v="7"/>
    <x v="10"/>
    <x v="10"/>
    <n v="36"/>
    <n v="450"/>
    <n v="16200"/>
    <m/>
    <m/>
    <m/>
    <m/>
    <m/>
    <m/>
    <m/>
    <m/>
    <m/>
    <m/>
    <m/>
    <m/>
    <m/>
    <m/>
    <m/>
    <m/>
    <s v="INFASCO"/>
    <m/>
    <n v="97.85"/>
  </r>
  <r>
    <x v="7"/>
    <x v="18"/>
    <x v="10"/>
    <n v="36"/>
    <n v="450"/>
    <n v="16200"/>
    <m/>
    <m/>
    <m/>
    <m/>
    <m/>
    <m/>
    <m/>
    <m/>
    <m/>
    <m/>
    <m/>
    <m/>
    <m/>
    <m/>
    <m/>
    <m/>
    <s v="INFASCO"/>
    <m/>
    <n v="97.85"/>
  </r>
  <r>
    <x v="7"/>
    <x v="18"/>
    <x v="10"/>
    <n v="36"/>
    <n v="450"/>
    <n v="16200"/>
    <m/>
    <m/>
    <m/>
    <m/>
    <m/>
    <m/>
    <m/>
    <m/>
    <m/>
    <m/>
    <m/>
    <m/>
    <m/>
    <m/>
    <m/>
    <m/>
    <s v="INFASCO"/>
    <m/>
    <n v="97.85"/>
  </r>
  <r>
    <x v="7"/>
    <x v="11"/>
    <x v="10"/>
    <n v="36"/>
    <n v="450"/>
    <n v="16200"/>
    <m/>
    <m/>
    <m/>
    <m/>
    <m/>
    <m/>
    <m/>
    <m/>
    <m/>
    <m/>
    <m/>
    <m/>
    <m/>
    <m/>
    <m/>
    <m/>
    <s v="INFASCO"/>
    <m/>
    <n v="97.85"/>
  </r>
  <r>
    <x v="7"/>
    <x v="17"/>
    <x v="78"/>
    <n v="1"/>
    <n v="15000"/>
    <n v="15000"/>
    <m/>
    <m/>
    <m/>
    <m/>
    <m/>
    <m/>
    <m/>
    <m/>
    <m/>
    <m/>
    <m/>
    <m/>
    <m/>
    <m/>
    <m/>
    <m/>
    <s v="INFASCO"/>
    <m/>
    <n v="118.45"/>
  </r>
  <r>
    <x v="7"/>
    <x v="18"/>
    <x v="10"/>
    <n v="32"/>
    <n v="450"/>
    <n v="14400"/>
    <m/>
    <m/>
    <m/>
    <m/>
    <m/>
    <m/>
    <m/>
    <m/>
    <m/>
    <m/>
    <m/>
    <m/>
    <m/>
    <m/>
    <m/>
    <m/>
    <s v="INFASCO"/>
    <m/>
    <n v="97.85"/>
  </r>
  <r>
    <x v="7"/>
    <x v="8"/>
    <x v="10"/>
    <n v="29"/>
    <n v="450"/>
    <n v="13050"/>
    <m/>
    <m/>
    <m/>
    <m/>
    <m/>
    <m/>
    <m/>
    <m/>
    <m/>
    <m/>
    <m/>
    <m/>
    <m/>
    <m/>
    <m/>
    <m/>
    <s v="INFASCO"/>
    <m/>
    <n v="97.85"/>
  </r>
  <r>
    <x v="7"/>
    <x v="8"/>
    <x v="80"/>
    <n v="18"/>
    <n v="75"/>
    <n v="1350"/>
    <m/>
    <m/>
    <m/>
    <m/>
    <m/>
    <m/>
    <m/>
    <m/>
    <m/>
    <m/>
    <m/>
    <m/>
    <m/>
    <m/>
    <m/>
    <m/>
    <s v="INFASCO"/>
    <m/>
    <n v="123.6"/>
  </r>
  <r>
    <x v="7"/>
    <x v="8"/>
    <x v="80"/>
    <n v="18"/>
    <n v="75"/>
    <n v="1350"/>
    <m/>
    <m/>
    <m/>
    <m/>
    <m/>
    <m/>
    <m/>
    <m/>
    <m/>
    <m/>
    <m/>
    <m/>
    <m/>
    <m/>
    <m/>
    <m/>
    <s v="INFASCO"/>
    <m/>
    <n v="123.6"/>
  </r>
  <r>
    <x v="7"/>
    <x v="8"/>
    <x v="68"/>
    <n v="10"/>
    <n v="100"/>
    <n v="1000"/>
    <m/>
    <m/>
    <m/>
    <m/>
    <m/>
    <m/>
    <m/>
    <m/>
    <m/>
    <m/>
    <m/>
    <m/>
    <m/>
    <m/>
    <m/>
    <m/>
    <s v="INFASCO"/>
    <m/>
    <n v="123.6"/>
  </r>
  <r>
    <x v="7"/>
    <x v="17"/>
    <x v="81"/>
    <n v="1"/>
    <m/>
    <n v="0"/>
    <m/>
    <m/>
    <m/>
    <m/>
    <m/>
    <m/>
    <m/>
    <m/>
    <m/>
    <m/>
    <m/>
    <m/>
    <m/>
    <m/>
    <m/>
    <m/>
    <s v="INFASCO"/>
    <m/>
    <n v="69"/>
  </r>
  <r>
    <x v="7"/>
    <x v="17"/>
    <x v="81"/>
    <n v="1"/>
    <m/>
    <n v="0"/>
    <m/>
    <m/>
    <m/>
    <m/>
    <m/>
    <m/>
    <m/>
    <m/>
    <m/>
    <m/>
    <m/>
    <m/>
    <m/>
    <m/>
    <m/>
    <m/>
    <s v="INFASCO"/>
    <m/>
    <n v="69"/>
  </r>
  <r>
    <x v="7"/>
    <x v="17"/>
    <x v="80"/>
    <n v="36"/>
    <m/>
    <n v="0"/>
    <m/>
    <m/>
    <m/>
    <m/>
    <m/>
    <m/>
    <m/>
    <m/>
    <m/>
    <m/>
    <m/>
    <m/>
    <m/>
    <m/>
    <m/>
    <m/>
    <s v="INFASCO"/>
    <m/>
    <n v="123.6"/>
  </r>
  <r>
    <x v="7"/>
    <x v="17"/>
    <x v="80"/>
    <n v="33"/>
    <m/>
    <n v="0"/>
    <m/>
    <m/>
    <m/>
    <m/>
    <m/>
    <m/>
    <m/>
    <m/>
    <m/>
    <m/>
    <m/>
    <m/>
    <m/>
    <m/>
    <m/>
    <m/>
    <s v="INFASCO"/>
    <m/>
    <n v="123.6"/>
  </r>
  <r>
    <x v="8"/>
    <x v="15"/>
    <x v="76"/>
    <n v="31"/>
    <n v="4500"/>
    <n v="139500"/>
    <m/>
    <m/>
    <m/>
    <m/>
    <m/>
    <m/>
    <m/>
    <m/>
    <m/>
    <m/>
    <m/>
    <m/>
    <m/>
    <m/>
    <m/>
    <m/>
    <s v="INFASCO"/>
    <m/>
    <n v="97.85"/>
  </r>
  <r>
    <x v="8"/>
    <x v="17"/>
    <x v="82"/>
    <n v="28"/>
    <n v="2700"/>
    <n v="75600"/>
    <m/>
    <m/>
    <m/>
    <m/>
    <m/>
    <m/>
    <m/>
    <m/>
    <m/>
    <m/>
    <m/>
    <m/>
    <m/>
    <m/>
    <m/>
    <m/>
    <s v="INFASCO"/>
    <m/>
    <n v="97.85"/>
  </r>
  <r>
    <x v="8"/>
    <x v="17"/>
    <x v="82"/>
    <n v="27"/>
    <n v="2700"/>
    <n v="72900"/>
    <m/>
    <m/>
    <m/>
    <m/>
    <m/>
    <m/>
    <m/>
    <m/>
    <m/>
    <m/>
    <m/>
    <m/>
    <m/>
    <m/>
    <m/>
    <m/>
    <s v="INFASCO"/>
    <m/>
    <n v="97.85"/>
  </r>
  <r>
    <x v="8"/>
    <x v="5"/>
    <x v="69"/>
    <n v="36"/>
    <n v="1900"/>
    <n v="68400"/>
    <m/>
    <m/>
    <m/>
    <m/>
    <m/>
    <m/>
    <m/>
    <m/>
    <m/>
    <m/>
    <m/>
    <m/>
    <m/>
    <m/>
    <m/>
    <m/>
    <s v="INFASCO"/>
    <m/>
    <n v="97.85"/>
  </r>
  <r>
    <x v="8"/>
    <x v="8"/>
    <x v="48"/>
    <n v="1"/>
    <n v="65000"/>
    <n v="65000"/>
    <m/>
    <m/>
    <m/>
    <m/>
    <m/>
    <m/>
    <m/>
    <m/>
    <m/>
    <m/>
    <m/>
    <m/>
    <m/>
    <m/>
    <m/>
    <m/>
    <s v="INFASCO"/>
    <m/>
    <n v="118.45"/>
  </r>
  <r>
    <x v="8"/>
    <x v="8"/>
    <x v="48"/>
    <n v="1"/>
    <n v="64555"/>
    <n v="64555"/>
    <m/>
    <m/>
    <m/>
    <m/>
    <m/>
    <m/>
    <m/>
    <m/>
    <m/>
    <m/>
    <m/>
    <m/>
    <m/>
    <m/>
    <m/>
    <m/>
    <s v="INFASCO"/>
    <m/>
    <n v="118.45"/>
  </r>
  <r>
    <x v="8"/>
    <x v="2"/>
    <x v="71"/>
    <n v="36"/>
    <n v="1500"/>
    <n v="54000"/>
    <m/>
    <m/>
    <m/>
    <m/>
    <m/>
    <m/>
    <m/>
    <m/>
    <m/>
    <m/>
    <m/>
    <m/>
    <m/>
    <m/>
    <m/>
    <m/>
    <s v="INFASCO"/>
    <m/>
    <n v="97.85"/>
  </r>
  <r>
    <x v="8"/>
    <x v="1"/>
    <x v="5"/>
    <n v="42"/>
    <n v="1000"/>
    <n v="42000"/>
    <m/>
    <m/>
    <m/>
    <m/>
    <m/>
    <m/>
    <m/>
    <m/>
    <m/>
    <m/>
    <m/>
    <m/>
    <m/>
    <m/>
    <m/>
    <m/>
    <s v="INFASCO"/>
    <m/>
    <n v="97.85"/>
  </r>
  <r>
    <x v="8"/>
    <x v="4"/>
    <x v="5"/>
    <n v="36"/>
    <n v="1000"/>
    <n v="36000"/>
    <m/>
    <m/>
    <m/>
    <m/>
    <m/>
    <m/>
    <m/>
    <m/>
    <m/>
    <m/>
    <m/>
    <m/>
    <m/>
    <m/>
    <m/>
    <m/>
    <s v="INFASCO"/>
    <m/>
    <n v="97.85"/>
  </r>
  <r>
    <x v="8"/>
    <x v="4"/>
    <x v="5"/>
    <n v="36"/>
    <n v="1000"/>
    <n v="36000"/>
    <m/>
    <m/>
    <m/>
    <m/>
    <m/>
    <m/>
    <m/>
    <m/>
    <m/>
    <m/>
    <m/>
    <m/>
    <m/>
    <m/>
    <m/>
    <m/>
    <s v="INFASCO"/>
    <m/>
    <n v="97.85"/>
  </r>
  <r>
    <x v="8"/>
    <x v="4"/>
    <x v="5"/>
    <n v="36"/>
    <n v="1000"/>
    <n v="36000"/>
    <m/>
    <m/>
    <m/>
    <m/>
    <m/>
    <m/>
    <m/>
    <m/>
    <m/>
    <m/>
    <m/>
    <m/>
    <m/>
    <m/>
    <m/>
    <m/>
    <s v="INFASCO"/>
    <m/>
    <n v="97.85"/>
  </r>
  <r>
    <x v="8"/>
    <x v="9"/>
    <x v="5"/>
    <n v="36"/>
    <n v="1000"/>
    <n v="36000"/>
    <m/>
    <m/>
    <m/>
    <m/>
    <m/>
    <m/>
    <m/>
    <m/>
    <m/>
    <m/>
    <m/>
    <m/>
    <m/>
    <m/>
    <m/>
    <m/>
    <s v="INFASCO"/>
    <m/>
    <n v="97.85"/>
  </r>
  <r>
    <x v="8"/>
    <x v="9"/>
    <x v="5"/>
    <n v="36"/>
    <n v="1000"/>
    <n v="36000"/>
    <m/>
    <m/>
    <m/>
    <m/>
    <m/>
    <m/>
    <m/>
    <m/>
    <m/>
    <m/>
    <m/>
    <m/>
    <m/>
    <m/>
    <m/>
    <m/>
    <s v="INFASCO"/>
    <m/>
    <n v="97.85"/>
  </r>
  <r>
    <x v="8"/>
    <x v="19"/>
    <x v="83"/>
    <n v="19"/>
    <n v="1800"/>
    <n v="34200"/>
    <m/>
    <m/>
    <m/>
    <m/>
    <m/>
    <m/>
    <m/>
    <m/>
    <m/>
    <m/>
    <m/>
    <m/>
    <m/>
    <m/>
    <m/>
    <m/>
    <s v="INFASCO"/>
    <m/>
    <n v="123.6"/>
  </r>
  <r>
    <x v="8"/>
    <x v="7"/>
    <x v="7"/>
    <n v="36"/>
    <n v="700"/>
    <n v="25200"/>
    <m/>
    <m/>
    <m/>
    <m/>
    <m/>
    <m/>
    <m/>
    <m/>
    <m/>
    <m/>
    <m/>
    <m/>
    <m/>
    <m/>
    <m/>
    <m/>
    <s v="INFASCO"/>
    <m/>
    <n v="97.85"/>
  </r>
  <r>
    <x v="8"/>
    <x v="6"/>
    <x v="7"/>
    <n v="36"/>
    <n v="700"/>
    <n v="25200"/>
    <m/>
    <m/>
    <m/>
    <m/>
    <m/>
    <m/>
    <m/>
    <m/>
    <m/>
    <m/>
    <m/>
    <m/>
    <m/>
    <m/>
    <m/>
    <m/>
    <s v="INFASCO"/>
    <m/>
    <n v="97.85"/>
  </r>
  <r>
    <x v="8"/>
    <x v="6"/>
    <x v="7"/>
    <n v="36"/>
    <n v="700"/>
    <n v="25200"/>
    <m/>
    <m/>
    <m/>
    <m/>
    <m/>
    <m/>
    <m/>
    <m/>
    <m/>
    <m/>
    <m/>
    <m/>
    <m/>
    <m/>
    <m/>
    <m/>
    <s v="INFASCO"/>
    <m/>
    <n v="97.85"/>
  </r>
  <r>
    <x v="8"/>
    <x v="16"/>
    <x v="7"/>
    <n v="36"/>
    <n v="700"/>
    <n v="25200"/>
    <m/>
    <m/>
    <m/>
    <m/>
    <m/>
    <m/>
    <m/>
    <m/>
    <m/>
    <m/>
    <m/>
    <m/>
    <m/>
    <m/>
    <m/>
    <m/>
    <s v="INFASCO"/>
    <m/>
    <n v="97.85"/>
  </r>
  <r>
    <x v="8"/>
    <x v="16"/>
    <x v="7"/>
    <n v="36"/>
    <n v="700"/>
    <n v="25200"/>
    <m/>
    <m/>
    <m/>
    <m/>
    <m/>
    <m/>
    <m/>
    <m/>
    <m/>
    <m/>
    <m/>
    <m/>
    <m/>
    <m/>
    <m/>
    <m/>
    <s v="INFASCO"/>
    <m/>
    <n v="97.85"/>
  </r>
  <r>
    <x v="8"/>
    <x v="16"/>
    <x v="7"/>
    <n v="36"/>
    <n v="700"/>
    <n v="25200"/>
    <m/>
    <m/>
    <m/>
    <m/>
    <m/>
    <m/>
    <m/>
    <m/>
    <m/>
    <m/>
    <m/>
    <m/>
    <m/>
    <m/>
    <m/>
    <m/>
    <s v="INFASCO"/>
    <m/>
    <n v="97.85"/>
  </r>
  <r>
    <x v="8"/>
    <x v="11"/>
    <x v="7"/>
    <n v="36"/>
    <n v="700"/>
    <n v="25200"/>
    <m/>
    <m/>
    <m/>
    <m/>
    <m/>
    <m/>
    <m/>
    <m/>
    <m/>
    <m/>
    <m/>
    <m/>
    <m/>
    <m/>
    <m/>
    <m/>
    <s v="INFASCO"/>
    <m/>
    <n v="97.85"/>
  </r>
  <r>
    <x v="8"/>
    <x v="12"/>
    <x v="7"/>
    <n v="36"/>
    <n v="700"/>
    <n v="25200"/>
    <m/>
    <m/>
    <m/>
    <m/>
    <m/>
    <m/>
    <m/>
    <m/>
    <m/>
    <m/>
    <m/>
    <m/>
    <m/>
    <m/>
    <m/>
    <m/>
    <s v="INFASCO"/>
    <m/>
    <n v="97.85"/>
  </r>
  <r>
    <x v="8"/>
    <x v="12"/>
    <x v="7"/>
    <n v="36"/>
    <n v="700"/>
    <n v="25200"/>
    <m/>
    <m/>
    <m/>
    <m/>
    <m/>
    <m/>
    <m/>
    <m/>
    <m/>
    <m/>
    <m/>
    <m/>
    <m/>
    <m/>
    <m/>
    <m/>
    <s v="INFASCO"/>
    <m/>
    <n v="97.85"/>
  </r>
  <r>
    <x v="8"/>
    <x v="3"/>
    <x v="7"/>
    <n v="36"/>
    <n v="700"/>
    <n v="25200"/>
    <m/>
    <m/>
    <m/>
    <m/>
    <m/>
    <m/>
    <m/>
    <m/>
    <m/>
    <m/>
    <m/>
    <m/>
    <m/>
    <m/>
    <m/>
    <m/>
    <s v="INFASCO"/>
    <m/>
    <n v="97.85"/>
  </r>
  <r>
    <x v="8"/>
    <x v="3"/>
    <x v="7"/>
    <n v="36"/>
    <n v="700"/>
    <n v="25200"/>
    <m/>
    <m/>
    <m/>
    <m/>
    <m/>
    <m/>
    <m/>
    <m/>
    <m/>
    <m/>
    <m/>
    <m/>
    <m/>
    <m/>
    <m/>
    <m/>
    <s v="INFASCO"/>
    <m/>
    <n v="97.85"/>
  </r>
  <r>
    <x v="8"/>
    <x v="13"/>
    <x v="7"/>
    <n v="36"/>
    <n v="700"/>
    <n v="25200"/>
    <m/>
    <m/>
    <m/>
    <m/>
    <m/>
    <m/>
    <m/>
    <m/>
    <m/>
    <m/>
    <m/>
    <m/>
    <m/>
    <m/>
    <m/>
    <m/>
    <s v="INFASCO"/>
    <m/>
    <n v="97.85"/>
  </r>
  <r>
    <x v="8"/>
    <x v="14"/>
    <x v="7"/>
    <n v="36"/>
    <n v="700"/>
    <n v="25200"/>
    <m/>
    <m/>
    <m/>
    <m/>
    <m/>
    <m/>
    <m/>
    <m/>
    <m/>
    <m/>
    <m/>
    <m/>
    <m/>
    <m/>
    <m/>
    <m/>
    <s v="INFASCO"/>
    <m/>
    <n v="97.85"/>
  </r>
  <r>
    <x v="8"/>
    <x v="10"/>
    <x v="84"/>
    <n v="36"/>
    <n v="650"/>
    <n v="23400"/>
    <m/>
    <m/>
    <m/>
    <m/>
    <m/>
    <m/>
    <m/>
    <m/>
    <m/>
    <m/>
    <m/>
    <m/>
    <m/>
    <m/>
    <m/>
    <m/>
    <s v="INFASCO"/>
    <m/>
    <n v="97.85"/>
  </r>
  <r>
    <x v="8"/>
    <x v="10"/>
    <x v="84"/>
    <n v="36"/>
    <n v="650"/>
    <n v="23400"/>
    <m/>
    <m/>
    <m/>
    <m/>
    <m/>
    <m/>
    <m/>
    <m/>
    <m/>
    <m/>
    <m/>
    <m/>
    <m/>
    <m/>
    <m/>
    <m/>
    <s v="INFASCO"/>
    <m/>
    <n v="97.85"/>
  </r>
  <r>
    <x v="8"/>
    <x v="13"/>
    <x v="7"/>
    <n v="27"/>
    <n v="700"/>
    <n v="18900"/>
    <m/>
    <m/>
    <m/>
    <m/>
    <m/>
    <m/>
    <m/>
    <m/>
    <m/>
    <m/>
    <m/>
    <m/>
    <m/>
    <m/>
    <m/>
    <m/>
    <s v="INFASCO"/>
    <m/>
    <n v="97.85"/>
  </r>
  <r>
    <x v="8"/>
    <x v="8"/>
    <x v="55"/>
    <n v="44"/>
    <n v="400"/>
    <n v="17600"/>
    <m/>
    <m/>
    <m/>
    <m/>
    <m/>
    <m/>
    <m/>
    <m/>
    <m/>
    <m/>
    <m/>
    <m/>
    <m/>
    <m/>
    <m/>
    <m/>
    <s v="INFASCO"/>
    <m/>
    <n v="97.85"/>
  </r>
  <r>
    <x v="8"/>
    <x v="17"/>
    <x v="85"/>
    <n v="36"/>
    <n v="485"/>
    <n v="17460"/>
    <m/>
    <m/>
    <m/>
    <m/>
    <m/>
    <m/>
    <m/>
    <m/>
    <m/>
    <m/>
    <m/>
    <m/>
    <m/>
    <m/>
    <m/>
    <m/>
    <s v="INFASCO"/>
    <m/>
    <n v="97.85"/>
  </r>
  <r>
    <x v="8"/>
    <x v="17"/>
    <x v="85"/>
    <n v="36"/>
    <n v="485"/>
    <n v="17460"/>
    <m/>
    <m/>
    <m/>
    <m/>
    <m/>
    <m/>
    <m/>
    <m/>
    <m/>
    <m/>
    <m/>
    <m/>
    <m/>
    <m/>
    <m/>
    <m/>
    <s v="INFASCO"/>
    <m/>
    <n v="97.85"/>
  </r>
  <r>
    <x v="8"/>
    <x v="17"/>
    <x v="55"/>
    <n v="43"/>
    <n v="400"/>
    <n v="17200"/>
    <m/>
    <m/>
    <m/>
    <m/>
    <m/>
    <m/>
    <m/>
    <m/>
    <m/>
    <m/>
    <m/>
    <m/>
    <m/>
    <m/>
    <m/>
    <m/>
    <s v="INFASCO"/>
    <m/>
    <n v="97.85"/>
  </r>
  <r>
    <x v="8"/>
    <x v="10"/>
    <x v="55"/>
    <n v="42"/>
    <n v="400"/>
    <n v="16800"/>
    <m/>
    <m/>
    <m/>
    <m/>
    <m/>
    <m/>
    <m/>
    <m/>
    <m/>
    <m/>
    <m/>
    <m/>
    <m/>
    <m/>
    <m/>
    <m/>
    <s v="INFASCO"/>
    <m/>
    <n v="97.85"/>
  </r>
  <r>
    <x v="8"/>
    <x v="17"/>
    <x v="55"/>
    <n v="41"/>
    <n v="400"/>
    <n v="16400"/>
    <m/>
    <m/>
    <m/>
    <m/>
    <m/>
    <m/>
    <m/>
    <m/>
    <m/>
    <m/>
    <m/>
    <m/>
    <m/>
    <m/>
    <m/>
    <m/>
    <s v="INFASCO"/>
    <m/>
    <n v="97.85"/>
  </r>
  <r>
    <x v="8"/>
    <x v="6"/>
    <x v="10"/>
    <n v="36"/>
    <n v="450"/>
    <n v="16200"/>
    <m/>
    <m/>
    <m/>
    <m/>
    <m/>
    <m/>
    <m/>
    <m/>
    <m/>
    <m/>
    <m/>
    <m/>
    <m/>
    <m/>
    <m/>
    <m/>
    <s v="INFASCO"/>
    <m/>
    <n v="97.85"/>
  </r>
  <r>
    <x v="8"/>
    <x v="12"/>
    <x v="10"/>
    <n v="36"/>
    <n v="450"/>
    <n v="16200"/>
    <m/>
    <m/>
    <m/>
    <m/>
    <m/>
    <m/>
    <m/>
    <m/>
    <m/>
    <m/>
    <m/>
    <m/>
    <m/>
    <m/>
    <m/>
    <m/>
    <s v="INFASCO"/>
    <m/>
    <n v="97.85"/>
  </r>
  <r>
    <x v="8"/>
    <x v="10"/>
    <x v="10"/>
    <n v="36"/>
    <n v="450"/>
    <n v="16200"/>
    <m/>
    <m/>
    <m/>
    <m/>
    <m/>
    <m/>
    <m/>
    <m/>
    <m/>
    <m/>
    <m/>
    <m/>
    <m/>
    <m/>
    <m/>
    <m/>
    <s v="INFASCO"/>
    <m/>
    <n v="97.85"/>
  </r>
  <r>
    <x v="8"/>
    <x v="10"/>
    <x v="55"/>
    <n v="40"/>
    <n v="400"/>
    <n v="16000"/>
    <m/>
    <m/>
    <m/>
    <m/>
    <m/>
    <m/>
    <m/>
    <m/>
    <m/>
    <m/>
    <m/>
    <m/>
    <m/>
    <m/>
    <m/>
    <m/>
    <s v="INFASCO"/>
    <m/>
    <n v="97.85"/>
  </r>
  <r>
    <x v="8"/>
    <x v="10"/>
    <x v="10"/>
    <n v="34"/>
    <n v="450"/>
    <n v="15300"/>
    <m/>
    <m/>
    <m/>
    <m/>
    <m/>
    <m/>
    <m/>
    <m/>
    <m/>
    <m/>
    <m/>
    <m/>
    <m/>
    <m/>
    <m/>
    <m/>
    <s v="INFASCO"/>
    <m/>
    <n v="97.85"/>
  </r>
  <r>
    <x v="8"/>
    <x v="17"/>
    <x v="85"/>
    <n v="31"/>
    <n v="485"/>
    <n v="15035"/>
    <m/>
    <m/>
    <m/>
    <m/>
    <m/>
    <m/>
    <m/>
    <m/>
    <m/>
    <m/>
    <m/>
    <m/>
    <m/>
    <m/>
    <m/>
    <m/>
    <s v="INFASCO"/>
    <m/>
    <n v="97.85"/>
  </r>
  <r>
    <x v="8"/>
    <x v="8"/>
    <x v="55"/>
    <n v="36"/>
    <n v="400"/>
    <n v="14400"/>
    <m/>
    <m/>
    <m/>
    <m/>
    <m/>
    <m/>
    <m/>
    <m/>
    <m/>
    <m/>
    <m/>
    <m/>
    <m/>
    <m/>
    <m/>
    <m/>
    <s v="INFASCO"/>
    <m/>
    <n v="97.85"/>
  </r>
  <r>
    <x v="8"/>
    <x v="8"/>
    <x v="55"/>
    <n v="36"/>
    <n v="400"/>
    <n v="14400"/>
    <m/>
    <m/>
    <m/>
    <m/>
    <m/>
    <m/>
    <m/>
    <m/>
    <m/>
    <m/>
    <m/>
    <m/>
    <m/>
    <m/>
    <m/>
    <m/>
    <s v="INFASCO"/>
    <m/>
    <n v="97.85"/>
  </r>
  <r>
    <x v="8"/>
    <x v="8"/>
    <x v="55"/>
    <n v="36"/>
    <n v="400"/>
    <n v="14400"/>
    <m/>
    <m/>
    <m/>
    <m/>
    <m/>
    <m/>
    <m/>
    <m/>
    <m/>
    <m/>
    <m/>
    <m/>
    <m/>
    <m/>
    <m/>
    <m/>
    <s v="INFASCO"/>
    <m/>
    <n v="97.85"/>
  </r>
  <r>
    <x v="8"/>
    <x v="8"/>
    <x v="55"/>
    <n v="36"/>
    <n v="400"/>
    <n v="14400"/>
    <m/>
    <m/>
    <m/>
    <m/>
    <m/>
    <m/>
    <m/>
    <m/>
    <m/>
    <m/>
    <m/>
    <m/>
    <m/>
    <m/>
    <m/>
    <m/>
    <s v="INFASCO"/>
    <m/>
    <n v="97.85"/>
  </r>
  <r>
    <x v="8"/>
    <x v="17"/>
    <x v="55"/>
    <n v="36"/>
    <n v="400"/>
    <n v="14400"/>
    <m/>
    <m/>
    <m/>
    <m/>
    <m/>
    <m/>
    <m/>
    <m/>
    <m/>
    <m/>
    <m/>
    <m/>
    <m/>
    <m/>
    <m/>
    <m/>
    <s v="INFASCO"/>
    <m/>
    <n v="97.85"/>
  </r>
  <r>
    <x v="8"/>
    <x v="17"/>
    <x v="55"/>
    <n v="36"/>
    <n v="400"/>
    <n v="14400"/>
    <m/>
    <m/>
    <m/>
    <m/>
    <m/>
    <m/>
    <m/>
    <m/>
    <m/>
    <m/>
    <m/>
    <m/>
    <m/>
    <m/>
    <m/>
    <m/>
    <s v="INFASCO"/>
    <m/>
    <n v="97.85"/>
  </r>
  <r>
    <x v="8"/>
    <x v="10"/>
    <x v="55"/>
    <n v="36"/>
    <n v="400"/>
    <n v="14400"/>
    <m/>
    <m/>
    <m/>
    <m/>
    <m/>
    <m/>
    <m/>
    <m/>
    <m/>
    <m/>
    <m/>
    <m/>
    <m/>
    <m/>
    <m/>
    <m/>
    <s v="INFASCO"/>
    <m/>
    <n v="97.85"/>
  </r>
  <r>
    <x v="8"/>
    <x v="10"/>
    <x v="66"/>
    <n v="45"/>
    <n v="250"/>
    <n v="11250"/>
    <m/>
    <m/>
    <m/>
    <m/>
    <m/>
    <m/>
    <m/>
    <m/>
    <m/>
    <m/>
    <m/>
    <m/>
    <m/>
    <m/>
    <m/>
    <m/>
    <s v="INFASCO"/>
    <m/>
    <n v="123.6"/>
  </r>
  <r>
    <x v="8"/>
    <x v="8"/>
    <x v="11"/>
    <n v="35"/>
    <n v="280"/>
    <n v="9800"/>
    <m/>
    <m/>
    <m/>
    <m/>
    <m/>
    <m/>
    <m/>
    <m/>
    <m/>
    <m/>
    <m/>
    <m/>
    <m/>
    <m/>
    <m/>
    <m/>
    <s v="INFASCO"/>
    <m/>
    <n v="97.85"/>
  </r>
  <r>
    <x v="8"/>
    <x v="10"/>
    <x v="11"/>
    <n v="34"/>
    <n v="280"/>
    <n v="9520"/>
    <m/>
    <m/>
    <m/>
    <m/>
    <m/>
    <m/>
    <m/>
    <m/>
    <m/>
    <m/>
    <m/>
    <m/>
    <m/>
    <m/>
    <m/>
    <m/>
    <s v="INFASCO"/>
    <m/>
    <n v="97.85"/>
  </r>
  <r>
    <x v="8"/>
    <x v="8"/>
    <x v="66"/>
    <n v="36"/>
    <n v="250"/>
    <n v="9000"/>
    <m/>
    <m/>
    <m/>
    <m/>
    <m/>
    <m/>
    <m/>
    <m/>
    <m/>
    <m/>
    <m/>
    <m/>
    <m/>
    <m/>
    <m/>
    <m/>
    <s v="INFASCO"/>
    <m/>
    <n v="123.6"/>
  </r>
  <r>
    <x v="8"/>
    <x v="8"/>
    <x v="66"/>
    <n v="36"/>
    <n v="250"/>
    <n v="9000"/>
    <m/>
    <m/>
    <m/>
    <m/>
    <m/>
    <m/>
    <m/>
    <m/>
    <m/>
    <m/>
    <m/>
    <m/>
    <m/>
    <m/>
    <m/>
    <m/>
    <s v="INFASCO"/>
    <m/>
    <n v="123.6"/>
  </r>
  <r>
    <x v="8"/>
    <x v="8"/>
    <x v="66"/>
    <n v="36"/>
    <n v="250"/>
    <n v="9000"/>
    <m/>
    <m/>
    <m/>
    <m/>
    <m/>
    <m/>
    <m/>
    <m/>
    <m/>
    <m/>
    <m/>
    <m/>
    <m/>
    <m/>
    <m/>
    <m/>
    <s v="INFASCO"/>
    <m/>
    <n v="123.6"/>
  </r>
  <r>
    <x v="8"/>
    <x v="10"/>
    <x v="66"/>
    <n v="36"/>
    <n v="250"/>
    <n v="9000"/>
    <m/>
    <m/>
    <m/>
    <m/>
    <m/>
    <m/>
    <m/>
    <m/>
    <m/>
    <m/>
    <m/>
    <m/>
    <m/>
    <m/>
    <m/>
    <m/>
    <s v="INFASCO"/>
    <m/>
    <n v="123.6"/>
  </r>
  <r>
    <x v="8"/>
    <x v="10"/>
    <x v="66"/>
    <n v="36"/>
    <n v="250"/>
    <n v="9000"/>
    <m/>
    <m/>
    <m/>
    <m/>
    <m/>
    <m/>
    <m/>
    <m/>
    <m/>
    <m/>
    <m/>
    <m/>
    <m/>
    <m/>
    <m/>
    <m/>
    <s v="INFASCO"/>
    <m/>
    <n v="123.6"/>
  </r>
  <r>
    <x v="8"/>
    <x v="8"/>
    <x v="66"/>
    <n v="27"/>
    <n v="250"/>
    <n v="6750"/>
    <m/>
    <m/>
    <m/>
    <m/>
    <m/>
    <m/>
    <m/>
    <m/>
    <m/>
    <m/>
    <m/>
    <m/>
    <m/>
    <m/>
    <m/>
    <m/>
    <s v="INFASCO"/>
    <m/>
    <n v="123.6"/>
  </r>
  <r>
    <x v="8"/>
    <x v="10"/>
    <x v="66"/>
    <n v="27"/>
    <n v="250"/>
    <n v="6750"/>
    <m/>
    <m/>
    <m/>
    <m/>
    <m/>
    <m/>
    <m/>
    <m/>
    <m/>
    <m/>
    <m/>
    <m/>
    <m/>
    <m/>
    <m/>
    <m/>
    <s v="INFASCO"/>
    <m/>
    <n v="123.6"/>
  </r>
  <r>
    <x v="9"/>
    <x v="5"/>
    <x v="86"/>
    <n v="36"/>
    <n v="2500"/>
    <n v="90000"/>
    <m/>
    <m/>
    <m/>
    <m/>
    <m/>
    <m/>
    <m/>
    <m/>
    <m/>
    <m/>
    <m/>
    <m/>
    <m/>
    <m/>
    <m/>
    <m/>
    <s v="INFASCO"/>
    <m/>
    <n v="97.85"/>
  </r>
  <r>
    <x v="9"/>
    <x v="0"/>
    <x v="0"/>
    <n v="36"/>
    <n v="2500"/>
    <n v="90000"/>
    <m/>
    <m/>
    <m/>
    <m/>
    <m/>
    <m/>
    <m/>
    <m/>
    <m/>
    <m/>
    <m/>
    <m/>
    <m/>
    <m/>
    <m/>
    <m/>
    <s v="INFASCO"/>
    <m/>
    <n v="97.85"/>
  </r>
  <r>
    <x v="9"/>
    <x v="8"/>
    <x v="47"/>
    <n v="21"/>
    <n v="4000"/>
    <n v="84000"/>
    <m/>
    <m/>
    <m/>
    <m/>
    <m/>
    <m/>
    <m/>
    <m/>
    <m/>
    <m/>
    <m/>
    <m/>
    <m/>
    <m/>
    <m/>
    <m/>
    <s v="INFASCO"/>
    <m/>
    <n v="97.85"/>
  </r>
  <r>
    <x v="9"/>
    <x v="2"/>
    <x v="71"/>
    <n v="36"/>
    <n v="1500"/>
    <n v="54000"/>
    <m/>
    <m/>
    <m/>
    <m/>
    <m/>
    <m/>
    <m/>
    <m/>
    <m/>
    <m/>
    <m/>
    <m/>
    <m/>
    <m/>
    <m/>
    <m/>
    <s v="INFASCO"/>
    <m/>
    <n v="97.85"/>
  </r>
  <r>
    <x v="9"/>
    <x v="19"/>
    <x v="83"/>
    <n v="29"/>
    <n v="1800"/>
    <n v="52200"/>
    <m/>
    <m/>
    <m/>
    <m/>
    <m/>
    <m/>
    <m/>
    <m/>
    <m/>
    <m/>
    <m/>
    <m/>
    <m/>
    <m/>
    <m/>
    <m/>
    <s v="INFASCO"/>
    <m/>
    <n v="123.6"/>
  </r>
  <r>
    <x v="9"/>
    <x v="10"/>
    <x v="26"/>
    <n v="36"/>
    <n v="1400"/>
    <n v="50400"/>
    <m/>
    <m/>
    <m/>
    <m/>
    <m/>
    <m/>
    <m/>
    <m/>
    <m/>
    <m/>
    <m/>
    <m/>
    <m/>
    <m/>
    <m/>
    <m/>
    <s v="INFASCO"/>
    <m/>
    <n v="123.6"/>
  </r>
  <r>
    <x v="9"/>
    <x v="1"/>
    <x v="5"/>
    <n v="47"/>
    <n v="1000"/>
    <n v="47000"/>
    <m/>
    <m/>
    <m/>
    <m/>
    <m/>
    <m/>
    <m/>
    <m/>
    <m/>
    <m/>
    <m/>
    <m/>
    <m/>
    <m/>
    <m/>
    <m/>
    <s v="INFASCO"/>
    <m/>
    <n v="97.85"/>
  </r>
  <r>
    <x v="9"/>
    <x v="6"/>
    <x v="87"/>
    <n v="36"/>
    <n v="1250"/>
    <n v="45000"/>
    <m/>
    <m/>
    <m/>
    <m/>
    <m/>
    <m/>
    <m/>
    <m/>
    <m/>
    <m/>
    <m/>
    <m/>
    <m/>
    <m/>
    <m/>
    <m/>
    <s v="INFASCO"/>
    <m/>
    <n v="97.85"/>
  </r>
  <r>
    <x v="9"/>
    <x v="8"/>
    <x v="88"/>
    <n v="23"/>
    <n v="1900"/>
    <n v="43700"/>
    <m/>
    <m/>
    <m/>
    <m/>
    <m/>
    <m/>
    <m/>
    <m/>
    <m/>
    <m/>
    <m/>
    <m/>
    <m/>
    <m/>
    <m/>
    <m/>
    <s v="INFASCO"/>
    <m/>
    <n v="123.6"/>
  </r>
  <r>
    <x v="9"/>
    <x v="18"/>
    <x v="89"/>
    <n v="36"/>
    <n v="1200"/>
    <n v="43200"/>
    <m/>
    <m/>
    <m/>
    <m/>
    <m/>
    <m/>
    <m/>
    <m/>
    <m/>
    <m/>
    <m/>
    <m/>
    <m/>
    <m/>
    <m/>
    <m/>
    <s v="INFASCO"/>
    <m/>
    <n v="97.85"/>
  </r>
  <r>
    <x v="9"/>
    <x v="18"/>
    <x v="89"/>
    <n v="36"/>
    <n v="1200"/>
    <n v="43200"/>
    <m/>
    <m/>
    <m/>
    <m/>
    <m/>
    <m/>
    <m/>
    <m/>
    <m/>
    <m/>
    <m/>
    <m/>
    <m/>
    <m/>
    <m/>
    <m/>
    <s v="INFASCO"/>
    <m/>
    <n v="97.85"/>
  </r>
  <r>
    <x v="9"/>
    <x v="9"/>
    <x v="5"/>
    <n v="36"/>
    <n v="1000"/>
    <n v="36000"/>
    <m/>
    <m/>
    <m/>
    <m/>
    <m/>
    <m/>
    <m/>
    <m/>
    <m/>
    <m/>
    <m/>
    <m/>
    <m/>
    <m/>
    <m/>
    <m/>
    <s v="INFASCO"/>
    <m/>
    <n v="97.85"/>
  </r>
  <r>
    <x v="9"/>
    <x v="12"/>
    <x v="89"/>
    <n v="25"/>
    <n v="1200"/>
    <n v="30000"/>
    <m/>
    <m/>
    <m/>
    <m/>
    <m/>
    <m/>
    <m/>
    <m/>
    <m/>
    <m/>
    <m/>
    <m/>
    <m/>
    <m/>
    <m/>
    <m/>
    <s v="INFASCO"/>
    <m/>
    <n v="97.85"/>
  </r>
  <r>
    <x v="9"/>
    <x v="17"/>
    <x v="90"/>
    <n v="41"/>
    <n v="700"/>
    <n v="28700"/>
    <m/>
    <m/>
    <m/>
    <m/>
    <m/>
    <m/>
    <m/>
    <m/>
    <m/>
    <m/>
    <m/>
    <m/>
    <m/>
    <m/>
    <m/>
    <m/>
    <s v="INFASCO"/>
    <m/>
    <n v="97.85"/>
  </r>
  <r>
    <x v="9"/>
    <x v="8"/>
    <x v="91"/>
    <n v="35"/>
    <n v="775"/>
    <n v="27125"/>
    <m/>
    <m/>
    <m/>
    <m/>
    <m/>
    <m/>
    <m/>
    <m/>
    <m/>
    <m/>
    <m/>
    <m/>
    <m/>
    <m/>
    <m/>
    <m/>
    <e v="#N/A"/>
    <m/>
    <n v="95"/>
  </r>
  <r>
    <x v="9"/>
    <x v="18"/>
    <x v="89"/>
    <n v="21"/>
    <n v="1200"/>
    <n v="25200"/>
    <m/>
    <m/>
    <m/>
    <m/>
    <m/>
    <m/>
    <m/>
    <m/>
    <m/>
    <m/>
    <m/>
    <m/>
    <m/>
    <m/>
    <m/>
    <m/>
    <s v="INFASCO"/>
    <m/>
    <n v="97.85"/>
  </r>
  <r>
    <x v="9"/>
    <x v="6"/>
    <x v="7"/>
    <n v="36"/>
    <n v="700"/>
    <n v="25200"/>
    <m/>
    <m/>
    <m/>
    <m/>
    <m/>
    <m/>
    <m/>
    <m/>
    <m/>
    <m/>
    <m/>
    <m/>
    <m/>
    <m/>
    <m/>
    <m/>
    <s v="INFASCO"/>
    <m/>
    <n v="97.85"/>
  </r>
  <r>
    <x v="9"/>
    <x v="7"/>
    <x v="7"/>
    <n v="36"/>
    <n v="700"/>
    <n v="25200"/>
    <m/>
    <m/>
    <m/>
    <m/>
    <m/>
    <m/>
    <m/>
    <m/>
    <m/>
    <m/>
    <m/>
    <m/>
    <m/>
    <m/>
    <m/>
    <m/>
    <s v="INFASCO"/>
    <m/>
    <n v="97.85"/>
  </r>
  <r>
    <x v="9"/>
    <x v="16"/>
    <x v="7"/>
    <n v="36"/>
    <n v="700"/>
    <n v="25200"/>
    <m/>
    <m/>
    <m/>
    <m/>
    <m/>
    <m/>
    <m/>
    <m/>
    <m/>
    <m/>
    <m/>
    <m/>
    <m/>
    <m/>
    <m/>
    <m/>
    <s v="INFASCO"/>
    <m/>
    <n v="97.85"/>
  </r>
  <r>
    <x v="9"/>
    <x v="11"/>
    <x v="7"/>
    <n v="36"/>
    <n v="700"/>
    <n v="25200"/>
    <m/>
    <m/>
    <m/>
    <m/>
    <m/>
    <m/>
    <m/>
    <m/>
    <m/>
    <m/>
    <m/>
    <m/>
    <m/>
    <m/>
    <m/>
    <m/>
    <s v="INFASCO"/>
    <m/>
    <n v="97.85"/>
  </r>
  <r>
    <x v="9"/>
    <x v="3"/>
    <x v="7"/>
    <n v="36"/>
    <n v="700"/>
    <n v="25200"/>
    <m/>
    <m/>
    <m/>
    <m/>
    <m/>
    <m/>
    <m/>
    <m/>
    <m/>
    <m/>
    <m/>
    <m/>
    <m/>
    <m/>
    <m/>
    <m/>
    <s v="INFASCO"/>
    <m/>
    <n v="97.85"/>
  </r>
  <r>
    <x v="9"/>
    <x v="13"/>
    <x v="7"/>
    <n v="36"/>
    <n v="700"/>
    <n v="25200"/>
    <m/>
    <m/>
    <m/>
    <m/>
    <m/>
    <m/>
    <m/>
    <m/>
    <m/>
    <m/>
    <m/>
    <m/>
    <m/>
    <m/>
    <m/>
    <m/>
    <s v="INFASCO"/>
    <m/>
    <n v="97.85"/>
  </r>
  <r>
    <x v="9"/>
    <x v="14"/>
    <x v="7"/>
    <n v="36"/>
    <n v="700"/>
    <n v="25200"/>
    <m/>
    <m/>
    <m/>
    <m/>
    <m/>
    <m/>
    <m/>
    <m/>
    <m/>
    <m/>
    <m/>
    <m/>
    <m/>
    <m/>
    <m/>
    <m/>
    <s v="INFASCO"/>
    <m/>
    <n v="97.85"/>
  </r>
  <r>
    <x v="9"/>
    <x v="10"/>
    <x v="26"/>
    <n v="13"/>
    <n v="1400"/>
    <n v="18200"/>
    <m/>
    <m/>
    <m/>
    <m/>
    <m/>
    <m/>
    <m/>
    <m/>
    <m/>
    <m/>
    <m/>
    <m/>
    <m/>
    <m/>
    <m/>
    <m/>
    <s v="INFASCO"/>
    <m/>
    <n v="123.6"/>
  </r>
  <r>
    <x v="9"/>
    <x v="8"/>
    <x v="85"/>
    <n v="36"/>
    <n v="485"/>
    <n v="17460"/>
    <m/>
    <m/>
    <m/>
    <m/>
    <m/>
    <m/>
    <m/>
    <m/>
    <m/>
    <m/>
    <m/>
    <m/>
    <m/>
    <m/>
    <m/>
    <m/>
    <s v="INFASCO"/>
    <m/>
    <n v="97.85"/>
  </r>
  <r>
    <x v="9"/>
    <x v="8"/>
    <x v="85"/>
    <n v="36"/>
    <n v="485"/>
    <n v="17460"/>
    <m/>
    <m/>
    <m/>
    <m/>
    <m/>
    <m/>
    <m/>
    <m/>
    <m/>
    <m/>
    <m/>
    <m/>
    <m/>
    <m/>
    <m/>
    <m/>
    <s v="INFASCO"/>
    <m/>
    <n v="97.85"/>
  </r>
  <r>
    <x v="9"/>
    <x v="8"/>
    <x v="10"/>
    <n v="36"/>
    <n v="450"/>
    <n v="16200"/>
    <m/>
    <m/>
    <m/>
    <m/>
    <m/>
    <m/>
    <m/>
    <m/>
    <m/>
    <m/>
    <m/>
    <m/>
    <m/>
    <m/>
    <m/>
    <m/>
    <s v="INFASCO"/>
    <m/>
    <n v="97.85"/>
  </r>
  <r>
    <x v="9"/>
    <x v="8"/>
    <x v="10"/>
    <n v="36"/>
    <n v="450"/>
    <n v="16200"/>
    <m/>
    <m/>
    <m/>
    <m/>
    <m/>
    <m/>
    <m/>
    <m/>
    <m/>
    <m/>
    <m/>
    <m/>
    <m/>
    <m/>
    <m/>
    <m/>
    <s v="INFASCO"/>
    <m/>
    <n v="97.85"/>
  </r>
  <r>
    <x v="9"/>
    <x v="8"/>
    <x v="10"/>
    <n v="36"/>
    <n v="450"/>
    <n v="16200"/>
    <m/>
    <m/>
    <m/>
    <m/>
    <m/>
    <m/>
    <m/>
    <m/>
    <m/>
    <m/>
    <m/>
    <m/>
    <m/>
    <m/>
    <m/>
    <m/>
    <s v="INFASCO"/>
    <m/>
    <n v="97.85"/>
  </r>
  <r>
    <x v="9"/>
    <x v="4"/>
    <x v="9"/>
    <n v="36"/>
    <n v="450"/>
    <n v="16200"/>
    <m/>
    <m/>
    <m/>
    <m/>
    <m/>
    <m/>
    <m/>
    <m/>
    <m/>
    <m/>
    <m/>
    <m/>
    <m/>
    <m/>
    <m/>
    <m/>
    <s v="INFASCO"/>
    <m/>
    <n v="97.85"/>
  </r>
  <r>
    <x v="9"/>
    <x v="4"/>
    <x v="9"/>
    <n v="36"/>
    <n v="450"/>
    <n v="16200"/>
    <m/>
    <m/>
    <m/>
    <m/>
    <m/>
    <m/>
    <m/>
    <m/>
    <m/>
    <m/>
    <m/>
    <m/>
    <m/>
    <m/>
    <m/>
    <m/>
    <s v="INFASCO"/>
    <m/>
    <n v="97.85"/>
  </r>
  <r>
    <x v="9"/>
    <x v="4"/>
    <x v="9"/>
    <n v="36"/>
    <n v="450"/>
    <n v="16200"/>
    <m/>
    <m/>
    <m/>
    <m/>
    <m/>
    <m/>
    <m/>
    <m/>
    <m/>
    <m/>
    <m/>
    <m/>
    <m/>
    <m/>
    <m/>
    <m/>
    <s v="INFASCO"/>
    <m/>
    <n v="97.85"/>
  </r>
  <r>
    <x v="9"/>
    <x v="17"/>
    <x v="42"/>
    <n v="36"/>
    <n v="450"/>
    <n v="16200"/>
    <m/>
    <m/>
    <m/>
    <m/>
    <m/>
    <m/>
    <m/>
    <m/>
    <m/>
    <m/>
    <m/>
    <m/>
    <m/>
    <m/>
    <m/>
    <m/>
    <s v="INFASCO"/>
    <m/>
    <n v="97.85"/>
  </r>
  <r>
    <x v="9"/>
    <x v="4"/>
    <x v="55"/>
    <n v="36"/>
    <n v="400"/>
    <n v="14400"/>
    <m/>
    <m/>
    <m/>
    <m/>
    <m/>
    <m/>
    <m/>
    <m/>
    <m/>
    <m/>
    <m/>
    <m/>
    <m/>
    <m/>
    <m/>
    <m/>
    <s v="INFASCO"/>
    <m/>
    <n v="97.85"/>
  </r>
  <r>
    <x v="9"/>
    <x v="16"/>
    <x v="55"/>
    <n v="36"/>
    <n v="400"/>
    <n v="14400"/>
    <m/>
    <m/>
    <m/>
    <m/>
    <m/>
    <m/>
    <m/>
    <m/>
    <m/>
    <m/>
    <m/>
    <m/>
    <m/>
    <m/>
    <m/>
    <m/>
    <s v="INFASCO"/>
    <m/>
    <n v="97.85"/>
  </r>
  <r>
    <x v="9"/>
    <x v="8"/>
    <x v="10"/>
    <n v="30"/>
    <n v="450"/>
    <n v="13500"/>
    <m/>
    <m/>
    <m/>
    <m/>
    <m/>
    <m/>
    <m/>
    <m/>
    <m/>
    <m/>
    <m/>
    <m/>
    <m/>
    <m/>
    <m/>
    <m/>
    <s v="INFASCO"/>
    <m/>
    <n v="97.85"/>
  </r>
  <r>
    <x v="9"/>
    <x v="10"/>
    <x v="9"/>
    <n v="30"/>
    <n v="450"/>
    <n v="13500"/>
    <m/>
    <m/>
    <m/>
    <m/>
    <m/>
    <m/>
    <m/>
    <m/>
    <m/>
    <m/>
    <m/>
    <m/>
    <m/>
    <m/>
    <m/>
    <m/>
    <s v="INFASCO"/>
    <m/>
    <n v="97.85"/>
  </r>
  <r>
    <x v="9"/>
    <x v="17"/>
    <x v="42"/>
    <n v="30"/>
    <n v="450"/>
    <n v="13500"/>
    <m/>
    <m/>
    <m/>
    <m/>
    <m/>
    <m/>
    <m/>
    <m/>
    <m/>
    <m/>
    <m/>
    <m/>
    <m/>
    <m/>
    <m/>
    <m/>
    <s v="INFASCO"/>
    <m/>
    <n v="97.85"/>
  </r>
  <r>
    <x v="9"/>
    <x v="8"/>
    <x v="9"/>
    <n v="29"/>
    <n v="450"/>
    <n v="13050"/>
    <m/>
    <m/>
    <m/>
    <m/>
    <m/>
    <m/>
    <m/>
    <m/>
    <m/>
    <m/>
    <m/>
    <m/>
    <m/>
    <m/>
    <m/>
    <m/>
    <s v="INFASCO"/>
    <m/>
    <n v="97.85"/>
  </r>
  <r>
    <x v="9"/>
    <x v="17"/>
    <x v="42"/>
    <n v="29"/>
    <n v="450"/>
    <n v="13050"/>
    <m/>
    <m/>
    <m/>
    <m/>
    <m/>
    <m/>
    <m/>
    <m/>
    <m/>
    <m/>
    <m/>
    <m/>
    <m/>
    <m/>
    <m/>
    <m/>
    <s v="INFASCO"/>
    <m/>
    <n v="97.85"/>
  </r>
  <r>
    <x v="9"/>
    <x v="8"/>
    <x v="9"/>
    <n v="27"/>
    <n v="450"/>
    <n v="12150"/>
    <m/>
    <m/>
    <m/>
    <m/>
    <m/>
    <m/>
    <m/>
    <m/>
    <m/>
    <m/>
    <m/>
    <m/>
    <m/>
    <m/>
    <m/>
    <m/>
    <s v="INFASCO"/>
    <m/>
    <n v="97.85"/>
  </r>
  <r>
    <x v="9"/>
    <x v="15"/>
    <x v="76"/>
    <n v="21"/>
    <n v="450"/>
    <n v="9450"/>
    <m/>
    <m/>
    <m/>
    <m/>
    <m/>
    <m/>
    <m/>
    <m/>
    <m/>
    <m/>
    <m/>
    <m/>
    <m/>
    <m/>
    <m/>
    <m/>
    <s v="INFASCO"/>
    <m/>
    <n v="97.85"/>
  </r>
  <r>
    <x v="9"/>
    <x v="10"/>
    <x v="92"/>
    <n v="36"/>
    <n v="250"/>
    <n v="9000"/>
    <m/>
    <m/>
    <m/>
    <m/>
    <m/>
    <m/>
    <m/>
    <m/>
    <m/>
    <m/>
    <m/>
    <m/>
    <m/>
    <m/>
    <m/>
    <m/>
    <s v="INFASCO"/>
    <m/>
    <n v="97.85"/>
  </r>
  <r>
    <x v="9"/>
    <x v="8"/>
    <x v="9"/>
    <n v="20"/>
    <n v="450"/>
    <n v="9000"/>
    <m/>
    <m/>
    <m/>
    <m/>
    <m/>
    <m/>
    <m/>
    <m/>
    <m/>
    <m/>
    <m/>
    <m/>
    <m/>
    <m/>
    <m/>
    <m/>
    <s v="INFASCO"/>
    <m/>
    <n v="97.85"/>
  </r>
  <r>
    <x v="9"/>
    <x v="8"/>
    <x v="93"/>
    <n v="36"/>
    <n v="250"/>
    <n v="9000"/>
    <m/>
    <m/>
    <m/>
    <m/>
    <m/>
    <m/>
    <m/>
    <m/>
    <m/>
    <m/>
    <m/>
    <m/>
    <m/>
    <m/>
    <m/>
    <m/>
    <s v="INFASCO"/>
    <m/>
    <n v="123.6"/>
  </r>
  <r>
    <x v="9"/>
    <x v="10"/>
    <x v="93"/>
    <n v="36"/>
    <n v="250"/>
    <n v="9000"/>
    <m/>
    <m/>
    <m/>
    <m/>
    <m/>
    <m/>
    <m/>
    <m/>
    <m/>
    <m/>
    <m/>
    <m/>
    <m/>
    <m/>
    <m/>
    <m/>
    <s v="INFASCO"/>
    <m/>
    <n v="123.6"/>
  </r>
  <r>
    <x v="9"/>
    <x v="10"/>
    <x v="93"/>
    <n v="36"/>
    <n v="250"/>
    <n v="9000"/>
    <m/>
    <m/>
    <m/>
    <m/>
    <m/>
    <m/>
    <m/>
    <m/>
    <m/>
    <m/>
    <m/>
    <m/>
    <m/>
    <m/>
    <m/>
    <m/>
    <s v="INFASCO"/>
    <m/>
    <n v="123.6"/>
  </r>
  <r>
    <x v="9"/>
    <x v="8"/>
    <x v="93"/>
    <n v="36"/>
    <n v="250"/>
    <n v="9000"/>
    <m/>
    <m/>
    <m/>
    <m/>
    <m/>
    <m/>
    <m/>
    <m/>
    <m/>
    <m/>
    <m/>
    <m/>
    <m/>
    <m/>
    <m/>
    <m/>
    <s v="INFASCO"/>
    <m/>
    <n v="123.6"/>
  </r>
  <r>
    <x v="9"/>
    <x v="8"/>
    <x v="66"/>
    <n v="34"/>
    <n v="250"/>
    <n v="8500"/>
    <m/>
    <m/>
    <m/>
    <m/>
    <m/>
    <m/>
    <m/>
    <m/>
    <m/>
    <m/>
    <m/>
    <m/>
    <m/>
    <m/>
    <m/>
    <m/>
    <s v="INFASCO"/>
    <m/>
    <n v="123.6"/>
  </r>
  <r>
    <x v="9"/>
    <x v="8"/>
    <x v="92"/>
    <n v="31"/>
    <n v="250"/>
    <n v="7750"/>
    <m/>
    <m/>
    <m/>
    <m/>
    <m/>
    <m/>
    <m/>
    <m/>
    <m/>
    <m/>
    <m/>
    <m/>
    <m/>
    <m/>
    <m/>
    <m/>
    <s v="INFASCO"/>
    <m/>
    <n v="97.85"/>
  </r>
  <r>
    <x v="9"/>
    <x v="8"/>
    <x v="9"/>
    <n v="16"/>
    <n v="450"/>
    <n v="7200"/>
    <m/>
    <m/>
    <m/>
    <m/>
    <m/>
    <m/>
    <m/>
    <m/>
    <m/>
    <m/>
    <m/>
    <m/>
    <m/>
    <m/>
    <m/>
    <m/>
    <s v="INFASCO"/>
    <m/>
    <n v="97.85"/>
  </r>
  <r>
    <x v="9"/>
    <x v="12"/>
    <x v="7"/>
    <n v="9"/>
    <n v="700"/>
    <n v="6300"/>
    <m/>
    <m/>
    <m/>
    <m/>
    <m/>
    <m/>
    <m/>
    <m/>
    <m/>
    <m/>
    <m/>
    <m/>
    <m/>
    <m/>
    <m/>
    <m/>
    <s v="INFASCO"/>
    <m/>
    <n v="97.85"/>
  </r>
  <r>
    <x v="9"/>
    <x v="10"/>
    <x v="67"/>
    <n v="36"/>
    <n v="150"/>
    <n v="5400"/>
    <m/>
    <m/>
    <m/>
    <m/>
    <m/>
    <m/>
    <m/>
    <m/>
    <m/>
    <m/>
    <m/>
    <m/>
    <m/>
    <m/>
    <m/>
    <m/>
    <s v="INFASCO"/>
    <m/>
    <n v="97.85"/>
  </r>
  <r>
    <x v="9"/>
    <x v="10"/>
    <x v="67"/>
    <n v="36"/>
    <n v="150"/>
    <n v="5400"/>
    <m/>
    <m/>
    <m/>
    <m/>
    <m/>
    <m/>
    <m/>
    <m/>
    <m/>
    <m/>
    <m/>
    <m/>
    <m/>
    <m/>
    <m/>
    <m/>
    <s v="INFASCO"/>
    <m/>
    <n v="97.85"/>
  </r>
  <r>
    <x v="9"/>
    <x v="10"/>
    <x v="67"/>
    <n v="36"/>
    <n v="150"/>
    <n v="5400"/>
    <m/>
    <m/>
    <m/>
    <m/>
    <m/>
    <m/>
    <m/>
    <m/>
    <m/>
    <m/>
    <m/>
    <m/>
    <m/>
    <m/>
    <m/>
    <m/>
    <s v="INFASCO"/>
    <m/>
    <n v="97.85"/>
  </r>
  <r>
    <x v="9"/>
    <x v="10"/>
    <x v="67"/>
    <n v="35"/>
    <n v="150"/>
    <n v="5250"/>
    <m/>
    <m/>
    <m/>
    <m/>
    <m/>
    <m/>
    <m/>
    <m/>
    <m/>
    <m/>
    <m/>
    <m/>
    <m/>
    <m/>
    <m/>
    <m/>
    <s v="INFASCO"/>
    <m/>
    <n v="97.85"/>
  </r>
  <r>
    <x v="9"/>
    <x v="10"/>
    <x v="93"/>
    <n v="21"/>
    <n v="250"/>
    <n v="5250"/>
    <m/>
    <m/>
    <m/>
    <m/>
    <m/>
    <m/>
    <m/>
    <m/>
    <m/>
    <m/>
    <m/>
    <m/>
    <m/>
    <m/>
    <m/>
    <m/>
    <s v="INFASCO"/>
    <m/>
    <n v="123.6"/>
  </r>
  <r>
    <x v="9"/>
    <x v="8"/>
    <x v="66"/>
    <n v="18"/>
    <n v="250"/>
    <n v="4500"/>
    <m/>
    <m/>
    <m/>
    <m/>
    <m/>
    <m/>
    <m/>
    <m/>
    <m/>
    <m/>
    <m/>
    <m/>
    <m/>
    <m/>
    <m/>
    <m/>
    <s v="INFASCO"/>
    <m/>
    <n v="123.6"/>
  </r>
  <r>
    <x v="9"/>
    <x v="8"/>
    <x v="35"/>
    <n v="36"/>
    <n v="120"/>
    <n v="4320"/>
    <m/>
    <m/>
    <m/>
    <m/>
    <m/>
    <m/>
    <m/>
    <m/>
    <m/>
    <m/>
    <m/>
    <m/>
    <m/>
    <m/>
    <m/>
    <m/>
    <s v="INFASCO"/>
    <m/>
    <n v="97.85"/>
  </r>
  <r>
    <x v="9"/>
    <x v="18"/>
    <x v="35"/>
    <n v="36"/>
    <n v="120"/>
    <n v="4320"/>
    <m/>
    <m/>
    <m/>
    <m/>
    <m/>
    <m/>
    <m/>
    <m/>
    <m/>
    <m/>
    <m/>
    <m/>
    <m/>
    <m/>
    <m/>
    <m/>
    <s v="INFASCO"/>
    <m/>
    <n v="97.85"/>
  </r>
  <r>
    <x v="9"/>
    <x v="18"/>
    <x v="35"/>
    <n v="36"/>
    <n v="120"/>
    <n v="4320"/>
    <m/>
    <m/>
    <m/>
    <m/>
    <m/>
    <m/>
    <m/>
    <m/>
    <m/>
    <m/>
    <m/>
    <m/>
    <m/>
    <m/>
    <m/>
    <m/>
    <s v="INFASCO"/>
    <m/>
    <n v="97.85"/>
  </r>
  <r>
    <x v="9"/>
    <x v="10"/>
    <x v="35"/>
    <n v="36"/>
    <n v="120"/>
    <n v="4320"/>
    <m/>
    <m/>
    <m/>
    <m/>
    <m/>
    <m/>
    <m/>
    <m/>
    <m/>
    <m/>
    <m/>
    <m/>
    <m/>
    <m/>
    <m/>
    <m/>
    <s v="INFASCO"/>
    <m/>
    <n v="97.85"/>
  </r>
  <r>
    <x v="9"/>
    <x v="17"/>
    <x v="35"/>
    <n v="36"/>
    <n v="120"/>
    <n v="4320"/>
    <m/>
    <m/>
    <m/>
    <m/>
    <m/>
    <m/>
    <m/>
    <m/>
    <m/>
    <m/>
    <m/>
    <m/>
    <m/>
    <m/>
    <m/>
    <m/>
    <s v="INFASCO"/>
    <m/>
    <n v="97.85"/>
  </r>
  <r>
    <x v="9"/>
    <x v="18"/>
    <x v="35"/>
    <n v="33"/>
    <n v="120"/>
    <n v="3960"/>
    <m/>
    <m/>
    <m/>
    <m/>
    <m/>
    <m/>
    <m/>
    <m/>
    <m/>
    <m/>
    <m/>
    <m/>
    <m/>
    <m/>
    <m/>
    <m/>
    <s v="INFASCO"/>
    <m/>
    <n v="97.85"/>
  </r>
  <r>
    <x v="9"/>
    <x v="8"/>
    <x v="93"/>
    <n v="14"/>
    <n v="250"/>
    <n v="3500"/>
    <m/>
    <m/>
    <m/>
    <m/>
    <m/>
    <m/>
    <m/>
    <m/>
    <m/>
    <m/>
    <m/>
    <m/>
    <m/>
    <m/>
    <m/>
    <m/>
    <s v="INFASCO"/>
    <m/>
    <n v="123.6"/>
  </r>
  <r>
    <x v="9"/>
    <x v="8"/>
    <x v="93"/>
    <n v="13"/>
    <n v="250"/>
    <n v="3250"/>
    <m/>
    <m/>
    <m/>
    <m/>
    <m/>
    <m/>
    <m/>
    <m/>
    <m/>
    <m/>
    <m/>
    <m/>
    <m/>
    <m/>
    <m/>
    <m/>
    <s v="INFASCO"/>
    <m/>
    <n v="123.6"/>
  </r>
  <r>
    <x v="9"/>
    <x v="8"/>
    <x v="80"/>
    <n v="36"/>
    <n v="75"/>
    <n v="2700"/>
    <m/>
    <m/>
    <m/>
    <m/>
    <m/>
    <m/>
    <m/>
    <m/>
    <m/>
    <m/>
    <m/>
    <m/>
    <m/>
    <m/>
    <m/>
    <m/>
    <s v="INFASCO"/>
    <m/>
    <n v="123.6"/>
  </r>
  <r>
    <x v="9"/>
    <x v="8"/>
    <x v="80"/>
    <n v="35"/>
    <n v="75"/>
    <n v="2625"/>
    <m/>
    <m/>
    <m/>
    <m/>
    <m/>
    <m/>
    <m/>
    <m/>
    <m/>
    <m/>
    <m/>
    <m/>
    <m/>
    <m/>
    <m/>
    <m/>
    <s v="INFASCO"/>
    <m/>
    <n v="123.6"/>
  </r>
  <r>
    <x v="9"/>
    <x v="10"/>
    <x v="93"/>
    <n v="6"/>
    <n v="250"/>
    <n v="1500"/>
    <m/>
    <m/>
    <m/>
    <m/>
    <m/>
    <m/>
    <m/>
    <m/>
    <m/>
    <m/>
    <m/>
    <m/>
    <m/>
    <m/>
    <m/>
    <m/>
    <s v="INFASCO"/>
    <m/>
    <n v="123.6"/>
  </r>
  <r>
    <x v="10"/>
    <x v="5"/>
    <x v="86"/>
    <n v="36"/>
    <n v="2500"/>
    <n v="90000"/>
    <m/>
    <m/>
    <m/>
    <m/>
    <m/>
    <m/>
    <m/>
    <m/>
    <m/>
    <m/>
    <m/>
    <m/>
    <m/>
    <m/>
    <m/>
    <m/>
    <s v="INFASCO"/>
    <m/>
    <n v="97.85"/>
  </r>
  <r>
    <x v="10"/>
    <x v="5"/>
    <x v="86"/>
    <n v="36"/>
    <n v="2500"/>
    <n v="90000"/>
    <m/>
    <m/>
    <m/>
    <m/>
    <m/>
    <m/>
    <m/>
    <m/>
    <m/>
    <m/>
    <m/>
    <m/>
    <m/>
    <m/>
    <m/>
    <m/>
    <s v="INFASCO"/>
    <m/>
    <n v="97.85"/>
  </r>
  <r>
    <x v="10"/>
    <x v="2"/>
    <x v="71"/>
    <n v="36"/>
    <n v="1500"/>
    <n v="54000"/>
    <m/>
    <m/>
    <m/>
    <m/>
    <m/>
    <m/>
    <m/>
    <m/>
    <m/>
    <m/>
    <m/>
    <m/>
    <m/>
    <m/>
    <m/>
    <m/>
    <s v="INFASCO"/>
    <m/>
    <n v="97.85"/>
  </r>
  <r>
    <x v="10"/>
    <x v="6"/>
    <x v="87"/>
    <n v="36"/>
    <n v="1250"/>
    <n v="45000"/>
    <m/>
    <m/>
    <m/>
    <m/>
    <m/>
    <m/>
    <m/>
    <m/>
    <m/>
    <m/>
    <m/>
    <m/>
    <m/>
    <m/>
    <m/>
    <m/>
    <s v="INFASCO"/>
    <m/>
    <n v="97.85"/>
  </r>
  <r>
    <x v="10"/>
    <x v="6"/>
    <x v="87"/>
    <n v="36"/>
    <n v="1250"/>
    <n v="45000"/>
    <m/>
    <m/>
    <m/>
    <m/>
    <m/>
    <m/>
    <m/>
    <m/>
    <m/>
    <m/>
    <m/>
    <m/>
    <m/>
    <m/>
    <m/>
    <m/>
    <s v="INFASCO"/>
    <m/>
    <n v="97.85"/>
  </r>
  <r>
    <x v="10"/>
    <x v="12"/>
    <x v="89"/>
    <n v="36"/>
    <n v="1200"/>
    <n v="43200"/>
    <m/>
    <m/>
    <m/>
    <m/>
    <m/>
    <m/>
    <m/>
    <m/>
    <m/>
    <m/>
    <m/>
    <m/>
    <m/>
    <m/>
    <m/>
    <m/>
    <s v="INFASCO"/>
    <m/>
    <n v="97.85"/>
  </r>
  <r>
    <x v="10"/>
    <x v="14"/>
    <x v="94"/>
    <n v="36"/>
    <n v="1050"/>
    <n v="37800"/>
    <m/>
    <m/>
    <m/>
    <m/>
    <m/>
    <m/>
    <m/>
    <m/>
    <m/>
    <m/>
    <m/>
    <m/>
    <m/>
    <m/>
    <m/>
    <m/>
    <s v="INFASCO"/>
    <m/>
    <n v="97.85"/>
  </r>
  <r>
    <x v="10"/>
    <x v="14"/>
    <x v="94"/>
    <n v="35"/>
    <n v="1050"/>
    <n v="36750"/>
    <m/>
    <m/>
    <m/>
    <m/>
    <m/>
    <m/>
    <m/>
    <m/>
    <m/>
    <m/>
    <m/>
    <m/>
    <m/>
    <m/>
    <m/>
    <m/>
    <s v="INFASCO"/>
    <m/>
    <n v="97.85"/>
  </r>
  <r>
    <x v="10"/>
    <x v="9"/>
    <x v="5"/>
    <n v="36"/>
    <n v="1000"/>
    <n v="36000"/>
    <m/>
    <m/>
    <m/>
    <m/>
    <m/>
    <m/>
    <m/>
    <m/>
    <m/>
    <m/>
    <m/>
    <m/>
    <m/>
    <m/>
    <m/>
    <m/>
    <s v="INFASCO"/>
    <m/>
    <n v="97.85"/>
  </r>
  <r>
    <x v="10"/>
    <x v="1"/>
    <x v="5"/>
    <n v="36"/>
    <n v="1000"/>
    <n v="36000"/>
    <m/>
    <m/>
    <m/>
    <m/>
    <m/>
    <m/>
    <m/>
    <m/>
    <m/>
    <m/>
    <m/>
    <m/>
    <m/>
    <m/>
    <m/>
    <m/>
    <s v="INFASCO"/>
    <m/>
    <n v="97.85"/>
  </r>
  <r>
    <x v="10"/>
    <x v="13"/>
    <x v="7"/>
    <n v="36"/>
    <n v="700"/>
    <n v="25200"/>
    <m/>
    <m/>
    <m/>
    <m/>
    <m/>
    <m/>
    <m/>
    <m/>
    <m/>
    <m/>
    <m/>
    <m/>
    <m/>
    <m/>
    <m/>
    <m/>
    <s v="INFASCO"/>
    <m/>
    <n v="97.85"/>
  </r>
  <r>
    <x v="10"/>
    <x v="7"/>
    <x v="7"/>
    <n v="36"/>
    <n v="700"/>
    <n v="25200"/>
    <m/>
    <m/>
    <m/>
    <m/>
    <m/>
    <m/>
    <m/>
    <m/>
    <m/>
    <m/>
    <m/>
    <m/>
    <m/>
    <m/>
    <m/>
    <m/>
    <s v="INFASCO"/>
    <m/>
    <n v="97.85"/>
  </r>
  <r>
    <x v="10"/>
    <x v="11"/>
    <x v="55"/>
    <n v="46"/>
    <n v="400"/>
    <n v="18400"/>
    <m/>
    <m/>
    <m/>
    <m/>
    <m/>
    <m/>
    <m/>
    <m/>
    <m/>
    <m/>
    <m/>
    <m/>
    <m/>
    <m/>
    <m/>
    <m/>
    <s v="INFASCO"/>
    <m/>
    <n v="97.85"/>
  </r>
  <r>
    <x v="10"/>
    <x v="10"/>
    <x v="10"/>
    <n v="40"/>
    <n v="450"/>
    <n v="18000"/>
    <m/>
    <m/>
    <m/>
    <m/>
    <m/>
    <m/>
    <m/>
    <m/>
    <m/>
    <m/>
    <m/>
    <m/>
    <m/>
    <m/>
    <m/>
    <m/>
    <s v="INFASCO"/>
    <m/>
    <n v="97.85"/>
  </r>
  <r>
    <x v="10"/>
    <x v="11"/>
    <x v="55"/>
    <n v="42"/>
    <n v="400"/>
    <n v="16800"/>
    <m/>
    <m/>
    <m/>
    <m/>
    <m/>
    <m/>
    <m/>
    <m/>
    <m/>
    <m/>
    <m/>
    <m/>
    <m/>
    <m/>
    <m/>
    <m/>
    <s v="INFASCO"/>
    <m/>
    <n v="97.85"/>
  </r>
  <r>
    <x v="10"/>
    <x v="17"/>
    <x v="42"/>
    <n v="36"/>
    <n v="450"/>
    <n v="16200"/>
    <m/>
    <m/>
    <m/>
    <m/>
    <m/>
    <m/>
    <m/>
    <m/>
    <m/>
    <m/>
    <m/>
    <m/>
    <m/>
    <m/>
    <m/>
    <m/>
    <s v="INFASCO"/>
    <m/>
    <n v="97.85"/>
  </r>
  <r>
    <x v="10"/>
    <x v="10"/>
    <x v="10"/>
    <n v="36"/>
    <n v="450"/>
    <n v="16200"/>
    <m/>
    <m/>
    <m/>
    <m/>
    <m/>
    <m/>
    <m/>
    <m/>
    <m/>
    <m/>
    <m/>
    <m/>
    <m/>
    <m/>
    <m/>
    <m/>
    <s v="INFASCO"/>
    <m/>
    <n v="97.85"/>
  </r>
  <r>
    <x v="10"/>
    <x v="10"/>
    <x v="10"/>
    <n v="36"/>
    <n v="450"/>
    <n v="16200"/>
    <m/>
    <m/>
    <m/>
    <m/>
    <m/>
    <m/>
    <m/>
    <m/>
    <m/>
    <m/>
    <m/>
    <m/>
    <m/>
    <m/>
    <m/>
    <m/>
    <s v="INFASCO"/>
    <m/>
    <n v="97.85"/>
  </r>
  <r>
    <x v="10"/>
    <x v="10"/>
    <x v="10"/>
    <n v="36"/>
    <n v="450"/>
    <n v="16200"/>
    <m/>
    <m/>
    <m/>
    <m/>
    <m/>
    <m/>
    <m/>
    <m/>
    <m/>
    <m/>
    <m/>
    <m/>
    <m/>
    <m/>
    <m/>
    <m/>
    <s v="INFASCO"/>
    <m/>
    <n v="97.85"/>
  </r>
  <r>
    <x v="10"/>
    <x v="10"/>
    <x v="10"/>
    <n v="36"/>
    <n v="450"/>
    <n v="16200"/>
    <m/>
    <m/>
    <m/>
    <m/>
    <m/>
    <m/>
    <m/>
    <m/>
    <m/>
    <m/>
    <m/>
    <m/>
    <m/>
    <m/>
    <m/>
    <m/>
    <s v="INFASCO"/>
    <m/>
    <n v="97.85"/>
  </r>
  <r>
    <x v="10"/>
    <x v="10"/>
    <x v="10"/>
    <n v="36"/>
    <n v="450"/>
    <n v="16200"/>
    <m/>
    <m/>
    <m/>
    <m/>
    <m/>
    <m/>
    <m/>
    <m/>
    <m/>
    <m/>
    <m/>
    <m/>
    <m/>
    <m/>
    <m/>
    <m/>
    <s v="INFASCO"/>
    <m/>
    <n v="97.85"/>
  </r>
  <r>
    <x v="10"/>
    <x v="17"/>
    <x v="42"/>
    <n v="35"/>
    <n v="450"/>
    <n v="15750"/>
    <m/>
    <m/>
    <m/>
    <m/>
    <m/>
    <m/>
    <m/>
    <m/>
    <m/>
    <m/>
    <m/>
    <m/>
    <m/>
    <m/>
    <m/>
    <m/>
    <s v="INFASCO"/>
    <m/>
    <n v="97.85"/>
  </r>
  <r>
    <x v="10"/>
    <x v="3"/>
    <x v="55"/>
    <n v="36"/>
    <n v="400"/>
    <n v="14400"/>
    <m/>
    <m/>
    <m/>
    <m/>
    <m/>
    <m/>
    <m/>
    <m/>
    <m/>
    <m/>
    <m/>
    <m/>
    <m/>
    <m/>
    <m/>
    <m/>
    <s v="INFASCO"/>
    <m/>
    <n v="97.85"/>
  </r>
  <r>
    <x v="10"/>
    <x v="16"/>
    <x v="55"/>
    <n v="36"/>
    <n v="400"/>
    <n v="14400"/>
    <m/>
    <m/>
    <m/>
    <m/>
    <m/>
    <m/>
    <m/>
    <m/>
    <m/>
    <m/>
    <m/>
    <m/>
    <m/>
    <m/>
    <m/>
    <m/>
    <s v="INFASCO"/>
    <m/>
    <n v="97.85"/>
  </r>
  <r>
    <x v="10"/>
    <x v="16"/>
    <x v="55"/>
    <n v="36"/>
    <n v="400"/>
    <n v="14400"/>
    <m/>
    <m/>
    <m/>
    <m/>
    <m/>
    <m/>
    <m/>
    <m/>
    <m/>
    <m/>
    <m/>
    <m/>
    <m/>
    <m/>
    <m/>
    <m/>
    <s v="INFASCO"/>
    <m/>
    <n v="97.85"/>
  </r>
  <r>
    <x v="10"/>
    <x v="16"/>
    <x v="55"/>
    <n v="36"/>
    <n v="400"/>
    <n v="14400"/>
    <m/>
    <m/>
    <m/>
    <m/>
    <m/>
    <m/>
    <m/>
    <m/>
    <m/>
    <m/>
    <m/>
    <m/>
    <m/>
    <m/>
    <m/>
    <m/>
    <s v="INFASCO"/>
    <m/>
    <n v="97.85"/>
  </r>
  <r>
    <x v="10"/>
    <x v="4"/>
    <x v="55"/>
    <n v="36"/>
    <n v="400"/>
    <n v="14400"/>
    <m/>
    <m/>
    <m/>
    <m/>
    <m/>
    <m/>
    <m/>
    <m/>
    <m/>
    <m/>
    <m/>
    <m/>
    <m/>
    <m/>
    <m/>
    <m/>
    <s v="INFASCO"/>
    <m/>
    <n v="97.85"/>
  </r>
  <r>
    <x v="10"/>
    <x v="4"/>
    <x v="55"/>
    <n v="36"/>
    <n v="400"/>
    <n v="14400"/>
    <m/>
    <m/>
    <m/>
    <m/>
    <m/>
    <m/>
    <m/>
    <m/>
    <m/>
    <m/>
    <m/>
    <m/>
    <m/>
    <m/>
    <m/>
    <m/>
    <s v="INFASCO"/>
    <m/>
    <n v="97.85"/>
  </r>
  <r>
    <x v="10"/>
    <x v="4"/>
    <x v="55"/>
    <n v="36"/>
    <n v="400"/>
    <n v="14400"/>
    <m/>
    <m/>
    <m/>
    <m/>
    <m/>
    <m/>
    <m/>
    <m/>
    <m/>
    <m/>
    <m/>
    <m/>
    <m/>
    <m/>
    <m/>
    <m/>
    <s v="INFASCO"/>
    <m/>
    <n v="97.85"/>
  </r>
  <r>
    <x v="10"/>
    <x v="4"/>
    <x v="55"/>
    <n v="36"/>
    <n v="400"/>
    <n v="14400"/>
    <m/>
    <m/>
    <m/>
    <m/>
    <m/>
    <m/>
    <m/>
    <m/>
    <m/>
    <m/>
    <m/>
    <m/>
    <m/>
    <m/>
    <m/>
    <m/>
    <s v="INFASCO"/>
    <m/>
    <n v="97.85"/>
  </r>
  <r>
    <x v="10"/>
    <x v="4"/>
    <x v="55"/>
    <n v="36"/>
    <n v="400"/>
    <n v="14400"/>
    <m/>
    <m/>
    <m/>
    <m/>
    <m/>
    <m/>
    <m/>
    <m/>
    <m/>
    <m/>
    <m/>
    <m/>
    <m/>
    <m/>
    <m/>
    <m/>
    <s v="INFASCO"/>
    <m/>
    <n v="97.85"/>
  </r>
  <r>
    <x v="10"/>
    <x v="3"/>
    <x v="55"/>
    <n v="32"/>
    <n v="400"/>
    <n v="12800"/>
    <m/>
    <m/>
    <m/>
    <m/>
    <m/>
    <m/>
    <m/>
    <m/>
    <m/>
    <m/>
    <m/>
    <m/>
    <m/>
    <m/>
    <m/>
    <m/>
    <s v="INFASCO"/>
    <m/>
    <n v="97.85"/>
  </r>
  <r>
    <x v="10"/>
    <x v="11"/>
    <x v="9"/>
    <n v="28"/>
    <n v="450"/>
    <n v="12600"/>
    <m/>
    <m/>
    <m/>
    <m/>
    <m/>
    <m/>
    <m/>
    <m/>
    <m/>
    <m/>
    <m/>
    <m/>
    <m/>
    <m/>
    <m/>
    <m/>
    <s v="INFASCO"/>
    <m/>
    <n v="97.85"/>
  </r>
  <r>
    <x v="10"/>
    <x v="10"/>
    <x v="11"/>
    <n v="36"/>
    <n v="280"/>
    <n v="10080"/>
    <m/>
    <m/>
    <m/>
    <m/>
    <m/>
    <m/>
    <m/>
    <m/>
    <m/>
    <m/>
    <m/>
    <m/>
    <m/>
    <m/>
    <m/>
    <m/>
    <s v="INFASCO"/>
    <m/>
    <n v="97.85"/>
  </r>
  <r>
    <x v="10"/>
    <x v="10"/>
    <x v="11"/>
    <n v="36"/>
    <n v="280"/>
    <n v="10080"/>
    <m/>
    <m/>
    <m/>
    <m/>
    <m/>
    <m/>
    <m/>
    <m/>
    <m/>
    <m/>
    <m/>
    <m/>
    <m/>
    <m/>
    <m/>
    <m/>
    <s v="INFASCO"/>
    <m/>
    <n v="97.85"/>
  </r>
  <r>
    <x v="10"/>
    <x v="15"/>
    <x v="76"/>
    <n v="22"/>
    <n v="450"/>
    <n v="9900"/>
    <m/>
    <m/>
    <m/>
    <m/>
    <m/>
    <m/>
    <m/>
    <m/>
    <m/>
    <m/>
    <m/>
    <m/>
    <m/>
    <m/>
    <m/>
    <m/>
    <s v="INFASCO"/>
    <m/>
    <n v="97.85"/>
  </r>
  <r>
    <x v="10"/>
    <x v="10"/>
    <x v="35"/>
    <n v="46"/>
    <n v="120"/>
    <n v="5520"/>
    <m/>
    <m/>
    <m/>
    <m/>
    <m/>
    <m/>
    <m/>
    <m/>
    <m/>
    <m/>
    <m/>
    <m/>
    <m/>
    <m/>
    <m/>
    <m/>
    <s v="INFASCO"/>
    <m/>
    <n v="97.85"/>
  </r>
  <r>
    <x v="10"/>
    <x v="17"/>
    <x v="35"/>
    <n v="36"/>
    <n v="120"/>
    <n v="4320"/>
    <m/>
    <m/>
    <m/>
    <m/>
    <m/>
    <m/>
    <m/>
    <m/>
    <m/>
    <m/>
    <m/>
    <m/>
    <m/>
    <m/>
    <m/>
    <m/>
    <s v="INFASCO"/>
    <m/>
    <n v="97.85"/>
  </r>
  <r>
    <x v="10"/>
    <x v="17"/>
    <x v="80"/>
    <n v="36"/>
    <n v="75"/>
    <n v="2700"/>
    <m/>
    <m/>
    <m/>
    <m/>
    <m/>
    <m/>
    <m/>
    <m/>
    <m/>
    <m/>
    <m/>
    <m/>
    <m/>
    <m/>
    <m/>
    <m/>
    <s v="INFASCO"/>
    <m/>
    <n v="123.6"/>
  </r>
  <r>
    <x v="10"/>
    <x v="17"/>
    <x v="80"/>
    <n v="36"/>
    <n v="75"/>
    <n v="2700"/>
    <m/>
    <m/>
    <m/>
    <m/>
    <m/>
    <m/>
    <m/>
    <m/>
    <m/>
    <m/>
    <m/>
    <m/>
    <m/>
    <m/>
    <m/>
    <m/>
    <s v="INFASCO"/>
    <m/>
    <n v="123.6"/>
  </r>
  <r>
    <x v="10"/>
    <x v="10"/>
    <x v="80"/>
    <n v="36"/>
    <n v="75"/>
    <n v="2700"/>
    <m/>
    <m/>
    <m/>
    <m/>
    <m/>
    <m/>
    <m/>
    <m/>
    <m/>
    <m/>
    <m/>
    <m/>
    <m/>
    <m/>
    <m/>
    <m/>
    <s v="INFASCO"/>
    <m/>
    <n v="123.6"/>
  </r>
  <r>
    <x v="11"/>
    <x v="18"/>
    <x v="10"/>
    <n v="36"/>
    <n v="450"/>
    <n v="16200"/>
    <m/>
    <m/>
    <m/>
    <m/>
    <m/>
    <m/>
    <m/>
    <m/>
    <m/>
    <m/>
    <m/>
    <m/>
    <m/>
    <m/>
    <m/>
    <m/>
    <s v="INFASCO"/>
    <m/>
    <n v="97.85"/>
  </r>
  <r>
    <x v="11"/>
    <x v="18"/>
    <x v="95"/>
    <n v="36"/>
    <n v="100"/>
    <n v="3600"/>
    <m/>
    <m/>
    <m/>
    <m/>
    <m/>
    <m/>
    <m/>
    <m/>
    <m/>
    <m/>
    <m/>
    <m/>
    <m/>
    <m/>
    <m/>
    <m/>
    <s v="INFASCO"/>
    <m/>
    <n v="123.6"/>
  </r>
  <r>
    <x v="11"/>
    <x v="18"/>
    <x v="95"/>
    <n v="20"/>
    <n v="100"/>
    <n v="2000"/>
    <m/>
    <m/>
    <m/>
    <m/>
    <m/>
    <m/>
    <m/>
    <m/>
    <m/>
    <m/>
    <m/>
    <m/>
    <m/>
    <m/>
    <m/>
    <m/>
    <s v="INFASCO"/>
    <m/>
    <n v="123.6"/>
  </r>
  <r>
    <x v="11"/>
    <x v="18"/>
    <x v="45"/>
    <n v="1"/>
    <m/>
    <n v="0"/>
    <m/>
    <m/>
    <m/>
    <m/>
    <m/>
    <m/>
    <m/>
    <m/>
    <m/>
    <m/>
    <m/>
    <m/>
    <m/>
    <m/>
    <m/>
    <m/>
    <s v="INFASCO"/>
    <m/>
    <n v="69"/>
  </r>
  <r>
    <x v="11"/>
    <x v="18"/>
    <x v="14"/>
    <n v="1"/>
    <m/>
    <n v="0"/>
    <m/>
    <m/>
    <m/>
    <m/>
    <m/>
    <m/>
    <m/>
    <m/>
    <m/>
    <m/>
    <m/>
    <m/>
    <m/>
    <m/>
    <m/>
    <m/>
    <s v="INFASCO"/>
    <m/>
    <n v="69"/>
  </r>
  <r>
    <x v="12"/>
    <x v="10"/>
    <x v="60"/>
    <n v="27"/>
    <n v="5500"/>
    <n v="148500"/>
    <m/>
    <m/>
    <m/>
    <m/>
    <m/>
    <m/>
    <m/>
    <m/>
    <m/>
    <m/>
    <m/>
    <m/>
    <m/>
    <m/>
    <m/>
    <m/>
    <s v="INFASCO"/>
    <m/>
    <n v="123.6"/>
  </r>
  <r>
    <x v="12"/>
    <x v="8"/>
    <x v="60"/>
    <n v="25"/>
    <n v="5500"/>
    <n v="137500"/>
    <m/>
    <m/>
    <m/>
    <m/>
    <m/>
    <m/>
    <m/>
    <m/>
    <m/>
    <m/>
    <m/>
    <m/>
    <m/>
    <m/>
    <m/>
    <m/>
    <s v="INFASCO"/>
    <m/>
    <n v="123.6"/>
  </r>
  <r>
    <x v="12"/>
    <x v="8"/>
    <x v="60"/>
    <n v="24"/>
    <n v="5500"/>
    <n v="132000"/>
    <m/>
    <m/>
    <m/>
    <m/>
    <m/>
    <m/>
    <m/>
    <m/>
    <m/>
    <m/>
    <m/>
    <m/>
    <m/>
    <m/>
    <m/>
    <m/>
    <s v="INFASCO"/>
    <m/>
    <n v="123.6"/>
  </r>
  <r>
    <x v="12"/>
    <x v="17"/>
    <x v="60"/>
    <n v="24"/>
    <n v="5500"/>
    <n v="132000"/>
    <m/>
    <m/>
    <m/>
    <m/>
    <m/>
    <m/>
    <m/>
    <m/>
    <m/>
    <m/>
    <m/>
    <m/>
    <m/>
    <m/>
    <m/>
    <m/>
    <s v="INFASCO"/>
    <m/>
    <n v="123.6"/>
  </r>
  <r>
    <x v="12"/>
    <x v="8"/>
    <x v="60"/>
    <n v="22"/>
    <n v="5500"/>
    <n v="121000"/>
    <m/>
    <m/>
    <m/>
    <m/>
    <m/>
    <m/>
    <m/>
    <m/>
    <m/>
    <m/>
    <m/>
    <m/>
    <m/>
    <m/>
    <m/>
    <m/>
    <s v="INFASCO"/>
    <m/>
    <n v="123.6"/>
  </r>
  <r>
    <x v="12"/>
    <x v="10"/>
    <x v="60"/>
    <n v="20"/>
    <n v="5500"/>
    <n v="110000"/>
    <m/>
    <m/>
    <m/>
    <m/>
    <m/>
    <m/>
    <m/>
    <m/>
    <m/>
    <m/>
    <m/>
    <m/>
    <m/>
    <m/>
    <m/>
    <m/>
    <s v="INFASCO"/>
    <m/>
    <n v="123.6"/>
  </r>
  <r>
    <x v="12"/>
    <x v="17"/>
    <x v="60"/>
    <n v="20"/>
    <n v="5500"/>
    <n v="110000"/>
    <m/>
    <m/>
    <m/>
    <m/>
    <m/>
    <m/>
    <m/>
    <m/>
    <m/>
    <m/>
    <m/>
    <m/>
    <m/>
    <m/>
    <m/>
    <m/>
    <s v="INFASCO"/>
    <m/>
    <n v="123.6"/>
  </r>
  <r>
    <x v="12"/>
    <x v="8"/>
    <x v="60"/>
    <n v="19"/>
    <n v="5500"/>
    <n v="104500"/>
    <m/>
    <m/>
    <m/>
    <m/>
    <m/>
    <m/>
    <m/>
    <m/>
    <m/>
    <m/>
    <m/>
    <m/>
    <m/>
    <m/>
    <m/>
    <m/>
    <s v="INFASCO"/>
    <m/>
    <n v="123.6"/>
  </r>
  <r>
    <x v="12"/>
    <x v="5"/>
    <x v="86"/>
    <n v="39"/>
    <n v="2500"/>
    <n v="97500"/>
    <m/>
    <m/>
    <m/>
    <m/>
    <m/>
    <m/>
    <m/>
    <m/>
    <m/>
    <m/>
    <m/>
    <m/>
    <m/>
    <m/>
    <m/>
    <m/>
    <s v="INFASCO"/>
    <m/>
    <n v="97.85"/>
  </r>
  <r>
    <x v="12"/>
    <x v="11"/>
    <x v="37"/>
    <n v="36"/>
    <n v="2500"/>
    <n v="90000"/>
    <m/>
    <m/>
    <m/>
    <m/>
    <m/>
    <m/>
    <m/>
    <m/>
    <m/>
    <m/>
    <m/>
    <m/>
    <m/>
    <m/>
    <m/>
    <m/>
    <s v="INFASCO"/>
    <m/>
    <n v="97.85"/>
  </r>
  <r>
    <x v="12"/>
    <x v="5"/>
    <x v="86"/>
    <n v="36"/>
    <n v="2500"/>
    <n v="90000"/>
    <m/>
    <m/>
    <m/>
    <m/>
    <m/>
    <m/>
    <m/>
    <m/>
    <m/>
    <m/>
    <m/>
    <m/>
    <m/>
    <m/>
    <m/>
    <m/>
    <s v="INFASCO"/>
    <m/>
    <n v="97.85"/>
  </r>
  <r>
    <x v="12"/>
    <x v="0"/>
    <x v="0"/>
    <n v="36"/>
    <n v="2500"/>
    <n v="90000"/>
    <m/>
    <m/>
    <m/>
    <m/>
    <m/>
    <m/>
    <m/>
    <m/>
    <m/>
    <m/>
    <m/>
    <m/>
    <m/>
    <m/>
    <m/>
    <m/>
    <s v="INFASCO"/>
    <m/>
    <n v="97.85"/>
  </r>
  <r>
    <x v="12"/>
    <x v="4"/>
    <x v="37"/>
    <n v="36"/>
    <n v="2500"/>
    <n v="90000"/>
    <m/>
    <m/>
    <m/>
    <m/>
    <m/>
    <m/>
    <m/>
    <m/>
    <m/>
    <m/>
    <m/>
    <m/>
    <m/>
    <m/>
    <m/>
    <m/>
    <s v="INFASCO"/>
    <m/>
    <n v="97.85"/>
  </r>
  <r>
    <x v="12"/>
    <x v="4"/>
    <x v="37"/>
    <n v="36"/>
    <n v="2500"/>
    <n v="90000"/>
    <m/>
    <m/>
    <m/>
    <m/>
    <m/>
    <m/>
    <m/>
    <m/>
    <m/>
    <m/>
    <m/>
    <m/>
    <m/>
    <m/>
    <m/>
    <m/>
    <s v="INFASCO"/>
    <m/>
    <n v="97.85"/>
  </r>
  <r>
    <x v="12"/>
    <x v="11"/>
    <x v="37"/>
    <n v="36"/>
    <n v="2500"/>
    <n v="90000"/>
    <m/>
    <m/>
    <m/>
    <m/>
    <m/>
    <m/>
    <m/>
    <m/>
    <m/>
    <m/>
    <m/>
    <m/>
    <m/>
    <m/>
    <m/>
    <m/>
    <s v="INFASCO"/>
    <m/>
    <n v="97.85"/>
  </r>
  <r>
    <x v="12"/>
    <x v="5"/>
    <x v="86"/>
    <n v="36"/>
    <n v="2500"/>
    <n v="90000"/>
    <m/>
    <m/>
    <m/>
    <m/>
    <m/>
    <m/>
    <m/>
    <m/>
    <m/>
    <m/>
    <m/>
    <m/>
    <m/>
    <m/>
    <m/>
    <m/>
    <s v="INFASCO"/>
    <m/>
    <n v="97.85"/>
  </r>
  <r>
    <x v="12"/>
    <x v="15"/>
    <x v="96"/>
    <n v="25"/>
    <n v="3500"/>
    <n v="87500"/>
    <m/>
    <m/>
    <m/>
    <m/>
    <m/>
    <m/>
    <m/>
    <m/>
    <m/>
    <m/>
    <m/>
    <m/>
    <m/>
    <m/>
    <m/>
    <m/>
    <s v="INFASCO"/>
    <m/>
    <n v="97.85"/>
  </r>
  <r>
    <x v="12"/>
    <x v="15"/>
    <x v="2"/>
    <n v="30"/>
    <n v="2700"/>
    <n v="81000"/>
    <m/>
    <m/>
    <m/>
    <m/>
    <m/>
    <m/>
    <m/>
    <m/>
    <m/>
    <m/>
    <m/>
    <m/>
    <m/>
    <m/>
    <m/>
    <m/>
    <s v="INFASCO"/>
    <m/>
    <n v="97.85"/>
  </r>
  <r>
    <x v="12"/>
    <x v="8"/>
    <x v="97"/>
    <n v="36"/>
    <n v="2200"/>
    <n v="79200"/>
    <m/>
    <m/>
    <m/>
    <m/>
    <m/>
    <m/>
    <m/>
    <m/>
    <m/>
    <m/>
    <m/>
    <m/>
    <m/>
    <m/>
    <m/>
    <m/>
    <s v="INFASCO"/>
    <m/>
    <n v="123.6"/>
  </r>
  <r>
    <x v="12"/>
    <x v="0"/>
    <x v="0"/>
    <n v="30"/>
    <n v="2500"/>
    <n v="75000"/>
    <m/>
    <m/>
    <m/>
    <m/>
    <m/>
    <m/>
    <m/>
    <m/>
    <m/>
    <m/>
    <m/>
    <m/>
    <m/>
    <m/>
    <m/>
    <m/>
    <s v="INFASCO"/>
    <m/>
    <n v="97.85"/>
  </r>
  <r>
    <x v="12"/>
    <x v="4"/>
    <x v="98"/>
    <n v="36"/>
    <n v="2000"/>
    <n v="72000"/>
    <m/>
    <m/>
    <m/>
    <m/>
    <m/>
    <m/>
    <m/>
    <m/>
    <m/>
    <m/>
    <m/>
    <m/>
    <m/>
    <m/>
    <m/>
    <m/>
    <s v="INFASCO"/>
    <m/>
    <n v="97.85"/>
  </r>
  <r>
    <x v="12"/>
    <x v="4"/>
    <x v="98"/>
    <n v="36"/>
    <n v="2000"/>
    <n v="72000"/>
    <m/>
    <m/>
    <m/>
    <m/>
    <m/>
    <m/>
    <m/>
    <m/>
    <m/>
    <m/>
    <m/>
    <m/>
    <m/>
    <m/>
    <m/>
    <m/>
    <s v="INFASCO"/>
    <m/>
    <n v="97.85"/>
  </r>
  <r>
    <x v="12"/>
    <x v="4"/>
    <x v="98"/>
    <n v="36"/>
    <n v="2000"/>
    <n v="72000"/>
    <m/>
    <m/>
    <m/>
    <m/>
    <m/>
    <m/>
    <m/>
    <m/>
    <m/>
    <m/>
    <m/>
    <m/>
    <m/>
    <m/>
    <m/>
    <m/>
    <s v="INFASCO"/>
    <m/>
    <n v="97.85"/>
  </r>
  <r>
    <x v="12"/>
    <x v="11"/>
    <x v="98"/>
    <n v="36"/>
    <n v="2000"/>
    <n v="72000"/>
    <m/>
    <m/>
    <m/>
    <m/>
    <m/>
    <m/>
    <m/>
    <m/>
    <m/>
    <m/>
    <m/>
    <m/>
    <m/>
    <m/>
    <m/>
    <m/>
    <s v="INFASCO"/>
    <m/>
    <n v="97.85"/>
  </r>
  <r>
    <x v="12"/>
    <x v="8"/>
    <x v="99"/>
    <n v="1"/>
    <n v="68950"/>
    <n v="68950"/>
    <m/>
    <m/>
    <m/>
    <m/>
    <m/>
    <m/>
    <m/>
    <m/>
    <m/>
    <m/>
    <m/>
    <m/>
    <m/>
    <m/>
    <m/>
    <m/>
    <s v="INFASCO"/>
    <m/>
    <n v="118.45"/>
  </r>
  <r>
    <x v="12"/>
    <x v="10"/>
    <x v="100"/>
    <n v="36"/>
    <n v="1900"/>
    <n v="68400"/>
    <m/>
    <m/>
    <m/>
    <m/>
    <m/>
    <m/>
    <m/>
    <m/>
    <m/>
    <m/>
    <m/>
    <m/>
    <m/>
    <m/>
    <m/>
    <m/>
    <s v="INFASCO"/>
    <m/>
    <n v="97.85"/>
  </r>
  <r>
    <x v="12"/>
    <x v="17"/>
    <x v="99"/>
    <n v="1"/>
    <n v="65040"/>
    <n v="65040"/>
    <m/>
    <m/>
    <m/>
    <m/>
    <m/>
    <m/>
    <m/>
    <m/>
    <m/>
    <m/>
    <m/>
    <m/>
    <m/>
    <m/>
    <m/>
    <m/>
    <s v="INFASCO"/>
    <m/>
    <n v="118.45"/>
  </r>
  <r>
    <x v="12"/>
    <x v="10"/>
    <x v="100"/>
    <n v="33"/>
    <n v="1900"/>
    <n v="62700"/>
    <m/>
    <m/>
    <m/>
    <m/>
    <m/>
    <m/>
    <m/>
    <m/>
    <m/>
    <m/>
    <m/>
    <m/>
    <m/>
    <m/>
    <m/>
    <m/>
    <s v="INFASCO"/>
    <m/>
    <n v="97.85"/>
  </r>
  <r>
    <x v="12"/>
    <x v="2"/>
    <x v="71"/>
    <n v="36"/>
    <n v="1500"/>
    <n v="54000"/>
    <m/>
    <m/>
    <m/>
    <m/>
    <m/>
    <m/>
    <m/>
    <m/>
    <m/>
    <m/>
    <m/>
    <m/>
    <m/>
    <m/>
    <m/>
    <m/>
    <s v="INFASCO"/>
    <m/>
    <n v="97.85"/>
  </r>
  <r>
    <x v="12"/>
    <x v="12"/>
    <x v="89"/>
    <n v="45"/>
    <n v="1200"/>
    <n v="54000"/>
    <m/>
    <m/>
    <m/>
    <m/>
    <m/>
    <m/>
    <m/>
    <m/>
    <m/>
    <m/>
    <m/>
    <m/>
    <m/>
    <m/>
    <m/>
    <m/>
    <s v="INFASCO"/>
    <m/>
    <n v="97.85"/>
  </r>
  <r>
    <x v="12"/>
    <x v="2"/>
    <x v="71"/>
    <n v="36"/>
    <n v="1500"/>
    <n v="54000"/>
    <m/>
    <m/>
    <m/>
    <m/>
    <m/>
    <m/>
    <m/>
    <m/>
    <m/>
    <m/>
    <m/>
    <m/>
    <m/>
    <m/>
    <m/>
    <m/>
    <s v="INFASCO"/>
    <m/>
    <n v="97.85"/>
  </r>
  <r>
    <x v="12"/>
    <x v="1"/>
    <x v="5"/>
    <n v="46"/>
    <n v="1000"/>
    <n v="46000"/>
    <m/>
    <m/>
    <m/>
    <m/>
    <m/>
    <m/>
    <m/>
    <m/>
    <m/>
    <m/>
    <m/>
    <m/>
    <m/>
    <m/>
    <m/>
    <m/>
    <s v="INFASCO"/>
    <m/>
    <n v="97.85"/>
  </r>
  <r>
    <x v="12"/>
    <x v="6"/>
    <x v="87"/>
    <n v="36"/>
    <n v="1250"/>
    <n v="45000"/>
    <m/>
    <m/>
    <m/>
    <m/>
    <m/>
    <m/>
    <m/>
    <m/>
    <m/>
    <m/>
    <m/>
    <m/>
    <m/>
    <m/>
    <m/>
    <m/>
    <s v="INFASCO"/>
    <m/>
    <n v="97.85"/>
  </r>
  <r>
    <x v="12"/>
    <x v="6"/>
    <x v="87"/>
    <n v="36"/>
    <n v="1250"/>
    <n v="45000"/>
    <m/>
    <m/>
    <m/>
    <m/>
    <m/>
    <m/>
    <m/>
    <m/>
    <m/>
    <m/>
    <m/>
    <m/>
    <m/>
    <m/>
    <m/>
    <m/>
    <s v="INFASCO"/>
    <m/>
    <n v="97.85"/>
  </r>
  <r>
    <x v="12"/>
    <x v="17"/>
    <x v="49"/>
    <n v="32"/>
    <n v="1400"/>
    <n v="44800"/>
    <m/>
    <m/>
    <m/>
    <m/>
    <m/>
    <m/>
    <m/>
    <m/>
    <m/>
    <m/>
    <m/>
    <m/>
    <m/>
    <m/>
    <m/>
    <m/>
    <s v="INFASCO"/>
    <m/>
    <n v="97.85"/>
  </r>
  <r>
    <x v="12"/>
    <x v="12"/>
    <x v="89"/>
    <n v="36"/>
    <n v="1200"/>
    <n v="43200"/>
    <m/>
    <m/>
    <m/>
    <m/>
    <m/>
    <m/>
    <m/>
    <m/>
    <m/>
    <m/>
    <m/>
    <m/>
    <m/>
    <m/>
    <m/>
    <m/>
    <s v="INFASCO"/>
    <m/>
    <n v="97.85"/>
  </r>
  <r>
    <x v="12"/>
    <x v="8"/>
    <x v="101"/>
    <n v="1"/>
    <n v="42000"/>
    <n v="42000"/>
    <m/>
    <m/>
    <m/>
    <m/>
    <m/>
    <m/>
    <m/>
    <m/>
    <m/>
    <m/>
    <m/>
    <m/>
    <m/>
    <m/>
    <m/>
    <m/>
    <s v="INFASCO"/>
    <m/>
    <n v="118.45"/>
  </r>
  <r>
    <x v="12"/>
    <x v="17"/>
    <x v="94"/>
    <n v="36"/>
    <n v="1050"/>
    <n v="37800"/>
    <m/>
    <m/>
    <m/>
    <m/>
    <m/>
    <m/>
    <m/>
    <m/>
    <m/>
    <m/>
    <m/>
    <m/>
    <m/>
    <m/>
    <m/>
    <m/>
    <s v="INFASCO"/>
    <m/>
    <n v="97.85"/>
  </r>
  <r>
    <x v="12"/>
    <x v="8"/>
    <x v="102"/>
    <n v="36"/>
    <n v="1050"/>
    <n v="37800"/>
    <m/>
    <m/>
    <m/>
    <m/>
    <m/>
    <m/>
    <m/>
    <m/>
    <m/>
    <m/>
    <m/>
    <m/>
    <m/>
    <m/>
    <m/>
    <m/>
    <s v="INFASCO"/>
    <m/>
    <n v="97.85"/>
  </r>
  <r>
    <x v="12"/>
    <x v="6"/>
    <x v="5"/>
    <n v="36"/>
    <n v="1000"/>
    <n v="36000"/>
    <m/>
    <m/>
    <m/>
    <m/>
    <m/>
    <m/>
    <m/>
    <m/>
    <m/>
    <m/>
    <m/>
    <m/>
    <m/>
    <m/>
    <m/>
    <m/>
    <s v="INFASCO"/>
    <m/>
    <n v="97.85"/>
  </r>
  <r>
    <x v="12"/>
    <x v="6"/>
    <x v="5"/>
    <n v="36"/>
    <n v="1000"/>
    <n v="36000"/>
    <m/>
    <m/>
    <m/>
    <m/>
    <m/>
    <m/>
    <m/>
    <m/>
    <m/>
    <m/>
    <m/>
    <m/>
    <m/>
    <m/>
    <m/>
    <m/>
    <s v="INFASCO"/>
    <m/>
    <n v="97.85"/>
  </r>
  <r>
    <x v="12"/>
    <x v="6"/>
    <x v="5"/>
    <n v="36"/>
    <n v="1000"/>
    <n v="36000"/>
    <m/>
    <m/>
    <m/>
    <m/>
    <m/>
    <m/>
    <m/>
    <m/>
    <m/>
    <m/>
    <m/>
    <m/>
    <m/>
    <m/>
    <m/>
    <m/>
    <s v="INFASCO"/>
    <m/>
    <n v="97.85"/>
  </r>
  <r>
    <x v="12"/>
    <x v="9"/>
    <x v="5"/>
    <n v="36"/>
    <n v="1000"/>
    <n v="36000"/>
    <m/>
    <m/>
    <m/>
    <m/>
    <m/>
    <m/>
    <m/>
    <m/>
    <m/>
    <m/>
    <m/>
    <m/>
    <m/>
    <m/>
    <m/>
    <m/>
    <s v="INFASCO"/>
    <m/>
    <n v="97.85"/>
  </r>
  <r>
    <x v="12"/>
    <x v="1"/>
    <x v="5"/>
    <n v="36"/>
    <n v="1000"/>
    <n v="36000"/>
    <m/>
    <m/>
    <m/>
    <m/>
    <m/>
    <m/>
    <m/>
    <m/>
    <m/>
    <m/>
    <m/>
    <m/>
    <m/>
    <m/>
    <m/>
    <m/>
    <s v="INFASCO"/>
    <m/>
    <n v="97.85"/>
  </r>
  <r>
    <x v="12"/>
    <x v="9"/>
    <x v="5"/>
    <n v="36"/>
    <n v="1000"/>
    <n v="36000"/>
    <m/>
    <m/>
    <m/>
    <m/>
    <m/>
    <m/>
    <m/>
    <m/>
    <m/>
    <m/>
    <m/>
    <m/>
    <m/>
    <m/>
    <m/>
    <m/>
    <s v="INFASCO"/>
    <m/>
    <n v="97.85"/>
  </r>
  <r>
    <x v="12"/>
    <x v="14"/>
    <x v="94"/>
    <n v="34"/>
    <n v="1050"/>
    <n v="35700"/>
    <m/>
    <m/>
    <m/>
    <m/>
    <m/>
    <m/>
    <m/>
    <m/>
    <m/>
    <m/>
    <m/>
    <m/>
    <m/>
    <m/>
    <m/>
    <m/>
    <s v="INFASCO"/>
    <m/>
    <n v="97.85"/>
  </r>
  <r>
    <x v="12"/>
    <x v="10"/>
    <x v="101"/>
    <n v="1"/>
    <n v="35000"/>
    <n v="35000"/>
    <m/>
    <m/>
    <m/>
    <m/>
    <m/>
    <m/>
    <m/>
    <m/>
    <m/>
    <m/>
    <m/>
    <m/>
    <m/>
    <m/>
    <m/>
    <m/>
    <s v="INFASCO"/>
    <m/>
    <n v="118.45"/>
  </r>
  <r>
    <x v="12"/>
    <x v="10"/>
    <x v="101"/>
    <n v="1"/>
    <n v="35000"/>
    <n v="35000"/>
    <m/>
    <m/>
    <m/>
    <m/>
    <m/>
    <m/>
    <m/>
    <m/>
    <m/>
    <m/>
    <m/>
    <m/>
    <m/>
    <m/>
    <m/>
    <m/>
    <s v="INFASCO"/>
    <m/>
    <n v="118.45"/>
  </r>
  <r>
    <x v="12"/>
    <x v="8"/>
    <x v="101"/>
    <n v="1"/>
    <n v="35000"/>
    <n v="35000"/>
    <m/>
    <m/>
    <m/>
    <m/>
    <m/>
    <m/>
    <m/>
    <m/>
    <m/>
    <m/>
    <m/>
    <m/>
    <m/>
    <m/>
    <m/>
    <m/>
    <s v="INFASCO"/>
    <m/>
    <n v="118.45"/>
  </r>
  <r>
    <x v="12"/>
    <x v="1"/>
    <x v="5"/>
    <n v="33"/>
    <n v="1000"/>
    <n v="33000"/>
    <m/>
    <m/>
    <m/>
    <m/>
    <m/>
    <m/>
    <m/>
    <m/>
    <m/>
    <m/>
    <m/>
    <m/>
    <m/>
    <m/>
    <m/>
    <m/>
    <s v="INFASCO"/>
    <m/>
    <n v="97.85"/>
  </r>
  <r>
    <x v="12"/>
    <x v="10"/>
    <x v="40"/>
    <n v="36"/>
    <n v="850"/>
    <n v="30600"/>
    <m/>
    <m/>
    <m/>
    <m/>
    <m/>
    <m/>
    <m/>
    <m/>
    <m/>
    <m/>
    <m/>
    <m/>
    <m/>
    <m/>
    <m/>
    <m/>
    <s v="INFASCO"/>
    <m/>
    <n v="123.6"/>
  </r>
  <r>
    <x v="12"/>
    <x v="17"/>
    <x v="103"/>
    <n v="1"/>
    <n v="27231"/>
    <n v="27231"/>
    <m/>
    <m/>
    <m/>
    <m/>
    <m/>
    <m/>
    <m/>
    <m/>
    <m/>
    <m/>
    <m/>
    <m/>
    <m/>
    <m/>
    <m/>
    <m/>
    <s v="INFASCO"/>
    <m/>
    <n v="47.38"/>
  </r>
  <r>
    <x v="12"/>
    <x v="8"/>
    <x v="103"/>
    <n v="1"/>
    <n v="25225"/>
    <n v="25225"/>
    <m/>
    <m/>
    <m/>
    <m/>
    <m/>
    <m/>
    <m/>
    <m/>
    <m/>
    <m/>
    <m/>
    <m/>
    <m/>
    <m/>
    <m/>
    <m/>
    <s v="INFASCO"/>
    <m/>
    <n v="47.38"/>
  </r>
  <r>
    <x v="12"/>
    <x v="16"/>
    <x v="7"/>
    <n v="36"/>
    <n v="700"/>
    <n v="25200"/>
    <m/>
    <m/>
    <m/>
    <m/>
    <m/>
    <m/>
    <m/>
    <m/>
    <m/>
    <m/>
    <m/>
    <m/>
    <m/>
    <m/>
    <m/>
    <m/>
    <s v="INFASCO"/>
    <m/>
    <n v="97.85"/>
  </r>
  <r>
    <x v="12"/>
    <x v="16"/>
    <x v="7"/>
    <n v="36"/>
    <n v="700"/>
    <n v="25200"/>
    <m/>
    <m/>
    <m/>
    <m/>
    <m/>
    <m/>
    <m/>
    <m/>
    <m/>
    <m/>
    <m/>
    <m/>
    <m/>
    <m/>
    <m/>
    <m/>
    <s v="INFASCO"/>
    <m/>
    <n v="97.85"/>
  </r>
  <r>
    <x v="12"/>
    <x v="7"/>
    <x v="7"/>
    <n v="36"/>
    <n v="700"/>
    <n v="25200"/>
    <m/>
    <m/>
    <m/>
    <m/>
    <m/>
    <m/>
    <m/>
    <m/>
    <m/>
    <m/>
    <m/>
    <m/>
    <m/>
    <m/>
    <m/>
    <m/>
    <s v="INFASCO"/>
    <m/>
    <n v="97.85"/>
  </r>
  <r>
    <x v="12"/>
    <x v="17"/>
    <x v="54"/>
    <n v="36"/>
    <n v="700"/>
    <n v="25200"/>
    <m/>
    <m/>
    <m/>
    <m/>
    <m/>
    <m/>
    <m/>
    <m/>
    <m/>
    <m/>
    <m/>
    <m/>
    <m/>
    <m/>
    <m/>
    <m/>
    <s v="INFASCO"/>
    <m/>
    <n v="97.85"/>
  </r>
  <r>
    <x v="12"/>
    <x v="3"/>
    <x v="7"/>
    <n v="36"/>
    <n v="700"/>
    <n v="25200"/>
    <m/>
    <m/>
    <m/>
    <m/>
    <m/>
    <m/>
    <m/>
    <m/>
    <m/>
    <m/>
    <m/>
    <m/>
    <m/>
    <m/>
    <m/>
    <m/>
    <s v="INFASCO"/>
    <m/>
    <n v="97.85"/>
  </r>
  <r>
    <x v="12"/>
    <x v="13"/>
    <x v="7"/>
    <n v="36"/>
    <n v="700"/>
    <n v="25200"/>
    <m/>
    <m/>
    <m/>
    <m/>
    <m/>
    <m/>
    <m/>
    <m/>
    <m/>
    <m/>
    <m/>
    <m/>
    <m/>
    <m/>
    <m/>
    <m/>
    <s v="INFASCO"/>
    <m/>
    <n v="97.85"/>
  </r>
  <r>
    <x v="12"/>
    <x v="14"/>
    <x v="7"/>
    <n v="36"/>
    <n v="700"/>
    <n v="25200"/>
    <m/>
    <m/>
    <m/>
    <m/>
    <m/>
    <m/>
    <m/>
    <m/>
    <m/>
    <m/>
    <m/>
    <m/>
    <m/>
    <m/>
    <m/>
    <m/>
    <s v="INFASCO"/>
    <m/>
    <n v="97.85"/>
  </r>
  <r>
    <x v="12"/>
    <x v="7"/>
    <x v="7"/>
    <n v="36"/>
    <n v="700"/>
    <n v="25200"/>
    <m/>
    <m/>
    <m/>
    <m/>
    <m/>
    <m/>
    <m/>
    <m/>
    <m/>
    <m/>
    <m/>
    <m/>
    <m/>
    <m/>
    <m/>
    <m/>
    <s v="INFASCO"/>
    <m/>
    <n v="97.85"/>
  </r>
  <r>
    <x v="12"/>
    <x v="16"/>
    <x v="7"/>
    <n v="36"/>
    <n v="700"/>
    <n v="25200"/>
    <m/>
    <m/>
    <m/>
    <m/>
    <m/>
    <m/>
    <m/>
    <m/>
    <m/>
    <m/>
    <m/>
    <m/>
    <m/>
    <m/>
    <m/>
    <m/>
    <s v="INFASCO"/>
    <m/>
    <n v="97.85"/>
  </r>
  <r>
    <x v="12"/>
    <x v="3"/>
    <x v="7"/>
    <n v="36"/>
    <n v="700"/>
    <n v="25200"/>
    <m/>
    <m/>
    <m/>
    <m/>
    <m/>
    <m/>
    <m/>
    <m/>
    <m/>
    <m/>
    <m/>
    <m/>
    <m/>
    <m/>
    <m/>
    <m/>
    <s v="INFASCO"/>
    <m/>
    <n v="97.85"/>
  </r>
  <r>
    <x v="12"/>
    <x v="13"/>
    <x v="7"/>
    <n v="36"/>
    <n v="700"/>
    <n v="25200"/>
    <m/>
    <m/>
    <m/>
    <m/>
    <m/>
    <m/>
    <m/>
    <m/>
    <m/>
    <m/>
    <m/>
    <m/>
    <m/>
    <m/>
    <m/>
    <m/>
    <s v="INFASCO"/>
    <m/>
    <n v="97.85"/>
  </r>
  <r>
    <x v="12"/>
    <x v="10"/>
    <x v="103"/>
    <n v="1"/>
    <n v="24000"/>
    <n v="24000"/>
    <m/>
    <m/>
    <m/>
    <m/>
    <m/>
    <m/>
    <m/>
    <m/>
    <m/>
    <m/>
    <m/>
    <m/>
    <m/>
    <m/>
    <m/>
    <m/>
    <s v="INFASCO"/>
    <m/>
    <n v="47.38"/>
  </r>
  <r>
    <x v="12"/>
    <x v="6"/>
    <x v="5"/>
    <n v="24"/>
    <n v="1000"/>
    <n v="24000"/>
    <m/>
    <m/>
    <m/>
    <m/>
    <m/>
    <m/>
    <m/>
    <m/>
    <m/>
    <m/>
    <m/>
    <m/>
    <m/>
    <m/>
    <m/>
    <m/>
    <s v="INFASCO"/>
    <m/>
    <n v="97.85"/>
  </r>
  <r>
    <x v="12"/>
    <x v="17"/>
    <x v="103"/>
    <n v="1"/>
    <n v="23349"/>
    <n v="23349"/>
    <m/>
    <m/>
    <m/>
    <m/>
    <m/>
    <m/>
    <m/>
    <m/>
    <m/>
    <m/>
    <m/>
    <m/>
    <m/>
    <m/>
    <m/>
    <m/>
    <s v="INFASCO"/>
    <m/>
    <n v="47.38"/>
  </r>
  <r>
    <x v="12"/>
    <x v="10"/>
    <x v="22"/>
    <n v="42"/>
    <n v="550"/>
    <n v="23100"/>
    <m/>
    <m/>
    <m/>
    <m/>
    <m/>
    <m/>
    <m/>
    <m/>
    <m/>
    <m/>
    <m/>
    <m/>
    <m/>
    <m/>
    <m/>
    <m/>
    <s v="INFASCO"/>
    <m/>
    <n v="123.6"/>
  </r>
  <r>
    <x v="12"/>
    <x v="8"/>
    <x v="97"/>
    <n v="10"/>
    <n v="2200"/>
    <n v="22000"/>
    <m/>
    <m/>
    <m/>
    <m/>
    <m/>
    <m/>
    <m/>
    <m/>
    <m/>
    <m/>
    <m/>
    <m/>
    <m/>
    <m/>
    <m/>
    <m/>
    <s v="INFASCO"/>
    <m/>
    <n v="123.6"/>
  </r>
  <r>
    <x v="12"/>
    <x v="17"/>
    <x v="54"/>
    <n v="31"/>
    <n v="700"/>
    <n v="21700"/>
    <m/>
    <m/>
    <m/>
    <m/>
    <m/>
    <m/>
    <m/>
    <m/>
    <m/>
    <m/>
    <m/>
    <m/>
    <m/>
    <m/>
    <m/>
    <m/>
    <s v="INFASCO"/>
    <m/>
    <n v="97.85"/>
  </r>
  <r>
    <x v="12"/>
    <x v="17"/>
    <x v="103"/>
    <n v="1"/>
    <n v="20000"/>
    <n v="20000"/>
    <m/>
    <m/>
    <m/>
    <m/>
    <m/>
    <m/>
    <m/>
    <m/>
    <m/>
    <m/>
    <m/>
    <m/>
    <m/>
    <m/>
    <m/>
    <m/>
    <s v="INFASCO"/>
    <m/>
    <n v="47.38"/>
  </r>
  <r>
    <x v="12"/>
    <x v="8"/>
    <x v="22"/>
    <n v="36"/>
    <n v="550"/>
    <n v="19800"/>
    <m/>
    <m/>
    <m/>
    <m/>
    <m/>
    <m/>
    <m/>
    <m/>
    <m/>
    <m/>
    <m/>
    <m/>
    <m/>
    <m/>
    <m/>
    <m/>
    <s v="INFASCO"/>
    <m/>
    <n v="123.6"/>
  </r>
  <r>
    <x v="12"/>
    <x v="17"/>
    <x v="103"/>
    <n v="1"/>
    <n v="17500"/>
    <n v="17500"/>
    <m/>
    <m/>
    <m/>
    <m/>
    <m/>
    <m/>
    <m/>
    <m/>
    <m/>
    <m/>
    <m/>
    <m/>
    <m/>
    <m/>
    <m/>
    <m/>
    <s v="INFASCO"/>
    <m/>
    <n v="47.38"/>
  </r>
  <r>
    <x v="12"/>
    <x v="17"/>
    <x v="104"/>
    <n v="30"/>
    <n v="550"/>
    <n v="16500"/>
    <m/>
    <m/>
    <m/>
    <m/>
    <m/>
    <m/>
    <m/>
    <m/>
    <m/>
    <m/>
    <m/>
    <m/>
    <m/>
    <m/>
    <m/>
    <m/>
    <s v="INFASCO"/>
    <m/>
    <n v="123.6"/>
  </r>
  <r>
    <x v="12"/>
    <x v="10"/>
    <x v="10"/>
    <n v="36"/>
    <n v="450"/>
    <n v="16200"/>
    <m/>
    <m/>
    <m/>
    <m/>
    <m/>
    <m/>
    <m/>
    <m/>
    <m/>
    <m/>
    <m/>
    <m/>
    <m/>
    <m/>
    <m/>
    <m/>
    <s v="INFASCO"/>
    <m/>
    <n v="97.85"/>
  </r>
  <r>
    <x v="12"/>
    <x v="8"/>
    <x v="10"/>
    <n v="36"/>
    <n v="450"/>
    <n v="16200"/>
    <m/>
    <m/>
    <m/>
    <m/>
    <m/>
    <m/>
    <m/>
    <m/>
    <m/>
    <m/>
    <m/>
    <m/>
    <m/>
    <m/>
    <m/>
    <m/>
    <s v="INFASCO"/>
    <m/>
    <n v="97.85"/>
  </r>
  <r>
    <x v="12"/>
    <x v="17"/>
    <x v="42"/>
    <n v="36"/>
    <n v="450"/>
    <n v="16200"/>
    <m/>
    <m/>
    <m/>
    <m/>
    <m/>
    <m/>
    <m/>
    <m/>
    <m/>
    <m/>
    <m/>
    <m/>
    <m/>
    <m/>
    <m/>
    <m/>
    <s v="INFASCO"/>
    <m/>
    <n v="97.85"/>
  </r>
  <r>
    <x v="12"/>
    <x v="8"/>
    <x v="104"/>
    <n v="27"/>
    <n v="550"/>
    <n v="14850"/>
    <m/>
    <m/>
    <m/>
    <m/>
    <m/>
    <m/>
    <m/>
    <m/>
    <m/>
    <m/>
    <m/>
    <m/>
    <m/>
    <m/>
    <m/>
    <m/>
    <s v="INFASCO"/>
    <m/>
    <n v="123.6"/>
  </r>
  <r>
    <x v="12"/>
    <x v="16"/>
    <x v="7"/>
    <n v="21"/>
    <n v="700"/>
    <n v="14700"/>
    <m/>
    <m/>
    <m/>
    <m/>
    <m/>
    <m/>
    <m/>
    <m/>
    <m/>
    <m/>
    <m/>
    <m/>
    <m/>
    <m/>
    <m/>
    <m/>
    <s v="INFASCO"/>
    <m/>
    <n v="97.85"/>
  </r>
  <r>
    <x v="12"/>
    <x v="4"/>
    <x v="55"/>
    <n v="36"/>
    <n v="400"/>
    <n v="14400"/>
    <m/>
    <m/>
    <m/>
    <m/>
    <m/>
    <m/>
    <m/>
    <m/>
    <m/>
    <m/>
    <m/>
    <m/>
    <m/>
    <m/>
    <m/>
    <m/>
    <s v="INFASCO"/>
    <m/>
    <n v="97.85"/>
  </r>
  <r>
    <x v="12"/>
    <x v="16"/>
    <x v="55"/>
    <n v="36"/>
    <n v="400"/>
    <n v="14400"/>
    <m/>
    <m/>
    <m/>
    <m/>
    <m/>
    <m/>
    <m/>
    <m/>
    <m/>
    <m/>
    <m/>
    <m/>
    <m/>
    <m/>
    <m/>
    <m/>
    <s v="INFASCO"/>
    <m/>
    <n v="97.85"/>
  </r>
  <r>
    <x v="12"/>
    <x v="17"/>
    <x v="42"/>
    <n v="31"/>
    <n v="450"/>
    <n v="13950"/>
    <m/>
    <m/>
    <m/>
    <m/>
    <m/>
    <m/>
    <m/>
    <m/>
    <m/>
    <m/>
    <m/>
    <m/>
    <m/>
    <m/>
    <m/>
    <m/>
    <s v="INFASCO"/>
    <m/>
    <n v="97.85"/>
  </r>
  <r>
    <x v="12"/>
    <x v="10"/>
    <x v="40"/>
    <n v="16"/>
    <n v="850"/>
    <n v="13600"/>
    <m/>
    <m/>
    <m/>
    <m/>
    <m/>
    <m/>
    <m/>
    <m/>
    <m/>
    <m/>
    <m/>
    <m/>
    <m/>
    <m/>
    <m/>
    <m/>
    <s v="INFASCO"/>
    <m/>
    <n v="123.6"/>
  </r>
  <r>
    <x v="12"/>
    <x v="17"/>
    <x v="42"/>
    <n v="30"/>
    <n v="450"/>
    <n v="13500"/>
    <m/>
    <m/>
    <m/>
    <m/>
    <m/>
    <m/>
    <m/>
    <m/>
    <m/>
    <m/>
    <m/>
    <m/>
    <m/>
    <m/>
    <m/>
    <m/>
    <s v="INFASCO"/>
    <m/>
    <n v="97.85"/>
  </r>
  <r>
    <x v="12"/>
    <x v="10"/>
    <x v="101"/>
    <n v="1"/>
    <n v="13460"/>
    <n v="13460"/>
    <m/>
    <m/>
    <m/>
    <m/>
    <m/>
    <m/>
    <m/>
    <m/>
    <m/>
    <m/>
    <m/>
    <m/>
    <m/>
    <m/>
    <m/>
    <m/>
    <s v="INFASCO"/>
    <m/>
    <n v="118.45"/>
  </r>
  <r>
    <x v="12"/>
    <x v="10"/>
    <x v="10"/>
    <n v="27"/>
    <n v="450"/>
    <n v="12150"/>
    <m/>
    <m/>
    <m/>
    <m/>
    <m/>
    <m/>
    <m/>
    <m/>
    <m/>
    <m/>
    <m/>
    <m/>
    <m/>
    <m/>
    <m/>
    <m/>
    <s v="INFASCO"/>
    <m/>
    <n v="97.85"/>
  </r>
  <r>
    <x v="12"/>
    <x v="1"/>
    <x v="5"/>
    <n v="12"/>
    <n v="1000"/>
    <n v="12000"/>
    <m/>
    <m/>
    <m/>
    <m/>
    <m/>
    <m/>
    <m/>
    <m/>
    <m/>
    <m/>
    <m/>
    <m/>
    <m/>
    <m/>
    <m/>
    <m/>
    <s v="INFASCO"/>
    <m/>
    <n v="97.85"/>
  </r>
  <r>
    <x v="12"/>
    <x v="17"/>
    <x v="49"/>
    <n v="29"/>
    <n v="400"/>
    <n v="11600"/>
    <m/>
    <m/>
    <m/>
    <m/>
    <m/>
    <m/>
    <m/>
    <m/>
    <m/>
    <m/>
    <m/>
    <m/>
    <m/>
    <m/>
    <m/>
    <m/>
    <s v="INFASCO"/>
    <m/>
    <n v="97.85"/>
  </r>
  <r>
    <x v="12"/>
    <x v="11"/>
    <x v="55"/>
    <n v="24"/>
    <n v="400"/>
    <n v="9600"/>
    <m/>
    <m/>
    <m/>
    <m/>
    <m/>
    <m/>
    <m/>
    <m/>
    <m/>
    <m/>
    <m/>
    <m/>
    <m/>
    <m/>
    <m/>
    <m/>
    <s v="INFASCO"/>
    <m/>
    <n v="97.85"/>
  </r>
  <r>
    <x v="12"/>
    <x v="8"/>
    <x v="10"/>
    <n v="20"/>
    <n v="450"/>
    <n v="9000"/>
    <m/>
    <m/>
    <m/>
    <m/>
    <m/>
    <m/>
    <m/>
    <m/>
    <m/>
    <m/>
    <m/>
    <m/>
    <m/>
    <m/>
    <m/>
    <m/>
    <s v="INFASCO"/>
    <m/>
    <n v="97.85"/>
  </r>
  <r>
    <x v="12"/>
    <x v="10"/>
    <x v="32"/>
    <n v="36"/>
    <n v="220"/>
    <n v="7920"/>
    <m/>
    <m/>
    <m/>
    <m/>
    <m/>
    <m/>
    <m/>
    <m/>
    <m/>
    <m/>
    <m/>
    <m/>
    <m/>
    <m/>
    <m/>
    <m/>
    <s v="INFASCO"/>
    <m/>
    <n v="97.85"/>
  </r>
  <r>
    <x v="12"/>
    <x v="17"/>
    <x v="32"/>
    <n v="24"/>
    <n v="220"/>
    <n v="5280"/>
    <m/>
    <m/>
    <m/>
    <m/>
    <m/>
    <m/>
    <m/>
    <m/>
    <m/>
    <m/>
    <m/>
    <m/>
    <m/>
    <m/>
    <m/>
    <m/>
    <s v="INFASCO"/>
    <m/>
    <n v="97.85"/>
  </r>
  <r>
    <x v="12"/>
    <x v="8"/>
    <x v="105"/>
    <n v="35"/>
    <n v="150"/>
    <n v="5250"/>
    <m/>
    <m/>
    <m/>
    <m/>
    <m/>
    <m/>
    <m/>
    <m/>
    <m/>
    <m/>
    <m/>
    <m/>
    <m/>
    <m/>
    <m/>
    <m/>
    <s v="INFASCO"/>
    <m/>
    <n v="97.85"/>
  </r>
  <r>
    <x v="12"/>
    <x v="8"/>
    <x v="105"/>
    <n v="31"/>
    <n v="150"/>
    <n v="4650"/>
    <m/>
    <m/>
    <m/>
    <m/>
    <m/>
    <m/>
    <m/>
    <m/>
    <m/>
    <m/>
    <m/>
    <m/>
    <m/>
    <m/>
    <m/>
    <m/>
    <s v="INFASCO"/>
    <m/>
    <n v="97.85"/>
  </r>
  <r>
    <x v="12"/>
    <x v="10"/>
    <x v="105"/>
    <n v="27"/>
    <n v="150"/>
    <n v="4050"/>
    <m/>
    <m/>
    <m/>
    <m/>
    <m/>
    <m/>
    <m/>
    <m/>
    <m/>
    <m/>
    <m/>
    <m/>
    <m/>
    <m/>
    <m/>
    <m/>
    <s v="INFASCO"/>
    <m/>
    <n v="97.85"/>
  </r>
  <r>
    <x v="12"/>
    <x v="10"/>
    <x v="95"/>
    <n v="36"/>
    <n v="100"/>
    <n v="3600"/>
    <m/>
    <m/>
    <m/>
    <m/>
    <m/>
    <m/>
    <m/>
    <m/>
    <m/>
    <m/>
    <m/>
    <m/>
    <m/>
    <m/>
    <m/>
    <m/>
    <s v="INFASCO"/>
    <m/>
    <n v="123.6"/>
  </r>
  <r>
    <x v="12"/>
    <x v="8"/>
    <x v="95"/>
    <n v="32"/>
    <n v="100"/>
    <n v="3200"/>
    <m/>
    <m/>
    <m/>
    <m/>
    <m/>
    <m/>
    <m/>
    <m/>
    <m/>
    <m/>
    <m/>
    <m/>
    <m/>
    <m/>
    <m/>
    <m/>
    <s v="INFASCO"/>
    <m/>
    <n v="123.6"/>
  </r>
  <r>
    <x v="12"/>
    <x v="17"/>
    <x v="95"/>
    <n v="32"/>
    <n v="100"/>
    <n v="3200"/>
    <m/>
    <m/>
    <m/>
    <m/>
    <m/>
    <m/>
    <m/>
    <m/>
    <m/>
    <m/>
    <m/>
    <m/>
    <m/>
    <m/>
    <m/>
    <m/>
    <s v="INFASCO"/>
    <m/>
    <n v="123.6"/>
  </r>
  <r>
    <x v="12"/>
    <x v="8"/>
    <x v="95"/>
    <n v="31"/>
    <n v="100"/>
    <n v="3100"/>
    <m/>
    <m/>
    <m/>
    <m/>
    <m/>
    <m/>
    <m/>
    <m/>
    <m/>
    <m/>
    <m/>
    <m/>
    <m/>
    <m/>
    <m/>
    <m/>
    <s v="INFASCO"/>
    <m/>
    <n v="123.6"/>
  </r>
  <r>
    <x v="12"/>
    <x v="17"/>
    <x v="95"/>
    <n v="31"/>
    <n v="100"/>
    <n v="3100"/>
    <m/>
    <m/>
    <m/>
    <m/>
    <m/>
    <m/>
    <m/>
    <m/>
    <m/>
    <m/>
    <m/>
    <m/>
    <m/>
    <m/>
    <m/>
    <m/>
    <s v="INFASCO"/>
    <m/>
    <n v="123.6"/>
  </r>
  <r>
    <x v="12"/>
    <x v="17"/>
    <x v="95"/>
    <n v="31"/>
    <n v="100"/>
    <n v="3100"/>
    <m/>
    <m/>
    <m/>
    <m/>
    <m/>
    <m/>
    <m/>
    <m/>
    <m/>
    <m/>
    <m/>
    <m/>
    <m/>
    <m/>
    <m/>
    <m/>
    <s v="INFASCO"/>
    <m/>
    <n v="123.6"/>
  </r>
  <r>
    <x v="12"/>
    <x v="17"/>
    <x v="95"/>
    <n v="29"/>
    <n v="100"/>
    <n v="2900"/>
    <m/>
    <m/>
    <m/>
    <m/>
    <m/>
    <m/>
    <m/>
    <m/>
    <m/>
    <m/>
    <m/>
    <m/>
    <m/>
    <m/>
    <m/>
    <m/>
    <s v="INFASCO"/>
    <m/>
    <n v="123.6"/>
  </r>
  <r>
    <x v="12"/>
    <x v="3"/>
    <x v="55"/>
    <n v="7"/>
    <n v="400"/>
    <n v="2800"/>
    <m/>
    <m/>
    <m/>
    <m/>
    <m/>
    <m/>
    <m/>
    <m/>
    <m/>
    <m/>
    <m/>
    <m/>
    <m/>
    <m/>
    <m/>
    <m/>
    <s v="INFASCO"/>
    <m/>
    <n v="97.85"/>
  </r>
  <r>
    <x v="12"/>
    <x v="10"/>
    <x v="95"/>
    <n v="27"/>
    <n v="100"/>
    <n v="2700"/>
    <m/>
    <m/>
    <m/>
    <m/>
    <m/>
    <m/>
    <m/>
    <m/>
    <m/>
    <m/>
    <m/>
    <m/>
    <m/>
    <m/>
    <m/>
    <m/>
    <s v="INFASCO"/>
    <m/>
    <n v="123.6"/>
  </r>
  <r>
    <x v="12"/>
    <x v="10"/>
    <x v="95"/>
    <n v="24"/>
    <n v="100"/>
    <n v="2400"/>
    <m/>
    <m/>
    <m/>
    <m/>
    <m/>
    <m/>
    <m/>
    <m/>
    <m/>
    <m/>
    <m/>
    <m/>
    <m/>
    <m/>
    <m/>
    <m/>
    <s v="INFASCO"/>
    <m/>
    <n v="123.6"/>
  </r>
  <r>
    <x v="12"/>
    <x v="8"/>
    <x v="14"/>
    <n v="1"/>
    <m/>
    <n v="0"/>
    <m/>
    <m/>
    <m/>
    <m/>
    <m/>
    <m/>
    <m/>
    <m/>
    <m/>
    <m/>
    <m/>
    <m/>
    <m/>
    <m/>
    <m/>
    <m/>
    <s v="INFASCO"/>
    <m/>
    <n v="69"/>
  </r>
  <r>
    <x v="12"/>
    <x v="8"/>
    <x v="14"/>
    <n v="1"/>
    <m/>
    <n v="0"/>
    <m/>
    <m/>
    <m/>
    <m/>
    <m/>
    <m/>
    <m/>
    <m/>
    <m/>
    <m/>
    <m/>
    <m/>
    <m/>
    <m/>
    <m/>
    <m/>
    <s v="INFASCO"/>
    <m/>
    <n v="69"/>
  </r>
  <r>
    <x v="12"/>
    <x v="8"/>
    <x v="14"/>
    <n v="1"/>
    <m/>
    <n v="0"/>
    <m/>
    <m/>
    <m/>
    <m/>
    <m/>
    <m/>
    <m/>
    <m/>
    <m/>
    <m/>
    <m/>
    <m/>
    <m/>
    <m/>
    <m/>
    <m/>
    <s v="INFASCO"/>
    <m/>
    <n v="69"/>
  </r>
  <r>
    <x v="12"/>
    <x v="10"/>
    <x v="45"/>
    <n v="1"/>
    <m/>
    <n v="0"/>
    <m/>
    <m/>
    <m/>
    <m/>
    <m/>
    <m/>
    <m/>
    <m/>
    <m/>
    <m/>
    <m/>
    <m/>
    <m/>
    <m/>
    <m/>
    <m/>
    <s v="INFASCO"/>
    <m/>
    <n v="69"/>
  </r>
  <r>
    <x v="13"/>
    <x v="15"/>
    <x v="96"/>
    <n v="32"/>
    <n v="3500"/>
    <n v="112000"/>
    <m/>
    <m/>
    <m/>
    <m/>
    <m/>
    <m/>
    <m/>
    <m/>
    <m/>
    <m/>
    <m/>
    <m/>
    <m/>
    <m/>
    <m/>
    <m/>
    <s v="INFASCO"/>
    <m/>
    <n v="97.85"/>
  </r>
  <r>
    <x v="13"/>
    <x v="5"/>
    <x v="0"/>
    <n v="36"/>
    <n v="2500"/>
    <n v="90000"/>
    <m/>
    <m/>
    <m/>
    <m/>
    <m/>
    <m/>
    <m/>
    <m/>
    <m/>
    <m/>
    <m/>
    <m/>
    <m/>
    <m/>
    <m/>
    <m/>
    <s v="INFASCO"/>
    <m/>
    <n v="97.85"/>
  </r>
  <r>
    <x v="13"/>
    <x v="10"/>
    <x v="106"/>
    <n v="35"/>
    <n v="2450"/>
    <n v="85750"/>
    <m/>
    <m/>
    <m/>
    <m/>
    <m/>
    <m/>
    <m/>
    <m/>
    <m/>
    <m/>
    <m/>
    <m/>
    <m/>
    <m/>
    <m/>
    <m/>
    <s v="INFASCO"/>
    <m/>
    <n v="97.85"/>
  </r>
  <r>
    <x v="13"/>
    <x v="4"/>
    <x v="98"/>
    <n v="36"/>
    <n v="2000"/>
    <n v="72000"/>
    <m/>
    <m/>
    <m/>
    <m/>
    <m/>
    <m/>
    <m/>
    <m/>
    <m/>
    <m/>
    <m/>
    <m/>
    <m/>
    <m/>
    <m/>
    <m/>
    <s v="INFASCO"/>
    <m/>
    <n v="97.85"/>
  </r>
  <r>
    <x v="13"/>
    <x v="11"/>
    <x v="69"/>
    <n v="36"/>
    <n v="1900"/>
    <n v="68400"/>
    <m/>
    <m/>
    <m/>
    <m/>
    <m/>
    <m/>
    <m/>
    <m/>
    <m/>
    <m/>
    <m/>
    <m/>
    <m/>
    <m/>
    <m/>
    <m/>
    <s v="INFASCO"/>
    <m/>
    <n v="97.85"/>
  </r>
  <r>
    <x v="13"/>
    <x v="11"/>
    <x v="69"/>
    <n v="36"/>
    <n v="1900"/>
    <n v="68400"/>
    <m/>
    <m/>
    <m/>
    <m/>
    <m/>
    <m/>
    <m/>
    <m/>
    <m/>
    <m/>
    <m/>
    <m/>
    <m/>
    <m/>
    <m/>
    <m/>
    <s v="INFASCO"/>
    <m/>
    <n v="97.85"/>
  </r>
  <r>
    <x v="13"/>
    <x v="10"/>
    <x v="99"/>
    <n v="1"/>
    <n v="66305"/>
    <n v="66305"/>
    <m/>
    <m/>
    <m/>
    <m/>
    <m/>
    <m/>
    <m/>
    <m/>
    <m/>
    <m/>
    <m/>
    <m/>
    <m/>
    <m/>
    <m/>
    <m/>
    <s v="INFASCO"/>
    <m/>
    <n v="118.45"/>
  </r>
  <r>
    <x v="13"/>
    <x v="2"/>
    <x v="71"/>
    <n v="36"/>
    <n v="1500"/>
    <n v="54000"/>
    <m/>
    <m/>
    <m/>
    <m/>
    <m/>
    <m/>
    <m/>
    <m/>
    <m/>
    <m/>
    <m/>
    <m/>
    <m/>
    <m/>
    <m/>
    <m/>
    <s v="INFASCO"/>
    <m/>
    <n v="97.85"/>
  </r>
  <r>
    <x v="13"/>
    <x v="6"/>
    <x v="5"/>
    <n v="36"/>
    <n v="1000"/>
    <n v="36000"/>
    <m/>
    <m/>
    <m/>
    <m/>
    <m/>
    <m/>
    <m/>
    <m/>
    <m/>
    <m/>
    <m/>
    <m/>
    <m/>
    <m/>
    <m/>
    <m/>
    <s v="INFASCO"/>
    <m/>
    <n v="97.85"/>
  </r>
  <r>
    <x v="13"/>
    <x v="6"/>
    <x v="5"/>
    <n v="36"/>
    <n v="1000"/>
    <n v="36000"/>
    <m/>
    <m/>
    <m/>
    <m/>
    <m/>
    <m/>
    <m/>
    <m/>
    <m/>
    <m/>
    <m/>
    <m/>
    <m/>
    <m/>
    <m/>
    <m/>
    <s v="INFASCO"/>
    <m/>
    <n v="97.85"/>
  </r>
  <r>
    <x v="13"/>
    <x v="6"/>
    <x v="5"/>
    <n v="36"/>
    <n v="1000"/>
    <n v="36000"/>
    <m/>
    <m/>
    <m/>
    <m/>
    <m/>
    <m/>
    <m/>
    <m/>
    <m/>
    <m/>
    <m/>
    <m/>
    <m/>
    <m/>
    <m/>
    <m/>
    <s v="INFASCO"/>
    <m/>
    <n v="97.85"/>
  </r>
  <r>
    <x v="13"/>
    <x v="1"/>
    <x v="5"/>
    <n v="36"/>
    <n v="1000"/>
    <n v="36000"/>
    <m/>
    <m/>
    <m/>
    <m/>
    <m/>
    <m/>
    <m/>
    <m/>
    <m/>
    <m/>
    <m/>
    <m/>
    <m/>
    <m/>
    <m/>
    <m/>
    <s v="INFASCO"/>
    <m/>
    <n v="97.85"/>
  </r>
  <r>
    <x v="13"/>
    <x v="12"/>
    <x v="89"/>
    <n v="30"/>
    <n v="1200"/>
    <n v="36000"/>
    <m/>
    <m/>
    <m/>
    <m/>
    <m/>
    <m/>
    <m/>
    <m/>
    <m/>
    <m/>
    <m/>
    <m/>
    <m/>
    <m/>
    <m/>
    <m/>
    <s v="INFASCO"/>
    <m/>
    <n v="97.85"/>
  </r>
  <r>
    <x v="13"/>
    <x v="9"/>
    <x v="5"/>
    <n v="36"/>
    <n v="1000"/>
    <n v="36000"/>
    <m/>
    <m/>
    <m/>
    <m/>
    <m/>
    <m/>
    <m/>
    <m/>
    <m/>
    <m/>
    <m/>
    <m/>
    <m/>
    <m/>
    <m/>
    <m/>
    <s v="INFASCO"/>
    <m/>
    <n v="97.85"/>
  </r>
  <r>
    <x v="13"/>
    <x v="2"/>
    <x v="71"/>
    <n v="19"/>
    <n v="1500"/>
    <n v="28500"/>
    <m/>
    <m/>
    <m/>
    <m/>
    <m/>
    <m/>
    <m/>
    <m/>
    <m/>
    <m/>
    <m/>
    <m/>
    <m/>
    <m/>
    <m/>
    <m/>
    <s v="INFASCO"/>
    <m/>
    <n v="97.85"/>
  </r>
  <r>
    <x v="13"/>
    <x v="16"/>
    <x v="7"/>
    <n v="36"/>
    <n v="700"/>
    <n v="25200"/>
    <m/>
    <m/>
    <m/>
    <m/>
    <m/>
    <m/>
    <m/>
    <m/>
    <m/>
    <m/>
    <m/>
    <m/>
    <m/>
    <m/>
    <m/>
    <m/>
    <s v="INFASCO"/>
    <m/>
    <n v="97.85"/>
  </r>
  <r>
    <x v="13"/>
    <x v="7"/>
    <x v="7"/>
    <n v="36"/>
    <n v="700"/>
    <n v="25200"/>
    <m/>
    <m/>
    <m/>
    <m/>
    <m/>
    <m/>
    <m/>
    <m/>
    <m/>
    <m/>
    <m/>
    <m/>
    <m/>
    <m/>
    <m/>
    <m/>
    <s v="INFASCO"/>
    <m/>
    <n v="97.85"/>
  </r>
  <r>
    <x v="13"/>
    <x v="3"/>
    <x v="7"/>
    <n v="36"/>
    <n v="700"/>
    <n v="25200"/>
    <m/>
    <m/>
    <m/>
    <m/>
    <m/>
    <m/>
    <m/>
    <m/>
    <m/>
    <m/>
    <m/>
    <m/>
    <m/>
    <m/>
    <m/>
    <m/>
    <s v="INFASCO"/>
    <m/>
    <n v="97.85"/>
  </r>
  <r>
    <x v="13"/>
    <x v="13"/>
    <x v="7"/>
    <n v="36"/>
    <n v="700"/>
    <n v="25200"/>
    <m/>
    <m/>
    <m/>
    <m/>
    <m/>
    <m/>
    <m/>
    <m/>
    <m/>
    <m/>
    <m/>
    <m/>
    <m/>
    <m/>
    <m/>
    <m/>
    <s v="INFASCO"/>
    <m/>
    <n v="97.85"/>
  </r>
  <r>
    <x v="13"/>
    <x v="14"/>
    <x v="7"/>
    <n v="36"/>
    <n v="700"/>
    <n v="25200"/>
    <m/>
    <m/>
    <m/>
    <m/>
    <m/>
    <m/>
    <m/>
    <m/>
    <m/>
    <m/>
    <m/>
    <m/>
    <m/>
    <m/>
    <m/>
    <m/>
    <s v="INFASCO"/>
    <m/>
    <n v="97.85"/>
  </r>
  <r>
    <x v="13"/>
    <x v="20"/>
    <x v="7"/>
    <n v="36"/>
    <n v="700"/>
    <n v="25200"/>
    <m/>
    <m/>
    <m/>
    <m/>
    <m/>
    <m/>
    <m/>
    <m/>
    <m/>
    <m/>
    <m/>
    <m/>
    <m/>
    <m/>
    <m/>
    <m/>
    <s v="INFASCO"/>
    <m/>
    <n v="97.85"/>
  </r>
  <r>
    <x v="13"/>
    <x v="3"/>
    <x v="7"/>
    <n v="31"/>
    <n v="700"/>
    <n v="21700"/>
    <m/>
    <m/>
    <m/>
    <m/>
    <m/>
    <m/>
    <m/>
    <m/>
    <m/>
    <m/>
    <m/>
    <m/>
    <m/>
    <m/>
    <m/>
    <m/>
    <s v="INFASCO"/>
    <m/>
    <n v="97.85"/>
  </r>
  <r>
    <x v="13"/>
    <x v="7"/>
    <x v="7"/>
    <n v="25"/>
    <n v="700"/>
    <n v="17500"/>
    <m/>
    <m/>
    <m/>
    <m/>
    <m/>
    <m/>
    <m/>
    <m/>
    <m/>
    <m/>
    <m/>
    <m/>
    <m/>
    <m/>
    <m/>
    <m/>
    <s v="INFASCO"/>
    <m/>
    <n v="97.85"/>
  </r>
  <r>
    <x v="13"/>
    <x v="4"/>
    <x v="10"/>
    <n v="36"/>
    <n v="450"/>
    <n v="16200"/>
    <m/>
    <m/>
    <m/>
    <m/>
    <m/>
    <m/>
    <m/>
    <m/>
    <m/>
    <m/>
    <m/>
    <m/>
    <m/>
    <m/>
    <m/>
    <m/>
    <s v="INFASCO"/>
    <m/>
    <n v="97.85"/>
  </r>
  <r>
    <x v="13"/>
    <x v="4"/>
    <x v="10"/>
    <n v="36"/>
    <n v="450"/>
    <n v="16200"/>
    <m/>
    <m/>
    <m/>
    <m/>
    <m/>
    <m/>
    <m/>
    <m/>
    <m/>
    <m/>
    <m/>
    <m/>
    <m/>
    <m/>
    <m/>
    <m/>
    <s v="INFASCO"/>
    <m/>
    <n v="97.85"/>
  </r>
  <r>
    <x v="13"/>
    <x v="4"/>
    <x v="10"/>
    <n v="36"/>
    <n v="450"/>
    <n v="16200"/>
    <m/>
    <m/>
    <m/>
    <m/>
    <m/>
    <m/>
    <m/>
    <m/>
    <m/>
    <m/>
    <m/>
    <m/>
    <m/>
    <m/>
    <m/>
    <m/>
    <s v="INFASCO"/>
    <m/>
    <n v="97.85"/>
  </r>
  <r>
    <x v="13"/>
    <x v="4"/>
    <x v="10"/>
    <n v="36"/>
    <n v="450"/>
    <n v="16200"/>
    <m/>
    <m/>
    <m/>
    <m/>
    <m/>
    <m/>
    <m/>
    <m/>
    <m/>
    <m/>
    <m/>
    <m/>
    <m/>
    <m/>
    <m/>
    <m/>
    <s v="INFASCO"/>
    <m/>
    <n v="97.85"/>
  </r>
  <r>
    <x v="13"/>
    <x v="8"/>
    <x v="10"/>
    <n v="36"/>
    <n v="450"/>
    <n v="16200"/>
    <m/>
    <m/>
    <m/>
    <m/>
    <m/>
    <m/>
    <m/>
    <m/>
    <m/>
    <m/>
    <m/>
    <m/>
    <m/>
    <m/>
    <m/>
    <m/>
    <s v="INFASCO"/>
    <m/>
    <n v="97.85"/>
  </r>
  <r>
    <x v="13"/>
    <x v="8"/>
    <x v="10"/>
    <n v="36"/>
    <n v="450"/>
    <n v="16200"/>
    <m/>
    <m/>
    <m/>
    <m/>
    <m/>
    <m/>
    <m/>
    <m/>
    <m/>
    <m/>
    <m/>
    <m/>
    <m/>
    <m/>
    <m/>
    <m/>
    <s v="INFASCO"/>
    <m/>
    <n v="97.85"/>
  </r>
  <r>
    <x v="13"/>
    <x v="10"/>
    <x v="10"/>
    <n v="36"/>
    <n v="450"/>
    <n v="16200"/>
    <m/>
    <m/>
    <m/>
    <m/>
    <m/>
    <m/>
    <m/>
    <m/>
    <m/>
    <m/>
    <m/>
    <m/>
    <m/>
    <m/>
    <m/>
    <m/>
    <s v="INFASCO"/>
    <m/>
    <n v="97.85"/>
  </r>
  <r>
    <x v="13"/>
    <x v="10"/>
    <x v="10"/>
    <n v="36"/>
    <n v="450"/>
    <n v="16200"/>
    <m/>
    <m/>
    <m/>
    <m/>
    <m/>
    <m/>
    <m/>
    <m/>
    <m/>
    <m/>
    <m/>
    <m/>
    <m/>
    <m/>
    <m/>
    <m/>
    <s v="INFASCO"/>
    <m/>
    <n v="97.85"/>
  </r>
  <r>
    <x v="13"/>
    <x v="10"/>
    <x v="10"/>
    <n v="36"/>
    <n v="450"/>
    <n v="16200"/>
    <m/>
    <m/>
    <m/>
    <m/>
    <m/>
    <m/>
    <m/>
    <m/>
    <m/>
    <m/>
    <m/>
    <m/>
    <m/>
    <m/>
    <m/>
    <m/>
    <s v="INFASCO"/>
    <m/>
    <n v="97.85"/>
  </r>
  <r>
    <x v="13"/>
    <x v="10"/>
    <x v="32"/>
    <n v="36"/>
    <n v="220"/>
    <n v="7920"/>
    <m/>
    <m/>
    <m/>
    <m/>
    <m/>
    <m/>
    <m/>
    <m/>
    <m/>
    <m/>
    <m/>
    <m/>
    <m/>
    <m/>
    <m/>
    <m/>
    <s v="INFASCO"/>
    <m/>
    <n v="97.85"/>
  </r>
  <r>
    <x v="13"/>
    <x v="8"/>
    <x v="32"/>
    <n v="30"/>
    <n v="220"/>
    <n v="6600"/>
    <m/>
    <m/>
    <m/>
    <m/>
    <m/>
    <m/>
    <m/>
    <m/>
    <m/>
    <m/>
    <m/>
    <m/>
    <m/>
    <m/>
    <m/>
    <m/>
    <s v="INFASCO"/>
    <m/>
    <n v="97.85"/>
  </r>
  <r>
    <x v="13"/>
    <x v="10"/>
    <x v="32"/>
    <n v="30"/>
    <n v="220"/>
    <n v="6600"/>
    <m/>
    <m/>
    <m/>
    <m/>
    <m/>
    <m/>
    <m/>
    <m/>
    <m/>
    <m/>
    <m/>
    <m/>
    <m/>
    <m/>
    <m/>
    <m/>
    <s v="INFASCO"/>
    <m/>
    <n v="97.85"/>
  </r>
  <r>
    <x v="13"/>
    <x v="8"/>
    <x v="105"/>
    <n v="36"/>
    <n v="150"/>
    <n v="5400"/>
    <m/>
    <m/>
    <m/>
    <m/>
    <m/>
    <m/>
    <m/>
    <m/>
    <m/>
    <m/>
    <m/>
    <m/>
    <m/>
    <m/>
    <m/>
    <m/>
    <s v="INFASCO"/>
    <m/>
    <n v="97.85"/>
  </r>
  <r>
    <x v="13"/>
    <x v="8"/>
    <x v="105"/>
    <n v="36"/>
    <n v="150"/>
    <n v="5400"/>
    <m/>
    <m/>
    <m/>
    <m/>
    <m/>
    <m/>
    <m/>
    <m/>
    <m/>
    <m/>
    <m/>
    <m/>
    <m/>
    <m/>
    <m/>
    <m/>
    <s v="INFASCO"/>
    <m/>
    <n v="97.85"/>
  </r>
  <r>
    <x v="13"/>
    <x v="8"/>
    <x v="105"/>
    <n v="36"/>
    <n v="150"/>
    <n v="5400"/>
    <m/>
    <m/>
    <m/>
    <m/>
    <m/>
    <m/>
    <m/>
    <m/>
    <m/>
    <m/>
    <m/>
    <m/>
    <m/>
    <m/>
    <m/>
    <m/>
    <s v="INFASCO"/>
    <m/>
    <n v="97.85"/>
  </r>
  <r>
    <x v="13"/>
    <x v="8"/>
    <x v="105"/>
    <n v="32"/>
    <n v="150"/>
    <n v="4800"/>
    <m/>
    <m/>
    <m/>
    <m/>
    <m/>
    <m/>
    <m/>
    <m/>
    <m/>
    <m/>
    <m/>
    <m/>
    <m/>
    <m/>
    <m/>
    <m/>
    <s v="INFASCO"/>
    <m/>
    <n v="97.85"/>
  </r>
  <r>
    <x v="13"/>
    <x v="8"/>
    <x v="105"/>
    <n v="27"/>
    <n v="150"/>
    <n v="4050"/>
    <m/>
    <m/>
    <m/>
    <m/>
    <m/>
    <m/>
    <m/>
    <m/>
    <m/>
    <m/>
    <m/>
    <m/>
    <m/>
    <m/>
    <m/>
    <m/>
    <s v="INFASCO"/>
    <m/>
    <n v="97.85"/>
  </r>
  <r>
    <x v="13"/>
    <x v="10"/>
    <x v="95"/>
    <n v="30"/>
    <n v="100"/>
    <n v="3000"/>
    <m/>
    <m/>
    <m/>
    <m/>
    <m/>
    <m/>
    <m/>
    <m/>
    <m/>
    <m/>
    <m/>
    <m/>
    <m/>
    <m/>
    <m/>
    <m/>
    <s v="INFASCO"/>
    <m/>
    <n v="123.6"/>
  </r>
  <r>
    <x v="13"/>
    <x v="8"/>
    <x v="32"/>
    <n v="9"/>
    <n v="220"/>
    <n v="1980"/>
    <m/>
    <m/>
    <m/>
    <m/>
    <m/>
    <m/>
    <m/>
    <m/>
    <m/>
    <m/>
    <m/>
    <m/>
    <m/>
    <m/>
    <m/>
    <m/>
    <s v="INFASCO"/>
    <m/>
    <n v="97.85"/>
  </r>
  <r>
    <x v="14"/>
    <x v="10"/>
    <x v="107"/>
    <n v="30"/>
    <n v="4500"/>
    <n v="135000"/>
    <n v="175"/>
    <s v="Yes"/>
    <m/>
    <s v="Yes"/>
    <m/>
    <s v="Yes"/>
    <m/>
    <s v="Yes"/>
    <m/>
    <s v="N/A"/>
    <m/>
    <s v="Yes"/>
    <m/>
    <s v="Yes"/>
    <m/>
    <s v="New"/>
    <s v="INFASCO"/>
    <n v="95"/>
    <n v="97.85"/>
  </r>
  <r>
    <x v="14"/>
    <x v="2"/>
    <x v="108"/>
    <n v="36"/>
    <n v="3500"/>
    <n v="126000"/>
    <m/>
    <m/>
    <m/>
    <m/>
    <m/>
    <m/>
    <m/>
    <m/>
    <m/>
    <m/>
    <m/>
    <m/>
    <m/>
    <m/>
    <m/>
    <m/>
    <s v="INFASCO"/>
    <m/>
    <n v="97.85"/>
  </r>
  <r>
    <x v="14"/>
    <x v="0"/>
    <x v="0"/>
    <n v="36"/>
    <n v="2500"/>
    <n v="90000"/>
    <m/>
    <m/>
    <m/>
    <m/>
    <m/>
    <m/>
    <m/>
    <m/>
    <m/>
    <m/>
    <m/>
    <m/>
    <m/>
    <m/>
    <m/>
    <m/>
    <s v="INFASCO"/>
    <m/>
    <n v="97.85"/>
  </r>
  <r>
    <x v="14"/>
    <x v="15"/>
    <x v="96"/>
    <n v="25"/>
    <n v="3500"/>
    <n v="87500"/>
    <m/>
    <m/>
    <m/>
    <m/>
    <m/>
    <m/>
    <m/>
    <m/>
    <m/>
    <m/>
    <m/>
    <m/>
    <m/>
    <m/>
    <m/>
    <m/>
    <s v="INFASCO"/>
    <m/>
    <n v="97.85"/>
  </r>
  <r>
    <x v="14"/>
    <x v="8"/>
    <x v="107"/>
    <n v="19"/>
    <n v="4500"/>
    <n v="85500"/>
    <m/>
    <m/>
    <m/>
    <m/>
    <m/>
    <m/>
    <m/>
    <m/>
    <m/>
    <m/>
    <m/>
    <m/>
    <m/>
    <m/>
    <m/>
    <m/>
    <s v="INFASCO"/>
    <m/>
    <n v="97.85"/>
  </r>
  <r>
    <x v="14"/>
    <x v="5"/>
    <x v="0"/>
    <n v="33"/>
    <n v="2500"/>
    <n v="82500"/>
    <m/>
    <m/>
    <m/>
    <m/>
    <m/>
    <m/>
    <m/>
    <m/>
    <m/>
    <m/>
    <m/>
    <m/>
    <m/>
    <m/>
    <m/>
    <m/>
    <s v="INFASCO"/>
    <m/>
    <n v="97.85"/>
  </r>
  <r>
    <x v="14"/>
    <x v="5"/>
    <x v="0"/>
    <n v="30"/>
    <n v="2500"/>
    <n v="75000"/>
    <m/>
    <m/>
    <m/>
    <m/>
    <m/>
    <m/>
    <m/>
    <m/>
    <m/>
    <m/>
    <m/>
    <m/>
    <m/>
    <m/>
    <m/>
    <m/>
    <s v="INFASCO"/>
    <m/>
    <n v="97.85"/>
  </r>
  <r>
    <x v="14"/>
    <x v="11"/>
    <x v="69"/>
    <n v="36"/>
    <n v="1900"/>
    <n v="68400"/>
    <m/>
    <m/>
    <m/>
    <m/>
    <m/>
    <m/>
    <m/>
    <m/>
    <m/>
    <m/>
    <m/>
    <m/>
    <m/>
    <m/>
    <m/>
    <m/>
    <s v="INFASCO"/>
    <m/>
    <n v="97.85"/>
  </r>
  <r>
    <x v="14"/>
    <x v="11"/>
    <x v="69"/>
    <n v="31"/>
    <n v="1900"/>
    <n v="58900"/>
    <m/>
    <m/>
    <m/>
    <m/>
    <m/>
    <m/>
    <m/>
    <m/>
    <m/>
    <m/>
    <m/>
    <m/>
    <m/>
    <m/>
    <m/>
    <m/>
    <s v="INFASCO"/>
    <m/>
    <n v="97.85"/>
  </r>
  <r>
    <x v="14"/>
    <x v="2"/>
    <x v="71"/>
    <n v="36"/>
    <n v="1500"/>
    <n v="54000"/>
    <m/>
    <m/>
    <m/>
    <m/>
    <m/>
    <m/>
    <m/>
    <m/>
    <m/>
    <m/>
    <m/>
    <m/>
    <m/>
    <m/>
    <m/>
    <m/>
    <s v="INFASCO"/>
    <m/>
    <n v="97.85"/>
  </r>
  <r>
    <x v="14"/>
    <x v="1"/>
    <x v="5"/>
    <n v="45"/>
    <n v="1000"/>
    <n v="45000"/>
    <m/>
    <m/>
    <m/>
    <m/>
    <m/>
    <m/>
    <m/>
    <m/>
    <m/>
    <m/>
    <m/>
    <m/>
    <m/>
    <m/>
    <m/>
    <m/>
    <s v="INFASCO"/>
    <m/>
    <n v="97.85"/>
  </r>
  <r>
    <x v="14"/>
    <x v="12"/>
    <x v="89"/>
    <n v="36"/>
    <n v="1200"/>
    <n v="43200"/>
    <m/>
    <m/>
    <m/>
    <m/>
    <m/>
    <m/>
    <m/>
    <m/>
    <m/>
    <m/>
    <m/>
    <m/>
    <m/>
    <m/>
    <m/>
    <m/>
    <s v="INFASCO"/>
    <m/>
    <n v="97.85"/>
  </r>
  <r>
    <x v="14"/>
    <x v="4"/>
    <x v="18"/>
    <n v="36"/>
    <n v="1200"/>
    <n v="43200"/>
    <m/>
    <m/>
    <m/>
    <m/>
    <m/>
    <m/>
    <m/>
    <m/>
    <m/>
    <m/>
    <m/>
    <m/>
    <m/>
    <m/>
    <m/>
    <m/>
    <s v="INFASCO"/>
    <m/>
    <n v="97.85"/>
  </r>
  <r>
    <x v="14"/>
    <x v="6"/>
    <x v="5"/>
    <n v="36"/>
    <n v="1000"/>
    <n v="36000"/>
    <m/>
    <m/>
    <m/>
    <m/>
    <m/>
    <m/>
    <m/>
    <m/>
    <m/>
    <m/>
    <m/>
    <m/>
    <m/>
    <m/>
    <m/>
    <m/>
    <s v="INFASCO"/>
    <m/>
    <n v="97.85"/>
  </r>
  <r>
    <x v="14"/>
    <x v="6"/>
    <x v="5"/>
    <n v="36"/>
    <n v="1000"/>
    <n v="36000"/>
    <m/>
    <m/>
    <m/>
    <m/>
    <m/>
    <m/>
    <m/>
    <m/>
    <m/>
    <m/>
    <m/>
    <m/>
    <m/>
    <m/>
    <m/>
    <m/>
    <s v="INFASCO"/>
    <m/>
    <n v="97.85"/>
  </r>
  <r>
    <x v="14"/>
    <x v="6"/>
    <x v="109"/>
    <n v="36"/>
    <n v="1000"/>
    <n v="36000"/>
    <m/>
    <m/>
    <m/>
    <m/>
    <m/>
    <m/>
    <m/>
    <m/>
    <m/>
    <m/>
    <m/>
    <m/>
    <m/>
    <m/>
    <m/>
    <m/>
    <s v="INFASCO"/>
    <m/>
    <n v="97.85"/>
  </r>
  <r>
    <x v="14"/>
    <x v="9"/>
    <x v="5"/>
    <n v="36"/>
    <n v="1000"/>
    <n v="36000"/>
    <m/>
    <m/>
    <m/>
    <m/>
    <m/>
    <m/>
    <m/>
    <m/>
    <m/>
    <m/>
    <m/>
    <m/>
    <m/>
    <m/>
    <m/>
    <m/>
    <s v="INFASCO"/>
    <m/>
    <n v="97.85"/>
  </r>
  <r>
    <x v="14"/>
    <x v="9"/>
    <x v="5"/>
    <n v="36"/>
    <n v="1000"/>
    <n v="36000"/>
    <m/>
    <m/>
    <m/>
    <m/>
    <m/>
    <m/>
    <m/>
    <m/>
    <m/>
    <m/>
    <m/>
    <m/>
    <m/>
    <m/>
    <m/>
    <m/>
    <s v="INFASCO"/>
    <m/>
    <n v="97.85"/>
  </r>
  <r>
    <x v="14"/>
    <x v="10"/>
    <x v="110"/>
    <n v="22"/>
    <n v="1600"/>
    <n v="35200"/>
    <m/>
    <m/>
    <m/>
    <m/>
    <m/>
    <m/>
    <m/>
    <m/>
    <m/>
    <m/>
    <m/>
    <m/>
    <m/>
    <m/>
    <m/>
    <m/>
    <s v="INFASCO"/>
    <m/>
    <n v="97.85"/>
  </r>
  <r>
    <x v="14"/>
    <x v="12"/>
    <x v="89"/>
    <n v="28"/>
    <n v="1200"/>
    <n v="33600"/>
    <m/>
    <m/>
    <m/>
    <m/>
    <m/>
    <m/>
    <m/>
    <m/>
    <m/>
    <m/>
    <m/>
    <m/>
    <m/>
    <m/>
    <m/>
    <m/>
    <s v="INFASCO"/>
    <m/>
    <n v="97.85"/>
  </r>
  <r>
    <x v="14"/>
    <x v="7"/>
    <x v="7"/>
    <n v="36"/>
    <n v="700"/>
    <n v="25200"/>
    <m/>
    <m/>
    <m/>
    <m/>
    <m/>
    <m/>
    <m/>
    <m/>
    <m/>
    <m/>
    <m/>
    <m/>
    <m/>
    <m/>
    <m/>
    <m/>
    <s v="INFASCO"/>
    <m/>
    <n v="97.85"/>
  </r>
  <r>
    <x v="14"/>
    <x v="7"/>
    <x v="7"/>
    <n v="36"/>
    <n v="700"/>
    <n v="25200"/>
    <m/>
    <m/>
    <m/>
    <m/>
    <m/>
    <m/>
    <m/>
    <m/>
    <m/>
    <m/>
    <m/>
    <m/>
    <m/>
    <m/>
    <m/>
    <m/>
    <s v="INFASCO"/>
    <m/>
    <n v="97.85"/>
  </r>
  <r>
    <x v="14"/>
    <x v="16"/>
    <x v="7"/>
    <n v="36"/>
    <n v="700"/>
    <n v="25200"/>
    <m/>
    <m/>
    <m/>
    <m/>
    <m/>
    <m/>
    <m/>
    <m/>
    <m/>
    <m/>
    <m/>
    <m/>
    <m/>
    <m/>
    <m/>
    <m/>
    <s v="INFASCO"/>
    <m/>
    <n v="97.85"/>
  </r>
  <r>
    <x v="14"/>
    <x v="16"/>
    <x v="10"/>
    <n v="36"/>
    <n v="700"/>
    <n v="25200"/>
    <m/>
    <m/>
    <m/>
    <m/>
    <m/>
    <m/>
    <m/>
    <m/>
    <m/>
    <m/>
    <m/>
    <m/>
    <m/>
    <m/>
    <m/>
    <m/>
    <s v="INFASCO"/>
    <m/>
    <n v="97.85"/>
  </r>
  <r>
    <x v="14"/>
    <x v="14"/>
    <x v="7"/>
    <n v="36"/>
    <n v="700"/>
    <n v="25200"/>
    <m/>
    <m/>
    <m/>
    <m/>
    <m/>
    <m/>
    <m/>
    <m/>
    <m/>
    <m/>
    <m/>
    <m/>
    <m/>
    <m/>
    <m/>
    <m/>
    <s v="INFASCO"/>
    <m/>
    <n v="97.85"/>
  </r>
  <r>
    <x v="14"/>
    <x v="13"/>
    <x v="7"/>
    <n v="36"/>
    <n v="700"/>
    <n v="25200"/>
    <m/>
    <m/>
    <m/>
    <m/>
    <m/>
    <m/>
    <m/>
    <m/>
    <m/>
    <m/>
    <m/>
    <m/>
    <m/>
    <m/>
    <m/>
    <m/>
    <s v="INFASCO"/>
    <m/>
    <n v="97.85"/>
  </r>
  <r>
    <x v="14"/>
    <x v="3"/>
    <x v="7"/>
    <n v="30"/>
    <n v="700"/>
    <n v="21000"/>
    <m/>
    <m/>
    <m/>
    <m/>
    <m/>
    <m/>
    <m/>
    <m/>
    <m/>
    <m/>
    <m/>
    <m/>
    <m/>
    <m/>
    <m/>
    <m/>
    <s v="INFASCO"/>
    <m/>
    <n v="97.85"/>
  </r>
  <r>
    <x v="14"/>
    <x v="17"/>
    <x v="10"/>
    <n v="42"/>
    <n v="450"/>
    <n v="18900"/>
    <s v="156+162"/>
    <s v="Yes"/>
    <m/>
    <s v="Yes"/>
    <m/>
    <s v="Yes"/>
    <m/>
    <s v="Yes"/>
    <m/>
    <s v="N/A"/>
    <m/>
    <s v="Yes"/>
    <m/>
    <s v="Yes"/>
    <m/>
    <s v="New"/>
    <s v="INFASCO"/>
    <n v="95"/>
    <n v="97.85"/>
  </r>
  <r>
    <x v="14"/>
    <x v="14"/>
    <x v="7"/>
    <n v="26"/>
    <n v="700"/>
    <n v="18200"/>
    <m/>
    <m/>
    <m/>
    <m/>
    <m/>
    <m/>
    <m/>
    <m/>
    <m/>
    <m/>
    <m/>
    <m/>
    <m/>
    <m/>
    <m/>
    <m/>
    <s v="INFASCO"/>
    <m/>
    <n v="97.85"/>
  </r>
  <r>
    <x v="14"/>
    <x v="17"/>
    <x v="10"/>
    <n v="40"/>
    <n v="450"/>
    <n v="18000"/>
    <s v="156+162"/>
    <s v="Yes"/>
    <m/>
    <s v="Yes"/>
    <m/>
    <s v="Yes"/>
    <m/>
    <s v="Yes"/>
    <m/>
    <s v="N/A"/>
    <m/>
    <s v="Yes"/>
    <m/>
    <s v="Yes"/>
    <m/>
    <s v="New"/>
    <s v="INFASCO"/>
    <n v="95"/>
    <n v="97.85"/>
  </r>
  <r>
    <x v="14"/>
    <x v="10"/>
    <x v="10"/>
    <n v="36"/>
    <n v="450"/>
    <n v="16200"/>
    <n v="175"/>
    <s v="Yes"/>
    <m/>
    <s v="Yes"/>
    <m/>
    <s v="Yes"/>
    <m/>
    <s v="Yes"/>
    <m/>
    <s v="N/A"/>
    <m/>
    <s v="Yes"/>
    <m/>
    <s v="Yes"/>
    <m/>
    <s v="New"/>
    <s v="INFASCO"/>
    <n v="95"/>
    <n v="97.85"/>
  </r>
  <r>
    <x v="14"/>
    <x v="10"/>
    <x v="10"/>
    <n v="36"/>
    <n v="450"/>
    <n v="16200"/>
    <n v="175"/>
    <s v="Yes"/>
    <m/>
    <s v="Yes"/>
    <m/>
    <s v="Yes"/>
    <m/>
    <s v="Yes"/>
    <m/>
    <s v="N/A"/>
    <m/>
    <s v="Yes"/>
    <m/>
    <s v="Yes"/>
    <m/>
    <s v="New"/>
    <s v="INFASCO"/>
    <n v="95"/>
    <n v="97.85"/>
  </r>
  <r>
    <x v="14"/>
    <x v="10"/>
    <x v="10"/>
    <n v="36"/>
    <n v="450"/>
    <n v="16200"/>
    <n v="175"/>
    <s v="Yes"/>
    <m/>
    <s v="Yes"/>
    <m/>
    <s v="Yes"/>
    <m/>
    <s v="Yes"/>
    <m/>
    <s v="N/A"/>
    <m/>
    <s v="Yes"/>
    <m/>
    <s v="Yes"/>
    <m/>
    <s v="New"/>
    <s v="INFASCO"/>
    <s v="N/A"/>
    <n v="97.85"/>
  </r>
  <r>
    <x v="14"/>
    <x v="17"/>
    <x v="42"/>
    <n v="36"/>
    <n v="450"/>
    <n v="16200"/>
    <m/>
    <m/>
    <m/>
    <m/>
    <m/>
    <m/>
    <m/>
    <m/>
    <m/>
    <m/>
    <m/>
    <m/>
    <m/>
    <m/>
    <m/>
    <m/>
    <s v="INFASCO"/>
    <m/>
    <n v="97.85"/>
  </r>
  <r>
    <x v="14"/>
    <x v="4"/>
    <x v="10"/>
    <n v="36"/>
    <n v="450"/>
    <n v="16200"/>
    <m/>
    <m/>
    <m/>
    <m/>
    <m/>
    <m/>
    <m/>
    <m/>
    <m/>
    <m/>
    <m/>
    <m/>
    <m/>
    <m/>
    <m/>
    <m/>
    <s v="INFASCO"/>
    <m/>
    <n v="97.85"/>
  </r>
  <r>
    <x v="14"/>
    <x v="4"/>
    <x v="10"/>
    <n v="36"/>
    <n v="450"/>
    <n v="16200"/>
    <m/>
    <m/>
    <m/>
    <m/>
    <m/>
    <m/>
    <m/>
    <m/>
    <m/>
    <m/>
    <m/>
    <m/>
    <m/>
    <m/>
    <m/>
    <m/>
    <s v="INFASCO"/>
    <m/>
    <n v="97.85"/>
  </r>
  <r>
    <x v="14"/>
    <x v="8"/>
    <x v="10"/>
    <n v="36"/>
    <n v="450"/>
    <n v="16200"/>
    <m/>
    <m/>
    <m/>
    <m/>
    <m/>
    <m/>
    <m/>
    <m/>
    <m/>
    <m/>
    <m/>
    <m/>
    <m/>
    <m/>
    <m/>
    <m/>
    <s v="INFASCO"/>
    <m/>
    <n v="97.85"/>
  </r>
  <r>
    <x v="14"/>
    <x v="8"/>
    <x v="10"/>
    <n v="36"/>
    <n v="450"/>
    <n v="16200"/>
    <m/>
    <m/>
    <m/>
    <m/>
    <m/>
    <m/>
    <m/>
    <m/>
    <m/>
    <m/>
    <m/>
    <m/>
    <m/>
    <m/>
    <m/>
    <m/>
    <s v="INFASCO"/>
    <m/>
    <n v="97.85"/>
  </r>
  <r>
    <x v="14"/>
    <x v="8"/>
    <x v="85"/>
    <n v="32"/>
    <n v="485"/>
    <n v="15520"/>
    <m/>
    <m/>
    <m/>
    <m/>
    <m/>
    <m/>
    <m/>
    <m/>
    <m/>
    <m/>
    <m/>
    <m/>
    <m/>
    <m/>
    <m/>
    <m/>
    <s v="INFASCO"/>
    <m/>
    <n v="97.85"/>
  </r>
  <r>
    <x v="14"/>
    <x v="17"/>
    <x v="42"/>
    <n v="31"/>
    <n v="450"/>
    <n v="13950"/>
    <m/>
    <m/>
    <m/>
    <m/>
    <m/>
    <m/>
    <m/>
    <m/>
    <m/>
    <m/>
    <m/>
    <m/>
    <m/>
    <m/>
    <m/>
    <m/>
    <s v="INFASCO"/>
    <m/>
    <n v="97.85"/>
  </r>
  <r>
    <x v="14"/>
    <x v="3"/>
    <x v="55"/>
    <n v="34"/>
    <n v="400"/>
    <n v="13600"/>
    <m/>
    <m/>
    <m/>
    <m/>
    <m/>
    <m/>
    <m/>
    <m/>
    <m/>
    <m/>
    <m/>
    <m/>
    <m/>
    <m/>
    <m/>
    <m/>
    <s v="INFASCO"/>
    <m/>
    <n v="97.85"/>
  </r>
  <r>
    <x v="14"/>
    <x v="8"/>
    <x v="10"/>
    <n v="29"/>
    <n v="450"/>
    <n v="13050"/>
    <m/>
    <m/>
    <m/>
    <m/>
    <m/>
    <m/>
    <m/>
    <m/>
    <m/>
    <m/>
    <m/>
    <m/>
    <m/>
    <m/>
    <m/>
    <m/>
    <s v="INFASCO"/>
    <m/>
    <n v="97.85"/>
  </r>
  <r>
    <x v="14"/>
    <x v="10"/>
    <x v="111"/>
    <n v="70"/>
    <n v="160"/>
    <n v="11200"/>
    <m/>
    <m/>
    <m/>
    <m/>
    <m/>
    <m/>
    <m/>
    <m/>
    <m/>
    <m/>
    <m/>
    <m/>
    <m/>
    <m/>
    <m/>
    <m/>
    <s v="INFASCO"/>
    <m/>
    <n v="110"/>
  </r>
  <r>
    <x v="14"/>
    <x v="10"/>
    <x v="111"/>
    <n v="42"/>
    <n v="160"/>
    <n v="6720"/>
    <m/>
    <m/>
    <m/>
    <m/>
    <m/>
    <m/>
    <m/>
    <m/>
    <m/>
    <m/>
    <m/>
    <m/>
    <m/>
    <m/>
    <m/>
    <m/>
    <s v="INFASCO"/>
    <m/>
    <n v="110"/>
  </r>
  <r>
    <x v="14"/>
    <x v="17"/>
    <x v="112"/>
    <n v="36"/>
    <n v="170"/>
    <n v="6120"/>
    <m/>
    <m/>
    <m/>
    <m/>
    <m/>
    <m/>
    <m/>
    <m/>
    <m/>
    <m/>
    <m/>
    <m/>
    <m/>
    <m/>
    <m/>
    <m/>
    <s v="INFASCO"/>
    <m/>
    <n v="123.6"/>
  </r>
  <r>
    <x v="14"/>
    <x v="17"/>
    <x v="112"/>
    <n v="30"/>
    <n v="170"/>
    <n v="5100"/>
    <s v="156+162"/>
    <s v="Yes"/>
    <m/>
    <s v="Yes"/>
    <m/>
    <s v="Yes"/>
    <m/>
    <s v="Yes"/>
    <m/>
    <s v="N/A"/>
    <m/>
    <s v="Yes"/>
    <m/>
    <s v="Yes"/>
    <m/>
    <s v="New"/>
    <s v="INFASCO"/>
    <n v="120"/>
    <n v="123.6"/>
  </r>
  <r>
    <x v="14"/>
    <x v="17"/>
    <x v="112"/>
    <n v="30"/>
    <n v="170"/>
    <n v="5100"/>
    <m/>
    <m/>
    <m/>
    <m/>
    <m/>
    <m/>
    <m/>
    <m/>
    <m/>
    <m/>
    <m/>
    <m/>
    <m/>
    <m/>
    <m/>
    <m/>
    <s v="INFASCO"/>
    <m/>
    <n v="123.6"/>
  </r>
  <r>
    <x v="14"/>
    <x v="8"/>
    <x v="112"/>
    <n v="29"/>
    <n v="170"/>
    <n v="4930"/>
    <m/>
    <m/>
    <m/>
    <m/>
    <m/>
    <m/>
    <m/>
    <m/>
    <m/>
    <m/>
    <m/>
    <m/>
    <m/>
    <m/>
    <m/>
    <m/>
    <s v="INFASCO"/>
    <m/>
    <n v="123.6"/>
  </r>
  <r>
    <x v="14"/>
    <x v="10"/>
    <x v="112"/>
    <n v="26"/>
    <n v="170"/>
    <n v="4420"/>
    <n v="175"/>
    <s v="Yes"/>
    <m/>
    <s v="Yes"/>
    <m/>
    <s v="Yes"/>
    <m/>
    <s v="Yes"/>
    <m/>
    <s v="N/A"/>
    <m/>
    <s v="Yes"/>
    <m/>
    <s v="Yes"/>
    <m/>
    <s v="New"/>
    <s v="INFASCO"/>
    <n v="120"/>
    <n v="123.6"/>
  </r>
  <r>
    <x v="14"/>
    <x v="8"/>
    <x v="33"/>
    <n v="30"/>
    <n v="145"/>
    <n v="4350"/>
    <m/>
    <m/>
    <m/>
    <m/>
    <m/>
    <m/>
    <m/>
    <m/>
    <m/>
    <m/>
    <m/>
    <m/>
    <m/>
    <m/>
    <m/>
    <m/>
    <s v="INFASCO"/>
    <m/>
    <n v="123.6"/>
  </r>
  <r>
    <x v="14"/>
    <x v="8"/>
    <x v="33"/>
    <n v="27"/>
    <n v="145"/>
    <n v="3915"/>
    <m/>
    <m/>
    <m/>
    <m/>
    <m/>
    <m/>
    <m/>
    <m/>
    <m/>
    <m/>
    <m/>
    <m/>
    <m/>
    <m/>
    <m/>
    <m/>
    <s v="INFASCO"/>
    <m/>
    <n v="123.6"/>
  </r>
  <r>
    <x v="14"/>
    <x v="17"/>
    <x v="112"/>
    <n v="22"/>
    <n v="170"/>
    <n v="3740"/>
    <m/>
    <m/>
    <m/>
    <m/>
    <m/>
    <m/>
    <m/>
    <m/>
    <m/>
    <m/>
    <m/>
    <m/>
    <m/>
    <m/>
    <m/>
    <m/>
    <s v="INFASCO"/>
    <m/>
    <n v="123.6"/>
  </r>
  <r>
    <x v="14"/>
    <x v="17"/>
    <x v="112"/>
    <n v="14"/>
    <n v="170"/>
    <n v="2380"/>
    <m/>
    <m/>
    <m/>
    <m/>
    <m/>
    <m/>
    <m/>
    <m/>
    <m/>
    <m/>
    <m/>
    <m/>
    <m/>
    <m/>
    <m/>
    <m/>
    <s v="INFASCO"/>
    <m/>
    <n v="123.6"/>
  </r>
  <r>
    <x v="14"/>
    <x v="17"/>
    <x v="10"/>
    <n v="38"/>
    <n v="450"/>
    <n v="478"/>
    <s v="156+162"/>
    <s v="Yes"/>
    <m/>
    <s v="Yes"/>
    <m/>
    <s v="Yes"/>
    <m/>
    <s v="Yes"/>
    <m/>
    <s v="N/A"/>
    <m/>
    <s v="Yes"/>
    <m/>
    <s v="Yes"/>
    <m/>
    <s v="New"/>
    <s v="INFASCO"/>
    <n v="95"/>
    <n v="97.85"/>
  </r>
  <r>
    <x v="15"/>
    <x v="8"/>
    <x v="113"/>
    <n v="27"/>
    <n v="1600"/>
    <n v="43200"/>
    <s v="011+171"/>
    <s v="Yes"/>
    <m/>
    <s v="Yes"/>
    <m/>
    <s v="Yes"/>
    <m/>
    <s v="Yes"/>
    <m/>
    <s v="N/A"/>
    <m/>
    <s v="Yes"/>
    <m/>
    <s v="Yes"/>
    <m/>
    <s v="New"/>
    <s v="INFASCO"/>
    <n v="95"/>
    <n v="97.85"/>
  </r>
  <r>
    <x v="16"/>
    <x v="18"/>
    <x v="114"/>
    <n v="14"/>
    <n v="600"/>
    <n v="8400"/>
    <s v="327+173"/>
    <s v="Yes"/>
    <m/>
    <s v="Yes"/>
    <m/>
    <s v="Yes"/>
    <m/>
    <s v="Yes"/>
    <m/>
    <s v="N/A"/>
    <m/>
    <s v="Yes"/>
    <m/>
    <s v="Yes"/>
    <m/>
    <s v="New"/>
    <s v="INFASCO"/>
    <n v="95"/>
    <n v="97.85"/>
  </r>
  <r>
    <x v="17"/>
    <x v="10"/>
    <x v="113"/>
    <n v="33"/>
    <n v="1600"/>
    <n v="52800"/>
    <s v="157+172"/>
    <s v="Yes"/>
    <m/>
    <s v="Yes"/>
    <m/>
    <s v="Yes"/>
    <m/>
    <s v="Yes"/>
    <m/>
    <s v="N/A"/>
    <m/>
    <s v="Yes"/>
    <m/>
    <s v="Yes"/>
    <m/>
    <s v="New"/>
    <s v="INFASCO"/>
    <n v="95"/>
    <n v="97.85"/>
  </r>
  <r>
    <x v="18"/>
    <x v="8"/>
    <x v="113"/>
    <n v="36"/>
    <n v="1600"/>
    <n v="57600"/>
    <s v="011+171"/>
    <s v="Yes"/>
    <m/>
    <s v="Yes"/>
    <m/>
    <s v="Yes"/>
    <m/>
    <s v="Yes"/>
    <m/>
    <s v="N/A"/>
    <m/>
    <s v="Yes"/>
    <m/>
    <s v="Yes"/>
    <m/>
    <s v="New"/>
    <s v="INFASCO"/>
    <n v="95"/>
    <n v="97.85"/>
  </r>
  <r>
    <x v="19"/>
    <x v="10"/>
    <x v="54"/>
    <n v="36"/>
    <n v="700"/>
    <n v="25200"/>
    <s v="157+172"/>
    <s v="Yes"/>
    <m/>
    <s v="Yes"/>
    <m/>
    <s v="Yes"/>
    <m/>
    <s v="Yes"/>
    <m/>
    <s v="N/A"/>
    <m/>
    <s v="Yes"/>
    <m/>
    <s v="Yes"/>
    <m/>
    <s v="New"/>
    <s v="INFASCO"/>
    <n v="95"/>
    <n v="97.85"/>
  </r>
  <r>
    <x v="20"/>
    <x v="18"/>
    <x v="99"/>
    <n v="1"/>
    <n v="65554"/>
    <n v="65554"/>
    <n v="173"/>
    <s v="Yes"/>
    <m/>
    <s v="Yes"/>
    <m/>
    <s v="Yes"/>
    <m/>
    <s v="Yes"/>
    <m/>
    <s v="N/A"/>
    <m/>
    <s v="Yes"/>
    <m/>
    <s v="Yes"/>
    <m/>
    <s v="New"/>
    <s v="INFASCO"/>
    <s v="N/A"/>
    <n v="118.45"/>
  </r>
  <r>
    <x v="21"/>
    <x v="8"/>
    <x v="115"/>
    <n v="36"/>
    <n v="1000"/>
    <n v="36000"/>
    <s v="011+171"/>
    <s v="Yes"/>
    <m/>
    <s v="Yes"/>
    <m/>
    <s v="Yes"/>
    <m/>
    <s v="Yes"/>
    <m/>
    <s v="N/A"/>
    <m/>
    <s v="Yes"/>
    <m/>
    <s v="Yes"/>
    <m/>
    <s v="New"/>
    <s v="INFASCO"/>
    <n v="95"/>
    <n v="97.85"/>
  </r>
  <r>
    <x v="22"/>
    <x v="10"/>
    <x v="54"/>
    <n v="34"/>
    <n v="700"/>
    <n v="23800"/>
    <s v="157+172"/>
    <s v="Yes"/>
    <m/>
    <s v="Yes"/>
    <m/>
    <s v="Yes"/>
    <m/>
    <s v="Yes"/>
    <m/>
    <s v="N/A"/>
    <m/>
    <s v="Yes"/>
    <m/>
    <s v="Yes"/>
    <m/>
    <s v="New"/>
    <s v="INFASCO"/>
    <n v="95"/>
    <n v="97.85"/>
  </r>
  <r>
    <x v="23"/>
    <x v="10"/>
    <x v="116"/>
    <n v="24"/>
    <n v="300"/>
    <n v="7200"/>
    <s v="157+172"/>
    <s v="Yes"/>
    <m/>
    <s v="Yes"/>
    <m/>
    <s v="Yes"/>
    <m/>
    <s v="Yes"/>
    <m/>
    <s v="N/A"/>
    <m/>
    <s v="Yes"/>
    <m/>
    <s v="Yes"/>
    <m/>
    <s v="New"/>
    <s v="INFASCO"/>
    <n v="95"/>
    <n v="97.85"/>
  </r>
  <r>
    <x v="24"/>
    <x v="8"/>
    <x v="115"/>
    <n v="36"/>
    <n v="1000"/>
    <n v="36000"/>
    <s v="011+171"/>
    <s v="Yes"/>
    <m/>
    <s v="Yes"/>
    <m/>
    <s v="Yes"/>
    <m/>
    <s v="Yes"/>
    <m/>
    <s v="N/A"/>
    <m/>
    <s v="Yes"/>
    <m/>
    <s v="Yes"/>
    <m/>
    <s v="New"/>
    <s v="INFASCO"/>
    <n v="95"/>
    <n v="97.85"/>
  </r>
  <r>
    <x v="25"/>
    <x v="18"/>
    <x v="117"/>
    <n v="30"/>
    <n v="1200"/>
    <n v="36000"/>
    <n v="173"/>
    <s v="Yes"/>
    <m/>
    <s v="Yes"/>
    <m/>
    <s v="Yes"/>
    <m/>
    <s v="Yes"/>
    <m/>
    <s v="N/A"/>
    <m/>
    <s v="Yes"/>
    <m/>
    <s v="Yes"/>
    <m/>
    <s v="New"/>
    <s v="INFASCO"/>
    <n v="95"/>
    <n v="97.85"/>
  </r>
  <r>
    <x v="26"/>
    <x v="17"/>
    <x v="118"/>
    <n v="24"/>
    <n v="300"/>
    <n v="7200"/>
    <s v="175+177"/>
    <s v="Yes"/>
    <m/>
    <s v="Yes"/>
    <m/>
    <s v="Yes"/>
    <m/>
    <s v="Yes"/>
    <m/>
    <s v="N/A"/>
    <m/>
    <s v="Yes"/>
    <m/>
    <s v="Yes"/>
    <m/>
    <s v="New"/>
    <s v="INFASCO"/>
    <n v="95"/>
    <n v="97.85"/>
  </r>
  <r>
    <x v="27"/>
    <x v="17"/>
    <x v="118"/>
    <n v="34"/>
    <n v="300"/>
    <n v="10200"/>
    <s v="175+177"/>
    <s v="Yes"/>
    <m/>
    <s v="Yes"/>
    <m/>
    <s v="Yes"/>
    <m/>
    <s v="Yes"/>
    <m/>
    <s v="N/A"/>
    <m/>
    <s v="Yes"/>
    <m/>
    <s v="Yes"/>
    <m/>
    <s v="New"/>
    <s v="INFASCO"/>
    <n v="95"/>
    <n v="97.85"/>
  </r>
  <r>
    <x v="28"/>
    <x v="17"/>
    <x v="118"/>
    <n v="36"/>
    <n v="300"/>
    <n v="10800"/>
    <s v="175+177"/>
    <s v="Yes"/>
    <m/>
    <s v="Yes"/>
    <m/>
    <s v="Yes"/>
    <m/>
    <s v="Yes"/>
    <m/>
    <s v="N/A"/>
    <m/>
    <s v="Yes"/>
    <m/>
    <s v="Yes"/>
    <m/>
    <s v="New"/>
    <s v="INFASCO"/>
    <n v="95"/>
    <n v="97.85"/>
  </r>
  <r>
    <x v="29"/>
    <x v="18"/>
    <x v="118"/>
    <n v="36"/>
    <n v="300"/>
    <n v="10800"/>
    <s v="175+177"/>
    <s v="Yes"/>
    <m/>
    <s v="Yes"/>
    <m/>
    <s v="Yes"/>
    <m/>
    <s v="Yes"/>
    <m/>
    <s v="N/A"/>
    <m/>
    <s v="Yes"/>
    <m/>
    <s v="Yes"/>
    <m/>
    <s v="New"/>
    <s v="INFASCO"/>
    <n v="95"/>
    <n v="97.85"/>
  </r>
  <r>
    <x v="30"/>
    <x v="10"/>
    <x v="116"/>
    <n v="34"/>
    <n v="300"/>
    <n v="10200"/>
    <s v="157+172"/>
    <s v="Yes"/>
    <m/>
    <s v="Yes"/>
    <m/>
    <s v="Yes"/>
    <m/>
    <s v="Yes"/>
    <m/>
    <s v="N/A"/>
    <m/>
    <s v="Yes"/>
    <m/>
    <s v="Yes"/>
    <m/>
    <s v="New"/>
    <s v="INFASCO"/>
    <n v="95"/>
    <n v="97.85"/>
  </r>
  <r>
    <x v="31"/>
    <x v="8"/>
    <x v="39"/>
    <n v="36"/>
    <n v="1200"/>
    <n v="43200"/>
    <s v="11+171"/>
    <s v="Yes"/>
    <m/>
    <s v="Yes"/>
    <m/>
    <s v="Yes"/>
    <m/>
    <s v="Yes"/>
    <m/>
    <s v="N/A"/>
    <m/>
    <s v="Yes"/>
    <m/>
    <s v="Yes"/>
    <m/>
    <s v="New"/>
    <s v="INFASCO"/>
    <n v="120"/>
    <n v="123.6"/>
  </r>
  <r>
    <x v="32"/>
    <x v="18"/>
    <x v="73"/>
    <n v="33"/>
    <n v="350"/>
    <n v="11550"/>
    <s v="175+177"/>
    <s v="Yes"/>
    <m/>
    <s v="Yes"/>
    <m/>
    <s v="Yes"/>
    <m/>
    <s v="Yes"/>
    <m/>
    <s v="N/A"/>
    <m/>
    <s v="Yes"/>
    <m/>
    <s v="Yes"/>
    <m/>
    <s v="New"/>
    <s v="INFASCO"/>
    <n v="95"/>
    <n v="97.85"/>
  </r>
  <r>
    <x v="33"/>
    <x v="18"/>
    <x v="73"/>
    <n v="36"/>
    <n v="350"/>
    <n v="12600"/>
    <n v="173"/>
    <s v="Yes"/>
    <m/>
    <s v="Yes"/>
    <m/>
    <s v="Yes"/>
    <m/>
    <s v="Yes"/>
    <m/>
    <s v="N/A"/>
    <m/>
    <s v="Yes"/>
    <m/>
    <s v="Yes"/>
    <m/>
    <s v="New"/>
    <s v="INFASCO"/>
    <s v="N/A"/>
    <n v="97.85"/>
  </r>
  <r>
    <x v="34"/>
    <x v="8"/>
    <x v="73"/>
    <n v="36"/>
    <n v="350"/>
    <n v="12600"/>
    <s v="011+171"/>
    <s v="Yes"/>
    <m/>
    <s v="Yes"/>
    <m/>
    <s v="Yes"/>
    <m/>
    <s v="Yes"/>
    <m/>
    <s v="N/A"/>
    <m/>
    <s v="Yes"/>
    <m/>
    <s v="Yes"/>
    <m/>
    <s v="New"/>
    <s v="INFASCO"/>
    <n v="95"/>
    <n v="97.85"/>
  </r>
  <r>
    <x v="35"/>
    <x v="10"/>
    <x v="116"/>
    <n v="32"/>
    <n v="300"/>
    <n v="9600"/>
    <s v="157+172"/>
    <s v="Yes"/>
    <m/>
    <s v="Yes"/>
    <m/>
    <s v="Yes"/>
    <m/>
    <s v="Yes"/>
    <m/>
    <s v="N/A"/>
    <m/>
    <s v="Yes"/>
    <m/>
    <s v="Yes"/>
    <m/>
    <s v="New"/>
    <s v="INFASCO"/>
    <n v="95"/>
    <n v="97.85"/>
  </r>
  <r>
    <x v="36"/>
    <x v="18"/>
    <x v="73"/>
    <n v="36"/>
    <n v="350"/>
    <n v="12600"/>
    <s v="177+175"/>
    <s v="Yes"/>
    <m/>
    <s v="Yes"/>
    <m/>
    <s v="Yes"/>
    <m/>
    <s v="Yes"/>
    <m/>
    <s v="N/A"/>
    <m/>
    <s v="Yes"/>
    <m/>
    <s v="Yes"/>
    <m/>
    <s v="New"/>
    <s v="INFASCO"/>
    <n v="95"/>
    <n v="97.85"/>
  </r>
  <r>
    <x v="37"/>
    <x v="8"/>
    <x v="73"/>
    <n v="36"/>
    <n v="350"/>
    <n v="12600"/>
    <s v="011+171"/>
    <s v="Yes"/>
    <m/>
    <s v="Yes"/>
    <m/>
    <s v="Yes"/>
    <m/>
    <s v="Yes"/>
    <m/>
    <s v="N/A"/>
    <m/>
    <s v="Yes"/>
    <m/>
    <s v="Yes"/>
    <m/>
    <s v="New"/>
    <s v="INFASCO"/>
    <n v="95"/>
    <n v="97.85"/>
  </r>
  <r>
    <x v="38"/>
    <x v="18"/>
    <x v="73"/>
    <n v="36"/>
    <n v="350"/>
    <n v="12600"/>
    <n v="173"/>
    <s v="Yes"/>
    <m/>
    <s v="Yes"/>
    <m/>
    <s v="Yes"/>
    <m/>
    <s v="Yes"/>
    <m/>
    <s v="N/A"/>
    <m/>
    <s v="Yes"/>
    <m/>
    <s v="Yes"/>
    <m/>
    <s v="New"/>
    <s v="INFASCO"/>
    <n v="95"/>
    <n v="97.85"/>
  </r>
  <r>
    <x v="39"/>
    <x v="10"/>
    <x v="73"/>
    <n v="41"/>
    <n v="350"/>
    <n v="14350"/>
    <s v="157+172"/>
    <s v="Yes"/>
    <m/>
    <s v="Yes"/>
    <m/>
    <s v="Yes"/>
    <m/>
    <s v="Yes"/>
    <m/>
    <s v="N/A"/>
    <m/>
    <s v="Yes"/>
    <m/>
    <s v="Yes"/>
    <m/>
    <s v="New"/>
    <s v="INFASCO"/>
    <n v="95"/>
    <n v="97.85"/>
  </r>
  <r>
    <x v="40"/>
    <x v="8"/>
    <x v="73"/>
    <n v="16"/>
    <n v="350"/>
    <n v="5600"/>
    <s v="011+171"/>
    <s v="Yes"/>
    <m/>
    <s v="Yes"/>
    <m/>
    <s v="Yes"/>
    <m/>
    <s v="Yes"/>
    <m/>
    <s v="N/A"/>
    <m/>
    <s v="Yes"/>
    <m/>
    <s v="Yes"/>
    <m/>
    <s v="New"/>
    <s v="INFASCO"/>
    <n v="95"/>
    <n v="97.85"/>
  </r>
  <r>
    <x v="41"/>
    <x v="18"/>
    <x v="73"/>
    <n v="36"/>
    <n v="350"/>
    <n v="12600"/>
    <n v="173"/>
    <s v="Yes"/>
    <m/>
    <s v="Yes"/>
    <m/>
    <s v="Yes"/>
    <m/>
    <s v="Yes"/>
    <m/>
    <s v="N/A"/>
    <m/>
    <s v="Yes"/>
    <m/>
    <s v="Yes"/>
    <m/>
    <s v="New"/>
    <s v="INFASCO"/>
    <n v="95"/>
    <n v="97.85"/>
  </r>
  <r>
    <x v="42"/>
    <x v="17"/>
    <x v="73"/>
    <n v="28"/>
    <n v="350"/>
    <n v="9800"/>
    <s v="175+177"/>
    <s v="Yes"/>
    <m/>
    <s v="Yes"/>
    <m/>
    <s v="Yes"/>
    <m/>
    <s v="Yes"/>
    <m/>
    <s v="N/A"/>
    <m/>
    <s v="Yes"/>
    <m/>
    <s v="Yes"/>
    <m/>
    <s v="New"/>
    <s v="INFASCO"/>
    <n v="95"/>
    <n v="97.85"/>
  </r>
  <r>
    <x v="43"/>
    <x v="17"/>
    <x v="73"/>
    <n v="31"/>
    <n v="350"/>
    <n v="10850"/>
    <s v="175+177"/>
    <s v="Yes"/>
    <m/>
    <s v="Yes"/>
    <m/>
    <s v="Yes"/>
    <m/>
    <s v="Yes"/>
    <m/>
    <s v="N/A"/>
    <m/>
    <s v="Yes"/>
    <m/>
    <s v="Yes"/>
    <m/>
    <s v="New"/>
    <s v="INFASCO"/>
    <n v="95"/>
    <n v="97.85"/>
  </r>
  <r>
    <x v="44"/>
    <x v="17"/>
    <x v="73"/>
    <n v="30"/>
    <n v="350"/>
    <n v="10500"/>
    <s v="177+175"/>
    <s v="Yes"/>
    <m/>
    <s v="Yes"/>
    <m/>
    <s v="Yes"/>
    <m/>
    <s v="Yes"/>
    <m/>
    <s v="N/A"/>
    <m/>
    <s v="Yes"/>
    <m/>
    <s v="Yes"/>
    <m/>
    <s v="New"/>
    <s v="INFASCO"/>
    <n v="95"/>
    <n v="97.85"/>
  </r>
  <r>
    <x v="45"/>
    <x v="15"/>
    <x v="96"/>
    <n v="36"/>
    <n v="3500"/>
    <n v="126000"/>
    <m/>
    <m/>
    <m/>
    <m/>
    <m/>
    <m/>
    <m/>
    <m/>
    <m/>
    <m/>
    <m/>
    <m/>
    <m/>
    <m/>
    <m/>
    <m/>
    <s v="INFASCO"/>
    <m/>
    <n v="97.85"/>
  </r>
  <r>
    <x v="45"/>
    <x v="2"/>
    <x v="108"/>
    <n v="36"/>
    <n v="3500"/>
    <n v="126000"/>
    <m/>
    <m/>
    <m/>
    <m/>
    <m/>
    <m/>
    <m/>
    <m/>
    <m/>
    <m/>
    <m/>
    <m/>
    <m/>
    <m/>
    <m/>
    <m/>
    <s v="INFASCO"/>
    <m/>
    <n v="97.85"/>
  </r>
  <r>
    <x v="45"/>
    <x v="5"/>
    <x v="0"/>
    <n v="36"/>
    <n v="2500"/>
    <n v="90000"/>
    <m/>
    <m/>
    <m/>
    <m/>
    <m/>
    <m/>
    <m/>
    <m/>
    <m/>
    <m/>
    <m/>
    <m/>
    <m/>
    <m/>
    <m/>
    <m/>
    <s v="INFASCO"/>
    <m/>
    <n v="97.85"/>
  </r>
  <r>
    <x v="45"/>
    <x v="6"/>
    <x v="37"/>
    <n v="36"/>
    <n v="2500"/>
    <n v="90000"/>
    <m/>
    <m/>
    <m/>
    <m/>
    <m/>
    <m/>
    <m/>
    <m/>
    <m/>
    <m/>
    <m/>
    <m/>
    <m/>
    <m/>
    <m/>
    <m/>
    <s v="INFASCO"/>
    <m/>
    <n v="97.85"/>
  </r>
  <r>
    <x v="45"/>
    <x v="12"/>
    <x v="37"/>
    <n v="30"/>
    <n v="2500"/>
    <n v="75000"/>
    <m/>
    <m/>
    <m/>
    <m/>
    <m/>
    <m/>
    <m/>
    <m/>
    <m/>
    <m/>
    <m/>
    <m/>
    <m/>
    <m/>
    <m/>
    <m/>
    <s v="INFASCO"/>
    <m/>
    <n v="97.85"/>
  </r>
  <r>
    <x v="45"/>
    <x v="11"/>
    <x v="69"/>
    <n v="36"/>
    <n v="1900"/>
    <n v="68400"/>
    <m/>
    <m/>
    <m/>
    <m/>
    <m/>
    <m/>
    <m/>
    <m/>
    <m/>
    <m/>
    <m/>
    <m/>
    <m/>
    <m/>
    <m/>
    <m/>
    <s v="INFASCO"/>
    <m/>
    <n v="97.85"/>
  </r>
  <r>
    <x v="45"/>
    <x v="11"/>
    <x v="69"/>
    <n v="36"/>
    <n v="1900"/>
    <n v="68400"/>
    <m/>
    <m/>
    <m/>
    <m/>
    <m/>
    <m/>
    <m/>
    <m/>
    <m/>
    <m/>
    <m/>
    <m/>
    <m/>
    <m/>
    <m/>
    <m/>
    <s v="INFASCO"/>
    <m/>
    <n v="97.85"/>
  </r>
  <r>
    <x v="45"/>
    <x v="1"/>
    <x v="119"/>
    <n v="36"/>
    <n v="1200"/>
    <n v="43200"/>
    <m/>
    <m/>
    <m/>
    <m/>
    <m/>
    <m/>
    <m/>
    <m/>
    <m/>
    <m/>
    <m/>
    <m/>
    <m/>
    <m/>
    <m/>
    <m/>
    <s v="INFASCO"/>
    <m/>
    <n v="97.85"/>
  </r>
  <r>
    <x v="45"/>
    <x v="4"/>
    <x v="18"/>
    <n v="36"/>
    <n v="1200"/>
    <n v="43200"/>
    <m/>
    <m/>
    <m/>
    <m/>
    <m/>
    <m/>
    <m/>
    <m/>
    <m/>
    <m/>
    <m/>
    <m/>
    <m/>
    <m/>
    <m/>
    <m/>
    <s v="INFASCO"/>
    <m/>
    <n v="97.85"/>
  </r>
  <r>
    <x v="45"/>
    <x v="6"/>
    <x v="5"/>
    <n v="36"/>
    <n v="1000"/>
    <n v="36000"/>
    <m/>
    <m/>
    <m/>
    <m/>
    <m/>
    <m/>
    <m/>
    <m/>
    <m/>
    <m/>
    <m/>
    <m/>
    <m/>
    <m/>
    <m/>
    <m/>
    <s v="INFASCO"/>
    <m/>
    <n v="97.85"/>
  </r>
  <r>
    <x v="45"/>
    <x v="13"/>
    <x v="87"/>
    <n v="23"/>
    <n v="1250"/>
    <n v="28750"/>
    <m/>
    <m/>
    <m/>
    <m/>
    <m/>
    <m/>
    <m/>
    <m/>
    <m/>
    <m/>
    <m/>
    <m/>
    <m/>
    <m/>
    <m/>
    <m/>
    <s v="INFASCO"/>
    <m/>
    <n v="97.85"/>
  </r>
  <r>
    <x v="45"/>
    <x v="7"/>
    <x v="81"/>
    <n v="36"/>
    <n v="700"/>
    <n v="25200"/>
    <m/>
    <m/>
    <m/>
    <m/>
    <m/>
    <m/>
    <m/>
    <m/>
    <m/>
    <m/>
    <m/>
    <m/>
    <m/>
    <m/>
    <m/>
    <m/>
    <s v="INFASCO"/>
    <m/>
    <n v="97.85"/>
  </r>
  <r>
    <x v="45"/>
    <x v="14"/>
    <x v="90"/>
    <n v="34"/>
    <n v="700"/>
    <n v="23800"/>
    <m/>
    <m/>
    <m/>
    <m/>
    <m/>
    <m/>
    <m/>
    <m/>
    <m/>
    <m/>
    <m/>
    <m/>
    <m/>
    <m/>
    <m/>
    <m/>
    <s v="INFASCO"/>
    <m/>
    <n v="97.85"/>
  </r>
  <r>
    <x v="45"/>
    <x v="9"/>
    <x v="5"/>
    <n v="22"/>
    <n v="1000"/>
    <n v="22000"/>
    <m/>
    <m/>
    <m/>
    <m/>
    <m/>
    <m/>
    <m/>
    <m/>
    <m/>
    <m/>
    <m/>
    <m/>
    <m/>
    <m/>
    <m/>
    <m/>
    <s v="INFASCO"/>
    <m/>
    <n v="97.85"/>
  </r>
  <r>
    <x v="45"/>
    <x v="3"/>
    <x v="55"/>
    <n v="36"/>
    <n v="400"/>
    <n v="14400"/>
    <m/>
    <m/>
    <m/>
    <m/>
    <m/>
    <m/>
    <m/>
    <m/>
    <m/>
    <m/>
    <m/>
    <m/>
    <m/>
    <m/>
    <m/>
    <m/>
    <s v="INFASCO"/>
    <m/>
    <n v="97.85"/>
  </r>
  <r>
    <x v="45"/>
    <x v="3"/>
    <x v="55"/>
    <n v="36"/>
    <n v="400"/>
    <n v="14400"/>
    <m/>
    <m/>
    <m/>
    <m/>
    <m/>
    <m/>
    <m/>
    <m/>
    <m/>
    <m/>
    <m/>
    <m/>
    <m/>
    <m/>
    <m/>
    <m/>
    <s v="INFASCO"/>
    <m/>
    <n v="97.85"/>
  </r>
  <r>
    <x v="45"/>
    <x v="16"/>
    <x v="55"/>
    <n v="36"/>
    <n v="400"/>
    <n v="14400"/>
    <m/>
    <m/>
    <m/>
    <m/>
    <m/>
    <m/>
    <m/>
    <m/>
    <m/>
    <m/>
    <m/>
    <m/>
    <m/>
    <m/>
    <m/>
    <m/>
    <s v="INFASCO"/>
    <m/>
    <n v="97.85"/>
  </r>
  <r>
    <x v="45"/>
    <x v="16"/>
    <x v="55"/>
    <n v="36"/>
    <n v="400"/>
    <n v="14400"/>
    <m/>
    <m/>
    <m/>
    <m/>
    <m/>
    <m/>
    <m/>
    <m/>
    <m/>
    <m/>
    <m/>
    <m/>
    <m/>
    <m/>
    <m/>
    <m/>
    <s v="INFASCO"/>
    <m/>
    <n v="97.85"/>
  </r>
  <r>
    <x v="45"/>
    <x v="17"/>
    <x v="73"/>
    <n v="33"/>
    <n v="350"/>
    <n v="11550"/>
    <m/>
    <m/>
    <m/>
    <m/>
    <m/>
    <m/>
    <m/>
    <m/>
    <m/>
    <m/>
    <m/>
    <m/>
    <m/>
    <m/>
    <m/>
    <m/>
    <s v="INFASCO"/>
    <m/>
    <n v="97.85"/>
  </r>
  <r>
    <x v="45"/>
    <x v="17"/>
    <x v="73"/>
    <n v="23"/>
    <n v="350"/>
    <n v="8050"/>
    <m/>
    <m/>
    <m/>
    <m/>
    <m/>
    <m/>
    <m/>
    <m/>
    <m/>
    <m/>
    <m/>
    <m/>
    <m/>
    <m/>
    <m/>
    <m/>
    <s v="INFASCO"/>
    <m/>
    <n v="97.85"/>
  </r>
  <r>
    <x v="45"/>
    <x v="10"/>
    <x v="32"/>
    <n v="23"/>
    <n v="220"/>
    <n v="5060"/>
    <s v="157+172"/>
    <s v="Yes"/>
    <m/>
    <s v="Yes"/>
    <m/>
    <s v="Yes"/>
    <m/>
    <s v="Yes"/>
    <m/>
    <s v="N/A"/>
    <m/>
    <s v="Yes"/>
    <m/>
    <s v="Yes"/>
    <m/>
    <s v="New"/>
    <s v="INFASCO"/>
    <n v="95"/>
    <n v="97.85"/>
  </r>
  <r>
    <x v="46"/>
    <x v="8"/>
    <x v="32"/>
    <n v="35"/>
    <n v="220"/>
    <n v="7700"/>
    <s v="011+171"/>
    <s v="Yes"/>
    <m/>
    <s v="Yes"/>
    <m/>
    <s v="Yes"/>
    <m/>
    <s v="Yes"/>
    <m/>
    <s v="N/A"/>
    <m/>
    <s v="Yes"/>
    <m/>
    <s v="Yes"/>
    <m/>
    <s v="New"/>
    <s v="INFASCO"/>
    <n v="95"/>
    <n v="97.85"/>
  </r>
  <r>
    <x v="47"/>
    <x v="2"/>
    <x v="108"/>
    <n v="36"/>
    <n v="3500"/>
    <n v="126000"/>
    <m/>
    <m/>
    <m/>
    <m/>
    <m/>
    <m/>
    <m/>
    <m/>
    <m/>
    <m/>
    <m/>
    <m/>
    <m/>
    <m/>
    <m/>
    <m/>
    <s v="INFASCO"/>
    <m/>
    <n v="97.85"/>
  </r>
  <r>
    <x v="47"/>
    <x v="0"/>
    <x v="0"/>
    <n v="36"/>
    <n v="2500"/>
    <n v="90000"/>
    <m/>
    <m/>
    <m/>
    <m/>
    <m/>
    <m/>
    <m/>
    <m/>
    <m/>
    <m/>
    <m/>
    <m/>
    <m/>
    <m/>
    <m/>
    <m/>
    <s v="INFASCO"/>
    <m/>
    <n v="97.85"/>
  </r>
  <r>
    <x v="47"/>
    <x v="6"/>
    <x v="37"/>
    <n v="36"/>
    <n v="2500"/>
    <n v="90000"/>
    <m/>
    <m/>
    <m/>
    <m/>
    <m/>
    <m/>
    <m/>
    <m/>
    <m/>
    <m/>
    <m/>
    <m/>
    <m/>
    <m/>
    <m/>
    <m/>
    <s v="INFASCO"/>
    <m/>
    <n v="97.85"/>
  </r>
  <r>
    <x v="47"/>
    <x v="6"/>
    <x v="37"/>
    <n v="36"/>
    <n v="2500"/>
    <n v="90000"/>
    <m/>
    <m/>
    <m/>
    <m/>
    <m/>
    <m/>
    <m/>
    <m/>
    <m/>
    <m/>
    <m/>
    <m/>
    <m/>
    <m/>
    <m/>
    <m/>
    <s v="INFASCO"/>
    <m/>
    <n v="97.85"/>
  </r>
  <r>
    <x v="47"/>
    <x v="4"/>
    <x v="37"/>
    <n v="36"/>
    <n v="2500"/>
    <n v="90000"/>
    <m/>
    <m/>
    <m/>
    <m/>
    <m/>
    <m/>
    <m/>
    <m/>
    <m/>
    <m/>
    <m/>
    <m/>
    <m/>
    <m/>
    <m/>
    <m/>
    <s v="INFASCO"/>
    <m/>
    <n v="97.85"/>
  </r>
  <r>
    <x v="47"/>
    <x v="5"/>
    <x v="0"/>
    <n v="36"/>
    <n v="2500"/>
    <n v="90000"/>
    <m/>
    <m/>
    <m/>
    <m/>
    <m/>
    <m/>
    <m/>
    <m/>
    <m/>
    <m/>
    <m/>
    <m/>
    <m/>
    <m/>
    <m/>
    <m/>
    <s v="INFASCO"/>
    <m/>
    <n v="97.85"/>
  </r>
  <r>
    <x v="47"/>
    <x v="5"/>
    <x v="0"/>
    <n v="36"/>
    <n v="2500"/>
    <n v="90000"/>
    <m/>
    <m/>
    <m/>
    <m/>
    <m/>
    <m/>
    <m/>
    <m/>
    <m/>
    <m/>
    <m/>
    <m/>
    <m/>
    <m/>
    <m/>
    <m/>
    <s v="INFASCO"/>
    <m/>
    <n v="97.85"/>
  </r>
  <r>
    <x v="47"/>
    <x v="12"/>
    <x v="37"/>
    <n v="30"/>
    <n v="2500"/>
    <n v="75000"/>
    <m/>
    <m/>
    <m/>
    <m/>
    <m/>
    <m/>
    <m/>
    <m/>
    <m/>
    <m/>
    <m/>
    <m/>
    <m/>
    <m/>
    <m/>
    <m/>
    <s v="INFASCO"/>
    <m/>
    <n v="97.85"/>
  </r>
  <r>
    <x v="47"/>
    <x v="1"/>
    <x v="37"/>
    <n v="29"/>
    <n v="2500"/>
    <n v="72500"/>
    <m/>
    <m/>
    <m/>
    <m/>
    <m/>
    <m/>
    <m/>
    <m/>
    <m/>
    <m/>
    <m/>
    <m/>
    <m/>
    <m/>
    <m/>
    <m/>
    <s v="INFASCO"/>
    <m/>
    <n v="97.85"/>
  </r>
  <r>
    <x v="47"/>
    <x v="4"/>
    <x v="98"/>
    <n v="36"/>
    <n v="2000"/>
    <n v="72000"/>
    <m/>
    <m/>
    <m/>
    <m/>
    <m/>
    <m/>
    <m/>
    <m/>
    <m/>
    <m/>
    <m/>
    <m/>
    <m/>
    <m/>
    <m/>
    <m/>
    <s v="INFASCO"/>
    <m/>
    <n v="97.85"/>
  </r>
  <r>
    <x v="47"/>
    <x v="4"/>
    <x v="98"/>
    <n v="36"/>
    <n v="2000"/>
    <n v="72000"/>
    <m/>
    <m/>
    <m/>
    <m/>
    <m/>
    <m/>
    <m/>
    <m/>
    <m/>
    <m/>
    <m/>
    <m/>
    <m/>
    <m/>
    <m/>
    <m/>
    <s v="INFASCO"/>
    <m/>
    <n v="97.85"/>
  </r>
  <r>
    <x v="47"/>
    <x v="11"/>
    <x v="69"/>
    <n v="36"/>
    <n v="1900"/>
    <n v="68400"/>
    <m/>
    <m/>
    <m/>
    <m/>
    <m/>
    <m/>
    <m/>
    <m/>
    <m/>
    <m/>
    <m/>
    <m/>
    <m/>
    <m/>
    <m/>
    <m/>
    <s v="INFASCO"/>
    <m/>
    <n v="97.85"/>
  </r>
  <r>
    <x v="47"/>
    <x v="11"/>
    <x v="69"/>
    <n v="33"/>
    <n v="1900"/>
    <n v="62700"/>
    <m/>
    <m/>
    <m/>
    <m/>
    <m/>
    <m/>
    <m/>
    <m/>
    <m/>
    <m/>
    <m/>
    <m/>
    <m/>
    <m/>
    <m/>
    <m/>
    <s v="INFASCO"/>
    <m/>
    <n v="97.85"/>
  </r>
  <r>
    <x v="47"/>
    <x v="13"/>
    <x v="87"/>
    <n v="36"/>
    <n v="1250"/>
    <n v="45000"/>
    <m/>
    <m/>
    <m/>
    <m/>
    <m/>
    <m/>
    <m/>
    <m/>
    <m/>
    <m/>
    <m/>
    <m/>
    <m/>
    <m/>
    <m/>
    <m/>
    <s v="INFASCO"/>
    <m/>
    <n v="97.85"/>
  </r>
  <r>
    <x v="47"/>
    <x v="17"/>
    <x v="120"/>
    <n v="35"/>
    <n v="1100"/>
    <n v="38500"/>
    <m/>
    <m/>
    <m/>
    <m/>
    <m/>
    <m/>
    <m/>
    <m/>
    <m/>
    <m/>
    <m/>
    <m/>
    <m/>
    <m/>
    <m/>
    <m/>
    <s v="INFASCO"/>
    <m/>
    <n v="97.85"/>
  </r>
  <r>
    <x v="47"/>
    <x v="1"/>
    <x v="119"/>
    <n v="32"/>
    <n v="1200"/>
    <n v="38400"/>
    <m/>
    <m/>
    <m/>
    <m/>
    <m/>
    <m/>
    <m/>
    <m/>
    <m/>
    <m/>
    <m/>
    <m/>
    <m/>
    <m/>
    <m/>
    <m/>
    <s v="INFASCO"/>
    <m/>
    <n v="97.85"/>
  </r>
  <r>
    <x v="47"/>
    <x v="7"/>
    <x v="81"/>
    <n v="36"/>
    <n v="700"/>
    <n v="25200"/>
    <m/>
    <m/>
    <m/>
    <m/>
    <m/>
    <m/>
    <m/>
    <m/>
    <m/>
    <m/>
    <m/>
    <m/>
    <m/>
    <m/>
    <m/>
    <m/>
    <s v="INFASCO"/>
    <m/>
    <n v="97.85"/>
  </r>
  <r>
    <x v="47"/>
    <x v="14"/>
    <x v="90"/>
    <n v="35"/>
    <n v="700"/>
    <n v="24500"/>
    <m/>
    <m/>
    <m/>
    <m/>
    <m/>
    <m/>
    <m/>
    <m/>
    <m/>
    <m/>
    <m/>
    <m/>
    <m/>
    <m/>
    <m/>
    <m/>
    <s v="INFASCO"/>
    <m/>
    <n v="97.85"/>
  </r>
  <r>
    <x v="47"/>
    <x v="16"/>
    <x v="55"/>
    <n v="36"/>
    <n v="400"/>
    <n v="14400"/>
    <m/>
    <m/>
    <m/>
    <m/>
    <m/>
    <m/>
    <m/>
    <m/>
    <m/>
    <m/>
    <m/>
    <m/>
    <m/>
    <m/>
    <m/>
    <m/>
    <s v="INFASCO"/>
    <m/>
    <n v="97.85"/>
  </r>
  <r>
    <x v="47"/>
    <x v="16"/>
    <x v="55"/>
    <n v="36"/>
    <n v="400"/>
    <n v="14400"/>
    <m/>
    <m/>
    <m/>
    <m/>
    <m/>
    <m/>
    <m/>
    <m/>
    <m/>
    <m/>
    <m/>
    <m/>
    <m/>
    <m/>
    <m/>
    <m/>
    <s v="INFASCO"/>
    <m/>
    <n v="97.85"/>
  </r>
  <r>
    <x v="47"/>
    <x v="3"/>
    <x v="55"/>
    <n v="36"/>
    <n v="400"/>
    <n v="14400"/>
    <m/>
    <m/>
    <m/>
    <m/>
    <m/>
    <m/>
    <m/>
    <m/>
    <m/>
    <m/>
    <m/>
    <m/>
    <m/>
    <m/>
    <m/>
    <m/>
    <s v="INFASCO"/>
    <m/>
    <n v="97.85"/>
  </r>
  <r>
    <x v="47"/>
    <x v="17"/>
    <x v="55"/>
    <n v="34"/>
    <n v="400"/>
    <n v="13600"/>
    <m/>
    <m/>
    <m/>
    <m/>
    <m/>
    <m/>
    <m/>
    <m/>
    <m/>
    <m/>
    <m/>
    <m/>
    <m/>
    <m/>
    <m/>
    <m/>
    <s v="INFASCO"/>
    <m/>
    <n v="97.85"/>
  </r>
  <r>
    <x v="47"/>
    <x v="3"/>
    <x v="55"/>
    <n v="32"/>
    <n v="400"/>
    <n v="12800"/>
    <m/>
    <m/>
    <m/>
    <m/>
    <m/>
    <m/>
    <m/>
    <m/>
    <m/>
    <m/>
    <m/>
    <m/>
    <m/>
    <m/>
    <m/>
    <m/>
    <s v="INFASCO"/>
    <m/>
    <n v="97.85"/>
  </r>
  <r>
    <x v="47"/>
    <x v="10"/>
    <x v="11"/>
    <n v="32"/>
    <n v="280"/>
    <n v="8960"/>
    <m/>
    <m/>
    <m/>
    <m/>
    <m/>
    <m/>
    <m/>
    <m/>
    <m/>
    <m/>
    <m/>
    <m/>
    <m/>
    <m/>
    <m/>
    <m/>
    <s v="INFASCO"/>
    <m/>
    <n v="97.85"/>
  </r>
  <r>
    <x v="48"/>
    <x v="17"/>
    <x v="73"/>
    <n v="22"/>
    <n v="350"/>
    <n v="7700"/>
    <s v="175+177"/>
    <s v="Yes"/>
    <m/>
    <s v="Yes"/>
    <m/>
    <s v="Yes"/>
    <m/>
    <s v="Yes"/>
    <m/>
    <s v="N/A"/>
    <m/>
    <s v="Yes"/>
    <m/>
    <s v="Yes"/>
    <m/>
    <s v="New"/>
    <s v="INFASCO"/>
    <n v="95"/>
    <n v="97.85"/>
  </r>
  <r>
    <x v="49"/>
    <x v="10"/>
    <x v="36"/>
    <n v="33"/>
    <n v="4000"/>
    <n v="132000"/>
    <s v="157+172"/>
    <s v="Yes"/>
    <m/>
    <s v="Yes"/>
    <m/>
    <s v="Yes"/>
    <m/>
    <s v="Yes"/>
    <m/>
    <s v="N/A"/>
    <m/>
    <s v="Yes"/>
    <m/>
    <s v="Yes"/>
    <m/>
    <s v="New"/>
    <s v="INFASCO"/>
    <n v="120"/>
    <n v="123.6"/>
  </r>
  <r>
    <x v="50"/>
    <x v="18"/>
    <x v="36"/>
    <n v="36"/>
    <n v="4000"/>
    <n v="144000"/>
    <s v="156+146"/>
    <s v="Yes"/>
    <m/>
    <s v="Yes"/>
    <m/>
    <s v="Yes"/>
    <m/>
    <s v="Yes"/>
    <m/>
    <s v="N/A"/>
    <m/>
    <s v="Yes"/>
    <m/>
    <s v="Yes"/>
    <m/>
    <s v="New"/>
    <s v="INFASCO"/>
    <n v="120"/>
    <n v="123.6"/>
  </r>
  <r>
    <x v="51"/>
    <x v="18"/>
    <x v="36"/>
    <n v="22"/>
    <n v="4000"/>
    <n v="88000"/>
    <s v="156+146"/>
    <s v="Yes"/>
    <m/>
    <s v="Yes"/>
    <m/>
    <s v="Yes"/>
    <m/>
    <s v="Yes"/>
    <m/>
    <s v="N/A"/>
    <m/>
    <s v="Yes"/>
    <m/>
    <s v="Yes"/>
    <m/>
    <s v="New"/>
    <s v="INFASCO"/>
    <n v="120"/>
    <n v="123.6"/>
  </r>
  <r>
    <x v="52"/>
    <x v="10"/>
    <x v="47"/>
    <n v="18"/>
    <n v="4000"/>
    <n v="72000"/>
    <s v="157+172"/>
    <s v="Yes"/>
    <m/>
    <s v="Yes"/>
    <m/>
    <s v="Yes"/>
    <m/>
    <s v="Yes"/>
    <m/>
    <s v="N/A"/>
    <m/>
    <s v="Yes"/>
    <m/>
    <s v="Yes"/>
    <m/>
    <s v="New"/>
    <s v="INFASCO"/>
    <n v="95"/>
    <n v="97.85"/>
  </r>
  <r>
    <x v="53"/>
    <x v="8"/>
    <x v="36"/>
    <n v="29"/>
    <n v="4000"/>
    <n v="116000"/>
    <n v="11"/>
    <s v="Yes"/>
    <m/>
    <s v="Yes"/>
    <m/>
    <s v="Yes"/>
    <m/>
    <s v="Yes"/>
    <m/>
    <s v="N/A"/>
    <m/>
    <s v="Yes"/>
    <m/>
    <s v="Yes"/>
    <m/>
    <s v="New"/>
    <s v="INFASCO"/>
    <n v="120"/>
    <n v="123.6"/>
  </r>
  <r>
    <x v="54"/>
    <x v="18"/>
    <x v="36"/>
    <n v="34"/>
    <n v="4000"/>
    <n v="136000"/>
    <s v="156+146"/>
    <s v="Yes"/>
    <m/>
    <s v="Yes"/>
    <m/>
    <s v="Yes"/>
    <m/>
    <s v="Yes"/>
    <m/>
    <s v="N/A"/>
    <m/>
    <s v="Yes"/>
    <m/>
    <s v="Yes"/>
    <m/>
    <s v="New"/>
    <s v="INFASCO"/>
    <n v="120"/>
    <n v="123.6"/>
  </r>
  <r>
    <x v="55"/>
    <x v="8"/>
    <x v="11"/>
    <n v="36"/>
    <n v="280"/>
    <n v="10080"/>
    <n v="11"/>
    <s v="Yes"/>
    <m/>
    <s v="Yes"/>
    <m/>
    <s v="Yes"/>
    <m/>
    <s v="Yes"/>
    <m/>
    <s v="N/A"/>
    <m/>
    <s v="Yes"/>
    <m/>
    <s v="Yes"/>
    <m/>
    <s v="New"/>
    <s v="INFASCO"/>
    <n v="95"/>
    <n v="97.85"/>
  </r>
  <r>
    <x v="56"/>
    <x v="10"/>
    <x v="99"/>
    <n v="1"/>
    <n v="64740"/>
    <n v="64740"/>
    <s v="157+172"/>
    <s v="Yes"/>
    <m/>
    <s v="Yes"/>
    <m/>
    <s v="Yes"/>
    <m/>
    <s v="Yes"/>
    <m/>
    <s v="N/A"/>
    <m/>
    <s v="Yes"/>
    <m/>
    <s v="Yes"/>
    <m/>
    <s v="New"/>
    <s v="INFASCO"/>
    <s v="N/A"/>
    <n v="118.45"/>
  </r>
  <r>
    <x v="57"/>
    <x v="8"/>
    <x v="19"/>
    <n v="34"/>
    <n v="1200"/>
    <n v="40800"/>
    <n v="11"/>
    <s v="Yes"/>
    <m/>
    <s v="Yes"/>
    <m/>
    <s v="Yes"/>
    <m/>
    <s v="Yes"/>
    <m/>
    <s v="N/A"/>
    <m/>
    <s v="Yes"/>
    <m/>
    <s v="Yes"/>
    <m/>
    <s v="New"/>
    <s v="INFASCO"/>
    <n v="95"/>
    <n v="97.85"/>
  </r>
  <r>
    <x v="58"/>
    <x v="17"/>
    <x v="11"/>
    <n v="36"/>
    <n v="280"/>
    <n v="10080"/>
    <s v="175+177"/>
    <s v="Yes"/>
    <m/>
    <s v="Yes"/>
    <m/>
    <s v="Yes"/>
    <m/>
    <s v="Yes"/>
    <m/>
    <s v="N/A"/>
    <m/>
    <s v="Yes"/>
    <m/>
    <s v="Yes"/>
    <m/>
    <s v="New"/>
    <s v="INFASCO"/>
    <n v="95"/>
    <n v="97.85"/>
  </r>
  <r>
    <x v="59"/>
    <x v="17"/>
    <x v="11"/>
    <n v="36"/>
    <n v="280"/>
    <n v="10080"/>
    <s v="177+175"/>
    <s v="Yes"/>
    <m/>
    <s v="Yes"/>
    <m/>
    <s v="Yes"/>
    <m/>
    <s v="Yes"/>
    <m/>
    <s v="N/A"/>
    <m/>
    <s v="Yes"/>
    <m/>
    <s v="Yes"/>
    <m/>
    <s v="New"/>
    <s v="INFASCO"/>
    <n v="95"/>
    <n v="97.85"/>
  </r>
  <r>
    <x v="60"/>
    <x v="17"/>
    <x v="48"/>
    <n v="1"/>
    <n v="65000"/>
    <n v="65000"/>
    <s v="177+175"/>
    <s v="Yes"/>
    <m/>
    <s v="Yes"/>
    <m/>
    <s v="Yes"/>
    <m/>
    <s v="Yes"/>
    <m/>
    <s v="N/A"/>
    <m/>
    <s v="Yes"/>
    <m/>
    <s v="Yes"/>
    <m/>
    <s v="New"/>
    <s v="INFASCO"/>
    <n v="115"/>
    <n v="118.45"/>
  </r>
  <r>
    <x v="61"/>
    <x v="8"/>
    <x v="44"/>
    <n v="36"/>
    <n v="100"/>
    <n v="3600"/>
    <s v="011+156"/>
    <s v="Yes"/>
    <m/>
    <s v="Yes"/>
    <m/>
    <s v="Yes"/>
    <m/>
    <s v="Yes"/>
    <m/>
    <s v="N/A"/>
    <m/>
    <s v="Yes"/>
    <m/>
    <s v="Yes"/>
    <m/>
    <s v="New"/>
    <s v="INFASCO"/>
    <n v="120"/>
    <n v="51"/>
  </r>
  <r>
    <x v="62"/>
    <x v="18"/>
    <x v="19"/>
    <n v="32"/>
    <n v="1200"/>
    <n v="38400"/>
    <n v="156"/>
    <s v="Yes"/>
    <m/>
    <s v="Yes"/>
    <m/>
    <s v="Yes"/>
    <m/>
    <s v="Yes"/>
    <m/>
    <s v="N/A"/>
    <m/>
    <s v="Yes"/>
    <m/>
    <s v="Yes"/>
    <m/>
    <s v="New"/>
    <s v="INFASCO"/>
    <n v="95"/>
    <n v="97.85"/>
  </r>
  <r>
    <x v="63"/>
    <x v="10"/>
    <x v="44"/>
    <n v="27"/>
    <n v="100"/>
    <n v="2700"/>
    <s v="157+172"/>
    <s v="Yes"/>
    <m/>
    <s v="Yes"/>
    <m/>
    <s v="Yes"/>
    <m/>
    <s v="Yes"/>
    <m/>
    <s v="N/A"/>
    <m/>
    <s v="Yes"/>
    <m/>
    <s v="Yes"/>
    <m/>
    <s v="New"/>
    <s v="INFASCO"/>
    <n v="120"/>
    <n v="51"/>
  </r>
  <r>
    <x v="64"/>
    <x v="8"/>
    <x v="44"/>
    <n v="25"/>
    <n v="100"/>
    <n v="2500"/>
    <n v="11"/>
    <s v="Yes"/>
    <m/>
    <s v="Yes"/>
    <m/>
    <s v="Yes"/>
    <m/>
    <s v="Yes"/>
    <m/>
    <s v="N/A"/>
    <m/>
    <s v="Yes"/>
    <m/>
    <s v="Yes"/>
    <m/>
    <s v="New"/>
    <s v="INFASCO"/>
    <n v="120"/>
    <n v="51"/>
  </r>
  <r>
    <x v="65"/>
    <x v="10"/>
    <x v="63"/>
    <n v="36"/>
    <n v="450"/>
    <n v="16200"/>
    <s v="157+172"/>
    <s v="Yes"/>
    <m/>
    <s v="Yes"/>
    <m/>
    <s v="Yes"/>
    <m/>
    <s v="Yes"/>
    <m/>
    <s v="N/A"/>
    <m/>
    <s v="Yes"/>
    <m/>
    <s v="Yes"/>
    <m/>
    <s v="New"/>
    <s v="INFASCO"/>
    <n v="95"/>
    <n v="97.85"/>
  </r>
  <r>
    <x v="66"/>
    <x v="18"/>
    <x v="63"/>
    <n v="36"/>
    <n v="450"/>
    <n v="16200"/>
    <n v="156"/>
    <s v="Yes"/>
    <m/>
    <s v="Yes"/>
    <m/>
    <s v="Yes"/>
    <m/>
    <s v="Yes"/>
    <m/>
    <s v="N/A"/>
    <m/>
    <s v="Yes"/>
    <m/>
    <s v="Yes"/>
    <m/>
    <s v="New"/>
    <s v="INFASCO"/>
    <n v="95"/>
    <n v="97.85"/>
  </r>
  <r>
    <x v="67"/>
    <x v="8"/>
    <x v="63"/>
    <n v="36"/>
    <n v="450"/>
    <n v="16200"/>
    <s v="11+162"/>
    <s v="Yes"/>
    <m/>
    <s v="Yes"/>
    <m/>
    <s v="Yes"/>
    <m/>
    <s v="Yes"/>
    <m/>
    <s v="N/A"/>
    <m/>
    <s v="Yes"/>
    <m/>
    <s v="Yes"/>
    <m/>
    <s v="New"/>
    <s v="INFASCO"/>
    <n v="95"/>
    <n v="97.85"/>
  </r>
  <r>
    <x v="68"/>
    <x v="17"/>
    <x v="44"/>
    <n v="20"/>
    <n v="100"/>
    <n v="2000"/>
    <s v="175+177"/>
    <s v="Yes"/>
    <m/>
    <s v="Yes"/>
    <m/>
    <s v="Yes"/>
    <m/>
    <s v="Yes"/>
    <m/>
    <s v="N/A"/>
    <m/>
    <s v="Yes"/>
    <m/>
    <s v="Yes"/>
    <m/>
    <s v="New"/>
    <s v="INFASCO"/>
    <n v="120"/>
    <n v="51"/>
  </r>
  <r>
    <x v="69"/>
    <x v="17"/>
    <x v="48"/>
    <n v="1"/>
    <n v="73611"/>
    <n v="73611"/>
    <s v="175+177"/>
    <s v="Yes"/>
    <m/>
    <s v="Yes"/>
    <m/>
    <s v="Yes"/>
    <m/>
    <s v="Yes"/>
    <m/>
    <s v="N/A"/>
    <m/>
    <s v="Yes"/>
    <m/>
    <s v="Yes"/>
    <m/>
    <s v="New"/>
    <s v="INFASCO"/>
    <s v="N/A"/>
    <n v="118.45"/>
  </r>
  <r>
    <x v="70"/>
    <x v="10"/>
    <x v="63"/>
    <n v="29"/>
    <n v="450"/>
    <n v="13050"/>
    <s v="157+172"/>
    <s v="Yes"/>
    <m/>
    <s v="Yes"/>
    <m/>
    <s v="Yes"/>
    <m/>
    <s v="Yes"/>
    <m/>
    <s v="N/A"/>
    <m/>
    <s v="Yes"/>
    <m/>
    <s v="Yes"/>
    <m/>
    <s v="New"/>
    <s v="INFASCO"/>
    <n v="95"/>
    <n v="97.85"/>
  </r>
  <r>
    <x v="71"/>
    <x v="8"/>
    <x v="63"/>
    <n v="33"/>
    <n v="450"/>
    <n v="14850"/>
    <s v="11+162"/>
    <s v="Yes"/>
    <m/>
    <s v="Yes"/>
    <m/>
    <s v="Yes"/>
    <m/>
    <s v="Yes"/>
    <m/>
    <s v="N/A"/>
    <m/>
    <s v="Yes"/>
    <m/>
    <s v="Yes"/>
    <m/>
    <s v="New"/>
    <s v="INFASCO"/>
    <s v="N/A"/>
    <n v="97.85"/>
  </r>
  <r>
    <x v="72"/>
    <x v="18"/>
    <x v="63"/>
    <n v="33"/>
    <n v="450"/>
    <n v="14850"/>
    <n v="156"/>
    <s v="Yes"/>
    <m/>
    <s v="Yes"/>
    <m/>
    <s v="Yes"/>
    <m/>
    <s v="Yes"/>
    <m/>
    <s v="N/A"/>
    <m/>
    <s v="Yes"/>
    <m/>
    <s v="Yes"/>
    <m/>
    <s v="New"/>
    <s v="INFASCO"/>
    <n v="95"/>
    <n v="97.85"/>
  </r>
  <r>
    <x v="73"/>
    <x v="10"/>
    <x v="63"/>
    <n v="36"/>
    <n v="450"/>
    <n v="16200"/>
    <s v="157+172"/>
    <s v="Yes"/>
    <m/>
    <s v="Yes"/>
    <m/>
    <s v="Yes"/>
    <m/>
    <s v="Yes"/>
    <m/>
    <s v="N/A"/>
    <m/>
    <s v="Yes"/>
    <m/>
    <s v="Yes"/>
    <m/>
    <s v="New"/>
    <s v="INFASCO"/>
    <n v="95"/>
    <n v="97.85"/>
  </r>
  <r>
    <x v="74"/>
    <x v="8"/>
    <x v="121"/>
    <n v="24"/>
    <n v="900"/>
    <n v="21600"/>
    <s v="11+162"/>
    <s v="Yes"/>
    <m/>
    <s v="Yes"/>
    <m/>
    <s v="Yes"/>
    <m/>
    <s v="Yes"/>
    <m/>
    <s v="N/A"/>
    <m/>
    <s v="Yes"/>
    <m/>
    <s v="Yes"/>
    <m/>
    <s v="New"/>
    <s v="INFASCO"/>
    <s v="N/A"/>
    <n v="97.85"/>
  </r>
  <r>
    <x v="75"/>
    <x v="8"/>
    <x v="55"/>
    <n v="36"/>
    <n v="400"/>
    <n v="14400"/>
    <s v="011+162"/>
    <s v="Yes"/>
    <m/>
    <s v="Yes"/>
    <m/>
    <s v="Yes"/>
    <m/>
    <s v="Yes"/>
    <m/>
    <s v="N/A"/>
    <m/>
    <s v="Yes"/>
    <m/>
    <s v="Yes"/>
    <m/>
    <s v="New"/>
    <s v="INFASCO"/>
    <n v="95"/>
    <n v="97.85"/>
  </r>
  <r>
    <x v="76"/>
    <x v="17"/>
    <x v="63"/>
    <n v="36"/>
    <n v="450"/>
    <n v="16200"/>
    <s v="175+177"/>
    <s v="Yes"/>
    <m/>
    <s v="Yes"/>
    <m/>
    <s v="Yes"/>
    <m/>
    <s v="Yes"/>
    <m/>
    <s v="N/A"/>
    <m/>
    <s v="Yes"/>
    <m/>
    <s v="Yes"/>
    <m/>
    <s v="New"/>
    <s v="INFASCO"/>
    <n v="95"/>
    <n v="97.85"/>
  </r>
  <r>
    <x v="77"/>
    <x v="17"/>
    <x v="121"/>
    <n v="36"/>
    <n v="900"/>
    <n v="32400"/>
    <s v="175+177"/>
    <s v="Yes"/>
    <m/>
    <s v="Yes"/>
    <m/>
    <s v="Yes"/>
    <m/>
    <s v="Yes"/>
    <m/>
    <s v="N/A"/>
    <m/>
    <s v="Yes"/>
    <m/>
    <s v="Yes"/>
    <m/>
    <s v="New"/>
    <s v="INFASCO"/>
    <n v="95"/>
    <n v="97.85"/>
  </r>
  <r>
    <x v="78"/>
    <x v="10"/>
    <x v="29"/>
    <n v="28"/>
    <n v="500"/>
    <n v="14000"/>
    <s v="157+172"/>
    <s v="Yes"/>
    <m/>
    <s v="Yes"/>
    <m/>
    <s v="Yes"/>
    <m/>
    <s v="Yes"/>
    <m/>
    <s v="N/A"/>
    <m/>
    <s v="Yes"/>
    <m/>
    <s v="Yes"/>
    <m/>
    <s v="New"/>
    <s v="INFASCO"/>
    <n v="95"/>
    <n v="97.85"/>
  </r>
  <r>
    <x v="79"/>
    <x v="18"/>
    <x v="2"/>
    <n v="36"/>
    <n v="2700"/>
    <n v="97200"/>
    <s v="156+144"/>
    <s v="Yes"/>
    <m/>
    <s v="Yes"/>
    <m/>
    <s v="Yes"/>
    <m/>
    <s v="Yes"/>
    <m/>
    <s v="N/A"/>
    <m/>
    <s v="Yes"/>
    <m/>
    <s v="Yes"/>
    <m/>
    <s v="New"/>
    <s v="INFASCO"/>
    <n v="95"/>
    <n v="97.85"/>
  </r>
  <r>
    <x v="80"/>
    <x v="17"/>
    <x v="55"/>
    <n v="31"/>
    <n v="400"/>
    <n v="12400"/>
    <s v="175+177"/>
    <s v="Yes"/>
    <m/>
    <s v="Yes"/>
    <m/>
    <s v="Yes"/>
    <m/>
    <s v="Yes"/>
    <m/>
    <s v="N/A"/>
    <m/>
    <s v="Yes"/>
    <m/>
    <s v="Yes"/>
    <m/>
    <s v="New"/>
    <s v="INFASCO"/>
    <n v="95"/>
    <n v="97.85"/>
  </r>
  <r>
    <x v="81"/>
    <x v="10"/>
    <x v="29"/>
    <n v="28"/>
    <n v="500"/>
    <n v="14000"/>
    <s v="157+176"/>
    <s v="Yes"/>
    <m/>
    <s v="Yes"/>
    <m/>
    <s v="Yes"/>
    <m/>
    <s v="Yes"/>
    <m/>
    <s v="N/A"/>
    <m/>
    <s v="Yes"/>
    <m/>
    <s v="Yes"/>
    <m/>
    <s v="New"/>
    <s v="INFASCO"/>
    <n v="95"/>
    <n v="97.85"/>
  </r>
  <r>
    <x v="82"/>
    <x v="8"/>
    <x v="55"/>
    <n v="36"/>
    <n v="400"/>
    <n v="14400"/>
    <s v="011+171"/>
    <s v="Yes"/>
    <m/>
    <s v="Yes"/>
    <m/>
    <s v="Yes"/>
    <m/>
    <s v="Yes"/>
    <m/>
    <s v="N/A"/>
    <m/>
    <s v="Yes"/>
    <m/>
    <s v="Yes"/>
    <m/>
    <s v="New"/>
    <s v="INFASCO"/>
    <n v="95"/>
    <n v="97.85"/>
  </r>
  <r>
    <x v="83"/>
    <x v="18"/>
    <x v="2"/>
    <n v="21"/>
    <n v="2700"/>
    <n v="56700"/>
    <s v="156+172"/>
    <s v="Yes"/>
    <m/>
    <s v="Yes"/>
    <m/>
    <s v="Yes"/>
    <m/>
    <s v="Yes"/>
    <m/>
    <s v="N/A"/>
    <m/>
    <s v="Yes"/>
    <m/>
    <s v="Yes"/>
    <m/>
    <s v="New"/>
    <s v="INFASCO"/>
    <n v="95"/>
    <n v="97.85"/>
  </r>
  <r>
    <x v="84"/>
    <x v="8"/>
    <x v="55"/>
    <n v="9"/>
    <n v="400"/>
    <n v="3600"/>
    <s v="011+171"/>
    <s v="Yes"/>
    <m/>
    <s v="Yes"/>
    <m/>
    <s v="Yes"/>
    <m/>
    <s v="Yes"/>
    <m/>
    <s v="N/A"/>
    <m/>
    <s v="Yes"/>
    <m/>
    <s v="Yes"/>
    <m/>
    <s v="New"/>
    <s v="INFASCO"/>
    <n v="95"/>
    <n v="97.85"/>
  </r>
  <r>
    <x v="85"/>
    <x v="8"/>
    <x v="122"/>
    <n v="29"/>
    <n v="170"/>
    <n v="4930"/>
    <s v="011+171"/>
    <s v="Yes"/>
    <m/>
    <s v="Yes"/>
    <m/>
    <s v="Yes"/>
    <m/>
    <s v="Yes"/>
    <m/>
    <s v="N/A"/>
    <m/>
    <s v="Yes"/>
    <m/>
    <s v="Yes"/>
    <m/>
    <s v="New"/>
    <s v="INFASCO"/>
    <n v="95"/>
    <n v="97.85"/>
  </r>
  <r>
    <x v="86"/>
    <x v="17"/>
    <x v="14"/>
    <n v="36"/>
    <n v="175"/>
    <n v="6300"/>
    <s v="175+177"/>
    <s v="Yes"/>
    <m/>
    <s v="Yes"/>
    <m/>
    <s v="Yes"/>
    <m/>
    <s v="Yes"/>
    <m/>
    <s v="N/A"/>
    <m/>
    <s v="Yes"/>
    <m/>
    <s v="Yes"/>
    <m/>
    <s v="New"/>
    <s v="INFASCO"/>
    <n v="95"/>
    <n v="97.85"/>
  </r>
  <r>
    <x v="87"/>
    <x v="17"/>
    <x v="14"/>
    <n v="32"/>
    <n v="175"/>
    <n v="5600"/>
    <s v="175+177"/>
    <s v="Yes"/>
    <m/>
    <s v="Yes"/>
    <m/>
    <s v="Yes"/>
    <m/>
    <s v="Yes"/>
    <m/>
    <s v="N/A"/>
    <m/>
    <s v="Yes"/>
    <m/>
    <s v="Yes"/>
    <m/>
    <s v="New"/>
    <s v="INFASCO"/>
    <n v="95"/>
    <n v="97.85"/>
  </r>
  <r>
    <x v="88"/>
    <x v="10"/>
    <x v="122"/>
    <n v="29"/>
    <n v="170"/>
    <n v="4930"/>
    <s v="157+176"/>
    <s v="Yes"/>
    <m/>
    <s v="Yes"/>
    <m/>
    <s v="Yes"/>
    <m/>
    <s v="Yes"/>
    <m/>
    <s v="N/A"/>
    <m/>
    <s v="Yes"/>
    <m/>
    <s v="Yes"/>
    <m/>
    <s v="New"/>
    <s v="INFASCO"/>
    <n v="95"/>
    <n v="97.85"/>
  </r>
  <r>
    <x v="89"/>
    <x v="10"/>
    <x v="59"/>
    <n v="19"/>
    <n v="180"/>
    <n v="3420"/>
    <s v="157+176"/>
    <s v="Yes"/>
    <m/>
    <s v="Yes"/>
    <m/>
    <s v="Yes"/>
    <m/>
    <s v="Yes"/>
    <m/>
    <s v="N/A"/>
    <m/>
    <s v="Yes"/>
    <m/>
    <s v="Yes"/>
    <m/>
    <s v="New"/>
    <s v="INFASCO"/>
    <n v="95"/>
    <n v="97.85"/>
  </r>
  <r>
    <x v="90"/>
    <x v="18"/>
    <x v="59"/>
    <n v="25"/>
    <n v="180"/>
    <n v="4500"/>
    <s v="156+172"/>
    <s v="Yes"/>
    <m/>
    <s v="Yes"/>
    <m/>
    <s v="Yes"/>
    <m/>
    <s v="Yes"/>
    <m/>
    <s v="N/A"/>
    <m/>
    <s v="Yes"/>
    <m/>
    <s v="Yes"/>
    <m/>
    <s v="New"/>
    <s v="INFASCO"/>
    <n v="95"/>
    <n v="97.85"/>
  </r>
  <r>
    <x v="91"/>
    <x v="8"/>
    <x v="59"/>
    <n v="19"/>
    <n v="180"/>
    <n v="3420"/>
    <s v="011+171"/>
    <s v="Yes"/>
    <m/>
    <s v="Yes"/>
    <m/>
    <s v="Yes"/>
    <m/>
    <s v="Yes"/>
    <m/>
    <s v="N/A"/>
    <m/>
    <s v="Yes"/>
    <m/>
    <s v="Yes"/>
    <m/>
    <s v="New"/>
    <s v="INFASCO"/>
    <n v="95"/>
    <n v="97.85"/>
  </r>
  <r>
    <x v="92"/>
    <x v="18"/>
    <x v="59"/>
    <n v="23"/>
    <n v="180"/>
    <n v="4140"/>
    <s v="156+172"/>
    <s v="Yes"/>
    <m/>
    <s v="Yes"/>
    <m/>
    <s v="Yes"/>
    <m/>
    <s v="Yes"/>
    <m/>
    <s v="N/A"/>
    <m/>
    <s v="Yes"/>
    <m/>
    <s v="Yes"/>
    <m/>
    <s v="New"/>
    <s v="INFASCO"/>
    <n v="95"/>
    <n v="97.85"/>
  </r>
  <r>
    <x v="93"/>
    <x v="8"/>
    <x v="59"/>
    <n v="14"/>
    <n v="180"/>
    <n v="2520"/>
    <s v="011+171"/>
    <s v="Yes"/>
    <m/>
    <s v="Yes"/>
    <m/>
    <s v="Yes"/>
    <m/>
    <s v="Yes"/>
    <m/>
    <s v="N/A"/>
    <m/>
    <s v="Yes"/>
    <m/>
    <s v="Yes"/>
    <m/>
    <s v="New"/>
    <s v="INFASCO"/>
    <n v="95"/>
    <n v="97.85"/>
  </r>
  <r>
    <x v="94"/>
    <x v="10"/>
    <x v="59"/>
    <n v="13"/>
    <n v="180"/>
    <n v="2340"/>
    <s v="157+176"/>
    <s v="Yes"/>
    <m/>
    <s v="Yes"/>
    <m/>
    <s v="Yes"/>
    <m/>
    <s v="Yes"/>
    <m/>
    <s v="N/A"/>
    <m/>
    <s v="Yes"/>
    <m/>
    <s v="Yes"/>
    <m/>
    <s v="New"/>
    <s v="INFASCO"/>
    <n v="95"/>
    <n v="97.85"/>
  </r>
  <r>
    <x v="95"/>
    <x v="17"/>
    <x v="120"/>
    <n v="35"/>
    <n v="1100"/>
    <n v="38500"/>
    <s v="177+175"/>
    <s v="Yes"/>
    <m/>
    <s v="Yes"/>
    <m/>
    <s v="Yes"/>
    <m/>
    <s v="Yes"/>
    <m/>
    <s v="N/A"/>
    <m/>
    <s v="Yes"/>
    <m/>
    <s v="Yes"/>
    <m/>
    <s v="New"/>
    <s v="INFASCO"/>
    <n v="95"/>
    <n v="97.85"/>
  </r>
  <r>
    <x v="96"/>
    <x v="17"/>
    <x v="44"/>
    <n v="24"/>
    <n v="100"/>
    <n v="2400"/>
    <s v="177+175"/>
    <s v="Yes"/>
    <m/>
    <s v="Yes"/>
    <m/>
    <s v="Yes"/>
    <m/>
    <s v="Yes"/>
    <m/>
    <s v="N/A"/>
    <m/>
    <s v="Yes"/>
    <m/>
    <s v="Yes"/>
    <m/>
    <s v="New"/>
    <s v="INFASCO"/>
    <n v="120"/>
    <n v="51"/>
  </r>
  <r>
    <x v="97"/>
    <x v="10"/>
    <x v="44"/>
    <n v="27"/>
    <n v="100"/>
    <n v="2700"/>
    <s v="157+176"/>
    <s v="Yes"/>
    <m/>
    <s v="Yes"/>
    <m/>
    <s v="Yes"/>
    <m/>
    <s v="Yes"/>
    <m/>
    <s v="N/A"/>
    <m/>
    <s v="Yes"/>
    <m/>
    <s v="Yes"/>
    <m/>
    <s v="New"/>
    <s v="INFASCO"/>
    <n v="120"/>
    <n v="51"/>
  </r>
  <r>
    <x v="98"/>
    <x v="8"/>
    <x v="44"/>
    <n v="24"/>
    <n v="100"/>
    <n v="2400"/>
    <s v="011+071"/>
    <s v="Yes"/>
    <m/>
    <s v="Yes"/>
    <m/>
    <s v="Yes"/>
    <m/>
    <s v="Yes"/>
    <m/>
    <s v="N/A"/>
    <m/>
    <s v="Yes"/>
    <m/>
    <s v="Yes"/>
    <m/>
    <s v="New"/>
    <s v="INFASCO"/>
    <n v="120"/>
    <n v="51"/>
  </r>
  <r>
    <x v="99"/>
    <x v="18"/>
    <x v="44"/>
    <n v="20"/>
    <n v="100"/>
    <n v="2000"/>
    <s v="156+172"/>
    <s v="Yes"/>
    <m/>
    <s v="Yes"/>
    <m/>
    <s v="Yes"/>
    <m/>
    <s v="Yes"/>
    <m/>
    <s v="N/A"/>
    <m/>
    <s v="Yes"/>
    <m/>
    <s v="Yes"/>
    <m/>
    <s v="New"/>
    <s v="INFASCO"/>
    <n v="120"/>
    <n v="51"/>
  </r>
  <r>
    <x v="100"/>
    <x v="18"/>
    <x v="44"/>
    <n v="21"/>
    <n v="100"/>
    <n v="2100"/>
    <s v="156+172"/>
    <s v="Yes"/>
    <m/>
    <s v="Yes"/>
    <m/>
    <s v="Yes"/>
    <m/>
    <s v="Yes"/>
    <m/>
    <s v="N/A"/>
    <m/>
    <s v="Yes"/>
    <m/>
    <s v="Yes"/>
    <m/>
    <s v="New"/>
    <s v="INFASCO"/>
    <n v="120"/>
    <n v="51"/>
  </r>
  <r>
    <x v="101"/>
    <x v="17"/>
    <x v="44"/>
    <n v="21"/>
    <n v="100"/>
    <n v="2100"/>
    <s v="175+177"/>
    <s v="Yes"/>
    <m/>
    <s v="Yes"/>
    <m/>
    <s v="Yes"/>
    <m/>
    <s v="Yes"/>
    <m/>
    <s v="N/A"/>
    <m/>
    <s v="Yes"/>
    <m/>
    <s v="Yes"/>
    <m/>
    <s v="New"/>
    <s v="INFASCO"/>
    <n v="120"/>
    <n v="51"/>
  </r>
  <r>
    <x v="102"/>
    <x v="8"/>
    <x v="44"/>
    <n v="21"/>
    <n v="100"/>
    <n v="2100"/>
    <s v="011+171"/>
    <s v="Yes"/>
    <m/>
    <s v="Yes"/>
    <m/>
    <s v="Yes"/>
    <m/>
    <s v="Yes"/>
    <m/>
    <s v="N/A"/>
    <m/>
    <s v="Yes"/>
    <m/>
    <s v="Yes"/>
    <m/>
    <s v="New"/>
    <s v="INFASCO"/>
    <n v="120"/>
    <n v="51"/>
  </r>
  <r>
    <x v="103"/>
    <x v="10"/>
    <x v="44"/>
    <n v="25"/>
    <n v="100"/>
    <n v="2500"/>
    <s v="157+176"/>
    <s v="Yes"/>
    <m/>
    <s v="Yes"/>
    <m/>
    <s v="Yes"/>
    <m/>
    <s v="Yes"/>
    <m/>
    <s v="N/A"/>
    <m/>
    <s v="Yes"/>
    <m/>
    <s v="Yes"/>
    <m/>
    <s v="New"/>
    <s v="INFASCO"/>
    <n v="120"/>
    <n v="51"/>
  </r>
  <r>
    <x v="104"/>
    <x v="18"/>
    <x v="123"/>
    <n v="33"/>
    <n v="450"/>
    <n v="14850"/>
    <s v="156+172"/>
    <s v="Yes"/>
    <m/>
    <s v="Yes"/>
    <m/>
    <s v="Yes"/>
    <m/>
    <s v="Yes"/>
    <m/>
    <s v="N/A"/>
    <m/>
    <s v="Yes"/>
    <m/>
    <s v="Yes"/>
    <m/>
    <s v="New"/>
    <s v="INFASCO"/>
    <n v="95"/>
    <n v="97.85"/>
  </r>
  <r>
    <x v="105"/>
    <x v="17"/>
    <x v="44"/>
    <n v="21"/>
    <n v="100"/>
    <n v="2100"/>
    <s v="175+177"/>
    <s v="Yes"/>
    <m/>
    <s v="Yes"/>
    <m/>
    <s v="Yes"/>
    <m/>
    <s v="Yes"/>
    <m/>
    <s v="N/A"/>
    <m/>
    <s v="Yes"/>
    <m/>
    <s v="Yes"/>
    <m/>
    <s v="New"/>
    <s v="INFASCO"/>
    <n v="120"/>
    <n v="51"/>
  </r>
  <r>
    <x v="106"/>
    <x v="17"/>
    <x v="123"/>
    <n v="36"/>
    <n v="450"/>
    <n v="16200"/>
    <s v="175+177"/>
    <s v="Yes"/>
    <m/>
    <s v="Yes"/>
    <m/>
    <s v="Yes"/>
    <m/>
    <s v="Yes"/>
    <m/>
    <s v="N/A"/>
    <m/>
    <s v="Yes"/>
    <m/>
    <s v="Yes"/>
    <m/>
    <s v="New"/>
    <s v="INFASCO"/>
    <n v="95"/>
    <n v="97.85"/>
  </r>
  <r>
    <x v="107"/>
    <x v="21"/>
    <x v="120"/>
    <n v="36"/>
    <n v="1100"/>
    <n v="39600"/>
    <n v="173"/>
    <s v="Yes"/>
    <m/>
    <s v="Yes"/>
    <m/>
    <s v="Yes"/>
    <m/>
    <s v="Yes"/>
    <m/>
    <s v="N/A"/>
    <m/>
    <s v="Yes"/>
    <m/>
    <s v="Yes"/>
    <m/>
    <s v="New"/>
    <s v="INFASCO"/>
    <n v="95"/>
    <n v="97.85"/>
  </r>
  <r>
    <x v="108"/>
    <x v="21"/>
    <x v="120"/>
    <n v="12"/>
    <n v="1100"/>
    <n v="13200"/>
    <n v="173"/>
    <s v="Yes"/>
    <m/>
    <s v="Yes"/>
    <m/>
    <s v="Yes"/>
    <m/>
    <s v="Yes"/>
    <m/>
    <s v="N/A"/>
    <m/>
    <s v="Yes"/>
    <m/>
    <s v="Yes"/>
    <m/>
    <s v="New"/>
    <s v="INFASCO"/>
    <n v="95"/>
    <n v="97.85"/>
  </r>
  <r>
    <x v="109"/>
    <x v="8"/>
    <x v="9"/>
    <n v="27"/>
    <n v="450"/>
    <n v="12150"/>
    <s v="011+171"/>
    <s v="Yes"/>
    <m/>
    <s v="Yes"/>
    <m/>
    <s v="Yes"/>
    <m/>
    <s v="Yes"/>
    <m/>
    <s v="N/A"/>
    <m/>
    <s v="Yes"/>
    <m/>
    <s v="Yes"/>
    <m/>
    <s v="New"/>
    <s v="INFASCO"/>
    <n v="95"/>
    <n v="97.85"/>
  </r>
  <r>
    <x v="110"/>
    <x v="17"/>
    <x v="35"/>
    <n v="36"/>
    <n v="120"/>
    <n v="4320"/>
    <s v="175+177"/>
    <s v="Yes"/>
    <m/>
    <s v="Yes"/>
    <m/>
    <s v="Yes"/>
    <m/>
    <s v="Yes"/>
    <m/>
    <s v="N/A"/>
    <m/>
    <s v="Yes"/>
    <m/>
    <s v="Yes"/>
    <m/>
    <s v="New"/>
    <s v="INFASCO"/>
    <n v="95"/>
    <n v="97.85"/>
  </r>
  <r>
    <x v="111"/>
    <x v="10"/>
    <x v="124"/>
    <n v="33"/>
    <n v="900"/>
    <n v="29700"/>
    <s v="157+176"/>
    <s v="Yes"/>
    <m/>
    <s v="Yes"/>
    <m/>
    <s v="Yes"/>
    <m/>
    <s v="Yes"/>
    <m/>
    <s v="N/A"/>
    <m/>
    <s v="Yes"/>
    <m/>
    <s v="Yes"/>
    <m/>
    <s v="New"/>
    <s v="INFASCO"/>
    <n v="95"/>
    <n v="97.85"/>
  </r>
  <r>
    <x v="112"/>
    <x v="8"/>
    <x v="9"/>
    <n v="23"/>
    <n v="450"/>
    <n v="10350"/>
    <s v="011+171"/>
    <s v="Yes"/>
    <m/>
    <s v="Yes"/>
    <m/>
    <s v="Yes"/>
    <m/>
    <s v="Yes"/>
    <m/>
    <s v="N/A"/>
    <m/>
    <s v="Yes"/>
    <m/>
    <s v="Yes"/>
    <m/>
    <s v="New"/>
    <s v="INFASCO"/>
    <n v="95"/>
    <n v="97.85"/>
  </r>
  <r>
    <x v="113"/>
    <x v="18"/>
    <x v="125"/>
    <n v="1"/>
    <n v="74000"/>
    <n v="74000"/>
    <s v="156+172"/>
    <s v="Yes"/>
    <m/>
    <s v="Yes"/>
    <m/>
    <s v="Yes"/>
    <m/>
    <s v="Yes"/>
    <m/>
    <s v="N/A"/>
    <m/>
    <s v="Yes"/>
    <m/>
    <s v="Yes"/>
    <m/>
    <s v="New"/>
    <s v="INFASCO"/>
    <n v="46"/>
    <n v="47.38"/>
  </r>
  <r>
    <x v="114"/>
    <x v="18"/>
    <x v="125"/>
    <n v="1"/>
    <n v="75268"/>
    <n v="75268"/>
    <s v="156+172"/>
    <s v="Yes"/>
    <m/>
    <s v="Yes"/>
    <m/>
    <s v="Yes"/>
    <m/>
    <s v="Yes"/>
    <m/>
    <s v="N/A"/>
    <m/>
    <s v="Yes"/>
    <m/>
    <s v="Yes"/>
    <m/>
    <s v="New"/>
    <s v="INFASCO"/>
    <n v="46"/>
    <n v="47.38"/>
  </r>
  <r>
    <x v="115"/>
    <x v="17"/>
    <x v="35"/>
    <n v="36"/>
    <n v="120"/>
    <n v="4320"/>
    <s v="175+177"/>
    <s v="Yes"/>
    <m/>
    <s v="Yes"/>
    <m/>
    <s v="Yes"/>
    <m/>
    <s v="Yes"/>
    <m/>
    <s v="N/A"/>
    <m/>
    <s v="Yes"/>
    <m/>
    <s v="Yes"/>
    <m/>
    <s v="New"/>
    <s v="INFASCO"/>
    <s v="N/A"/>
    <n v="97.85"/>
  </r>
  <r>
    <x v="116"/>
    <x v="17"/>
    <x v="35"/>
    <n v="36"/>
    <n v="120"/>
    <n v="4320"/>
    <s v="175+177"/>
    <s v="Yes"/>
    <m/>
    <s v="Yes"/>
    <m/>
    <s v="Yes"/>
    <m/>
    <s v="Yes"/>
    <m/>
    <s v="N/A"/>
    <m/>
    <s v="Yes"/>
    <m/>
    <s v="Yes"/>
    <m/>
    <s v="New"/>
    <s v="INFASCO"/>
    <n v="95"/>
    <n v="97.85"/>
  </r>
  <r>
    <x v="117"/>
    <x v="17"/>
    <x v="35"/>
    <n v="45"/>
    <n v="120"/>
    <n v="5400"/>
    <s v="175+177"/>
    <s v="Yes"/>
    <m/>
    <s v="Yes"/>
    <m/>
    <s v="Yes"/>
    <m/>
    <s v="Yes"/>
    <m/>
    <s v="N/A"/>
    <m/>
    <s v="Yes"/>
    <m/>
    <s v="Yes"/>
    <m/>
    <s v="New"/>
    <s v="INFASCO"/>
    <n v="95"/>
    <n v="97.85"/>
  </r>
  <r>
    <x v="118"/>
    <x v="8"/>
    <x v="9"/>
    <n v="32"/>
    <n v="450"/>
    <n v="14400"/>
    <s v="011+171"/>
    <s v="Yes"/>
    <m/>
    <s v="Yes"/>
    <m/>
    <s v="Yes"/>
    <m/>
    <s v="Yes"/>
    <m/>
    <s v="N/A"/>
    <m/>
    <s v="Yes"/>
    <m/>
    <s v="Yes"/>
    <m/>
    <s v="New"/>
    <s v="INFASCO"/>
    <n v="95"/>
    <n v="97.85"/>
  </r>
  <r>
    <x v="119"/>
    <x v="21"/>
    <x v="9"/>
    <n v="36"/>
    <n v="450"/>
    <n v="16200"/>
    <n v="173"/>
    <s v="Yes"/>
    <m/>
    <s v="Yes"/>
    <m/>
    <s v="Yes"/>
    <m/>
    <s v="Yes"/>
    <m/>
    <s v="N/A"/>
    <m/>
    <s v="Yes"/>
    <m/>
    <s v="Yes"/>
    <m/>
    <s v="New"/>
    <s v="INFASCO"/>
    <n v="95"/>
    <n v="97.85"/>
  </r>
  <r>
    <x v="120"/>
    <x v="10"/>
    <x v="99"/>
    <n v="1"/>
    <n v="59200"/>
    <n v="59200"/>
    <s v="157+176"/>
    <s v="Yes"/>
    <m/>
    <s v="Yes"/>
    <m/>
    <s v="Yes"/>
    <m/>
    <s v="Yes"/>
    <m/>
    <s v="N/A"/>
    <m/>
    <s v="Yes"/>
    <m/>
    <s v="Yes"/>
    <m/>
    <s v="New"/>
    <s v="INFASCO"/>
    <s v="N/A"/>
    <n v="118.45"/>
  </r>
  <r>
    <x v="121"/>
    <x v="18"/>
    <x v="125"/>
    <n v="1"/>
    <n v="76950"/>
    <n v="76950"/>
    <s v="156+172"/>
    <s v="Yes"/>
    <m/>
    <s v="Yes"/>
    <m/>
    <s v="Yes"/>
    <m/>
    <s v="Yes"/>
    <m/>
    <s v="N/A"/>
    <m/>
    <s v="Yes"/>
    <m/>
    <s v="Yes"/>
    <m/>
    <s v="New"/>
    <s v="INFASCO"/>
    <n v="46"/>
    <n v="47.38"/>
  </r>
  <r>
    <x v="122"/>
    <x v="8"/>
    <x v="9"/>
    <n v="26"/>
    <n v="450"/>
    <n v="11700"/>
    <s v="011+171"/>
    <s v="Yes"/>
    <m/>
    <s v="Yes"/>
    <m/>
    <s v="Yes"/>
    <m/>
    <s v="Yes"/>
    <m/>
    <s v="N/A"/>
    <m/>
    <s v="Yes"/>
    <m/>
    <s v="Yes"/>
    <m/>
    <s v="New"/>
    <s v="INFASCO"/>
    <n v="95"/>
    <n v="97.85"/>
  </r>
  <r>
    <x v="123"/>
    <x v="17"/>
    <x v="35"/>
    <n v="25"/>
    <n v="120"/>
    <n v="3000"/>
    <s v="175+177"/>
    <s v="Yes"/>
    <m/>
    <s v="Yes"/>
    <m/>
    <s v="Yes"/>
    <m/>
    <s v="Yes"/>
    <m/>
    <s v="N/A"/>
    <m/>
    <s v="Yes"/>
    <m/>
    <s v="Yes"/>
    <m/>
    <s v="New"/>
    <s v="INFASCO"/>
    <n v="95"/>
    <n v="97.85"/>
  </r>
  <r>
    <x v="124"/>
    <x v="15"/>
    <x v="126"/>
    <n v="36"/>
    <n v="3000"/>
    <n v="108000"/>
    <m/>
    <m/>
    <m/>
    <m/>
    <m/>
    <m/>
    <m/>
    <m/>
    <m/>
    <m/>
    <m/>
    <m/>
    <m/>
    <m/>
    <m/>
    <m/>
    <s v="INFASCO"/>
    <m/>
    <n v="97.85"/>
  </r>
  <r>
    <x v="124"/>
    <x v="6"/>
    <x v="37"/>
    <n v="36"/>
    <n v="2500"/>
    <n v="90000"/>
    <m/>
    <m/>
    <m/>
    <m/>
    <m/>
    <m/>
    <m/>
    <m/>
    <m/>
    <m/>
    <m/>
    <m/>
    <m/>
    <m/>
    <m/>
    <m/>
    <s v="INFASCO"/>
    <m/>
    <n v="97.85"/>
  </r>
  <r>
    <x v="124"/>
    <x v="4"/>
    <x v="127"/>
    <n v="36"/>
    <n v="2500"/>
    <n v="90000"/>
    <m/>
    <m/>
    <m/>
    <m/>
    <m/>
    <m/>
    <m/>
    <m/>
    <m/>
    <m/>
    <m/>
    <m/>
    <m/>
    <m/>
    <m/>
    <m/>
    <s v="INFASCO"/>
    <m/>
    <n v="97.85"/>
  </r>
  <r>
    <x v="124"/>
    <x v="4"/>
    <x v="127"/>
    <n v="36"/>
    <n v="2500"/>
    <n v="90000"/>
    <m/>
    <m/>
    <m/>
    <m/>
    <m/>
    <m/>
    <m/>
    <m/>
    <m/>
    <m/>
    <m/>
    <m/>
    <m/>
    <m/>
    <m/>
    <m/>
    <s v="INFASCO"/>
    <m/>
    <n v="97.85"/>
  </r>
  <r>
    <x v="124"/>
    <x v="5"/>
    <x v="0"/>
    <n v="33"/>
    <n v="2500"/>
    <n v="82500"/>
    <m/>
    <m/>
    <m/>
    <m/>
    <m/>
    <m/>
    <m/>
    <m/>
    <m/>
    <m/>
    <m/>
    <m/>
    <m/>
    <m/>
    <m/>
    <m/>
    <s v="INFASCO"/>
    <m/>
    <n v="97.85"/>
  </r>
  <r>
    <x v="124"/>
    <x v="12"/>
    <x v="37"/>
    <n v="32"/>
    <n v="2500"/>
    <n v="80000"/>
    <m/>
    <m/>
    <m/>
    <m/>
    <m/>
    <m/>
    <m/>
    <m/>
    <m/>
    <m/>
    <m/>
    <m/>
    <m/>
    <m/>
    <m/>
    <m/>
    <s v="INFASCO"/>
    <m/>
    <n v="97.85"/>
  </r>
  <r>
    <x v="124"/>
    <x v="11"/>
    <x v="69"/>
    <n v="36"/>
    <n v="1900"/>
    <n v="68400"/>
    <m/>
    <m/>
    <m/>
    <m/>
    <m/>
    <m/>
    <m/>
    <m/>
    <m/>
    <m/>
    <m/>
    <m/>
    <m/>
    <m/>
    <m/>
    <m/>
    <s v="INFASCO"/>
    <m/>
    <n v="97.85"/>
  </r>
  <r>
    <x v="124"/>
    <x v="9"/>
    <x v="87"/>
    <n v="36"/>
    <n v="1250"/>
    <n v="45000"/>
    <m/>
    <m/>
    <m/>
    <m/>
    <m/>
    <m/>
    <m/>
    <m/>
    <m/>
    <m/>
    <m/>
    <m/>
    <m/>
    <m/>
    <m/>
    <m/>
    <s v="INFASCO"/>
    <m/>
    <n v="97.85"/>
  </r>
  <r>
    <x v="124"/>
    <x v="13"/>
    <x v="87"/>
    <n v="36"/>
    <n v="1250"/>
    <n v="45000"/>
    <m/>
    <m/>
    <m/>
    <m/>
    <m/>
    <m/>
    <m/>
    <m/>
    <m/>
    <m/>
    <m/>
    <m/>
    <m/>
    <m/>
    <m/>
    <m/>
    <s v="INFASCO"/>
    <m/>
    <n v="97.85"/>
  </r>
  <r>
    <x v="124"/>
    <x v="14"/>
    <x v="4"/>
    <n v="36"/>
    <n v="1200"/>
    <n v="43200"/>
    <m/>
    <m/>
    <m/>
    <m/>
    <m/>
    <m/>
    <m/>
    <m/>
    <m/>
    <m/>
    <m/>
    <m/>
    <m/>
    <m/>
    <m/>
    <m/>
    <s v="INFASCO"/>
    <m/>
    <n v="97.85"/>
  </r>
  <r>
    <x v="124"/>
    <x v="14"/>
    <x v="4"/>
    <n v="34"/>
    <n v="1200"/>
    <n v="40800"/>
    <m/>
    <m/>
    <m/>
    <m/>
    <m/>
    <m/>
    <m/>
    <m/>
    <m/>
    <m/>
    <m/>
    <m/>
    <m/>
    <m/>
    <m/>
    <m/>
    <s v="INFASCO"/>
    <m/>
    <n v="97.85"/>
  </r>
  <r>
    <x v="124"/>
    <x v="1"/>
    <x v="128"/>
    <n v="36"/>
    <n v="1125"/>
    <n v="40500"/>
    <m/>
    <m/>
    <m/>
    <m/>
    <m/>
    <m/>
    <m/>
    <m/>
    <m/>
    <m/>
    <m/>
    <m/>
    <m/>
    <m/>
    <m/>
    <m/>
    <s v="INFASCO"/>
    <m/>
    <n v="97.85"/>
  </r>
  <r>
    <x v="124"/>
    <x v="16"/>
    <x v="55"/>
    <n v="36"/>
    <n v="400"/>
    <n v="14400"/>
    <m/>
    <m/>
    <m/>
    <m/>
    <m/>
    <m/>
    <m/>
    <m/>
    <m/>
    <m/>
    <m/>
    <m/>
    <m/>
    <m/>
    <m/>
    <m/>
    <s v="INFASCO"/>
    <m/>
    <n v="97.85"/>
  </r>
  <r>
    <x v="124"/>
    <x v="16"/>
    <x v="55"/>
    <n v="36"/>
    <n v="400"/>
    <n v="14400"/>
    <m/>
    <m/>
    <m/>
    <m/>
    <m/>
    <m/>
    <m/>
    <m/>
    <m/>
    <m/>
    <m/>
    <m/>
    <m/>
    <m/>
    <m/>
    <m/>
    <s v="INFASCO"/>
    <m/>
    <n v="97.85"/>
  </r>
  <r>
    <x v="124"/>
    <x v="6"/>
    <x v="55"/>
    <n v="36"/>
    <n v="400"/>
    <n v="14400"/>
    <m/>
    <m/>
    <m/>
    <m/>
    <m/>
    <m/>
    <m/>
    <m/>
    <m/>
    <m/>
    <m/>
    <m/>
    <m/>
    <m/>
    <m/>
    <m/>
    <s v="INFASCO"/>
    <m/>
    <n v="97.85"/>
  </r>
  <r>
    <x v="124"/>
    <x v="6"/>
    <x v="55"/>
    <n v="36"/>
    <n v="400"/>
    <n v="14400"/>
    <m/>
    <m/>
    <m/>
    <m/>
    <m/>
    <m/>
    <m/>
    <m/>
    <m/>
    <m/>
    <m/>
    <m/>
    <m/>
    <m/>
    <m/>
    <m/>
    <s v="INFASCO"/>
    <m/>
    <n v="97.85"/>
  </r>
  <r>
    <x v="124"/>
    <x v="6"/>
    <x v="55"/>
    <n v="36"/>
    <n v="400"/>
    <n v="14400"/>
    <m/>
    <m/>
    <m/>
    <m/>
    <m/>
    <m/>
    <m/>
    <m/>
    <m/>
    <m/>
    <m/>
    <m/>
    <m/>
    <m/>
    <m/>
    <m/>
    <s v="INFASCO"/>
    <m/>
    <n v="97.85"/>
  </r>
  <r>
    <x v="124"/>
    <x v="12"/>
    <x v="55"/>
    <n v="36"/>
    <n v="400"/>
    <n v="14400"/>
    <m/>
    <m/>
    <m/>
    <m/>
    <m/>
    <m/>
    <m/>
    <m/>
    <m/>
    <m/>
    <m/>
    <m/>
    <m/>
    <m/>
    <m/>
    <m/>
    <s v="INFASCO"/>
    <m/>
    <n v="97.85"/>
  </r>
  <r>
    <x v="124"/>
    <x v="3"/>
    <x v="55"/>
    <n v="36"/>
    <n v="400"/>
    <n v="14400"/>
    <m/>
    <m/>
    <m/>
    <m/>
    <m/>
    <m/>
    <m/>
    <m/>
    <m/>
    <m/>
    <m/>
    <m/>
    <m/>
    <m/>
    <m/>
    <m/>
    <s v="INFASCO"/>
    <m/>
    <n v="97.85"/>
  </r>
  <r>
    <x v="124"/>
    <x v="3"/>
    <x v="55"/>
    <n v="36"/>
    <n v="400"/>
    <n v="14400"/>
    <m/>
    <m/>
    <m/>
    <m/>
    <m/>
    <m/>
    <m/>
    <m/>
    <m/>
    <m/>
    <m/>
    <m/>
    <m/>
    <m/>
    <m/>
    <m/>
    <s v="INFASCO"/>
    <m/>
    <n v="97.85"/>
  </r>
  <r>
    <x v="124"/>
    <x v="17"/>
    <x v="35"/>
    <n v="42"/>
    <n v="120"/>
    <n v="5040"/>
    <s v="175+177"/>
    <s v="Yes"/>
    <m/>
    <s v="Yes"/>
    <m/>
    <s v="Yes"/>
    <m/>
    <s v="Yes"/>
    <m/>
    <s v="N/A"/>
    <m/>
    <s v="Yes"/>
    <m/>
    <s v="Yes"/>
    <m/>
    <s v="New"/>
    <s v="INFASCO"/>
    <n v="95"/>
    <n v="97.85"/>
  </r>
  <r>
    <x v="124"/>
    <x v="18"/>
    <x v="35"/>
    <n v="14"/>
    <n v="120"/>
    <n v="1680"/>
    <m/>
    <m/>
    <m/>
    <m/>
    <m/>
    <m/>
    <m/>
    <m/>
    <m/>
    <m/>
    <m/>
    <m/>
    <m/>
    <m/>
    <m/>
    <m/>
    <s v="INFASCO"/>
    <m/>
    <n v="97.85"/>
  </r>
  <r>
    <x v="125"/>
    <x v="18"/>
    <x v="35"/>
    <n v="22"/>
    <n v="120"/>
    <n v="142"/>
    <s v="156+172"/>
    <s v="Yes"/>
    <m/>
    <s v="Yes"/>
    <m/>
    <s v="Yes"/>
    <m/>
    <s v="Yes"/>
    <m/>
    <s v="N/A"/>
    <m/>
    <s v="Yes"/>
    <m/>
    <s v="Yes"/>
    <m/>
    <s v="New"/>
    <s v="INFASCO"/>
    <n v="95"/>
    <n v="97.85"/>
  </r>
  <r>
    <x v="126"/>
    <x v="10"/>
    <x v="35"/>
    <n v="36"/>
    <n v="120"/>
    <n v="4320"/>
    <s v="157+176"/>
    <s v="Yes"/>
    <m/>
    <s v="Yes"/>
    <m/>
    <s v="Yes"/>
    <m/>
    <s v="Yes"/>
    <m/>
    <s v="N/A"/>
    <m/>
    <s v="Yes"/>
    <m/>
    <s v="Yes"/>
    <m/>
    <s v="New"/>
    <s v="INFASCO"/>
    <n v="95"/>
    <n v="97.85"/>
  </r>
  <r>
    <x v="127"/>
    <x v="17"/>
    <x v="45"/>
    <n v="1"/>
    <m/>
    <m/>
    <m/>
    <m/>
    <m/>
    <m/>
    <m/>
    <m/>
    <m/>
    <m/>
    <m/>
    <m/>
    <m/>
    <m/>
    <m/>
    <m/>
    <m/>
    <m/>
    <s v="INFASCO"/>
    <m/>
    <n v="69"/>
  </r>
  <r>
    <x v="128"/>
    <x v="18"/>
    <x v="35"/>
    <n v="27"/>
    <n v="120"/>
    <n v="3240"/>
    <s v="156+172"/>
    <s v="Yes"/>
    <m/>
    <s v="Yes"/>
    <m/>
    <s v="Yes"/>
    <m/>
    <s v="Yes"/>
    <m/>
    <s v="N/A"/>
    <m/>
    <s v="Yes"/>
    <m/>
    <s v="Yes"/>
    <m/>
    <s v="New"/>
    <s v="INFASCO"/>
    <n v="95"/>
    <n v="97.85"/>
  </r>
  <r>
    <x v="129"/>
    <x v="17"/>
    <x v="73"/>
    <n v="28"/>
    <n v="350"/>
    <n v="9800"/>
    <s v="175+177"/>
    <s v="Yes"/>
    <m/>
    <s v="Yes"/>
    <m/>
    <s v="Yes"/>
    <m/>
    <s v="Yes"/>
    <m/>
    <s v="N/A"/>
    <m/>
    <s v="Yes"/>
    <m/>
    <s v="Yes"/>
    <m/>
    <s v="New"/>
    <s v="INFASCO"/>
    <n v="95"/>
    <n v="97.85"/>
  </r>
  <r>
    <x v="130"/>
    <x v="8"/>
    <x v="129"/>
    <n v="36"/>
    <n v="250"/>
    <n v="9000"/>
    <n v="11"/>
    <s v="Yes"/>
    <m/>
    <s v="Yes"/>
    <m/>
    <s v="Yes"/>
    <m/>
    <s v="Yes"/>
    <m/>
    <s v="N/A"/>
    <m/>
    <s v="Yes"/>
    <m/>
    <s v="Yes"/>
    <m/>
    <s v="New"/>
    <s v="INFASCO"/>
    <n v="95"/>
    <n v="97.85"/>
  </r>
  <r>
    <x v="131"/>
    <x v="10"/>
    <x v="73"/>
    <n v="40"/>
    <n v="350"/>
    <n v="14000"/>
    <s v="157+176"/>
    <s v="Yes"/>
    <m/>
    <s v="Yes"/>
    <m/>
    <s v="Yes"/>
    <m/>
    <s v="Yes"/>
    <m/>
    <s v="N/A"/>
    <m/>
    <s v="Yes"/>
    <m/>
    <s v="Yes"/>
    <m/>
    <s v="New"/>
    <s v="INFASCO"/>
    <s v="N/A"/>
    <n v="97.85"/>
  </r>
  <r>
    <x v="132"/>
    <x v="17"/>
    <x v="78"/>
    <n v="1"/>
    <n v="32000"/>
    <n v="32000"/>
    <s v="175+177"/>
    <s v="Yes"/>
    <m/>
    <s v="Yes"/>
    <m/>
    <s v="Yes"/>
    <m/>
    <s v="Yes"/>
    <m/>
    <s v="N/A"/>
    <m/>
    <s v="Yes"/>
    <m/>
    <s v="Yes"/>
    <m/>
    <s v="New"/>
    <s v="INFASCO"/>
    <n v="115"/>
    <n v="118.45"/>
  </r>
  <r>
    <x v="133"/>
    <x v="18"/>
    <x v="130"/>
    <n v="42"/>
    <n v="400"/>
    <n v="16800"/>
    <s v="156+172"/>
    <s v="Yes"/>
    <m/>
    <s v="Yes"/>
    <m/>
    <s v="Yes"/>
    <m/>
    <s v="Yes"/>
    <m/>
    <s v="N/A"/>
    <m/>
    <s v="Yes"/>
    <m/>
    <s v="Yes"/>
    <m/>
    <s v="New"/>
    <s v="INFASCO"/>
    <n v="95"/>
    <n v="97.85"/>
  </r>
  <r>
    <x v="134"/>
    <x v="10"/>
    <x v="78"/>
    <n v="1"/>
    <n v="35000"/>
    <n v="35000"/>
    <s v="157+176"/>
    <s v="Yes"/>
    <m/>
    <s v="Yes"/>
    <m/>
    <s v="Yes"/>
    <m/>
    <s v="Yes"/>
    <m/>
    <s v="N/A"/>
    <m/>
    <s v="Yes"/>
    <m/>
    <s v="Yes"/>
    <m/>
    <s v="New"/>
    <s v="INFASCO"/>
    <s v="N/A"/>
    <n v="118.45"/>
  </r>
  <r>
    <x v="135"/>
    <x v="17"/>
    <x v="78"/>
    <n v="1"/>
    <n v="35000"/>
    <n v="35000"/>
    <s v="175+177"/>
    <s v="Yes"/>
    <m/>
    <s v="Yes"/>
    <m/>
    <s v="Yes"/>
    <m/>
    <s v="Yes"/>
    <m/>
    <s v="N/A"/>
    <m/>
    <s v="Yes"/>
    <m/>
    <s v="Yes"/>
    <m/>
    <s v="New"/>
    <s v="INFASCO"/>
    <n v="115"/>
    <n v="118.45"/>
  </r>
  <r>
    <x v="136"/>
    <x v="17"/>
    <x v="78"/>
    <n v="1"/>
    <n v="14000"/>
    <n v="14000"/>
    <s v="175+177"/>
    <s v="Yes"/>
    <m/>
    <s v="Yes"/>
    <m/>
    <s v="Yes"/>
    <m/>
    <s v="Yes"/>
    <m/>
    <s v="N/A"/>
    <m/>
    <s v="Yes"/>
    <m/>
    <s v="Yes"/>
    <m/>
    <s v="New"/>
    <s v="INFASCO"/>
    <n v="115"/>
    <n v="118.45"/>
  </r>
  <r>
    <x v="137"/>
    <x v="18"/>
    <x v="130"/>
    <n v="36"/>
    <n v="400"/>
    <n v="14400"/>
    <s v="156+172"/>
    <s v="Yes"/>
    <m/>
    <s v="Yes"/>
    <m/>
    <s v="Yes"/>
    <m/>
    <s v="Yes"/>
    <m/>
    <s v="N/A"/>
    <m/>
    <s v="Yes"/>
    <m/>
    <s v="Yes"/>
    <m/>
    <s v="New"/>
    <s v="INFASCO"/>
    <n v="95"/>
    <n v="97.85"/>
  </r>
  <r>
    <x v="138"/>
    <x v="21"/>
    <x v="104"/>
    <n v="36"/>
    <n v="550"/>
    <n v="19800"/>
    <n v="173"/>
    <s v="Yes"/>
    <m/>
    <s v="Yes"/>
    <m/>
    <s v="Yes"/>
    <m/>
    <s v="Yes"/>
    <m/>
    <s v="N/A"/>
    <m/>
    <s v="Yes"/>
    <m/>
    <s v="Yes"/>
    <m/>
    <s v="New"/>
    <s v="INFASCO"/>
    <n v="120"/>
    <n v="123.6"/>
  </r>
  <r>
    <x v="139"/>
    <x v="17"/>
    <x v="49"/>
    <n v="35"/>
    <n v="1400"/>
    <n v="49000"/>
    <s v="175+177"/>
    <s v="Yes"/>
    <m/>
    <s v="Yes"/>
    <m/>
    <s v="Yes"/>
    <m/>
    <s v="Yes"/>
    <m/>
    <s v="N/A"/>
    <m/>
    <s v="Yes"/>
    <m/>
    <s v="Yes"/>
    <m/>
    <s v="New"/>
    <s v="INFASCO"/>
    <n v="95"/>
    <n v="97.85"/>
  </r>
  <r>
    <x v="140"/>
    <x v="17"/>
    <x v="131"/>
    <n v="20"/>
    <n v="2500"/>
    <n v="50000"/>
    <s v="175+177"/>
    <s v="Yes"/>
    <m/>
    <s v="Yes"/>
    <m/>
    <s v="Yes"/>
    <m/>
    <s v="Yes"/>
    <m/>
    <s v="N/A"/>
    <m/>
    <s v="Yes"/>
    <m/>
    <s v="Yes"/>
    <m/>
    <s v="New"/>
    <s v="INFASCO"/>
    <s v="N/A"/>
    <n v="97.85"/>
  </r>
  <r>
    <x v="141"/>
    <x v="17"/>
    <x v="10"/>
    <n v="40"/>
    <n v="450"/>
    <n v="18000"/>
    <s v="175+177"/>
    <s v="Yes"/>
    <m/>
    <s v="Yes"/>
    <m/>
    <s v="Yes"/>
    <m/>
    <s v="Yes"/>
    <m/>
    <s v="N/A"/>
    <m/>
    <s v="Yes"/>
    <m/>
    <s v="Yes"/>
    <m/>
    <s v="New"/>
    <s v="INFASCO"/>
    <n v="95"/>
    <n v="97.85"/>
  </r>
  <r>
    <x v="142"/>
    <x v="10"/>
    <x v="10"/>
    <n v="36"/>
    <n v="450"/>
    <n v="16200"/>
    <s v="157+176"/>
    <s v="Yes"/>
    <m/>
    <s v="Yes"/>
    <m/>
    <s v="Yes"/>
    <m/>
    <s v="Yes"/>
    <m/>
    <s v="N/A"/>
    <m/>
    <s v="Yes"/>
    <m/>
    <s v="Yes"/>
    <m/>
    <s v="New"/>
    <s v="INFASCO"/>
    <n v="95"/>
    <n v="97.85"/>
  </r>
  <r>
    <x v="143"/>
    <x v="10"/>
    <x v="10"/>
    <n v="36"/>
    <n v="450"/>
    <n v="16200"/>
    <s v="157+176"/>
    <s v="Yes"/>
    <m/>
    <s v="Yes"/>
    <m/>
    <s v="Yes"/>
    <m/>
    <s v="Yes"/>
    <m/>
    <s v="N/A"/>
    <m/>
    <s v="Yes"/>
    <m/>
    <s v="Yes"/>
    <m/>
    <s v="New"/>
    <s v="INFASCO"/>
    <n v="95"/>
    <n v="97.85"/>
  </r>
  <r>
    <x v="144"/>
    <x v="10"/>
    <x v="125"/>
    <n v="1"/>
    <n v="72600"/>
    <n v="72600"/>
    <s v="157+176"/>
    <s v="Yes"/>
    <m/>
    <s v="Yes"/>
    <m/>
    <s v="Yes"/>
    <m/>
    <s v="Yes"/>
    <m/>
    <s v="N/A"/>
    <m/>
    <s v="Yes"/>
    <m/>
    <s v="Yes"/>
    <m/>
    <s v="New"/>
    <s v="INFASCO"/>
    <n v="46"/>
    <n v="47.38"/>
  </r>
  <r>
    <x v="145"/>
    <x v="10"/>
    <x v="49"/>
    <n v="32"/>
    <n v="1400"/>
    <n v="44800"/>
    <s v="157+176"/>
    <s v="Yes"/>
    <m/>
    <s v="Yes"/>
    <m/>
    <s v="Yes"/>
    <m/>
    <s v="Yes"/>
    <m/>
    <s v="N/A"/>
    <m/>
    <s v="Yes"/>
    <m/>
    <s v="Yes"/>
    <m/>
    <s v="New"/>
    <s v="INFASCO"/>
    <n v="95"/>
    <n v="97.85"/>
  </r>
  <r>
    <x v="146"/>
    <x v="8"/>
    <x v="129"/>
    <n v="31"/>
    <n v="250"/>
    <n v="7750"/>
    <n v="11"/>
    <s v="Yes"/>
    <m/>
    <s v="Yes"/>
    <m/>
    <s v="Yes"/>
    <m/>
    <s v="Yes"/>
    <m/>
    <s v="N/A"/>
    <m/>
    <s v="Yes"/>
    <m/>
    <s v="Yes"/>
    <m/>
    <s v="New"/>
    <s v="INFASCO"/>
    <n v="95"/>
    <n v="97.85"/>
  </r>
  <r>
    <x v="147"/>
    <x v="8"/>
    <x v="78"/>
    <n v="1"/>
    <n v="44335"/>
    <n v="44335"/>
    <n v="11"/>
    <s v="Yes"/>
    <m/>
    <s v="Yes"/>
    <m/>
    <s v="Yes"/>
    <m/>
    <s v="Yes"/>
    <m/>
    <s v="N/A"/>
    <m/>
    <s v="Yes"/>
    <m/>
    <s v="Yes"/>
    <m/>
    <s v="New"/>
    <s v="INFASCO"/>
    <s v="N/A"/>
    <n v="118.45"/>
  </r>
  <r>
    <x v="148"/>
    <x v="8"/>
    <x v="10"/>
    <n v="36"/>
    <n v="450"/>
    <n v="16200"/>
    <n v="11"/>
    <s v="Yes"/>
    <m/>
    <s v="Yes"/>
    <m/>
    <s v="Yes"/>
    <m/>
    <s v="Yes"/>
    <m/>
    <s v="N/A"/>
    <m/>
    <s v="Yes"/>
    <m/>
    <s v="Yes"/>
    <m/>
    <s v="New"/>
    <s v="INFASCO"/>
    <n v="95"/>
    <n v="97.85"/>
  </r>
  <r>
    <x v="149"/>
    <x v="10"/>
    <x v="10"/>
    <n v="36"/>
    <n v="450"/>
    <n v="16200"/>
    <s v="157+176"/>
    <s v="Yes"/>
    <m/>
    <s v="Yes"/>
    <m/>
    <s v="Yes"/>
    <m/>
    <s v="Yes"/>
    <m/>
    <s v="N/A"/>
    <m/>
    <s v="Yes"/>
    <m/>
    <s v="Yes"/>
    <m/>
    <s v="New"/>
    <s v="INFASCO"/>
    <n v="95"/>
    <n v="97.85"/>
  </r>
  <r>
    <x v="150"/>
    <x v="17"/>
    <x v="10"/>
    <n v="36"/>
    <n v="450"/>
    <n v="16200"/>
    <s v="175+177"/>
    <s v="Yes"/>
    <m/>
    <s v="Yes"/>
    <m/>
    <s v="Yes"/>
    <m/>
    <s v="Yes"/>
    <m/>
    <s v="N/A"/>
    <m/>
    <s v="Yes"/>
    <m/>
    <s v="Yes"/>
    <m/>
    <s v="New"/>
    <s v="INFASCO"/>
    <n v="95"/>
    <n v="97.85"/>
  </r>
  <r>
    <x v="151"/>
    <x v="2"/>
    <x v="61"/>
    <n v="36"/>
    <n v="4000"/>
    <n v="144000"/>
    <m/>
    <m/>
    <m/>
    <m/>
    <m/>
    <m/>
    <m/>
    <m/>
    <m/>
    <m/>
    <m/>
    <m/>
    <m/>
    <m/>
    <m/>
    <m/>
    <s v="INFASCO"/>
    <m/>
    <n v="97.85"/>
  </r>
  <r>
    <x v="151"/>
    <x v="2"/>
    <x v="2"/>
    <n v="36"/>
    <n v="2700"/>
    <n v="97200"/>
    <m/>
    <m/>
    <m/>
    <m/>
    <m/>
    <m/>
    <m/>
    <m/>
    <m/>
    <m/>
    <m/>
    <m/>
    <m/>
    <m/>
    <m/>
    <m/>
    <s v="INFASCO"/>
    <m/>
    <n v="97.85"/>
  </r>
  <r>
    <x v="151"/>
    <x v="5"/>
    <x v="0"/>
    <n v="36"/>
    <n v="2500"/>
    <n v="90000"/>
    <m/>
    <m/>
    <m/>
    <m/>
    <m/>
    <m/>
    <m/>
    <m/>
    <m/>
    <m/>
    <m/>
    <m/>
    <m/>
    <m/>
    <m/>
    <m/>
    <s v="INFASCO"/>
    <m/>
    <n v="97.85"/>
  </r>
  <r>
    <x v="151"/>
    <x v="5"/>
    <x v="0"/>
    <n v="36"/>
    <n v="2500"/>
    <n v="90000"/>
    <m/>
    <m/>
    <m/>
    <m/>
    <m/>
    <m/>
    <m/>
    <m/>
    <m/>
    <m/>
    <m/>
    <m/>
    <m/>
    <m/>
    <m/>
    <m/>
    <s v="INFASCO"/>
    <m/>
    <n v="97.85"/>
  </r>
  <r>
    <x v="151"/>
    <x v="11"/>
    <x v="0"/>
    <n v="36"/>
    <n v="2500"/>
    <n v="90000"/>
    <m/>
    <m/>
    <m/>
    <m/>
    <m/>
    <m/>
    <m/>
    <m/>
    <m/>
    <m/>
    <m/>
    <m/>
    <m/>
    <m/>
    <m/>
    <m/>
    <s v="INFASCO"/>
    <m/>
    <n v="97.85"/>
  </r>
  <r>
    <x v="151"/>
    <x v="11"/>
    <x v="0"/>
    <n v="33"/>
    <n v="2500"/>
    <n v="82500"/>
    <m/>
    <m/>
    <m/>
    <m/>
    <m/>
    <m/>
    <m/>
    <m/>
    <m/>
    <m/>
    <m/>
    <m/>
    <m/>
    <m/>
    <m/>
    <m/>
    <s v="INFASCO"/>
    <m/>
    <n v="97.85"/>
  </r>
  <r>
    <x v="151"/>
    <x v="1"/>
    <x v="38"/>
    <n v="40"/>
    <n v="1125"/>
    <n v="45000"/>
    <m/>
    <m/>
    <m/>
    <m/>
    <m/>
    <m/>
    <m/>
    <m/>
    <m/>
    <m/>
    <m/>
    <m/>
    <m/>
    <m/>
    <m/>
    <m/>
    <e v="#N/A"/>
    <m/>
    <n v="95"/>
  </r>
  <r>
    <x v="151"/>
    <x v="14"/>
    <x v="4"/>
    <n v="36"/>
    <n v="1200"/>
    <n v="43200"/>
    <m/>
    <m/>
    <m/>
    <m/>
    <m/>
    <m/>
    <m/>
    <m/>
    <m/>
    <m/>
    <m/>
    <m/>
    <m/>
    <m/>
    <m/>
    <m/>
    <s v="INFASCO"/>
    <m/>
    <n v="97.85"/>
  </r>
  <r>
    <x v="151"/>
    <x v="9"/>
    <x v="87"/>
    <n v="33"/>
    <n v="1250"/>
    <n v="41250"/>
    <m/>
    <m/>
    <m/>
    <m/>
    <m/>
    <m/>
    <m/>
    <m/>
    <m/>
    <m/>
    <m/>
    <m/>
    <m/>
    <m/>
    <m/>
    <m/>
    <s v="INFASCO"/>
    <m/>
    <n v="97.85"/>
  </r>
  <r>
    <x v="151"/>
    <x v="4"/>
    <x v="132"/>
    <n v="36"/>
    <n v="1100"/>
    <n v="39600"/>
    <m/>
    <m/>
    <m/>
    <m/>
    <m/>
    <m/>
    <m/>
    <m/>
    <m/>
    <m/>
    <m/>
    <m/>
    <m/>
    <m/>
    <m/>
    <m/>
    <s v="INFASCO"/>
    <m/>
    <n v="97.85"/>
  </r>
  <r>
    <x v="151"/>
    <x v="4"/>
    <x v="132"/>
    <n v="36"/>
    <n v="1100"/>
    <n v="39600"/>
    <m/>
    <m/>
    <m/>
    <m/>
    <m/>
    <m/>
    <m/>
    <m/>
    <m/>
    <m/>
    <m/>
    <m/>
    <m/>
    <m/>
    <m/>
    <m/>
    <s v="INFASCO"/>
    <m/>
    <n v="97.85"/>
  </r>
  <r>
    <x v="151"/>
    <x v="13"/>
    <x v="87"/>
    <n v="18"/>
    <n v="1250"/>
    <n v="22500"/>
    <m/>
    <m/>
    <m/>
    <m/>
    <m/>
    <m/>
    <m/>
    <m/>
    <m/>
    <m/>
    <m/>
    <m/>
    <m/>
    <m/>
    <m/>
    <m/>
    <s v="INFASCO"/>
    <m/>
    <n v="97.85"/>
  </r>
  <r>
    <x v="151"/>
    <x v="12"/>
    <x v="10"/>
    <n v="36"/>
    <n v="450"/>
    <n v="16200"/>
    <m/>
    <m/>
    <m/>
    <m/>
    <m/>
    <m/>
    <m/>
    <m/>
    <m/>
    <m/>
    <m/>
    <m/>
    <m/>
    <m/>
    <m/>
    <m/>
    <s v="INFASCO"/>
    <m/>
    <n v="97.85"/>
  </r>
  <r>
    <x v="151"/>
    <x v="3"/>
    <x v="63"/>
    <n v="36"/>
    <n v="450"/>
    <n v="16200"/>
    <m/>
    <m/>
    <m/>
    <m/>
    <m/>
    <m/>
    <m/>
    <m/>
    <m/>
    <m/>
    <m/>
    <m/>
    <m/>
    <m/>
    <m/>
    <m/>
    <s v="INFASCO"/>
    <m/>
    <n v="97.85"/>
  </r>
  <r>
    <x v="151"/>
    <x v="8"/>
    <x v="10"/>
    <n v="36"/>
    <n v="450"/>
    <n v="16200"/>
    <m/>
    <m/>
    <m/>
    <m/>
    <m/>
    <m/>
    <m/>
    <m/>
    <m/>
    <m/>
    <m/>
    <m/>
    <m/>
    <m/>
    <m/>
    <m/>
    <s v="INFASCO"/>
    <m/>
    <n v="97.85"/>
  </r>
  <r>
    <x v="151"/>
    <x v="6"/>
    <x v="55"/>
    <n v="36"/>
    <n v="400"/>
    <n v="14400"/>
    <m/>
    <m/>
    <m/>
    <m/>
    <m/>
    <m/>
    <m/>
    <m/>
    <m/>
    <m/>
    <m/>
    <m/>
    <m/>
    <m/>
    <m/>
    <m/>
    <s v="INFASCO"/>
    <m/>
    <n v="97.85"/>
  </r>
  <r>
    <x v="151"/>
    <x v="6"/>
    <x v="63"/>
    <n v="36"/>
    <n v="400"/>
    <n v="14400"/>
    <m/>
    <m/>
    <m/>
    <m/>
    <m/>
    <m/>
    <m/>
    <m/>
    <m/>
    <m/>
    <m/>
    <m/>
    <m/>
    <m/>
    <m/>
    <m/>
    <s v="INFASCO"/>
    <m/>
    <n v="97.85"/>
  </r>
  <r>
    <x v="151"/>
    <x v="7"/>
    <x v="55"/>
    <n v="36"/>
    <n v="400"/>
    <n v="14400"/>
    <m/>
    <m/>
    <m/>
    <m/>
    <m/>
    <m/>
    <m/>
    <m/>
    <m/>
    <m/>
    <m/>
    <m/>
    <m/>
    <m/>
    <m/>
    <m/>
    <s v="INFASCO"/>
    <m/>
    <n v="97.85"/>
  </r>
  <r>
    <x v="151"/>
    <x v="8"/>
    <x v="10"/>
    <n v="32"/>
    <n v="450"/>
    <n v="14400"/>
    <m/>
    <m/>
    <m/>
    <m/>
    <m/>
    <m/>
    <m/>
    <m/>
    <m/>
    <m/>
    <m/>
    <m/>
    <m/>
    <m/>
    <m/>
    <m/>
    <s v="INFASCO"/>
    <m/>
    <n v="97.85"/>
  </r>
  <r>
    <x v="151"/>
    <x v="3"/>
    <x v="63"/>
    <n v="31"/>
    <n v="450"/>
    <n v="13950"/>
    <m/>
    <m/>
    <m/>
    <m/>
    <m/>
    <m/>
    <m/>
    <m/>
    <m/>
    <m/>
    <m/>
    <m/>
    <m/>
    <m/>
    <m/>
    <m/>
    <s v="INFASCO"/>
    <m/>
    <n v="97.85"/>
  </r>
  <r>
    <x v="151"/>
    <x v="17"/>
    <x v="10"/>
    <n v="19"/>
    <n v="450"/>
    <n v="8550"/>
    <s v="175+177"/>
    <s v="Yes"/>
    <m/>
    <s v="Yes"/>
    <m/>
    <s v="Yes"/>
    <m/>
    <s v="Yes"/>
    <m/>
    <s v="N/A"/>
    <m/>
    <s v="Yes"/>
    <m/>
    <s v="Yes"/>
    <m/>
    <s v="New"/>
    <s v="INFASCO"/>
    <n v="95"/>
    <n v="97.85"/>
  </r>
  <r>
    <x v="151"/>
    <x v="8"/>
    <x v="133"/>
    <n v="29"/>
    <n v="210"/>
    <n v="6090"/>
    <m/>
    <m/>
    <m/>
    <m/>
    <m/>
    <m/>
    <m/>
    <m/>
    <m/>
    <m/>
    <m/>
    <m/>
    <m/>
    <m/>
    <m/>
    <m/>
    <s v="INFASCO"/>
    <m/>
    <n v="123.6"/>
  </r>
  <r>
    <x v="151"/>
    <x v="6"/>
    <x v="63"/>
    <n v="5"/>
    <n v="450"/>
    <n v="2250"/>
    <m/>
    <m/>
    <m/>
    <m/>
    <m/>
    <m/>
    <m/>
    <m/>
    <m/>
    <m/>
    <m/>
    <m/>
    <m/>
    <m/>
    <m/>
    <m/>
    <s v="INFASCO"/>
    <m/>
    <n v="97.85"/>
  </r>
  <r>
    <x v="152"/>
    <x v="18"/>
    <x v="49"/>
    <n v="26"/>
    <n v="1400"/>
    <n v="36400"/>
    <s v="156+172"/>
    <s v="Yes"/>
    <m/>
    <s v="Yes"/>
    <m/>
    <s v="Yes"/>
    <m/>
    <s v="Yes"/>
    <m/>
    <s v="N/A"/>
    <m/>
    <s v="Yes"/>
    <m/>
    <s v="Yes"/>
    <m/>
    <s v="New"/>
    <s v="INFASCO"/>
    <n v="95"/>
    <n v="97.85"/>
  </r>
  <r>
    <x v="153"/>
    <x v="18"/>
    <x v="10"/>
    <n v="36"/>
    <n v="450"/>
    <n v="16200"/>
    <s v="156+172"/>
    <s v="Yes"/>
    <m/>
    <s v="Yes"/>
    <m/>
    <s v="Yes"/>
    <m/>
    <s v="Yes"/>
    <m/>
    <s v="N/A"/>
    <m/>
    <s v="Yes"/>
    <m/>
    <s v="Yes"/>
    <m/>
    <s v="New"/>
    <s v="INFASCO"/>
    <n v="95"/>
    <n v="97.85"/>
  </r>
  <r>
    <x v="154"/>
    <x v="18"/>
    <x v="10"/>
    <n v="36"/>
    <n v="450"/>
    <n v="16200"/>
    <s v="156+172"/>
    <s v="Yes"/>
    <m/>
    <s v="Yes"/>
    <m/>
    <s v="Yes"/>
    <m/>
    <s v="Yes"/>
    <m/>
    <s v="N/A"/>
    <m/>
    <s v="Yes"/>
    <m/>
    <s v="Yes"/>
    <m/>
    <s v="New"/>
    <s v="INFASCO"/>
    <n v="95"/>
    <n v="97.85"/>
  </r>
  <r>
    <x v="155"/>
    <x v="18"/>
    <x v="10"/>
    <n v="36"/>
    <n v="450"/>
    <n v="16200"/>
    <n v="156"/>
    <s v="Yes"/>
    <m/>
    <s v="Yes"/>
    <m/>
    <s v="Yes"/>
    <m/>
    <s v="Yes"/>
    <m/>
    <s v="N/A"/>
    <m/>
    <s v="Yes"/>
    <m/>
    <s v="Yes"/>
    <m/>
    <s v="New"/>
    <s v="INFASCO"/>
    <n v="95"/>
    <n v="97.85"/>
  </r>
  <r>
    <x v="156"/>
    <x v="18"/>
    <x v="10"/>
    <n v="29"/>
    <n v="450"/>
    <n v="13050"/>
    <n v="156"/>
    <s v="Yes"/>
    <m/>
    <s v="Yes"/>
    <m/>
    <s v="Yes"/>
    <m/>
    <s v="Yes"/>
    <m/>
    <s v="N/A"/>
    <m/>
    <s v="Yes"/>
    <m/>
    <s v="Yes"/>
    <m/>
    <s v="New"/>
    <s v="INFASCO"/>
    <n v="95"/>
    <n v="97.85"/>
  </r>
  <r>
    <x v="157"/>
    <x v="10"/>
    <x v="10"/>
    <n v="36"/>
    <n v="450"/>
    <n v="16200"/>
    <s v="157+176"/>
    <s v="Yes"/>
    <m/>
    <s v="Yes"/>
    <m/>
    <s v="Yes"/>
    <m/>
    <s v="Yes"/>
    <m/>
    <s v="N/A"/>
    <m/>
    <s v="Yes"/>
    <m/>
    <s v="Yes"/>
    <m/>
    <s v="New"/>
    <s v="INFASCO"/>
    <n v="95"/>
    <n v="97.85"/>
  </r>
  <r>
    <x v="158"/>
    <x v="10"/>
    <x v="10"/>
    <n v="5"/>
    <n v="450"/>
    <n v="2250"/>
    <s v="157+176"/>
    <s v="Yes"/>
    <m/>
    <s v="Yes"/>
    <m/>
    <s v="Yes"/>
    <m/>
    <s v="Yes"/>
    <m/>
    <s v="N/A"/>
    <m/>
    <s v="Yes"/>
    <m/>
    <s v="Yes"/>
    <m/>
    <s v="New"/>
    <s v="INFASCO"/>
    <n v="95"/>
    <n v="97.85"/>
  </r>
  <r>
    <x v="159"/>
    <x v="8"/>
    <x v="134"/>
    <n v="29"/>
    <n v="750"/>
    <n v="21750"/>
    <s v="11+156"/>
    <s v="Yes"/>
    <m/>
    <s v="Yes"/>
    <m/>
    <s v="Yes"/>
    <m/>
    <s v="Yes"/>
    <m/>
    <s v="N/A"/>
    <m/>
    <s v="Yes"/>
    <m/>
    <s v="Yes"/>
    <m/>
    <s v="New"/>
    <s v="INFASCO"/>
    <n v="120"/>
    <n v="123.6"/>
  </r>
  <r>
    <x v="160"/>
    <x v="8"/>
    <x v="133"/>
    <n v="30"/>
    <n v="200"/>
    <n v="6000"/>
    <s v="11+156"/>
    <s v="Yes"/>
    <m/>
    <s v="Yes"/>
    <m/>
    <s v="Yes"/>
    <m/>
    <s v="Yes"/>
    <m/>
    <s v="N/A"/>
    <m/>
    <s v="Yes"/>
    <m/>
    <s v="Yes"/>
    <m/>
    <s v="New"/>
    <s v="INFASCO"/>
    <n v="120"/>
    <n v="123.6"/>
  </r>
  <r>
    <x v="161"/>
    <x v="10"/>
    <x v="133"/>
    <n v="30"/>
    <n v="200"/>
    <n v="6000"/>
    <s v="157+176"/>
    <s v="Yes"/>
    <m/>
    <s v="Yes"/>
    <m/>
    <s v="Yes"/>
    <m/>
    <s v="Yes"/>
    <m/>
    <s v="N/A"/>
    <m/>
    <s v="Yes"/>
    <m/>
    <s v="Yes"/>
    <m/>
    <s v="New"/>
    <s v="INFASCO"/>
    <n v="120"/>
    <n v="123.6"/>
  </r>
  <r>
    <x v="162"/>
    <x v="10"/>
    <x v="135"/>
    <n v="3"/>
    <n v="1500"/>
    <n v="4500"/>
    <s v="157+176"/>
    <s v="Yes"/>
    <m/>
    <s v="Yes"/>
    <m/>
    <s v="Yes"/>
    <m/>
    <s v="Yes"/>
    <m/>
    <s v="N/A"/>
    <m/>
    <s v="Yes"/>
    <m/>
    <s v="Yes"/>
    <m/>
    <s v="New"/>
    <s v="INFASCO"/>
    <n v="95"/>
    <n v="97.85"/>
  </r>
  <r>
    <x v="163"/>
    <x v="8"/>
    <x v="135"/>
    <n v="30"/>
    <n v="1500"/>
    <n v="45000"/>
    <s v="011+156"/>
    <s v="Yes"/>
    <m/>
    <s v="Yes"/>
    <m/>
    <s v="Yes"/>
    <m/>
    <s v="Yes"/>
    <m/>
    <s v="N/A"/>
    <m/>
    <s v="Yes"/>
    <m/>
    <s v="Yes"/>
    <m/>
    <s v="New"/>
    <s v="INFASCO"/>
    <n v="95"/>
    <n v="97.85"/>
  </r>
  <r>
    <x v="164"/>
    <x v="2"/>
    <x v="61"/>
    <n v="36"/>
    <n v="4000"/>
    <n v="144000"/>
    <m/>
    <m/>
    <m/>
    <m/>
    <m/>
    <m/>
    <m/>
    <m/>
    <m/>
    <m/>
    <m/>
    <m/>
    <m/>
    <m/>
    <m/>
    <m/>
    <s v="INFASCO"/>
    <m/>
    <n v="97.85"/>
  </r>
  <r>
    <x v="164"/>
    <x v="15"/>
    <x v="61"/>
    <n v="29"/>
    <n v="4000"/>
    <n v="116000"/>
    <m/>
    <m/>
    <m/>
    <m/>
    <m/>
    <m/>
    <m/>
    <m/>
    <m/>
    <m/>
    <m/>
    <m/>
    <m/>
    <m/>
    <m/>
    <m/>
    <s v="INFASCO"/>
    <m/>
    <n v="97.85"/>
  </r>
  <r>
    <x v="164"/>
    <x v="11"/>
    <x v="0"/>
    <n v="33"/>
    <n v="2500"/>
    <n v="82500"/>
    <m/>
    <m/>
    <m/>
    <m/>
    <m/>
    <m/>
    <m/>
    <m/>
    <m/>
    <m/>
    <m/>
    <m/>
    <m/>
    <m/>
    <m/>
    <m/>
    <s v="INFASCO"/>
    <m/>
    <n v="97.85"/>
  </r>
  <r>
    <x v="164"/>
    <x v="5"/>
    <x v="0"/>
    <n v="33"/>
    <n v="2500"/>
    <n v="82500"/>
    <m/>
    <m/>
    <m/>
    <m/>
    <m/>
    <m/>
    <m/>
    <m/>
    <m/>
    <m/>
    <m/>
    <m/>
    <m/>
    <m/>
    <m/>
    <m/>
    <s v="INFASCO"/>
    <m/>
    <n v="97.85"/>
  </r>
  <r>
    <x v="164"/>
    <x v="10"/>
    <x v="76"/>
    <n v="18"/>
    <n v="4500"/>
    <n v="81000"/>
    <m/>
    <m/>
    <m/>
    <m/>
    <m/>
    <m/>
    <m/>
    <m/>
    <m/>
    <m/>
    <m/>
    <m/>
    <m/>
    <m/>
    <m/>
    <m/>
    <s v="INFASCO"/>
    <m/>
    <n v="97.85"/>
  </r>
  <r>
    <x v="164"/>
    <x v="11"/>
    <x v="0"/>
    <n v="31"/>
    <n v="2500"/>
    <n v="77500"/>
    <m/>
    <m/>
    <m/>
    <m/>
    <m/>
    <m/>
    <m/>
    <m/>
    <m/>
    <m/>
    <m/>
    <m/>
    <m/>
    <m/>
    <m/>
    <m/>
    <s v="INFASCO"/>
    <m/>
    <n v="97.85"/>
  </r>
  <r>
    <x v="164"/>
    <x v="22"/>
    <x v="46"/>
    <n v="36"/>
    <n v="2150"/>
    <n v="77400"/>
    <m/>
    <m/>
    <m/>
    <m/>
    <m/>
    <m/>
    <m/>
    <m/>
    <m/>
    <m/>
    <m/>
    <m/>
    <m/>
    <m/>
    <m/>
    <m/>
    <s v="INFASCO"/>
    <m/>
    <n v="97.85"/>
  </r>
  <r>
    <x v="164"/>
    <x v="1"/>
    <x v="46"/>
    <n v="26"/>
    <n v="2150"/>
    <n v="55900"/>
    <m/>
    <m/>
    <m/>
    <m/>
    <m/>
    <m/>
    <m/>
    <m/>
    <m/>
    <m/>
    <m/>
    <m/>
    <m/>
    <m/>
    <m/>
    <m/>
    <s v="INFASCO"/>
    <m/>
    <n v="97.85"/>
  </r>
  <r>
    <x v="164"/>
    <x v="6"/>
    <x v="46"/>
    <n v="26"/>
    <n v="2150"/>
    <n v="55900"/>
    <m/>
    <m/>
    <m/>
    <m/>
    <m/>
    <m/>
    <m/>
    <m/>
    <m/>
    <m/>
    <m/>
    <m/>
    <m/>
    <m/>
    <m/>
    <m/>
    <s v="INFASCO"/>
    <m/>
    <n v="97.85"/>
  </r>
  <r>
    <x v="164"/>
    <x v="21"/>
    <x v="136"/>
    <n v="32"/>
    <n v="1300"/>
    <n v="41600"/>
    <m/>
    <m/>
    <m/>
    <m/>
    <m/>
    <m/>
    <m/>
    <m/>
    <m/>
    <m/>
    <m/>
    <m/>
    <m/>
    <m/>
    <m/>
    <m/>
    <s v="INFASCO"/>
    <m/>
    <n v="41"/>
  </r>
  <r>
    <x v="164"/>
    <x v="8"/>
    <x v="136"/>
    <n v="30"/>
    <n v="1300"/>
    <n v="39000"/>
    <m/>
    <m/>
    <m/>
    <m/>
    <m/>
    <m/>
    <m/>
    <m/>
    <m/>
    <m/>
    <m/>
    <m/>
    <m/>
    <m/>
    <m/>
    <m/>
    <s v="INFASCO"/>
    <m/>
    <n v="41"/>
  </r>
  <r>
    <x v="164"/>
    <x v="19"/>
    <x v="83"/>
    <n v="20"/>
    <n v="1800"/>
    <n v="36000"/>
    <m/>
    <m/>
    <m/>
    <m/>
    <m/>
    <m/>
    <m/>
    <m/>
    <m/>
    <m/>
    <m/>
    <m/>
    <m/>
    <m/>
    <m/>
    <m/>
    <s v="INFASCO"/>
    <m/>
    <n v="123.6"/>
  </r>
  <r>
    <x v="164"/>
    <x v="9"/>
    <x v="87"/>
    <n v="27"/>
    <n v="1250"/>
    <n v="33750"/>
    <m/>
    <m/>
    <m/>
    <m/>
    <m/>
    <m/>
    <m/>
    <m/>
    <m/>
    <m/>
    <m/>
    <m/>
    <m/>
    <m/>
    <m/>
    <m/>
    <s v="INFASCO"/>
    <m/>
    <n v="97.85"/>
  </r>
  <r>
    <x v="164"/>
    <x v="14"/>
    <x v="4"/>
    <n v="26"/>
    <n v="1200"/>
    <n v="31200"/>
    <m/>
    <m/>
    <m/>
    <m/>
    <m/>
    <m/>
    <m/>
    <m/>
    <m/>
    <m/>
    <m/>
    <m/>
    <m/>
    <m/>
    <m/>
    <m/>
    <s v="INFASCO"/>
    <m/>
    <n v="97.85"/>
  </r>
  <r>
    <x v="164"/>
    <x v="12"/>
    <x v="10"/>
    <n v="42"/>
    <n v="450"/>
    <n v="18900"/>
    <m/>
    <m/>
    <m/>
    <m/>
    <m/>
    <m/>
    <m/>
    <m/>
    <m/>
    <m/>
    <m/>
    <m/>
    <m/>
    <m/>
    <m/>
    <m/>
    <s v="INFASCO"/>
    <m/>
    <n v="97.85"/>
  </r>
  <r>
    <x v="164"/>
    <x v="12"/>
    <x v="10"/>
    <n v="36"/>
    <n v="450"/>
    <n v="16200"/>
    <m/>
    <m/>
    <m/>
    <m/>
    <m/>
    <m/>
    <m/>
    <m/>
    <m/>
    <m/>
    <m/>
    <m/>
    <m/>
    <m/>
    <m/>
    <m/>
    <s v="INFASCO"/>
    <m/>
    <n v="97.85"/>
  </r>
  <r>
    <x v="164"/>
    <x v="3"/>
    <x v="10"/>
    <n v="36"/>
    <n v="450"/>
    <n v="16200"/>
    <m/>
    <m/>
    <m/>
    <m/>
    <m/>
    <m/>
    <m/>
    <m/>
    <m/>
    <m/>
    <m/>
    <m/>
    <m/>
    <m/>
    <m/>
    <m/>
    <s v="INFASCO"/>
    <m/>
    <n v="97.85"/>
  </r>
  <r>
    <x v="164"/>
    <x v="16"/>
    <x v="10"/>
    <n v="36"/>
    <n v="450"/>
    <n v="16200"/>
    <m/>
    <m/>
    <m/>
    <m/>
    <m/>
    <m/>
    <m/>
    <m/>
    <m/>
    <m/>
    <m/>
    <m/>
    <m/>
    <m/>
    <m/>
    <m/>
    <s v="INFASCO"/>
    <m/>
    <n v="97.85"/>
  </r>
  <r>
    <x v="164"/>
    <x v="16"/>
    <x v="10"/>
    <n v="36"/>
    <n v="450"/>
    <n v="16200"/>
    <m/>
    <m/>
    <m/>
    <m/>
    <m/>
    <m/>
    <m/>
    <m/>
    <m/>
    <m/>
    <m/>
    <m/>
    <m/>
    <m/>
    <m/>
    <m/>
    <s v="INFASCO"/>
    <m/>
    <n v="97.85"/>
  </r>
  <r>
    <x v="164"/>
    <x v="7"/>
    <x v="10"/>
    <n v="36"/>
    <n v="450"/>
    <n v="16200"/>
    <m/>
    <m/>
    <m/>
    <m/>
    <m/>
    <m/>
    <m/>
    <m/>
    <m/>
    <m/>
    <m/>
    <m/>
    <m/>
    <m/>
    <m/>
    <m/>
    <s v="INFASCO"/>
    <m/>
    <n v="97.85"/>
  </r>
  <r>
    <x v="164"/>
    <x v="4"/>
    <x v="137"/>
    <n v="36"/>
    <n v="425"/>
    <n v="15300"/>
    <m/>
    <m/>
    <m/>
    <m/>
    <m/>
    <m/>
    <m/>
    <m/>
    <m/>
    <m/>
    <m/>
    <m/>
    <m/>
    <m/>
    <m/>
    <m/>
    <s v="INFASCO"/>
    <m/>
    <n v="97.85"/>
  </r>
  <r>
    <x v="164"/>
    <x v="4"/>
    <x v="137"/>
    <n v="36"/>
    <n v="425"/>
    <n v="15300"/>
    <m/>
    <m/>
    <m/>
    <m/>
    <m/>
    <m/>
    <m/>
    <m/>
    <m/>
    <m/>
    <m/>
    <m/>
    <m/>
    <m/>
    <m/>
    <m/>
    <s v="INFASCO"/>
    <m/>
    <n v="97.85"/>
  </r>
  <r>
    <x v="164"/>
    <x v="4"/>
    <x v="137"/>
    <n v="36"/>
    <n v="425"/>
    <n v="15300"/>
    <m/>
    <m/>
    <m/>
    <m/>
    <m/>
    <m/>
    <m/>
    <m/>
    <m/>
    <m/>
    <m/>
    <m/>
    <m/>
    <m/>
    <m/>
    <m/>
    <s v="INFASCO"/>
    <m/>
    <n v="97.85"/>
  </r>
  <r>
    <x v="164"/>
    <x v="4"/>
    <x v="137"/>
    <n v="36"/>
    <n v="425"/>
    <n v="15300"/>
    <m/>
    <m/>
    <m/>
    <m/>
    <m/>
    <m/>
    <m/>
    <m/>
    <m/>
    <m/>
    <m/>
    <m/>
    <m/>
    <m/>
    <m/>
    <m/>
    <s v="INFASCO"/>
    <m/>
    <n v="97.85"/>
  </r>
  <r>
    <x v="164"/>
    <x v="21"/>
    <x v="32"/>
    <n v="33"/>
    <n v="220"/>
    <n v="7260"/>
    <m/>
    <m/>
    <m/>
    <m/>
    <m/>
    <m/>
    <m/>
    <m/>
    <m/>
    <m/>
    <m/>
    <m/>
    <m/>
    <m/>
    <m/>
    <m/>
    <s v="INFASCO"/>
    <m/>
    <n v="97.85"/>
  </r>
  <r>
    <x v="164"/>
    <x v="21"/>
    <x v="32"/>
    <n v="33"/>
    <n v="220"/>
    <n v="7260"/>
    <m/>
    <m/>
    <m/>
    <m/>
    <m/>
    <m/>
    <m/>
    <m/>
    <m/>
    <m/>
    <m/>
    <m/>
    <m/>
    <m/>
    <m/>
    <m/>
    <s v="INFASCO"/>
    <m/>
    <n v="97.85"/>
  </r>
  <r>
    <x v="164"/>
    <x v="21"/>
    <x v="45"/>
    <n v="1"/>
    <m/>
    <n v="0"/>
    <m/>
    <m/>
    <m/>
    <m/>
    <m/>
    <m/>
    <m/>
    <m/>
    <m/>
    <m/>
    <m/>
    <m/>
    <m/>
    <m/>
    <m/>
    <m/>
    <s v="INFASCO"/>
    <m/>
    <n v="69"/>
  </r>
  <r>
    <x v="165"/>
    <x v="10"/>
    <x v="134"/>
    <n v="36"/>
    <n v="750"/>
    <n v="27000"/>
    <n v="156"/>
    <s v="Yes"/>
    <m/>
    <s v="Yes"/>
    <m/>
    <s v="Yes"/>
    <m/>
    <s v="Yes"/>
    <m/>
    <s v="N/A"/>
    <m/>
    <s v="Yes"/>
    <m/>
    <s v="Yes"/>
    <m/>
    <s v="New"/>
    <s v="INFASCO"/>
    <n v="120"/>
    <n v="123.6"/>
  </r>
  <r>
    <x v="166"/>
    <x v="8"/>
    <x v="26"/>
    <n v="36"/>
    <n v="1400"/>
    <n v="50400"/>
    <s v="011+142"/>
    <s v="Yes"/>
    <m/>
    <s v="Yes"/>
    <m/>
    <s v="Yes"/>
    <m/>
    <s v="Yes"/>
    <m/>
    <s v="N/A"/>
    <m/>
    <s v="Yes"/>
    <m/>
    <s v="Yes"/>
    <m/>
    <s v="New"/>
    <s v="INFASCO"/>
    <n v="120"/>
    <n v="123.6"/>
  </r>
  <r>
    <x v="167"/>
    <x v="8"/>
    <x v="26"/>
    <n v="14"/>
    <n v="1400"/>
    <n v="19600"/>
    <n v="7.746478873239436E-2"/>
    <s v="Yes"/>
    <m/>
    <s v="Yes"/>
    <m/>
    <s v="Yes"/>
    <m/>
    <s v="Yes"/>
    <m/>
    <s v="N/A"/>
    <m/>
    <s v="Yes"/>
    <m/>
    <s v="Yes"/>
    <m/>
    <s v="New"/>
    <s v="INFASCO"/>
    <n v="120"/>
    <n v="123.6"/>
  </r>
  <r>
    <x v="168"/>
    <x v="17"/>
    <x v="114"/>
    <n v="28"/>
    <n v="600"/>
    <n v="16800"/>
    <s v="177+175"/>
    <s v="Yes"/>
    <m/>
    <s v="Yes"/>
    <m/>
    <s v="Yes"/>
    <m/>
    <s v="Yes"/>
    <m/>
    <s v="N/A"/>
    <m/>
    <s v="Yes"/>
    <m/>
    <s v="Yes"/>
    <m/>
    <s v="New"/>
    <s v="INFASCO"/>
    <n v="95"/>
    <n v="97.85"/>
  </r>
  <r>
    <x v="169"/>
    <x v="17"/>
    <x v="45"/>
    <n v="1"/>
    <n v="1850"/>
    <n v="1850"/>
    <s v="177+175"/>
    <s v="Yes"/>
    <m/>
    <s v="Yes"/>
    <m/>
    <s v="Yes"/>
    <m/>
    <s v="Yes"/>
    <m/>
    <s v="N/A"/>
    <m/>
    <s v="Yes"/>
    <m/>
    <s v="Yes"/>
    <m/>
    <s v="BTB"/>
    <s v="INFASCO"/>
    <n v="220"/>
    <n v="65"/>
  </r>
  <r>
    <x v="170"/>
    <x v="10"/>
    <x v="138"/>
    <n v="36"/>
    <n v="150"/>
    <n v="5400"/>
    <n v="156"/>
    <s v="Yes"/>
    <m/>
    <s v="Yes"/>
    <m/>
    <s v="Yes"/>
    <m/>
    <s v="Yes"/>
    <m/>
    <s v="N/A"/>
    <m/>
    <s v="Yes"/>
    <m/>
    <s v="Yes"/>
    <m/>
    <s v="New"/>
    <s v="INFASCO"/>
    <n v="110"/>
    <n v="110"/>
  </r>
  <r>
    <x v="171"/>
    <x v="8"/>
    <x v="136"/>
    <n v="31"/>
    <n v="1300"/>
    <n v="40300"/>
    <n v="12.909090909090908"/>
    <s v="Yes"/>
    <m/>
    <s v="Yes"/>
    <m/>
    <s v="Yes"/>
    <m/>
    <s v="Yes"/>
    <m/>
    <s v="N/A"/>
    <m/>
    <s v="Yes"/>
    <m/>
    <s v="Yes"/>
    <m/>
    <s v="New"/>
    <s v="INFASCO"/>
    <n v="41"/>
    <n v="41"/>
  </r>
  <r>
    <x v="172"/>
    <x v="18"/>
    <x v="76"/>
    <n v="36"/>
    <n v="4500"/>
    <n v="162000"/>
    <s v="156+146"/>
    <s v="Yes"/>
    <m/>
    <s v="Yes"/>
    <m/>
    <s v="Yes"/>
    <m/>
    <s v="Yes"/>
    <m/>
    <s v="N/A"/>
    <m/>
    <s v="Yes"/>
    <m/>
    <s v="Yes"/>
    <m/>
    <s v="New"/>
    <s v="INFASCO"/>
    <n v="95"/>
    <n v="97.85"/>
  </r>
  <r>
    <x v="173"/>
    <x v="8"/>
    <x v="136"/>
    <n v="34"/>
    <n v="1300"/>
    <n v="44200"/>
    <n v="7.746478873239436E-2"/>
    <s v="Yes"/>
    <m/>
    <s v="Yes"/>
    <m/>
    <s v="Yes"/>
    <m/>
    <s v="Yes"/>
    <m/>
    <s v="N/A"/>
    <m/>
    <s v="Yes"/>
    <m/>
    <s v="Yes"/>
    <m/>
    <s v="New"/>
    <s v="INFASCO"/>
    <n v="41"/>
    <n v="41"/>
  </r>
  <r>
    <x v="174"/>
    <x v="18"/>
    <x v="76"/>
    <n v="36"/>
    <n v="4500"/>
    <n v="162000"/>
    <s v="156+146"/>
    <s v="Yes"/>
    <m/>
    <s v="Yes"/>
    <m/>
    <s v="Yes"/>
    <m/>
    <s v="Yes"/>
    <m/>
    <s v="N/A"/>
    <m/>
    <s v="Yes"/>
    <m/>
    <s v="Yes"/>
    <m/>
    <s v="New"/>
    <s v="INFASCO"/>
    <n v="95"/>
    <n v="97.85"/>
  </r>
  <r>
    <x v="175"/>
    <x v="17"/>
    <x v="45"/>
    <n v="1"/>
    <n v="1850"/>
    <n v="1850"/>
    <s v="175+177"/>
    <s v="Yes"/>
    <m/>
    <s v="Yes"/>
    <m/>
    <s v="Yes"/>
    <m/>
    <s v="Yes"/>
    <m/>
    <s v="N/A"/>
    <m/>
    <s v="Yes"/>
    <m/>
    <s v="Yes"/>
    <m/>
    <s v="BTB"/>
    <s v="INFASCO"/>
    <n v="220"/>
    <n v="65"/>
  </r>
  <r>
    <x v="176"/>
    <x v="17"/>
    <x v="32"/>
    <n v="33"/>
    <n v="220"/>
    <n v="7260"/>
    <s v="175+177"/>
    <s v="Yes"/>
    <m/>
    <s v="Yes"/>
    <m/>
    <s v="Yes"/>
    <m/>
    <s v="Yes"/>
    <m/>
    <s v="N/A"/>
    <m/>
    <s v="Yes"/>
    <m/>
    <s v="Yes"/>
    <m/>
    <s v="New"/>
    <s v="INFASCO"/>
    <n v="95"/>
    <n v="97.85"/>
  </r>
  <r>
    <x v="177"/>
    <x v="17"/>
    <x v="136"/>
    <n v="32"/>
    <n v="1300"/>
    <n v="41600"/>
    <s v="175+177"/>
    <s v="Yes"/>
    <m/>
    <s v="Yes"/>
    <m/>
    <s v="Yes"/>
    <m/>
    <s v="Yes"/>
    <m/>
    <s v="N/A"/>
    <m/>
    <s v="Yes"/>
    <m/>
    <s v="Yes"/>
    <m/>
    <s v="New"/>
    <s v="INFASCO"/>
    <n v="41"/>
    <n v="41"/>
  </r>
  <r>
    <x v="178"/>
    <x v="17"/>
    <x v="32"/>
    <n v="33"/>
    <n v="220"/>
    <n v="7260"/>
    <s v="175+177"/>
    <s v="Yes"/>
    <m/>
    <s v="Yes"/>
    <m/>
    <s v="Yes"/>
    <m/>
    <s v="Yes"/>
    <m/>
    <s v="N/A"/>
    <m/>
    <s v="Yes"/>
    <m/>
    <s v="Yes"/>
    <m/>
    <s v="New"/>
    <s v="INFASCO"/>
    <n v="95"/>
    <n v="97.85"/>
  </r>
  <r>
    <x v="179"/>
    <x v="8"/>
    <x v="32"/>
    <n v="27"/>
    <n v="220"/>
    <n v="5940"/>
    <n v="7.746478873239436E-2"/>
    <s v="Yes"/>
    <m/>
    <s v="Yes"/>
    <m/>
    <s v="Yes"/>
    <m/>
    <s v="Yes"/>
    <m/>
    <s v="N/A"/>
    <m/>
    <s v="Yes"/>
    <m/>
    <s v="Yes"/>
    <m/>
    <s v="New"/>
    <s v="INFASCO"/>
    <n v="95"/>
    <n v="97.85"/>
  </r>
  <r>
    <x v="180"/>
    <x v="2"/>
    <x v="61"/>
    <n v="36"/>
    <n v="4000"/>
    <n v="144000"/>
    <m/>
    <m/>
    <m/>
    <m/>
    <m/>
    <m/>
    <m/>
    <m/>
    <m/>
    <m/>
    <m/>
    <m/>
    <m/>
    <m/>
    <m/>
    <m/>
    <s v="INFASCO"/>
    <m/>
    <n v="97.85"/>
  </r>
  <r>
    <x v="180"/>
    <x v="15"/>
    <x v="61"/>
    <n v="25"/>
    <n v="4000"/>
    <n v="100000"/>
    <m/>
    <m/>
    <m/>
    <m/>
    <m/>
    <m/>
    <m/>
    <m/>
    <m/>
    <m/>
    <m/>
    <m/>
    <m/>
    <m/>
    <m/>
    <m/>
    <s v="INFASCO"/>
    <m/>
    <n v="97.85"/>
  </r>
  <r>
    <x v="180"/>
    <x v="5"/>
    <x v="0"/>
    <n v="36"/>
    <n v="2500"/>
    <n v="90000"/>
    <m/>
    <m/>
    <m/>
    <m/>
    <m/>
    <m/>
    <m/>
    <m/>
    <m/>
    <m/>
    <m/>
    <m/>
    <m/>
    <m/>
    <m/>
    <m/>
    <s v="INFASCO"/>
    <m/>
    <n v="97.85"/>
  </r>
  <r>
    <x v="180"/>
    <x v="5"/>
    <x v="0"/>
    <n v="36"/>
    <n v="2500"/>
    <n v="90000"/>
    <m/>
    <m/>
    <m/>
    <m/>
    <m/>
    <m/>
    <m/>
    <m/>
    <m/>
    <m/>
    <m/>
    <m/>
    <m/>
    <m/>
    <m/>
    <m/>
    <s v="INFASCO"/>
    <m/>
    <n v="97.85"/>
  </r>
  <r>
    <x v="180"/>
    <x v="11"/>
    <x v="0"/>
    <n v="36"/>
    <n v="2500"/>
    <n v="90000"/>
    <m/>
    <m/>
    <m/>
    <m/>
    <m/>
    <m/>
    <m/>
    <m/>
    <m/>
    <m/>
    <m/>
    <m/>
    <m/>
    <m/>
    <m/>
    <m/>
    <s v="INFASCO"/>
    <m/>
    <n v="97.85"/>
  </r>
  <r>
    <x v="180"/>
    <x v="4"/>
    <x v="0"/>
    <n v="36"/>
    <n v="2500"/>
    <n v="90000"/>
    <m/>
    <m/>
    <m/>
    <m/>
    <m/>
    <m/>
    <m/>
    <m/>
    <m/>
    <m/>
    <m/>
    <m/>
    <m/>
    <m/>
    <m/>
    <m/>
    <s v="INFASCO"/>
    <m/>
    <n v="97.85"/>
  </r>
  <r>
    <x v="180"/>
    <x v="11"/>
    <x v="0"/>
    <n v="32"/>
    <n v="2500"/>
    <n v="80000"/>
    <m/>
    <m/>
    <m/>
    <m/>
    <m/>
    <m/>
    <m/>
    <m/>
    <m/>
    <m/>
    <m/>
    <m/>
    <m/>
    <m/>
    <m/>
    <m/>
    <s v="INFASCO"/>
    <m/>
    <n v="97.85"/>
  </r>
  <r>
    <x v="180"/>
    <x v="23"/>
    <x v="0"/>
    <n v="32"/>
    <n v="2500"/>
    <n v="80000"/>
    <m/>
    <m/>
    <m/>
    <m/>
    <m/>
    <m/>
    <m/>
    <m/>
    <m/>
    <m/>
    <m/>
    <m/>
    <m/>
    <m/>
    <m/>
    <m/>
    <s v="INFASCO"/>
    <m/>
    <n v="97.85"/>
  </r>
  <r>
    <x v="180"/>
    <x v="6"/>
    <x v="46"/>
    <n v="36"/>
    <n v="2150"/>
    <n v="77400"/>
    <m/>
    <m/>
    <m/>
    <m/>
    <m/>
    <m/>
    <m/>
    <m/>
    <m/>
    <m/>
    <m/>
    <m/>
    <m/>
    <m/>
    <m/>
    <m/>
    <s v="INFASCO"/>
    <m/>
    <n v="97.85"/>
  </r>
  <r>
    <x v="180"/>
    <x v="6"/>
    <x v="46"/>
    <n v="36"/>
    <n v="2150"/>
    <n v="77400"/>
    <m/>
    <m/>
    <m/>
    <m/>
    <m/>
    <m/>
    <m/>
    <m/>
    <m/>
    <m/>
    <m/>
    <m/>
    <m/>
    <m/>
    <m/>
    <m/>
    <s v="INFASCO"/>
    <m/>
    <n v="97.85"/>
  </r>
  <r>
    <x v="180"/>
    <x v="6"/>
    <x v="139"/>
    <n v="36"/>
    <n v="1750"/>
    <n v="63000"/>
    <m/>
    <m/>
    <m/>
    <m/>
    <m/>
    <m/>
    <m/>
    <m/>
    <m/>
    <m/>
    <m/>
    <m/>
    <m/>
    <m/>
    <m/>
    <m/>
    <s v="INFASCO"/>
    <m/>
    <n v="97.85"/>
  </r>
  <r>
    <x v="180"/>
    <x v="1"/>
    <x v="46"/>
    <n v="26"/>
    <n v="2150"/>
    <n v="55900"/>
    <m/>
    <m/>
    <m/>
    <m/>
    <m/>
    <m/>
    <m/>
    <m/>
    <m/>
    <m/>
    <m/>
    <m/>
    <m/>
    <m/>
    <m/>
    <m/>
    <s v="INFASCO"/>
    <m/>
    <n v="97.85"/>
  </r>
  <r>
    <x v="180"/>
    <x v="1"/>
    <x v="46"/>
    <n v="16"/>
    <n v="2150"/>
    <n v="34400"/>
    <m/>
    <m/>
    <m/>
    <m/>
    <m/>
    <m/>
    <m/>
    <m/>
    <m/>
    <m/>
    <m/>
    <m/>
    <m/>
    <m/>
    <m/>
    <m/>
    <s v="INFASCO"/>
    <m/>
    <n v="97.85"/>
  </r>
  <r>
    <x v="180"/>
    <x v="16"/>
    <x v="10"/>
    <n v="66"/>
    <n v="450"/>
    <n v="29700"/>
    <m/>
    <m/>
    <m/>
    <m/>
    <m/>
    <m/>
    <m/>
    <m/>
    <m/>
    <m/>
    <m/>
    <m/>
    <m/>
    <m/>
    <m/>
    <m/>
    <s v="INFASCO"/>
    <m/>
    <n v="97.85"/>
  </r>
  <r>
    <x v="180"/>
    <x v="4"/>
    <x v="90"/>
    <n v="24"/>
    <n v="700"/>
    <n v="16800"/>
    <m/>
    <m/>
    <m/>
    <m/>
    <m/>
    <m/>
    <m/>
    <m/>
    <m/>
    <m/>
    <m/>
    <m/>
    <m/>
    <m/>
    <m/>
    <m/>
    <s v="INFASCO"/>
    <m/>
    <n v="97.85"/>
  </r>
  <r>
    <x v="180"/>
    <x v="4"/>
    <x v="10"/>
    <n v="36"/>
    <n v="450"/>
    <n v="16200"/>
    <m/>
    <m/>
    <m/>
    <m/>
    <m/>
    <m/>
    <m/>
    <m/>
    <m/>
    <m/>
    <m/>
    <m/>
    <m/>
    <m/>
    <m/>
    <m/>
    <s v="INFASCO"/>
    <m/>
    <n v="97.85"/>
  </r>
  <r>
    <x v="180"/>
    <x v="4"/>
    <x v="10"/>
    <n v="36"/>
    <n v="450"/>
    <n v="16200"/>
    <m/>
    <m/>
    <m/>
    <m/>
    <m/>
    <m/>
    <m/>
    <m/>
    <m/>
    <m/>
    <m/>
    <m/>
    <m/>
    <m/>
    <m/>
    <m/>
    <s v="INFASCO"/>
    <m/>
    <n v="97.85"/>
  </r>
  <r>
    <x v="180"/>
    <x v="4"/>
    <x v="10"/>
    <n v="36"/>
    <n v="450"/>
    <n v="16200"/>
    <m/>
    <m/>
    <m/>
    <m/>
    <m/>
    <m/>
    <m/>
    <m/>
    <m/>
    <m/>
    <m/>
    <m/>
    <m/>
    <m/>
    <m/>
    <m/>
    <s v="INFASCO"/>
    <m/>
    <n v="97.85"/>
  </r>
  <r>
    <x v="180"/>
    <x v="7"/>
    <x v="10"/>
    <n v="36"/>
    <n v="450"/>
    <n v="16200"/>
    <m/>
    <m/>
    <m/>
    <m/>
    <m/>
    <m/>
    <m/>
    <m/>
    <m/>
    <m/>
    <m/>
    <m/>
    <m/>
    <m/>
    <m/>
    <m/>
    <s v="INFASCO"/>
    <m/>
    <n v="97.85"/>
  </r>
  <r>
    <x v="180"/>
    <x v="12"/>
    <x v="10"/>
    <n v="36"/>
    <n v="450"/>
    <n v="16200"/>
    <m/>
    <m/>
    <m/>
    <m/>
    <m/>
    <m/>
    <m/>
    <m/>
    <m/>
    <m/>
    <m/>
    <m/>
    <m/>
    <m/>
    <m/>
    <m/>
    <s v="INFASCO"/>
    <m/>
    <n v="97.85"/>
  </r>
  <r>
    <x v="180"/>
    <x v="12"/>
    <x v="10"/>
    <n v="36"/>
    <n v="450"/>
    <n v="16200"/>
    <m/>
    <m/>
    <m/>
    <m/>
    <m/>
    <m/>
    <m/>
    <m/>
    <m/>
    <m/>
    <m/>
    <m/>
    <m/>
    <m/>
    <m/>
    <m/>
    <s v="INFASCO"/>
    <m/>
    <n v="97.85"/>
  </r>
  <r>
    <x v="180"/>
    <x v="12"/>
    <x v="10"/>
    <n v="36"/>
    <n v="450"/>
    <n v="16200"/>
    <m/>
    <m/>
    <m/>
    <m/>
    <m/>
    <m/>
    <m/>
    <m/>
    <m/>
    <m/>
    <m/>
    <m/>
    <m/>
    <m/>
    <m/>
    <m/>
    <s v="INFASCO"/>
    <m/>
    <n v="97.85"/>
  </r>
  <r>
    <x v="181"/>
    <x v="10"/>
    <x v="32"/>
    <n v="30"/>
    <n v="220"/>
    <n v="6600"/>
    <s v="176+157"/>
    <s v="Yes"/>
    <m/>
    <s v="Yes"/>
    <m/>
    <s v="Yes"/>
    <m/>
    <s v="Yes"/>
    <m/>
    <s v="N/A"/>
    <m/>
    <s v="Yes"/>
    <m/>
    <s v="Yes"/>
    <m/>
    <s v="New"/>
    <s v="INFASCO"/>
    <n v="95"/>
    <n v="97.85"/>
  </r>
  <r>
    <x v="182"/>
    <x v="8"/>
    <x v="32"/>
    <n v="35"/>
    <n v="220"/>
    <n v="7700"/>
    <s v="011+327"/>
    <s v="Yes"/>
    <m/>
    <s v="Yes"/>
    <m/>
    <s v="Yes"/>
    <m/>
    <s v="Yes"/>
    <m/>
    <s v="N/A"/>
    <m/>
    <s v="Yes"/>
    <m/>
    <s v="Yes"/>
    <m/>
    <s v="New"/>
    <s v="INFASCO"/>
    <n v="95"/>
    <n v="97.85"/>
  </r>
  <r>
    <x v="183"/>
    <x v="8"/>
    <x v="55"/>
    <n v="27"/>
    <n v="400"/>
    <n v="10800"/>
    <s v="011+327"/>
    <s v="Yes"/>
    <m/>
    <s v="Yes"/>
    <m/>
    <s v="Yes"/>
    <m/>
    <s v="Yes"/>
    <m/>
    <s v="N/A"/>
    <m/>
    <s v="Yes"/>
    <m/>
    <s v="Yes"/>
    <m/>
    <s v="New"/>
    <s v="INFASCO"/>
    <n v="95"/>
    <n v="97.85"/>
  </r>
  <r>
    <x v="184"/>
    <x v="10"/>
    <x v="73"/>
    <n v="36"/>
    <n v="350"/>
    <n v="12600"/>
    <s v="176+157"/>
    <s v="Yes"/>
    <m/>
    <s v="Yes"/>
    <m/>
    <s v="Yes"/>
    <m/>
    <s v="Yes"/>
    <m/>
    <s v="N/A"/>
    <m/>
    <s v="Yes"/>
    <m/>
    <s v="Yes"/>
    <m/>
    <s v="New"/>
    <s v="INFASCO"/>
    <n v="95"/>
    <n v="97.85"/>
  </r>
  <r>
    <x v="185"/>
    <x v="8"/>
    <x v="73"/>
    <n v="32"/>
    <n v="350"/>
    <n v="11200"/>
    <s v="011+327"/>
    <s v="Yes"/>
    <m/>
    <s v="Yes"/>
    <m/>
    <s v="Yes"/>
    <m/>
    <s v="Yes"/>
    <m/>
    <s v="N/A"/>
    <m/>
    <s v="Yes"/>
    <m/>
    <s v="Yes"/>
    <m/>
    <s v="New"/>
    <s v="INFASCO"/>
    <n v="95"/>
    <n v="97.85"/>
  </r>
  <r>
    <x v="186"/>
    <x v="17"/>
    <x v="32"/>
    <n v="30"/>
    <n v="220"/>
    <n v="6600"/>
    <s v="175+177"/>
    <s v="Yes"/>
    <m/>
    <s v="Yes"/>
    <m/>
    <s v="Yes"/>
    <m/>
    <s v="Yes"/>
    <m/>
    <s v="N/A"/>
    <m/>
    <s v="Yes"/>
    <m/>
    <s v="Yes"/>
    <m/>
    <s v="New"/>
    <s v="INFASCO"/>
    <n v="95"/>
    <n v="97.85"/>
  </r>
  <r>
    <x v="187"/>
    <x v="17"/>
    <x v="87"/>
    <n v="34"/>
    <n v="1250"/>
    <n v="42500"/>
    <s v="175+177"/>
    <s v="Yes"/>
    <m/>
    <s v="Yes"/>
    <m/>
    <s v="Yes"/>
    <m/>
    <s v="Yes"/>
    <m/>
    <s v="N/A"/>
    <m/>
    <s v="Yes"/>
    <m/>
    <s v="Yes"/>
    <m/>
    <s v="New"/>
    <s v="INFASCO"/>
    <n v="95"/>
    <n v="97.85"/>
  </r>
  <r>
    <x v="188"/>
    <x v="10"/>
    <x v="73"/>
    <n v="33"/>
    <n v="350"/>
    <n v="11550"/>
    <s v="157+176"/>
    <s v="Yes"/>
    <m/>
    <s v="Yes"/>
    <m/>
    <s v="Yes"/>
    <m/>
    <s v="Yes"/>
    <m/>
    <s v="N/A"/>
    <m/>
    <s v="Yes"/>
    <m/>
    <s v="Yes"/>
    <m/>
    <s v="New"/>
    <s v="INFASCO"/>
    <s v="N/A"/>
    <n v="97.85"/>
  </r>
  <r>
    <x v="189"/>
    <x v="8"/>
    <x v="26"/>
    <n v="36"/>
    <n v="1400"/>
    <n v="50400"/>
    <s v="011+327"/>
    <s v="Yes"/>
    <m/>
    <s v="Yes"/>
    <m/>
    <s v="Yes"/>
    <m/>
    <s v="Yes"/>
    <m/>
    <s v="N/A"/>
    <m/>
    <s v="Yes"/>
    <m/>
    <s v="Yes"/>
    <m/>
    <s v="New"/>
    <s v="INFASCO"/>
    <n v="120"/>
    <n v="123.6"/>
  </r>
  <r>
    <x v="190"/>
    <x v="10"/>
    <x v="26"/>
    <n v="39"/>
    <n v="1400"/>
    <n v="54600"/>
    <s v="157+176"/>
    <s v="Yes"/>
    <m/>
    <s v="Yes"/>
    <m/>
    <s v="Yes"/>
    <m/>
    <s v="Yes"/>
    <m/>
    <s v="N/A"/>
    <m/>
    <s v="Yes"/>
    <m/>
    <s v="Yes"/>
    <m/>
    <s v="New"/>
    <s v="INFASCO"/>
    <n v="120"/>
    <n v="123.6"/>
  </r>
  <r>
    <x v="191"/>
    <x v="10"/>
    <x v="73"/>
    <n v="30"/>
    <n v="350"/>
    <n v="10500"/>
    <s v="157+176"/>
    <s v="Yes"/>
    <m/>
    <s v="Yes"/>
    <m/>
    <s v="Yes"/>
    <m/>
    <s v="Yes"/>
    <m/>
    <s v="N/A"/>
    <m/>
    <s v="Yes"/>
    <m/>
    <s v="Yes"/>
    <m/>
    <s v="New"/>
    <s v="INFASCO"/>
    <n v="95"/>
    <n v="97.85"/>
  </r>
  <r>
    <x v="192"/>
    <x v="8"/>
    <x v="40"/>
    <n v="36"/>
    <n v="850"/>
    <n v="30600"/>
    <s v="011+327"/>
    <s v="Yes"/>
    <m/>
    <s v="Yes"/>
    <m/>
    <s v="Yes"/>
    <m/>
    <s v="Yes"/>
    <m/>
    <s v="N/A"/>
    <m/>
    <s v="Yes"/>
    <m/>
    <s v="Yes"/>
    <m/>
    <s v="New"/>
    <s v="INFASCO"/>
    <n v="120"/>
    <n v="123.6"/>
  </r>
  <r>
    <x v="193"/>
    <x v="8"/>
    <x v="40"/>
    <n v="16"/>
    <n v="850"/>
    <n v="13600"/>
    <s v="011+327"/>
    <s v="Yes"/>
    <m/>
    <s v="Yes"/>
    <m/>
    <s v="Yes"/>
    <m/>
    <s v="Yes"/>
    <m/>
    <s v="N/A"/>
    <m/>
    <s v="Yes"/>
    <m/>
    <s v="Yes"/>
    <m/>
    <s v="New"/>
    <s v="INFASCO"/>
    <n v="120"/>
    <n v="123.6"/>
  </r>
  <r>
    <x v="194"/>
    <x v="17"/>
    <x v="73"/>
    <n v="36"/>
    <n v="350"/>
    <n v="12600"/>
    <s v="175+177"/>
    <s v="Yes"/>
    <m/>
    <s v="Yes"/>
    <m/>
    <s v="Yes"/>
    <m/>
    <s v="Yes"/>
    <m/>
    <s v="N/A"/>
    <m/>
    <s v="Yes"/>
    <m/>
    <s v="Yes"/>
    <m/>
    <s v="New"/>
    <s v="INFASCO"/>
    <n v="95"/>
    <n v="97.85"/>
  </r>
  <r>
    <x v="195"/>
    <x v="17"/>
    <x v="73"/>
    <n v="36"/>
    <n v="350"/>
    <n v="12600"/>
    <s v="175+177"/>
    <s v="Yes"/>
    <m/>
    <s v="Yes"/>
    <m/>
    <s v="Yes"/>
    <m/>
    <s v="Yes"/>
    <m/>
    <s v="N/A"/>
    <m/>
    <s v="Yes"/>
    <m/>
    <s v="Yes"/>
    <m/>
    <s v="New"/>
    <s v="INFASCO"/>
    <n v="95"/>
    <n v="97.85"/>
  </r>
  <r>
    <x v="196"/>
    <x v="17"/>
    <x v="73"/>
    <n v="36"/>
    <n v="350"/>
    <n v="12600"/>
    <s v="175+177"/>
    <s v="Yes"/>
    <m/>
    <s v="Yes"/>
    <m/>
    <s v="Yes"/>
    <m/>
    <s v="Yes"/>
    <m/>
    <s v="N/A"/>
    <m/>
    <s v="Yes"/>
    <m/>
    <s v="Yes"/>
    <m/>
    <s v="New"/>
    <s v="INFASCO"/>
    <n v="95"/>
    <n v="97.85"/>
  </r>
  <r>
    <x v="197"/>
    <x v="17"/>
    <x v="73"/>
    <n v="27"/>
    <n v="350"/>
    <n v="9450"/>
    <s v="175+177"/>
    <s v="Yes"/>
    <m/>
    <s v="Yes"/>
    <m/>
    <s v="Yes"/>
    <m/>
    <s v="Yes"/>
    <m/>
    <s v="N/A"/>
    <m/>
    <s v="Yes"/>
    <m/>
    <s v="Yes"/>
    <m/>
    <s v="New"/>
    <s v="INFASCO"/>
    <n v="95"/>
    <n v="97.85"/>
  </r>
  <r>
    <x v="198"/>
    <x v="10"/>
    <x v="35"/>
    <n v="36"/>
    <n v="120"/>
    <n v="4320"/>
    <s v="157+176"/>
    <s v="Yes"/>
    <m/>
    <s v="Yes"/>
    <m/>
    <s v="Yes"/>
    <m/>
    <s v="Yes"/>
    <m/>
    <s v="N/A"/>
    <m/>
    <s v="Yes"/>
    <m/>
    <s v="Yes"/>
    <m/>
    <s v="New"/>
    <s v="INFASCO"/>
    <n v="95"/>
    <n v="97.85"/>
  </r>
  <r>
    <x v="199"/>
    <x v="8"/>
    <x v="35"/>
    <n v="36"/>
    <n v="120"/>
    <n v="4320"/>
    <s v="327+011"/>
    <s v="Yes"/>
    <m/>
    <s v="Yes"/>
    <m/>
    <s v="Yes"/>
    <m/>
    <s v="Yes"/>
    <m/>
    <s v="N/A"/>
    <m/>
    <s v="Yes"/>
    <m/>
    <s v="Yes"/>
    <m/>
    <s v="New"/>
    <s v="INFASCO"/>
    <n v="95"/>
    <n v="97.85"/>
  </r>
  <r>
    <x v="200"/>
    <x v="8"/>
    <x v="35"/>
    <n v="36"/>
    <n v="120"/>
    <n v="4320"/>
    <s v="011+327"/>
    <s v="Yes"/>
    <m/>
    <s v="Yes"/>
    <m/>
    <s v="Yes"/>
    <m/>
    <s v="Yes"/>
    <m/>
    <s v="N/A"/>
    <m/>
    <s v="Yes"/>
    <m/>
    <s v="Yes"/>
    <m/>
    <s v="New"/>
    <s v="INFASCO"/>
    <n v="95"/>
    <n v="97.85"/>
  </r>
  <r>
    <x v="201"/>
    <x v="10"/>
    <x v="35"/>
    <n v="36"/>
    <n v="120"/>
    <n v="4320"/>
    <s v="157+176"/>
    <s v="Yes"/>
    <m/>
    <s v="Yes"/>
    <m/>
    <s v="Yes"/>
    <m/>
    <s v="Yes"/>
    <m/>
    <s v="N/A"/>
    <m/>
    <s v="Yes"/>
    <m/>
    <s v="Yes"/>
    <m/>
    <s v="New"/>
    <s v="INFASCO"/>
    <n v="95"/>
    <n v="97.85"/>
  </r>
  <r>
    <x v="202"/>
    <x v="17"/>
    <x v="35"/>
    <n v="34"/>
    <n v="120"/>
    <n v="4080"/>
    <s v="177+175"/>
    <s v="Yes"/>
    <m/>
    <s v="Yes"/>
    <m/>
    <s v="Yes"/>
    <m/>
    <s v="Yes"/>
    <m/>
    <s v="N/A"/>
    <m/>
    <s v="Yes"/>
    <m/>
    <s v="Yes"/>
    <m/>
    <s v="New"/>
    <s v="INFASCO"/>
    <n v="95"/>
    <n v="97.85"/>
  </r>
  <r>
    <x v="203"/>
    <x v="8"/>
    <x v="35"/>
    <n v="47"/>
    <n v="120"/>
    <n v="5640"/>
    <s v="011+327"/>
    <s v="Yes"/>
    <m/>
    <s v="Yes"/>
    <m/>
    <s v="Yes"/>
    <m/>
    <s v="Yes"/>
    <m/>
    <s v="N/A"/>
    <m/>
    <s v="Yes"/>
    <m/>
    <s v="Yes"/>
    <m/>
    <s v="New"/>
    <s v="INFASCO"/>
    <n v="95"/>
    <n v="97.85"/>
  </r>
  <r>
    <x v="204"/>
    <x v="17"/>
    <x v="85"/>
    <n v="36"/>
    <n v="485"/>
    <n v="17460"/>
    <s v="175+177"/>
    <s v="Yes"/>
    <m/>
    <s v="Yes"/>
    <m/>
    <s v="Yes"/>
    <m/>
    <s v="Yes"/>
    <m/>
    <s v="N/A"/>
    <m/>
    <s v="Yes"/>
    <m/>
    <s v="Yes"/>
    <m/>
    <s v="New"/>
    <s v="INFASCO"/>
    <n v="95"/>
    <n v="97.85"/>
  </r>
  <r>
    <x v="205"/>
    <x v="10"/>
    <x v="85"/>
    <n v="36"/>
    <n v="485"/>
    <n v="17460"/>
    <s v="157+176"/>
    <s v="Yes"/>
    <m/>
    <s v="Yes"/>
    <m/>
    <s v="Yes"/>
    <m/>
    <s v="Yes"/>
    <m/>
    <s v="N/A"/>
    <m/>
    <s v="Yes"/>
    <m/>
    <s v="Yes"/>
    <m/>
    <s v="New"/>
    <s v="INFASCO"/>
    <n v="95"/>
    <n v="97.85"/>
  </r>
  <r>
    <x v="206"/>
    <x v="10"/>
    <x v="85"/>
    <n v="36"/>
    <n v="485"/>
    <n v="17460"/>
    <s v="157+176"/>
    <s v="Yes"/>
    <m/>
    <s v="Yes"/>
    <m/>
    <s v="Yes"/>
    <m/>
    <s v="Yes"/>
    <m/>
    <s v="N/A"/>
    <m/>
    <s v="Yes"/>
    <m/>
    <s v="Yes"/>
    <m/>
    <s v="New"/>
    <s v="INFASCO"/>
    <n v="95"/>
    <n v="97.85"/>
  </r>
  <r>
    <x v="207"/>
    <x v="8"/>
    <x v="33"/>
    <n v="27"/>
    <n v="145"/>
    <n v="3915"/>
    <s v="011+327"/>
    <s v="Yes"/>
    <m/>
    <s v="Yes"/>
    <m/>
    <s v="Yes"/>
    <m/>
    <s v="Yes"/>
    <m/>
    <s v="N/A"/>
    <m/>
    <s v="Yes"/>
    <m/>
    <s v="Yes"/>
    <m/>
    <s v="New"/>
    <s v="INFASCO"/>
    <n v="120"/>
    <n v="123.6"/>
  </r>
  <r>
    <x v="208"/>
    <x v="10"/>
    <x v="85"/>
    <n v="29"/>
    <n v="485"/>
    <n v="14065"/>
    <s v="157+176"/>
    <s v="Yes"/>
    <m/>
    <s v="Yes"/>
    <m/>
    <s v="Yes"/>
    <m/>
    <s v="Yes"/>
    <m/>
    <s v="N/A"/>
    <m/>
    <s v="Yes"/>
    <m/>
    <s v="Yes"/>
    <m/>
    <s v="New"/>
    <s v="INFASCO"/>
    <n v="95"/>
    <n v="97.85"/>
  </r>
  <r>
    <x v="209"/>
    <x v="10"/>
    <x v="85"/>
    <n v="40"/>
    <n v="485"/>
    <n v="19400"/>
    <s v="157+176"/>
    <s v="Yes"/>
    <m/>
    <s v="Yes"/>
    <m/>
    <s v="Yes"/>
    <m/>
    <s v="Yes"/>
    <m/>
    <s v="N/A"/>
    <m/>
    <s v="Yes"/>
    <m/>
    <s v="Yes"/>
    <m/>
    <s v="New"/>
    <s v="INFASCO"/>
    <n v="95"/>
    <n v="97.85"/>
  </r>
  <r>
    <x v="210"/>
    <x v="18"/>
    <x v="76"/>
    <n v="33"/>
    <n v="4500"/>
    <n v="148500"/>
    <m/>
    <m/>
    <m/>
    <m/>
    <m/>
    <m/>
    <m/>
    <m/>
    <m/>
    <m/>
    <m/>
    <m/>
    <m/>
    <m/>
    <m/>
    <m/>
    <s v="INFASCO"/>
    <m/>
    <n v="97.85"/>
  </r>
  <r>
    <x v="210"/>
    <x v="18"/>
    <x v="76"/>
    <n v="32"/>
    <n v="4500"/>
    <n v="144000"/>
    <m/>
    <m/>
    <m/>
    <m/>
    <m/>
    <m/>
    <m/>
    <m/>
    <m/>
    <m/>
    <m/>
    <m/>
    <m/>
    <m/>
    <m/>
    <m/>
    <s v="INFASCO"/>
    <m/>
    <n v="97.85"/>
  </r>
  <r>
    <x v="210"/>
    <x v="18"/>
    <x v="76"/>
    <n v="32"/>
    <n v="4500"/>
    <n v="144000"/>
    <m/>
    <m/>
    <m/>
    <m/>
    <m/>
    <m/>
    <m/>
    <m/>
    <m/>
    <m/>
    <m/>
    <m/>
    <m/>
    <m/>
    <m/>
    <m/>
    <s v="INFASCO"/>
    <m/>
    <n v="97.85"/>
  </r>
  <r>
    <x v="210"/>
    <x v="18"/>
    <x v="76"/>
    <n v="31"/>
    <n v="4500"/>
    <n v="139500"/>
    <m/>
    <m/>
    <m/>
    <m/>
    <m/>
    <m/>
    <m/>
    <m/>
    <m/>
    <m/>
    <m/>
    <m/>
    <m/>
    <m/>
    <m/>
    <m/>
    <s v="INFASCO"/>
    <m/>
    <n v="97.85"/>
  </r>
  <r>
    <x v="210"/>
    <x v="18"/>
    <x v="76"/>
    <n v="21"/>
    <n v="4500"/>
    <n v="94500"/>
    <m/>
    <m/>
    <m/>
    <m/>
    <m/>
    <m/>
    <m/>
    <m/>
    <m/>
    <m/>
    <m/>
    <m/>
    <m/>
    <m/>
    <m/>
    <m/>
    <s v="INFASCO"/>
    <m/>
    <n v="97.85"/>
  </r>
  <r>
    <x v="210"/>
    <x v="18"/>
    <x v="76"/>
    <n v="18"/>
    <n v="4500"/>
    <n v="81000"/>
    <m/>
    <m/>
    <m/>
    <m/>
    <m/>
    <m/>
    <m/>
    <m/>
    <m/>
    <m/>
    <m/>
    <m/>
    <m/>
    <m/>
    <m/>
    <m/>
    <s v="INFASCO"/>
    <m/>
    <n v="97.85"/>
  </r>
  <r>
    <x v="210"/>
    <x v="18"/>
    <x v="76"/>
    <n v="12"/>
    <n v="4500"/>
    <n v="54000"/>
    <m/>
    <m/>
    <m/>
    <m/>
    <m/>
    <m/>
    <m/>
    <m/>
    <m/>
    <m/>
    <m/>
    <m/>
    <m/>
    <m/>
    <m/>
    <m/>
    <s v="INFASCO"/>
    <m/>
    <n v="97.85"/>
  </r>
  <r>
    <x v="210"/>
    <x v="17"/>
    <x v="85"/>
    <n v="34"/>
    <n v="485"/>
    <n v="16490"/>
    <s v="175+177"/>
    <s v="Yes"/>
    <m/>
    <s v="Yes"/>
    <m/>
    <s v="Yes"/>
    <m/>
    <s v="Yes"/>
    <m/>
    <s v="N/A"/>
    <m/>
    <s v="Yes"/>
    <m/>
    <s v="Yes"/>
    <m/>
    <s v="New"/>
    <s v="INFASCO"/>
    <n v="95"/>
    <n v="97.85"/>
  </r>
  <r>
    <x v="211"/>
    <x v="14"/>
    <x v="46"/>
    <n v="25"/>
    <n v="2150"/>
    <n v="53750"/>
    <m/>
    <m/>
    <m/>
    <m/>
    <m/>
    <m/>
    <m/>
    <m/>
    <m/>
    <m/>
    <m/>
    <m/>
    <m/>
    <m/>
    <m/>
    <m/>
    <s v="INFASCO"/>
    <m/>
    <n v="97.85"/>
  </r>
  <r>
    <x v="211"/>
    <x v="9"/>
    <x v="4"/>
    <n v="28"/>
    <n v="1200"/>
    <n v="33600"/>
    <m/>
    <m/>
    <m/>
    <m/>
    <m/>
    <m/>
    <m/>
    <m/>
    <m/>
    <m/>
    <m/>
    <m/>
    <m/>
    <m/>
    <m/>
    <m/>
    <s v="INFASCO"/>
    <m/>
    <n v="97.85"/>
  </r>
  <r>
    <x v="211"/>
    <x v="3"/>
    <x v="10"/>
    <n v="36"/>
    <n v="450"/>
    <n v="16200"/>
    <m/>
    <m/>
    <m/>
    <m/>
    <m/>
    <m/>
    <m/>
    <m/>
    <m/>
    <m/>
    <m/>
    <m/>
    <m/>
    <m/>
    <m/>
    <m/>
    <s v="INFASCO"/>
    <m/>
    <n v="97.85"/>
  </r>
  <r>
    <x v="211"/>
    <x v="3"/>
    <x v="10"/>
    <n v="31"/>
    <n v="450"/>
    <n v="13950"/>
    <m/>
    <m/>
    <m/>
    <m/>
    <m/>
    <m/>
    <m/>
    <m/>
    <m/>
    <m/>
    <m/>
    <m/>
    <m/>
    <m/>
    <m/>
    <m/>
    <s v="INFASCO"/>
    <m/>
    <n v="97.85"/>
  </r>
  <r>
    <x v="211"/>
    <x v="8"/>
    <x v="33"/>
    <n v="27"/>
    <n v="145"/>
    <n v="3915"/>
    <s v="011+327"/>
    <s v="Yes"/>
    <m/>
    <s v="Yes"/>
    <m/>
    <s v="Yes"/>
    <m/>
    <s v="Yes"/>
    <m/>
    <s v="N/A"/>
    <m/>
    <s v="Yes"/>
    <m/>
    <s v="Yes"/>
    <m/>
    <s v="New"/>
    <s v="INFASCO"/>
    <n v="120"/>
    <n v="123.6"/>
  </r>
  <r>
    <x v="212"/>
    <x v="18"/>
    <x v="76"/>
    <n v="36"/>
    <n v="4500"/>
    <n v="162000"/>
    <n v="156"/>
    <s v="Yes"/>
    <m/>
    <s v="Yes"/>
    <m/>
    <s v="Yes"/>
    <m/>
    <s v="Yes"/>
    <m/>
    <s v="N/A"/>
    <m/>
    <s v="Yes"/>
    <m/>
    <s v="Yes"/>
    <m/>
    <s v="New"/>
    <s v="INFASCO"/>
    <n v="95"/>
    <n v="97.85"/>
  </r>
  <r>
    <x v="213"/>
    <x v="10"/>
    <x v="85"/>
    <n v="36"/>
    <n v="485"/>
    <n v="17460"/>
    <s v="157+298"/>
    <s v="Yes"/>
    <m/>
    <s v="Yes"/>
    <m/>
    <s v="Yes"/>
    <m/>
    <s v="Yes"/>
    <m/>
    <s v="N/A"/>
    <m/>
    <s v="Yes"/>
    <m/>
    <s v="Yes"/>
    <m/>
    <s v="New"/>
    <s v="INFASCO"/>
    <n v="95"/>
    <n v="97.85"/>
  </r>
  <r>
    <x v="214"/>
    <x v="15"/>
    <x v="61"/>
    <n v="33"/>
    <n v="4000"/>
    <n v="132000"/>
    <m/>
    <m/>
    <m/>
    <m/>
    <m/>
    <m/>
    <m/>
    <m/>
    <m/>
    <m/>
    <m/>
    <m/>
    <m/>
    <m/>
    <m/>
    <m/>
    <s v="INFASCO"/>
    <m/>
    <n v="97.85"/>
  </r>
  <r>
    <x v="214"/>
    <x v="11"/>
    <x v="0"/>
    <n v="36"/>
    <n v="2500"/>
    <n v="90000"/>
    <m/>
    <m/>
    <m/>
    <m/>
    <m/>
    <m/>
    <m/>
    <m/>
    <m/>
    <m/>
    <m/>
    <m/>
    <m/>
    <m/>
    <m/>
    <m/>
    <s v="INFASCO"/>
    <m/>
    <n v="97.85"/>
  </r>
  <r>
    <x v="214"/>
    <x v="11"/>
    <x v="0"/>
    <n v="36"/>
    <n v="2500"/>
    <n v="90000"/>
    <m/>
    <m/>
    <m/>
    <m/>
    <m/>
    <m/>
    <m/>
    <m/>
    <m/>
    <m/>
    <m/>
    <m/>
    <m/>
    <m/>
    <m/>
    <m/>
    <s v="INFASCO"/>
    <m/>
    <n v="97.85"/>
  </r>
  <r>
    <x v="214"/>
    <x v="1"/>
    <x v="46"/>
    <n v="36"/>
    <n v="2150"/>
    <n v="77400"/>
    <m/>
    <m/>
    <m/>
    <m/>
    <m/>
    <m/>
    <m/>
    <m/>
    <m/>
    <m/>
    <m/>
    <m/>
    <m/>
    <m/>
    <m/>
    <m/>
    <s v="INFASCO"/>
    <m/>
    <n v="97.85"/>
  </r>
  <r>
    <x v="214"/>
    <x v="5"/>
    <x v="0"/>
    <n v="27"/>
    <n v="2500"/>
    <n v="67500"/>
    <m/>
    <m/>
    <m/>
    <m/>
    <m/>
    <m/>
    <m/>
    <m/>
    <m/>
    <m/>
    <m/>
    <m/>
    <m/>
    <m/>
    <m/>
    <m/>
    <s v="INFASCO"/>
    <m/>
    <n v="97.85"/>
  </r>
  <r>
    <x v="214"/>
    <x v="12"/>
    <x v="55"/>
    <n v="42"/>
    <n v="400"/>
    <n v="16800"/>
    <m/>
    <m/>
    <m/>
    <m/>
    <m/>
    <m/>
    <m/>
    <m/>
    <m/>
    <m/>
    <m/>
    <m/>
    <m/>
    <m/>
    <m/>
    <m/>
    <s v="INFASCO"/>
    <m/>
    <n v="97.85"/>
  </r>
  <r>
    <x v="214"/>
    <x v="12"/>
    <x v="55"/>
    <n v="41"/>
    <n v="400"/>
    <n v="16400"/>
    <m/>
    <m/>
    <m/>
    <m/>
    <m/>
    <m/>
    <m/>
    <m/>
    <m/>
    <m/>
    <m/>
    <m/>
    <m/>
    <m/>
    <m/>
    <m/>
    <s v="INFASCO"/>
    <m/>
    <n v="97.85"/>
  </r>
  <r>
    <x v="214"/>
    <x v="8"/>
    <x v="33"/>
    <n v="29"/>
    <n v="145"/>
    <n v="4205"/>
    <n v="11171"/>
    <s v="Yes"/>
    <m/>
    <s v="Yes"/>
    <m/>
    <s v="Yes"/>
    <m/>
    <s v="Yes"/>
    <m/>
    <s v="N/A"/>
    <m/>
    <s v="Yes"/>
    <m/>
    <s v="Yes"/>
    <m/>
    <s v="New"/>
    <s v="INFASCO"/>
    <n v="120"/>
    <n v="123.6"/>
  </r>
  <r>
    <x v="214"/>
    <x v="8"/>
    <x v="33"/>
    <n v="18"/>
    <n v="145"/>
    <n v="2610"/>
    <n v="11171"/>
    <s v="Yes"/>
    <m/>
    <s v="Yes"/>
    <m/>
    <s v="Yes"/>
    <m/>
    <s v="Yes"/>
    <m/>
    <s v="Yes"/>
    <m/>
    <s v="Yes"/>
    <m/>
    <s v="New"/>
    <n v="120"/>
    <n v="120"/>
    <m/>
    <m/>
    <n v="120"/>
  </r>
  <r>
    <x v="215"/>
    <x v="18"/>
    <x v="76"/>
    <n v="36"/>
    <n v="4500"/>
    <n v="162000"/>
    <s v="156+327"/>
    <s v="Yes"/>
    <m/>
    <s v="Yes"/>
    <m/>
    <s v="Yes"/>
    <m/>
    <s v="Yes"/>
    <m/>
    <s v="N/A"/>
    <m/>
    <s v="Yes"/>
    <m/>
    <s v="Yes"/>
    <m/>
    <s v="New"/>
    <s v="INFASCO"/>
    <n v="95"/>
    <n v="97.85"/>
  </r>
  <r>
    <x v="216"/>
    <x v="8"/>
    <x v="85"/>
    <n v="30"/>
    <n v="485"/>
    <n v="14550"/>
    <s v="011+171"/>
    <s v="Yes"/>
    <m/>
    <s v="Yes"/>
    <m/>
    <s v="Yes"/>
    <m/>
    <s v="Yes"/>
    <m/>
    <s v="N/A"/>
    <m/>
    <s v="Yes"/>
    <m/>
    <s v="Yes"/>
    <m/>
    <s v="New"/>
    <s v="INFASCO"/>
    <n v="95"/>
    <n v="97.85"/>
  </r>
  <r>
    <x v="217"/>
    <x v="17"/>
    <x v="33"/>
    <n v="29"/>
    <n v="145"/>
    <n v="4205"/>
    <s v="177+175"/>
    <s v="Yes"/>
    <m/>
    <s v="Yes"/>
    <m/>
    <s v="Yes"/>
    <m/>
    <s v="Yes"/>
    <m/>
    <s v="N/A"/>
    <m/>
    <s v="Yes"/>
    <m/>
    <s v="Yes"/>
    <m/>
    <s v="New"/>
    <s v="INFASCO"/>
    <n v="120"/>
    <n v="123.6"/>
  </r>
  <r>
    <x v="218"/>
    <x v="17"/>
    <x v="85"/>
    <n v="36"/>
    <n v="485"/>
    <n v="17460"/>
    <s v="177+175"/>
    <s v="Yes"/>
    <m/>
    <s v="Yes"/>
    <m/>
    <s v="Yes"/>
    <m/>
    <s v="Yes"/>
    <m/>
    <s v="N/A"/>
    <m/>
    <s v="Yes"/>
    <m/>
    <s v="Yes"/>
    <m/>
    <s v="New"/>
    <s v="INFASCO"/>
    <n v="95"/>
    <n v="97.85"/>
  </r>
  <r>
    <x v="219"/>
    <x v="10"/>
    <x v="85"/>
    <n v="36"/>
    <n v="485"/>
    <n v="17460"/>
    <s v="157+002"/>
    <s v="Yes"/>
    <m/>
    <s v="Yes"/>
    <m/>
    <s v="Yes"/>
    <m/>
    <s v="Yes"/>
    <m/>
    <s v="N/A"/>
    <m/>
    <s v="Yes"/>
    <m/>
    <s v="Yes"/>
    <m/>
    <s v="New"/>
    <s v="INFASCO"/>
    <n v="95"/>
    <n v="97.85"/>
  </r>
  <r>
    <x v="220"/>
    <x v="10"/>
    <x v="73"/>
    <n v="36"/>
    <n v="350"/>
    <n v="12600"/>
    <s v="157+002"/>
    <s v="Yes"/>
    <m/>
    <s v="Yes"/>
    <m/>
    <s v="Yes"/>
    <m/>
    <s v="Yes"/>
    <m/>
    <s v="N/A"/>
    <m/>
    <s v="Yes"/>
    <m/>
    <s v="Yes"/>
    <m/>
    <s v="New"/>
    <s v="INFASCO"/>
    <n v="95"/>
    <n v="97.85"/>
  </r>
  <r>
    <x v="221"/>
    <x v="18"/>
    <x v="76"/>
    <n v="36"/>
    <n v="4500"/>
    <n v="162000"/>
    <s v="156+327"/>
    <s v="Yes"/>
    <m/>
    <s v="Yes"/>
    <m/>
    <s v="Yes"/>
    <m/>
    <s v="Yes"/>
    <m/>
    <s v="N/A"/>
    <m/>
    <s v="Yes"/>
    <m/>
    <s v="Yes"/>
    <m/>
    <s v="New"/>
    <s v="INFASCO"/>
    <n v="95"/>
    <n v="97.85"/>
  </r>
  <r>
    <x v="222"/>
    <x v="8"/>
    <x v="36"/>
    <n v="36"/>
    <n v="4000"/>
    <n v="144000"/>
    <s v="011+171"/>
    <s v="Yes"/>
    <m/>
    <s v="Yes"/>
    <m/>
    <s v="Yes"/>
    <m/>
    <s v="Yes"/>
    <m/>
    <s v="N/A"/>
    <m/>
    <s v="Yes"/>
    <m/>
    <s v="Yes"/>
    <m/>
    <s v="New"/>
    <s v="INFASCO"/>
    <n v="120"/>
    <n v="123.6"/>
  </r>
  <r>
    <x v="223"/>
    <x v="10"/>
    <x v="73"/>
    <n v="35"/>
    <n v="350"/>
    <n v="12250"/>
    <s v="157+002"/>
    <s v="Yes"/>
    <m/>
    <s v="Yes"/>
    <m/>
    <s v="Yes"/>
    <m/>
    <s v="Yes"/>
    <m/>
    <s v="N/A"/>
    <m/>
    <s v="Yes"/>
    <m/>
    <s v="Yes"/>
    <m/>
    <s v="New"/>
    <s v="INFASCO"/>
    <n v="95"/>
    <n v="97.85"/>
  </r>
  <r>
    <x v="224"/>
    <x v="17"/>
    <x v="73"/>
    <n v="33"/>
    <n v="350"/>
    <n v="11550"/>
    <s v="175+177"/>
    <s v="Yes"/>
    <m/>
    <s v="Yes"/>
    <m/>
    <s v="Yes"/>
    <m/>
    <s v="Yes"/>
    <m/>
    <s v="N/A"/>
    <m/>
    <s v="Yes"/>
    <m/>
    <s v="Yes"/>
    <m/>
    <s v="New"/>
    <s v="INFASCO"/>
    <n v="95"/>
    <n v="97.85"/>
  </r>
  <r>
    <x v="225"/>
    <x v="17"/>
    <x v="73"/>
    <n v="33"/>
    <n v="350"/>
    <n v="11550"/>
    <s v="175+177"/>
    <s v="Yes"/>
    <m/>
    <s v="Yes"/>
    <m/>
    <s v="Yes"/>
    <m/>
    <s v="Yes"/>
    <m/>
    <s v="N/A"/>
    <m/>
    <s v="Yes"/>
    <m/>
    <s v="Yes"/>
    <m/>
    <s v="New"/>
    <s v="INFASCO"/>
    <n v="95"/>
    <n v="97.85"/>
  </r>
  <r>
    <x v="226"/>
    <x v="17"/>
    <x v="73"/>
    <n v="35"/>
    <n v="350"/>
    <n v="12250"/>
    <s v="175+177"/>
    <s v="Yes"/>
    <m/>
    <s v="Yes"/>
    <m/>
    <s v="Yes"/>
    <m/>
    <s v="Yes"/>
    <m/>
    <s v="N/A"/>
    <m/>
    <s v="Yes"/>
    <m/>
    <s v="Yes"/>
    <m/>
    <s v="New"/>
    <s v="INFASCO"/>
    <n v="95"/>
    <n v="97.85"/>
  </r>
  <r>
    <x v="227"/>
    <x v="8"/>
    <x v="36"/>
    <n v="27"/>
    <n v="4000"/>
    <n v="108000"/>
    <s v="011+171"/>
    <s v="Yes"/>
    <m/>
    <s v="Yes"/>
    <m/>
    <s v="Yes"/>
    <m/>
    <s v="Yes"/>
    <m/>
    <s v="N/A"/>
    <m/>
    <s v="Yes"/>
    <m/>
    <s v="Yes"/>
    <m/>
    <s v="New"/>
    <s v="INFASCO"/>
    <n v="120"/>
    <n v="123.6"/>
  </r>
  <r>
    <x v="228"/>
    <x v="18"/>
    <x v="76"/>
    <n v="36"/>
    <n v="4500"/>
    <n v="162000"/>
    <s v="156+327"/>
    <s v="Yes"/>
    <m/>
    <s v="Yes"/>
    <m/>
    <s v="Yes"/>
    <m/>
    <s v="Yes"/>
    <m/>
    <s v="N/A"/>
    <m/>
    <s v="Yes"/>
    <m/>
    <s v="Yes"/>
    <m/>
    <s v="New"/>
    <s v="INFASCO"/>
    <n v="95"/>
    <n v="97.85"/>
  </r>
  <r>
    <x v="229"/>
    <x v="8"/>
    <x v="36"/>
    <n v="29"/>
    <n v="4000"/>
    <n v="116000"/>
    <s v="011+171"/>
    <s v="Yes"/>
    <m/>
    <s v="Yes"/>
    <m/>
    <s v="Yes"/>
    <m/>
    <s v="Yes"/>
    <m/>
    <s v="N/A"/>
    <m/>
    <s v="Yes"/>
    <m/>
    <s v="Yes"/>
    <m/>
    <s v="New"/>
    <s v="INFASCO"/>
    <n v="120"/>
    <n v="123.6"/>
  </r>
  <r>
    <x v="230"/>
    <x v="10"/>
    <x v="36"/>
    <n v="36"/>
    <n v="4000"/>
    <n v="144000"/>
    <s v="157+002"/>
    <s v="Yes"/>
    <m/>
    <s v="Yes"/>
    <m/>
    <s v="Yes"/>
    <m/>
    <s v="Yes"/>
    <m/>
    <s v="N/A"/>
    <m/>
    <s v="Yes"/>
    <m/>
    <s v="Yes"/>
    <m/>
    <s v="New"/>
    <s v="INFASCO"/>
    <n v="120"/>
    <n v="123.6"/>
  </r>
  <r>
    <x v="231"/>
    <x v="17"/>
    <x v="54"/>
    <n v="34"/>
    <n v="700"/>
    <n v="23800"/>
    <s v="177+175"/>
    <s v="Yes"/>
    <m/>
    <s v="Yes"/>
    <m/>
    <s v="Yes"/>
    <m/>
    <s v="Yes"/>
    <m/>
    <s v="N/A"/>
    <m/>
    <s v="Yes"/>
    <m/>
    <s v="Yes"/>
    <m/>
    <s v="New"/>
    <s v="INFASCO"/>
    <n v="95"/>
    <n v="97.85"/>
  </r>
  <r>
    <x v="232"/>
    <x v="17"/>
    <x v="54"/>
    <n v="30"/>
    <n v="700"/>
    <n v="21000"/>
    <s v="177+175"/>
    <s v="Yes"/>
    <m/>
    <s v="Yes"/>
    <m/>
    <s v="Yes"/>
    <m/>
    <s v="Yes"/>
    <m/>
    <s v="N/A"/>
    <m/>
    <s v="Yes"/>
    <m/>
    <s v="Yes"/>
    <m/>
    <s v="New"/>
    <s v="INFASCO"/>
    <n v="95"/>
    <n v="97.85"/>
  </r>
  <r>
    <x v="233"/>
    <x v="17"/>
    <x v="54"/>
    <n v="32"/>
    <n v="700"/>
    <n v="22400"/>
    <s v="177+175"/>
    <s v="Yes"/>
    <m/>
    <s v="Yes"/>
    <m/>
    <s v="Yes"/>
    <m/>
    <s v="Yes"/>
    <m/>
    <s v="N/A"/>
    <m/>
    <s v="Yes"/>
    <m/>
    <s v="Yes"/>
    <m/>
    <s v="New"/>
    <s v="INFASCO"/>
    <n v="95"/>
    <n v="95"/>
  </r>
  <r>
    <x v="234"/>
    <x v="8"/>
    <x v="36"/>
    <n v="30"/>
    <n v="4000"/>
    <n v="120000"/>
    <s v="011+171"/>
    <s v="Yes"/>
    <m/>
    <s v="Yes"/>
    <m/>
    <s v="Yes"/>
    <m/>
    <s v="Yes"/>
    <m/>
    <s v="N/A"/>
    <m/>
    <s v="Yes"/>
    <m/>
    <s v="Yes"/>
    <m/>
    <s v="New"/>
    <s v="INFASCO"/>
    <n v="120"/>
    <n v="123.6"/>
  </r>
  <r>
    <x v="235"/>
    <x v="18"/>
    <x v="61"/>
    <n v="32"/>
    <n v="4000"/>
    <n v="128000"/>
    <s v="156+327"/>
    <s v="Yes"/>
    <m/>
    <s v="Yes"/>
    <m/>
    <s v="Yes"/>
    <m/>
    <s v="Yes"/>
    <m/>
    <s v="N/A"/>
    <m/>
    <s v="Yes"/>
    <m/>
    <s v="Yes"/>
    <m/>
    <s v="New"/>
    <s v="INFASCO"/>
    <n v="95"/>
    <n v="97.85"/>
  </r>
  <r>
    <x v="236"/>
    <x v="18"/>
    <x v="54"/>
    <n v="36"/>
    <n v="700"/>
    <n v="25200"/>
    <s v="156+327"/>
    <s v="Yes"/>
    <m/>
    <s v="Yes"/>
    <m/>
    <s v="Yes"/>
    <m/>
    <s v="Yes"/>
    <m/>
    <s v="N/A"/>
    <m/>
    <s v="Yes"/>
    <m/>
    <s v="Yes"/>
    <m/>
    <s v="New"/>
    <s v="INFASCO"/>
    <n v="95"/>
    <n v="97.85"/>
  </r>
  <r>
    <x v="237"/>
    <x v="17"/>
    <x v="54"/>
    <n v="33"/>
    <n v="700"/>
    <n v="23100"/>
    <s v="175+177"/>
    <s v="Yes"/>
    <m/>
    <s v="Yes"/>
    <m/>
    <s v="Yes"/>
    <m/>
    <s v="Yes"/>
    <m/>
    <s v="N/A"/>
    <m/>
    <s v="Yes"/>
    <m/>
    <s v="Yes"/>
    <m/>
    <s v="New"/>
    <s v="INFASCO"/>
    <n v="95"/>
    <n v="97.85"/>
  </r>
  <r>
    <x v="238"/>
    <x v="8"/>
    <x v="36"/>
    <n v="30"/>
    <n v="4000"/>
    <n v="120000"/>
    <s v="011+171"/>
    <s v="Yes"/>
    <m/>
    <s v="Yes"/>
    <m/>
    <s v="Yes"/>
    <m/>
    <s v="Yes"/>
    <m/>
    <s v="N/A"/>
    <m/>
    <s v="Yes"/>
    <m/>
    <s v="Yes"/>
    <m/>
    <s v="New"/>
    <s v="INFASCO"/>
    <n v="120"/>
    <n v="123.6"/>
  </r>
  <r>
    <x v="239"/>
    <x v="10"/>
    <x v="36"/>
    <n v="36"/>
    <n v="4000"/>
    <n v="144000"/>
    <s v="157+002"/>
    <s v="Yes"/>
    <m/>
    <s v="Yes"/>
    <m/>
    <s v="Yes"/>
    <m/>
    <s v="Yes"/>
    <m/>
    <s v="N/A"/>
    <m/>
    <s v="Yes"/>
    <m/>
    <s v="Yes"/>
    <m/>
    <s v="New"/>
    <s v="INFASCO"/>
    <n v="120"/>
    <n v="123.6"/>
  </r>
  <r>
    <x v="240"/>
    <x v="17"/>
    <x v="54"/>
    <n v="36"/>
    <n v="700"/>
    <n v="25200"/>
    <s v="175+177"/>
    <s v="Yes"/>
    <m/>
    <s v="Yes"/>
    <m/>
    <s v="Yes"/>
    <m/>
    <s v="Yes"/>
    <m/>
    <s v="N/A"/>
    <m/>
    <s v="Yes"/>
    <m/>
    <s v="Yes"/>
    <m/>
    <s v="New"/>
    <s v="INFASCO"/>
    <n v="95"/>
    <n v="97.85"/>
  </r>
  <r>
    <x v="241"/>
    <x v="8"/>
    <x v="36"/>
    <n v="28"/>
    <n v="4000"/>
    <n v="112000"/>
    <s v="011+171"/>
    <s v="Yes"/>
    <m/>
    <s v="Yes"/>
    <m/>
    <s v="Yes"/>
    <m/>
    <s v="Yes"/>
    <m/>
    <s v="N/A"/>
    <m/>
    <s v="Yes"/>
    <m/>
    <s v="Yes"/>
    <m/>
    <s v="New"/>
    <s v="INFASCO"/>
    <n v="120"/>
    <n v="123.6"/>
  </r>
  <r>
    <x v="242"/>
    <x v="10"/>
    <x v="36"/>
    <n v="25"/>
    <n v="4000"/>
    <n v="100000"/>
    <s v="157+002"/>
    <s v="Yes"/>
    <m/>
    <s v="Yes"/>
    <m/>
    <s v="Yes"/>
    <m/>
    <s v="Yes"/>
    <m/>
    <s v="N/A"/>
    <m/>
    <s v="Yes"/>
    <m/>
    <s v="Yes"/>
    <m/>
    <s v="New"/>
    <s v="INFASCO"/>
    <n v="120"/>
    <n v="123.6"/>
  </r>
  <r>
    <x v="243"/>
    <x v="17"/>
    <x v="49"/>
    <n v="36"/>
    <n v="1400"/>
    <n v="50400"/>
    <s v="177+175"/>
    <s v="Yes"/>
    <m/>
    <s v="Yes"/>
    <m/>
    <s v="Yes"/>
    <m/>
    <s v="Yes"/>
    <m/>
    <s v="N/A"/>
    <m/>
    <s v="Yes"/>
    <m/>
    <s v="Yes"/>
    <m/>
    <s v="New"/>
    <s v="INFASCO"/>
    <n v="95"/>
    <n v="97.85"/>
  </r>
  <r>
    <x v="244"/>
    <x v="18"/>
    <x v="61"/>
    <n v="36"/>
    <n v="4000"/>
    <n v="144000"/>
    <s v="156+327"/>
    <s v="Yes"/>
    <m/>
    <s v="Yes"/>
    <m/>
    <s v="Yes"/>
    <m/>
    <s v="Yes"/>
    <m/>
    <s v="N/A"/>
    <m/>
    <s v="Yes"/>
    <m/>
    <s v="Yes"/>
    <m/>
    <s v="New"/>
    <s v="INFASCO"/>
    <n v="95"/>
    <n v="97.85"/>
  </r>
  <r>
    <x v="245"/>
    <x v="8"/>
    <x v="36"/>
    <n v="28"/>
    <n v="4000"/>
    <n v="112000"/>
    <s v="011+171"/>
    <s v="Yes"/>
    <m/>
    <s v="Yes"/>
    <m/>
    <s v="Yes"/>
    <m/>
    <s v="Yes"/>
    <m/>
    <s v="N/A"/>
    <m/>
    <s v="Yes"/>
    <m/>
    <s v="Yes"/>
    <m/>
    <s v="New"/>
    <s v="INFASCO"/>
    <n v="120"/>
    <n v="123.6"/>
  </r>
  <r>
    <x v="246"/>
    <x v="18"/>
    <x v="61"/>
    <n v="23"/>
    <n v="4000"/>
    <n v="92000"/>
    <s v="156+327"/>
    <s v="Yes"/>
    <m/>
    <s v="Yes"/>
    <m/>
    <s v="Yes"/>
    <m/>
    <s v="Yes"/>
    <m/>
    <s v="N/A"/>
    <m/>
    <s v="Yes"/>
    <m/>
    <s v="Yes"/>
    <m/>
    <s v="New"/>
    <s v="INFASCO"/>
    <n v="95"/>
    <n v="97.85"/>
  </r>
  <r>
    <x v="247"/>
    <x v="17"/>
    <x v="140"/>
    <n v="29"/>
    <n v="1400"/>
    <n v="40600"/>
    <s v="175+177"/>
    <s v="Yes"/>
    <m/>
    <s v="Yes"/>
    <m/>
    <s v="Yes"/>
    <m/>
    <s v="Yes"/>
    <m/>
    <s v="N/A"/>
    <m/>
    <s v="Yes"/>
    <m/>
    <s v="Yes"/>
    <m/>
    <s v="New"/>
    <e v="#N/A"/>
    <s v="N/A"/>
    <n v="95"/>
  </r>
  <r>
    <x v="248"/>
    <x v="2"/>
    <x v="86"/>
    <n v="36"/>
    <n v="4000"/>
    <n v="144000"/>
    <m/>
    <m/>
    <m/>
    <m/>
    <m/>
    <m/>
    <m/>
    <m/>
    <m/>
    <m/>
    <m/>
    <m/>
    <m/>
    <m/>
    <m/>
    <m/>
    <s v="INFASCO"/>
    <m/>
    <n v="97.85"/>
  </r>
  <r>
    <x v="248"/>
    <x v="10"/>
    <x v="36"/>
    <n v="34"/>
    <n v="4000"/>
    <n v="136000"/>
    <s v="157+002"/>
    <s v="Yes"/>
    <m/>
    <s v="Yes"/>
    <m/>
    <s v="Yes"/>
    <m/>
    <s v="Yes"/>
    <m/>
    <s v="N/A"/>
    <m/>
    <s v="Yes"/>
    <m/>
    <s v="Yes"/>
    <m/>
    <s v="New"/>
    <s v="INFASCO"/>
    <n v="120"/>
    <n v="123.6"/>
  </r>
  <r>
    <x v="248"/>
    <x v="14"/>
    <x v="46"/>
    <n v="36"/>
    <n v="2150"/>
    <n v="77400"/>
    <m/>
    <m/>
    <m/>
    <m/>
    <m/>
    <m/>
    <m/>
    <m/>
    <m/>
    <m/>
    <m/>
    <m/>
    <m/>
    <m/>
    <m/>
    <m/>
    <s v="INFASCO"/>
    <m/>
    <n v="97.85"/>
  </r>
  <r>
    <x v="248"/>
    <x v="4"/>
    <x v="98"/>
    <n v="36"/>
    <n v="2000"/>
    <n v="72000"/>
    <m/>
    <m/>
    <m/>
    <m/>
    <m/>
    <m/>
    <m/>
    <m/>
    <m/>
    <m/>
    <m/>
    <m/>
    <m/>
    <m/>
    <m/>
    <m/>
    <s v="INFASCO"/>
    <m/>
    <n v="97.85"/>
  </r>
  <r>
    <x v="248"/>
    <x v="4"/>
    <x v="141"/>
    <n v="36"/>
    <n v="2000"/>
    <n v="72000"/>
    <m/>
    <m/>
    <m/>
    <m/>
    <m/>
    <m/>
    <m/>
    <m/>
    <m/>
    <m/>
    <m/>
    <m/>
    <m/>
    <m/>
    <m/>
    <m/>
    <e v="#N/A"/>
    <m/>
    <n v="95"/>
  </r>
  <r>
    <x v="248"/>
    <x v="9"/>
    <x v="4"/>
    <n v="36"/>
    <n v="1200"/>
    <n v="43200"/>
    <m/>
    <m/>
    <m/>
    <m/>
    <m/>
    <m/>
    <m/>
    <m/>
    <m/>
    <m/>
    <m/>
    <m/>
    <m/>
    <m/>
    <m/>
    <m/>
    <s v="INFASCO"/>
    <m/>
    <n v="97.85"/>
  </r>
  <r>
    <x v="248"/>
    <x v="2"/>
    <x v="90"/>
    <n v="36"/>
    <n v="700"/>
    <n v="25200"/>
    <m/>
    <m/>
    <m/>
    <m/>
    <m/>
    <m/>
    <m/>
    <m/>
    <m/>
    <m/>
    <m/>
    <m/>
    <m/>
    <m/>
    <m/>
    <m/>
    <s v="INFASCO"/>
    <m/>
    <n v="97.85"/>
  </r>
  <r>
    <x v="248"/>
    <x v="3"/>
    <x v="109"/>
    <n v="36"/>
    <n v="660"/>
    <n v="23760"/>
    <m/>
    <m/>
    <m/>
    <m/>
    <m/>
    <m/>
    <m/>
    <m/>
    <m/>
    <m/>
    <m/>
    <m/>
    <m/>
    <m/>
    <m/>
    <m/>
    <s v="INFASCO"/>
    <m/>
    <n v="97.85"/>
  </r>
  <r>
    <x v="248"/>
    <x v="3"/>
    <x v="109"/>
    <n v="31"/>
    <n v="660"/>
    <n v="20460"/>
    <m/>
    <m/>
    <m/>
    <m/>
    <m/>
    <m/>
    <m/>
    <m/>
    <m/>
    <m/>
    <m/>
    <m/>
    <m/>
    <m/>
    <m/>
    <m/>
    <s v="INFASCO"/>
    <m/>
    <n v="97.85"/>
  </r>
  <r>
    <x v="248"/>
    <x v="7"/>
    <x v="10"/>
    <n v="36"/>
    <n v="450"/>
    <n v="16200"/>
    <m/>
    <m/>
    <m/>
    <m/>
    <m/>
    <m/>
    <m/>
    <m/>
    <m/>
    <m/>
    <m/>
    <m/>
    <m/>
    <m/>
    <m/>
    <m/>
    <s v="INFASCO"/>
    <m/>
    <n v="97.85"/>
  </r>
  <r>
    <x v="248"/>
    <x v="16"/>
    <x v="10"/>
    <n v="36"/>
    <n v="450"/>
    <n v="16200"/>
    <m/>
    <m/>
    <m/>
    <m/>
    <m/>
    <m/>
    <m/>
    <m/>
    <m/>
    <m/>
    <m/>
    <m/>
    <m/>
    <m/>
    <m/>
    <m/>
    <s v="INFASCO"/>
    <m/>
    <n v="97.85"/>
  </r>
  <r>
    <x v="248"/>
    <x v="3"/>
    <x v="109"/>
    <n v="24"/>
    <n v="660"/>
    <n v="15840"/>
    <m/>
    <m/>
    <m/>
    <m/>
    <m/>
    <m/>
    <m/>
    <m/>
    <m/>
    <m/>
    <m/>
    <m/>
    <m/>
    <m/>
    <m/>
    <m/>
    <s v="INFASCO"/>
    <m/>
    <n v="97.85"/>
  </r>
  <r>
    <x v="248"/>
    <x v="6"/>
    <x v="55"/>
    <n v="36"/>
    <n v="400"/>
    <n v="14400"/>
    <m/>
    <m/>
    <m/>
    <m/>
    <m/>
    <m/>
    <m/>
    <m/>
    <m/>
    <m/>
    <m/>
    <m/>
    <m/>
    <m/>
    <m/>
    <m/>
    <s v="INFASCO"/>
    <m/>
    <n v="97.85"/>
  </r>
  <r>
    <x v="248"/>
    <x v="6"/>
    <x v="55"/>
    <n v="36"/>
    <n v="400"/>
    <n v="14400"/>
    <m/>
    <m/>
    <m/>
    <m/>
    <m/>
    <m/>
    <m/>
    <m/>
    <m/>
    <m/>
    <m/>
    <m/>
    <m/>
    <m/>
    <m/>
    <m/>
    <s v="INFASCO"/>
    <m/>
    <n v="97.85"/>
  </r>
  <r>
    <x v="248"/>
    <x v="6"/>
    <x v="55"/>
    <n v="36"/>
    <n v="400"/>
    <n v="14400"/>
    <m/>
    <m/>
    <m/>
    <m/>
    <m/>
    <m/>
    <m/>
    <m/>
    <m/>
    <m/>
    <m/>
    <m/>
    <m/>
    <m/>
    <m/>
    <m/>
    <s v="INFASCO"/>
    <m/>
    <n v="97.85"/>
  </r>
  <r>
    <x v="248"/>
    <x v="7"/>
    <x v="55"/>
    <n v="22"/>
    <n v="400"/>
    <n v="8800"/>
    <m/>
    <m/>
    <m/>
    <m/>
    <m/>
    <m/>
    <m/>
    <m/>
    <m/>
    <m/>
    <m/>
    <m/>
    <m/>
    <m/>
    <m/>
    <m/>
    <s v="INFASCO"/>
    <m/>
    <n v="97.85"/>
  </r>
  <r>
    <x v="249"/>
    <x v="2"/>
    <x v="142"/>
    <n v="36"/>
    <n v="4000"/>
    <n v="144000"/>
    <m/>
    <m/>
    <m/>
    <m/>
    <m/>
    <m/>
    <m/>
    <m/>
    <m/>
    <m/>
    <m/>
    <m/>
    <m/>
    <m/>
    <m/>
    <m/>
    <e v="#N/A"/>
    <m/>
    <n v="95"/>
  </r>
  <r>
    <x v="249"/>
    <x v="4"/>
    <x v="37"/>
    <n v="36"/>
    <n v="2500"/>
    <n v="90000"/>
    <m/>
    <m/>
    <m/>
    <m/>
    <m/>
    <m/>
    <m/>
    <m/>
    <m/>
    <m/>
    <m/>
    <m/>
    <m/>
    <m/>
    <m/>
    <m/>
    <s v="INFASCO"/>
    <m/>
    <n v="97.85"/>
  </r>
  <r>
    <x v="249"/>
    <x v="4"/>
    <x v="98"/>
    <n v="36"/>
    <n v="2000"/>
    <n v="72000"/>
    <m/>
    <m/>
    <m/>
    <m/>
    <m/>
    <m/>
    <m/>
    <m/>
    <m/>
    <m/>
    <m/>
    <m/>
    <m/>
    <m/>
    <m/>
    <m/>
    <s v="INFASCO"/>
    <m/>
    <n v="97.85"/>
  </r>
  <r>
    <x v="249"/>
    <x v="4"/>
    <x v="98"/>
    <n v="36"/>
    <n v="2000"/>
    <n v="72000"/>
    <m/>
    <m/>
    <m/>
    <m/>
    <m/>
    <m/>
    <m/>
    <m/>
    <m/>
    <m/>
    <m/>
    <m/>
    <m/>
    <m/>
    <m/>
    <m/>
    <s v="INFASCO"/>
    <m/>
    <n v="97.85"/>
  </r>
  <r>
    <x v="249"/>
    <x v="2"/>
    <x v="71"/>
    <n v="24"/>
    <n v="1500"/>
    <n v="36000"/>
    <m/>
    <m/>
    <m/>
    <m/>
    <m/>
    <m/>
    <m/>
    <m/>
    <m/>
    <m/>
    <m/>
    <m/>
    <m/>
    <m/>
    <m/>
    <m/>
    <s v="INFASCO"/>
    <m/>
    <n v="97.85"/>
  </r>
  <r>
    <x v="249"/>
    <x v="6"/>
    <x v="55"/>
    <n v="36"/>
    <n v="400"/>
    <n v="14400"/>
    <m/>
    <m/>
    <m/>
    <m/>
    <m/>
    <m/>
    <m/>
    <m/>
    <m/>
    <m/>
    <m/>
    <m/>
    <m/>
    <m/>
    <m/>
    <m/>
    <s v="INFASCO"/>
    <m/>
    <n v="97.85"/>
  </r>
  <r>
    <x v="249"/>
    <x v="6"/>
    <x v="55"/>
    <n v="36"/>
    <n v="400"/>
    <n v="14400"/>
    <m/>
    <m/>
    <m/>
    <m/>
    <m/>
    <m/>
    <m/>
    <m/>
    <m/>
    <m/>
    <m/>
    <m/>
    <m/>
    <m/>
    <m/>
    <m/>
    <s v="INFASCO"/>
    <m/>
    <n v="97.85"/>
  </r>
  <r>
    <x v="249"/>
    <x v="6"/>
    <x v="55"/>
    <n v="36"/>
    <n v="400"/>
    <n v="14400"/>
    <m/>
    <m/>
    <m/>
    <m/>
    <m/>
    <m/>
    <m/>
    <m/>
    <m/>
    <m/>
    <m/>
    <m/>
    <m/>
    <m/>
    <m/>
    <m/>
    <s v="INFASCO"/>
    <m/>
    <n v="97.85"/>
  </r>
  <r>
    <x v="249"/>
    <x v="6"/>
    <x v="55"/>
    <n v="36"/>
    <n v="400"/>
    <n v="14400"/>
    <m/>
    <m/>
    <m/>
    <m/>
    <m/>
    <m/>
    <m/>
    <m/>
    <m/>
    <m/>
    <m/>
    <m/>
    <m/>
    <m/>
    <m/>
    <m/>
    <s v="INFASCO"/>
    <m/>
    <n v="97.85"/>
  </r>
  <r>
    <x v="249"/>
    <x v="7"/>
    <x v="55"/>
    <n v="36"/>
    <n v="400"/>
    <n v="14400"/>
    <m/>
    <m/>
    <m/>
    <m/>
    <m/>
    <m/>
    <m/>
    <m/>
    <m/>
    <m/>
    <m/>
    <m/>
    <m/>
    <m/>
    <m/>
    <m/>
    <s v="INFASCO"/>
    <m/>
    <n v="97.85"/>
  </r>
  <r>
    <x v="249"/>
    <x v="16"/>
    <x v="55"/>
    <n v="36"/>
    <n v="400"/>
    <n v="14400"/>
    <m/>
    <m/>
    <m/>
    <m/>
    <m/>
    <m/>
    <m/>
    <m/>
    <m/>
    <m/>
    <m/>
    <m/>
    <m/>
    <m/>
    <m/>
    <m/>
    <s v="INFASCO"/>
    <m/>
    <n v="97.85"/>
  </r>
  <r>
    <x v="249"/>
    <x v="16"/>
    <x v="55"/>
    <n v="36"/>
    <n v="400"/>
    <n v="14400"/>
    <m/>
    <m/>
    <m/>
    <m/>
    <m/>
    <m/>
    <m/>
    <m/>
    <m/>
    <m/>
    <m/>
    <m/>
    <m/>
    <m/>
    <m/>
    <m/>
    <s v="INFASCO"/>
    <m/>
    <n v="97.85"/>
  </r>
  <r>
    <x v="250"/>
    <x v="10"/>
    <x v="49"/>
    <n v="29"/>
    <n v="1400"/>
    <n v="40600"/>
    <s v="157+002"/>
    <s v="Yes"/>
    <m/>
    <s v="Yes"/>
    <m/>
    <s v="Yes"/>
    <m/>
    <s v="Yes"/>
    <m/>
    <s v="N/A"/>
    <m/>
    <s v="Yes"/>
    <m/>
    <s v="Yes"/>
    <m/>
    <s v="New"/>
    <s v="INFASCO"/>
    <n v="95"/>
    <n v="97.85"/>
  </r>
  <r>
    <x v="251"/>
    <x v="8"/>
    <x v="143"/>
    <n v="36"/>
    <n v="1000"/>
    <n v="36000"/>
    <s v="011+136"/>
    <s v="Yes"/>
    <m/>
    <s v="Yes"/>
    <m/>
    <s v="Yes"/>
    <m/>
    <s v="Yes"/>
    <m/>
    <s v="N/A"/>
    <m/>
    <s v="Yes"/>
    <m/>
    <s v="Yes"/>
    <m/>
    <s v="New"/>
    <s v="INFASCO"/>
    <n v="120"/>
    <n v="123.6"/>
  </r>
  <r>
    <x v="252"/>
    <x v="8"/>
    <x v="143"/>
    <n v="14"/>
    <n v="1000"/>
    <n v="14000"/>
    <s v="011+136"/>
    <s v="Yes"/>
    <m/>
    <s v="Yes"/>
    <m/>
    <s v="Yes"/>
    <m/>
    <s v="Yes"/>
    <m/>
    <s v="N/A"/>
    <m/>
    <s v="Yes"/>
    <m/>
    <s v="Yes"/>
    <m/>
    <s v="New"/>
    <s v="INFASCO"/>
    <n v="120"/>
    <n v="123.6"/>
  </r>
  <r>
    <x v="253"/>
    <x v="10"/>
    <x v="79"/>
    <n v="25"/>
    <n v="830"/>
    <n v="20750"/>
    <s v="157+002"/>
    <s v="Yes"/>
    <m/>
    <s v="Yes"/>
    <m/>
    <s v="Yes"/>
    <m/>
    <s v="Yes"/>
    <m/>
    <s v="N/A"/>
    <m/>
    <s v="Yes"/>
    <m/>
    <s v="Yes"/>
    <m/>
    <s v="New"/>
    <s v="INFASCO"/>
    <n v="95"/>
    <n v="97.85"/>
  </r>
  <r>
    <x v="254"/>
    <x v="18"/>
    <x v="144"/>
    <n v="27"/>
    <n v="4500"/>
    <n v="121500"/>
    <n v="156"/>
    <s v="Yes"/>
    <m/>
    <s v="Yes"/>
    <m/>
    <s v="Yes"/>
    <m/>
    <s v="Yes"/>
    <m/>
    <s v="N/A"/>
    <m/>
    <s v="Yes"/>
    <m/>
    <s v="Yes"/>
    <m/>
    <s v="New"/>
    <s v="INFASCO"/>
    <n v="95"/>
    <n v="97.85"/>
  </r>
  <r>
    <x v="255"/>
    <x v="17"/>
    <x v="143"/>
    <n v="28"/>
    <n v="1000"/>
    <n v="28000"/>
    <s v="165+162"/>
    <s v="Yes"/>
    <m/>
    <s v="Yes"/>
    <m/>
    <s v="Yes"/>
    <m/>
    <s v="Yes"/>
    <m/>
    <s v="N/A"/>
    <m/>
    <s v="Yes"/>
    <m/>
    <s v="Yes"/>
    <m/>
    <s v="New"/>
    <s v="INFASCO"/>
    <s v="N/A"/>
    <n v="123.6"/>
  </r>
  <r>
    <x v="256"/>
    <x v="17"/>
    <x v="145"/>
    <n v="36"/>
    <n v="450"/>
    <n v="16200"/>
    <s v="165+162"/>
    <s v="Yes"/>
    <m/>
    <s v="Yes"/>
    <m/>
    <s v="Yes"/>
    <m/>
    <s v="Yes"/>
    <m/>
    <s v="N/A"/>
    <m/>
    <s v="Yes"/>
    <m/>
    <s v="Yes"/>
    <m/>
    <s v="New"/>
    <s v="INFASCO"/>
    <s v="N/A"/>
    <n v="97.85"/>
  </r>
  <r>
    <x v="257"/>
    <x v="8"/>
    <x v="79"/>
    <n v="35"/>
    <n v="830"/>
    <n v="29050"/>
    <s v="011+136"/>
    <s v="Yes"/>
    <m/>
    <s v="Yes"/>
    <m/>
    <s v="Yes"/>
    <m/>
    <s v="Yes"/>
    <m/>
    <s v="N/A"/>
    <m/>
    <s v="Yes"/>
    <m/>
    <s v="Yes"/>
    <m/>
    <s v="New"/>
    <s v="INFASCO"/>
    <n v="95"/>
    <n v="97.85"/>
  </r>
  <r>
    <x v="258"/>
    <x v="10"/>
    <x v="83"/>
    <n v="26"/>
    <n v="1800"/>
    <n v="46800"/>
    <s v="157+002"/>
    <s v="Yes"/>
    <m/>
    <s v="Yes"/>
    <m/>
    <s v="Yes"/>
    <m/>
    <s v="Yes"/>
    <m/>
    <s v="N/A"/>
    <m/>
    <s v="Yes"/>
    <m/>
    <s v="Yes"/>
    <m/>
    <s v="New"/>
    <s v="INFASCO"/>
    <n v="120"/>
    <n v="123.6"/>
  </r>
  <r>
    <x v="259"/>
    <x v="17"/>
    <x v="83"/>
    <n v="29"/>
    <n v="1800"/>
    <n v="52200"/>
    <s v="162+175"/>
    <s v="Yes"/>
    <m/>
    <s v="Yes"/>
    <m/>
    <s v="Yes"/>
    <m/>
    <s v="Yes"/>
    <m/>
    <s v="N/A"/>
    <m/>
    <s v="Yes"/>
    <m/>
    <s v="Yes"/>
    <m/>
    <s v="New"/>
    <s v="INFASCO"/>
    <s v="N/A"/>
    <n v="123.6"/>
  </r>
  <r>
    <x v="260"/>
    <x v="18"/>
    <x v="146"/>
    <n v="36"/>
    <n v="1300"/>
    <n v="46800"/>
    <n v="156"/>
    <s v="Yes"/>
    <m/>
    <s v="Yes"/>
    <m/>
    <s v="Yes"/>
    <m/>
    <s v="Yes"/>
    <m/>
    <s v="N/A"/>
    <m/>
    <s v="Yes"/>
    <m/>
    <s v="Yes"/>
    <m/>
    <s v="New"/>
    <s v="INFASCO"/>
    <n v="95"/>
    <n v="97.85"/>
  </r>
  <r>
    <x v="261"/>
    <x v="10"/>
    <x v="60"/>
    <n v="23"/>
    <n v="5500"/>
    <n v="126500"/>
    <n v="157"/>
    <s v="Yes"/>
    <m/>
    <s v="Yes"/>
    <m/>
    <s v="Yes"/>
    <m/>
    <s v="Yes"/>
    <m/>
    <s v="N/A"/>
    <m/>
    <s v="Yes"/>
    <m/>
    <s v="Yes"/>
    <m/>
    <s v="New"/>
    <s v="INFASCO"/>
    <n v="120"/>
    <n v="123.6"/>
  </r>
  <r>
    <x v="262"/>
    <x v="8"/>
    <x v="60"/>
    <n v="18"/>
    <n v="5500"/>
    <n v="99000"/>
    <s v="011+136"/>
    <s v="Yes"/>
    <m/>
    <s v="Yes"/>
    <m/>
    <s v="Yes"/>
    <m/>
    <s v="Yes"/>
    <m/>
    <s v="N/A"/>
    <m/>
    <s v="Yes"/>
    <m/>
    <s v="Yes"/>
    <m/>
    <s v="New"/>
    <s v="INFASCO"/>
    <n v="120"/>
    <n v="123.6"/>
  </r>
  <r>
    <x v="263"/>
    <x v="8"/>
    <x v="60"/>
    <n v="18"/>
    <n v="5500"/>
    <n v="99000"/>
    <s v="011+136"/>
    <s v="Yes"/>
    <m/>
    <s v="Yes"/>
    <m/>
    <s v="Yes"/>
    <m/>
    <s v="Yes"/>
    <m/>
    <s v="N/A"/>
    <m/>
    <s v="Yes"/>
    <m/>
    <s v="Yes"/>
    <m/>
    <s v="New"/>
    <s v="INFASCO"/>
    <n v="120"/>
    <n v="123.6"/>
  </r>
  <r>
    <x v="264"/>
    <x v="17"/>
    <x v="60"/>
    <n v="25"/>
    <n v="5500"/>
    <n v="137500"/>
    <s v="162+175"/>
    <s v="Yes"/>
    <m/>
    <s v="Yes"/>
    <m/>
    <s v="Yes"/>
    <m/>
    <s v="Yes"/>
    <m/>
    <s v="N/A"/>
    <m/>
    <s v="Yes"/>
    <m/>
    <s v="Yes"/>
    <m/>
    <s v="New"/>
    <s v="INFASCO"/>
    <s v="N/A"/>
    <n v="123.6"/>
  </r>
  <r>
    <x v="265"/>
    <x v="8"/>
    <x v="60"/>
    <n v="30"/>
    <n v="5500"/>
    <n v="165000"/>
    <s v="011+136"/>
    <s v="Yes"/>
    <m/>
    <s v="Yes"/>
    <m/>
    <s v="Yes"/>
    <m/>
    <s v="Yes"/>
    <m/>
    <s v="N/A"/>
    <m/>
    <s v="Yes"/>
    <m/>
    <s v="Yes"/>
    <m/>
    <s v="New"/>
    <s v="INFASCO"/>
    <n v="120"/>
    <n v="123.6"/>
  </r>
  <r>
    <x v="266"/>
    <x v="10"/>
    <x v="60"/>
    <n v="23"/>
    <n v="5500"/>
    <n v="126500"/>
    <n v="157"/>
    <s v="Yes"/>
    <m/>
    <s v="Yes"/>
    <m/>
    <s v="Yes"/>
    <m/>
    <s v="Yes"/>
    <m/>
    <s v="N/A"/>
    <m/>
    <s v="Yes"/>
    <m/>
    <s v="Yes"/>
    <m/>
    <s v="New"/>
    <s v="INFASCO"/>
    <n v="120"/>
    <n v="123.6"/>
  </r>
  <r>
    <x v="267"/>
    <x v="17"/>
    <x v="60"/>
    <n v="22"/>
    <n v="5500"/>
    <n v="121000"/>
    <s v="162+175"/>
    <s v="Yes"/>
    <m/>
    <s v="Yes"/>
    <m/>
    <s v="Yes"/>
    <m/>
    <s v="Yes"/>
    <m/>
    <s v="N/A"/>
    <m/>
    <s v="Yes"/>
    <m/>
    <s v="Yes"/>
    <m/>
    <s v="New"/>
    <s v="INFASCO"/>
    <s v="N/A"/>
    <n v="123.6"/>
  </r>
  <r>
    <x v="268"/>
    <x v="10"/>
    <x v="128"/>
    <n v="30"/>
    <n v="575"/>
    <n v="17250"/>
    <n v="157"/>
    <s v="Yes"/>
    <m/>
    <s v="Yes"/>
    <m/>
    <s v="Yes"/>
    <m/>
    <s v="Yes"/>
    <m/>
    <s v="N/A"/>
    <m/>
    <s v="Yes"/>
    <m/>
    <s v="Yes"/>
    <m/>
    <s v="New"/>
    <s v="INFASCO"/>
    <n v="95"/>
    <n v="97.85"/>
  </r>
  <r>
    <x v="269"/>
    <x v="17"/>
    <x v="60"/>
    <n v="24"/>
    <n v="120"/>
    <n v="2880"/>
    <s v="162+175"/>
    <s v="Yes"/>
    <m/>
    <s v="Yes"/>
    <m/>
    <s v="Yes"/>
    <m/>
    <s v="Yes"/>
    <m/>
    <s v="N/A"/>
    <m/>
    <s v="Yes"/>
    <m/>
    <s v="Yes"/>
    <m/>
    <s v="New"/>
    <s v="INFASCO"/>
    <s v="N/A"/>
    <n v="123.6"/>
  </r>
  <r>
    <x v="270"/>
    <x v="8"/>
    <x v="128"/>
    <n v="36"/>
    <n v="575"/>
    <n v="20700"/>
    <n v="11"/>
    <s v="Yes"/>
    <m/>
    <s v="Yes"/>
    <m/>
    <s v="Yes"/>
    <m/>
    <s v="Yes"/>
    <m/>
    <s v="N/A"/>
    <m/>
    <s v="Yes"/>
    <m/>
    <s v="Yes"/>
    <m/>
    <s v="New"/>
    <s v="INFASCO"/>
    <n v="95"/>
    <n v="97.85"/>
  </r>
  <r>
    <x v="271"/>
    <x v="18"/>
    <x v="147"/>
    <n v="35"/>
    <n v="3000"/>
    <n v="105000"/>
    <n v="136"/>
    <s v="Yes"/>
    <m/>
    <s v="Yes"/>
    <m/>
    <s v="Yes"/>
    <m/>
    <s v="Yes"/>
    <m/>
    <s v="N/A"/>
    <m/>
    <s v="Yes"/>
    <m/>
    <s v="Yes"/>
    <m/>
    <s v="New"/>
    <s v="INFASCO"/>
    <n v="120"/>
    <n v="123.6"/>
  </r>
  <r>
    <x v="272"/>
    <x v="10"/>
    <x v="145"/>
    <n v="32"/>
    <n v="450"/>
    <n v="14400"/>
    <n v="157"/>
    <s v="Yes"/>
    <m/>
    <s v="Yes"/>
    <m/>
    <s v="Yes"/>
    <m/>
    <s v="Yes"/>
    <m/>
    <s v="N/A"/>
    <m/>
    <s v="Yes"/>
    <m/>
    <s v="Yes"/>
    <m/>
    <s v="New"/>
    <s v="INFASCO"/>
    <n v="95"/>
    <n v="97.85"/>
  </r>
  <r>
    <x v="273"/>
    <x v="8"/>
    <x v="128"/>
    <n v="34"/>
    <n v="575"/>
    <n v="19550"/>
    <n v="11"/>
    <s v="Yes"/>
    <m/>
    <s v="Yes"/>
    <m/>
    <s v="Yes"/>
    <m/>
    <s v="Yes"/>
    <m/>
    <s v="N/A"/>
    <m/>
    <s v="Yes"/>
    <m/>
    <s v="Yes"/>
    <m/>
    <s v="New"/>
    <s v="INFASCO"/>
    <n v="95"/>
    <n v="97.85"/>
  </r>
  <r>
    <x v="274"/>
    <x v="8"/>
    <x v="112"/>
    <n v="36"/>
    <n v="170"/>
    <n v="6120"/>
    <s v="11+136"/>
    <s v="Yes"/>
    <m/>
    <s v="Yes"/>
    <m/>
    <s v="Yes"/>
    <m/>
    <s v="Yes"/>
    <m/>
    <s v="N/A"/>
    <m/>
    <s v="Yes"/>
    <m/>
    <s v="Yes"/>
    <m/>
    <s v="New"/>
    <s v="INFASCO"/>
    <n v="120"/>
    <n v="123.6"/>
  </r>
  <r>
    <x v="275"/>
    <x v="10"/>
    <x v="112"/>
    <n v="36"/>
    <n v="170"/>
    <n v="6120"/>
    <n v="157"/>
    <s v="Yes"/>
    <m/>
    <s v="Yes"/>
    <m/>
    <s v="Yes"/>
    <m/>
    <s v="Yes"/>
    <m/>
    <s v="N/A"/>
    <m/>
    <s v="Yes"/>
    <m/>
    <s v="Yes"/>
    <m/>
    <s v="New"/>
    <s v="INFASCO"/>
    <n v="120"/>
    <n v="123.6"/>
  </r>
  <r>
    <x v="276"/>
    <x v="17"/>
    <x v="33"/>
    <n v="28"/>
    <n v="145"/>
    <n v="4060"/>
    <s v="162+175"/>
    <s v="Yes"/>
    <m/>
    <s v="Yes"/>
    <m/>
    <s v="Yes"/>
    <m/>
    <s v="Yes"/>
    <m/>
    <s v="N/A"/>
    <m/>
    <s v="Yes"/>
    <m/>
    <s v="Yes"/>
    <m/>
    <s v="New"/>
    <s v="INFASCO"/>
    <s v="N/A"/>
    <n v="123.6"/>
  </r>
  <r>
    <x v="277"/>
    <x v="8"/>
    <x v="112"/>
    <n v="36"/>
    <n v="170"/>
    <n v="6120"/>
    <s v="11+136"/>
    <s v="Yes"/>
    <m/>
    <s v="Yes"/>
    <m/>
    <s v="Yes"/>
    <m/>
    <s v="Yes"/>
    <m/>
    <s v="N/A"/>
    <m/>
    <s v="Yes"/>
    <m/>
    <s v="Yes"/>
    <m/>
    <s v="New"/>
    <s v="INFASCO"/>
    <n v="120"/>
    <n v="123.6"/>
  </r>
  <r>
    <x v="278"/>
    <x v="15"/>
    <x v="61"/>
    <n v="27"/>
    <n v="4000"/>
    <n v="108000"/>
    <m/>
    <m/>
    <m/>
    <m/>
    <m/>
    <m/>
    <m/>
    <m/>
    <m/>
    <m/>
    <m/>
    <m/>
    <m/>
    <m/>
    <m/>
    <m/>
    <s v="INFASCO"/>
    <m/>
    <n v="97.85"/>
  </r>
  <r>
    <x v="278"/>
    <x v="5"/>
    <x v="0"/>
    <n v="36"/>
    <n v="2500"/>
    <n v="90000"/>
    <m/>
    <m/>
    <m/>
    <m/>
    <m/>
    <m/>
    <m/>
    <m/>
    <m/>
    <m/>
    <m/>
    <m/>
    <m/>
    <m/>
    <m/>
    <m/>
    <s v="INFASCO"/>
    <m/>
    <n v="97.85"/>
  </r>
  <r>
    <x v="278"/>
    <x v="5"/>
    <x v="0"/>
    <n v="36"/>
    <n v="2500"/>
    <n v="90000"/>
    <m/>
    <m/>
    <m/>
    <m/>
    <m/>
    <m/>
    <m/>
    <m/>
    <m/>
    <m/>
    <m/>
    <m/>
    <m/>
    <m/>
    <m/>
    <m/>
    <s v="INFASCO"/>
    <m/>
    <n v="97.85"/>
  </r>
  <r>
    <x v="278"/>
    <x v="11"/>
    <x v="0"/>
    <n v="36"/>
    <n v="2500"/>
    <n v="90000"/>
    <m/>
    <m/>
    <m/>
    <m/>
    <m/>
    <m/>
    <m/>
    <m/>
    <m/>
    <m/>
    <m/>
    <m/>
    <m/>
    <m/>
    <m/>
    <m/>
    <s v="INFASCO"/>
    <m/>
    <n v="97.85"/>
  </r>
  <r>
    <x v="278"/>
    <x v="11"/>
    <x v="0"/>
    <n v="36"/>
    <n v="2500"/>
    <n v="90000"/>
    <m/>
    <m/>
    <m/>
    <m/>
    <m/>
    <m/>
    <m/>
    <m/>
    <m/>
    <m/>
    <m/>
    <m/>
    <m/>
    <m/>
    <m/>
    <m/>
    <s v="INFASCO"/>
    <m/>
    <n v="97.85"/>
  </r>
  <r>
    <x v="278"/>
    <x v="1"/>
    <x v="69"/>
    <n v="36"/>
    <n v="1900"/>
    <n v="68400"/>
    <m/>
    <m/>
    <m/>
    <m/>
    <m/>
    <m/>
    <m/>
    <m/>
    <m/>
    <m/>
    <m/>
    <m/>
    <m/>
    <m/>
    <m/>
    <m/>
    <s v="INFASCO"/>
    <m/>
    <n v="97.85"/>
  </r>
  <r>
    <x v="278"/>
    <x v="1"/>
    <x v="46"/>
    <n v="31"/>
    <n v="2150"/>
    <n v="66650"/>
    <m/>
    <m/>
    <m/>
    <m/>
    <m/>
    <m/>
    <m/>
    <m/>
    <m/>
    <m/>
    <m/>
    <m/>
    <m/>
    <m/>
    <m/>
    <m/>
    <s v="INFASCO"/>
    <m/>
    <n v="97.85"/>
  </r>
  <r>
    <x v="278"/>
    <x v="17"/>
    <x v="148"/>
    <n v="27"/>
    <n v="1200"/>
    <n v="32400"/>
    <s v="162+175"/>
    <s v="Yes"/>
    <m/>
    <s v="Yes"/>
    <m/>
    <s v="Yes"/>
    <m/>
    <s v="Yes"/>
    <m/>
    <s v="N/A"/>
    <m/>
    <s v="Yes"/>
    <m/>
    <s v="Yes"/>
    <m/>
    <s v="New"/>
    <s v="INFASCO"/>
    <m/>
    <n v="26"/>
  </r>
  <r>
    <x v="278"/>
    <x v="12"/>
    <x v="55"/>
    <n v="36"/>
    <n v="400"/>
    <n v="14400"/>
    <m/>
    <m/>
    <m/>
    <m/>
    <m/>
    <m/>
    <m/>
    <m/>
    <m/>
    <m/>
    <m/>
    <m/>
    <m/>
    <m/>
    <m/>
    <m/>
    <s v="INFASCO"/>
    <m/>
    <n v="97.85"/>
  </r>
  <r>
    <x v="278"/>
    <x v="12"/>
    <x v="55"/>
    <n v="36"/>
    <n v="400"/>
    <n v="14400"/>
    <m/>
    <m/>
    <m/>
    <m/>
    <m/>
    <m/>
    <m/>
    <m/>
    <m/>
    <m/>
    <m/>
    <m/>
    <m/>
    <m/>
    <m/>
    <m/>
    <s v="INFASCO"/>
    <m/>
    <n v="97.85"/>
  </r>
  <r>
    <x v="278"/>
    <x v="12"/>
    <x v="55"/>
    <n v="36"/>
    <n v="400"/>
    <n v="14400"/>
    <m/>
    <m/>
    <m/>
    <m/>
    <m/>
    <m/>
    <m/>
    <m/>
    <m/>
    <m/>
    <m/>
    <m/>
    <m/>
    <m/>
    <m/>
    <m/>
    <s v="INFASCO"/>
    <m/>
    <n v="97.85"/>
  </r>
  <r>
    <x v="278"/>
    <x v="17"/>
    <x v="35"/>
    <n v="28"/>
    <n v="120"/>
    <n v="3360"/>
    <s v="162+175"/>
    <m/>
    <m/>
    <m/>
    <m/>
    <m/>
    <m/>
    <m/>
    <m/>
    <m/>
    <m/>
    <m/>
    <m/>
    <m/>
    <m/>
    <m/>
    <s v="INFASCO"/>
    <m/>
    <n v="97.85"/>
  </r>
  <r>
    <x v="279"/>
    <x v="10"/>
    <x v="80"/>
    <n v="27"/>
    <n v="75"/>
    <n v="2025"/>
    <n v="157"/>
    <s v="Yes"/>
    <m/>
    <s v="Yes"/>
    <m/>
    <s v="Yes"/>
    <m/>
    <s v="Yes"/>
    <m/>
    <s v="N/A"/>
    <m/>
    <s v="Yes"/>
    <m/>
    <s v="Yes"/>
    <m/>
    <s v="New"/>
    <s v="INFASCO"/>
    <n v="120"/>
    <n v="123.6"/>
  </r>
  <r>
    <x v="280"/>
    <x v="8"/>
    <x v="80"/>
    <n v="32"/>
    <n v="75"/>
    <n v="2400"/>
    <n v="11"/>
    <s v="Yes"/>
    <m/>
    <s v="Yes"/>
    <m/>
    <s v="Yes"/>
    <m/>
    <s v="Yes"/>
    <m/>
    <s v="N/A"/>
    <m/>
    <s v="Yes"/>
    <m/>
    <s v="Yes"/>
    <m/>
    <s v="New"/>
    <s v="INFASCO"/>
    <n v="120"/>
    <n v="123.6"/>
  </r>
  <r>
    <x v="281"/>
    <x v="10"/>
    <x v="149"/>
    <n v="25"/>
    <n v="1200"/>
    <n v="30000"/>
    <s v="157+162"/>
    <s v="Yes"/>
    <m/>
    <s v="Yes"/>
    <m/>
    <s v="Yes"/>
    <m/>
    <s v="Yes"/>
    <m/>
    <s v="N/A"/>
    <m/>
    <s v="Yes"/>
    <m/>
    <s v="Yes"/>
    <m/>
    <s v="New"/>
    <s v="INFASCO"/>
    <n v="95"/>
    <n v="97.85"/>
  </r>
  <r>
    <x v="282"/>
    <x v="10"/>
    <x v="150"/>
    <n v="29"/>
    <n v="660"/>
    <n v="19140"/>
    <s v="157+162"/>
    <s v="Yes"/>
    <m/>
    <s v="Yes"/>
    <m/>
    <s v="Yes"/>
    <m/>
    <s v="Yes"/>
    <m/>
    <s v="N/A"/>
    <m/>
    <s v="Yes"/>
    <m/>
    <s v="Yes"/>
    <m/>
    <s v="Re-certified"/>
    <e v="#N/A"/>
    <s v="N/A"/>
    <n v="190"/>
  </r>
  <r>
    <x v="283"/>
    <x v="8"/>
    <x v="32"/>
    <n v="36"/>
    <n v="220"/>
    <n v="7920"/>
    <n v="11"/>
    <s v="Yes"/>
    <m/>
    <s v="Yes"/>
    <m/>
    <s v="Yes"/>
    <m/>
    <s v="Yes"/>
    <m/>
    <s v="N/A"/>
    <m/>
    <s v="Yes"/>
    <m/>
    <s v="Yes"/>
    <m/>
    <s v="New"/>
    <s v="INFASCO"/>
    <n v="95"/>
    <n v="97.85"/>
  </r>
  <r>
    <x v="284"/>
    <x v="8"/>
    <x v="32"/>
    <n v="27"/>
    <n v="220"/>
    <n v="5940"/>
    <s v="011+298"/>
    <s v="Yes"/>
    <m/>
    <s v="Yes"/>
    <m/>
    <s v="Yes"/>
    <m/>
    <s v="Yes"/>
    <m/>
    <s v="N/A"/>
    <m/>
    <s v="Yes"/>
    <m/>
    <s v="Yes"/>
    <m/>
    <s v="New"/>
    <s v="INFASCO"/>
    <n v="95"/>
    <n v="97.85"/>
  </r>
  <r>
    <x v="285"/>
    <x v="10"/>
    <x v="150"/>
    <n v="36"/>
    <n v="660"/>
    <n v="23760"/>
    <s v="157+162"/>
    <s v="Yes"/>
    <m/>
    <s v="Yes"/>
    <m/>
    <s v="Yes"/>
    <m/>
    <s v="Yes"/>
    <m/>
    <s v="N/A"/>
    <m/>
    <s v="Yes"/>
    <m/>
    <s v="Yes"/>
    <m/>
    <s v="Re-certified"/>
    <e v="#N/A"/>
    <s v="N/A"/>
    <n v="190"/>
  </r>
  <r>
    <x v="285"/>
    <x v="10"/>
    <x v="150"/>
    <n v="20"/>
    <n v="660"/>
    <n v="13200"/>
    <m/>
    <m/>
    <m/>
    <m/>
    <m/>
    <m/>
    <m/>
    <m/>
    <m/>
    <m/>
    <m/>
    <m/>
    <m/>
    <m/>
    <m/>
    <m/>
    <e v="#N/A"/>
    <m/>
    <n v="190"/>
  </r>
  <r>
    <x v="286"/>
    <x v="8"/>
    <x v="32"/>
    <n v="30"/>
    <n v="220"/>
    <n v="6600"/>
    <n v="11"/>
    <s v="Yes"/>
    <m/>
    <s v="Yes"/>
    <m/>
    <s v="Yes"/>
    <m/>
    <s v="Yes"/>
    <m/>
    <s v="N/A"/>
    <m/>
    <s v="Yes"/>
    <m/>
    <s v="Yes"/>
    <m/>
    <s v="New"/>
    <s v="INFASCO"/>
    <n v="95"/>
    <n v="97.85"/>
  </r>
  <r>
    <x v="287"/>
    <x v="10"/>
    <x v="66"/>
    <n v="36"/>
    <n v="250"/>
    <n v="9000"/>
    <s v="157+162"/>
    <s v="Yes"/>
    <m/>
    <s v="Yes"/>
    <m/>
    <s v="Yes"/>
    <m/>
    <s v="Yes"/>
    <m/>
    <s v="N/A"/>
    <m/>
    <s v="Yes"/>
    <m/>
    <s v="Yes"/>
    <m/>
    <s v="New"/>
    <s v="INFASCO"/>
    <s v="N/A"/>
    <n v="123.6"/>
  </r>
  <r>
    <x v="288"/>
    <x v="10"/>
    <x v="66"/>
    <n v="23"/>
    <n v="250"/>
    <n v="5750"/>
    <s v="157+162"/>
    <s v="Yes"/>
    <m/>
    <s v="Yes"/>
    <m/>
    <s v="Yes"/>
    <m/>
    <s v="Yes"/>
    <m/>
    <s v="N/A"/>
    <m/>
    <s v="Yes"/>
    <m/>
    <s v="Yes"/>
    <m/>
    <s v="New"/>
    <s v="INFASCO"/>
    <s v="N/A"/>
    <n v="123.6"/>
  </r>
  <r>
    <x v="289"/>
    <x v="8"/>
    <x v="32"/>
    <n v="27"/>
    <n v="220"/>
    <n v="5940"/>
    <n v="11"/>
    <s v="Yes"/>
    <m/>
    <s v="Yes"/>
    <m/>
    <s v="Yes"/>
    <m/>
    <s v="Yes"/>
    <m/>
    <s v="N/A"/>
    <m/>
    <s v="Yes"/>
    <m/>
    <s v="Yes"/>
    <m/>
    <s v="New"/>
    <s v="INFASCO"/>
    <n v="95"/>
    <n v="97.85"/>
  </r>
  <r>
    <x v="290"/>
    <x v="10"/>
    <x v="40"/>
    <n v="36"/>
    <n v="850"/>
    <n v="30600"/>
    <s v="157+162"/>
    <s v="Yes"/>
    <m/>
    <s v="Yes"/>
    <m/>
    <s v="Yes"/>
    <m/>
    <s v="Yes"/>
    <m/>
    <s v="N/A"/>
    <m/>
    <s v="Yes"/>
    <m/>
    <s v="Yes"/>
    <m/>
    <s v="New"/>
    <s v="INFASCO"/>
    <s v="N/A"/>
    <n v="123.6"/>
  </r>
  <r>
    <x v="291"/>
    <x v="10"/>
    <x v="40"/>
    <n v="16"/>
    <n v="850"/>
    <n v="13600"/>
    <s v="157+162"/>
    <s v="Yes"/>
    <m/>
    <s v="Yes"/>
    <m/>
    <s v="Yes"/>
    <m/>
    <s v="Yes"/>
    <m/>
    <s v="N/A"/>
    <m/>
    <s v="Yes"/>
    <m/>
    <s v="Yes"/>
    <m/>
    <s v="New"/>
    <s v="INFASCO"/>
    <s v="N/A"/>
    <n v="123.6"/>
  </r>
  <r>
    <x v="292"/>
    <x v="8"/>
    <x v="32"/>
    <n v="27"/>
    <n v="220"/>
    <n v="5940"/>
    <s v="11+136"/>
    <s v="Yes"/>
    <m/>
    <s v="Yes"/>
    <m/>
    <s v="Yes"/>
    <m/>
    <s v="Yes"/>
    <m/>
    <s v="N/A"/>
    <m/>
    <s v="Yes"/>
    <m/>
    <s v="Yes"/>
    <m/>
    <s v="New"/>
    <s v="INFASCO"/>
    <n v="95"/>
    <n v="97.85"/>
  </r>
  <r>
    <x v="293"/>
    <x v="17"/>
    <x v="32"/>
    <n v="36"/>
    <n v="220"/>
    <n v="7920"/>
    <n v="4"/>
    <s v="Yes"/>
    <m/>
    <s v="Yes"/>
    <m/>
    <s v="Yes"/>
    <m/>
    <s v="Yes"/>
    <m/>
    <s v="N/A"/>
    <m/>
    <s v="Yes"/>
    <m/>
    <s v="Yes"/>
    <m/>
    <s v="New"/>
    <s v="INFASCO"/>
    <n v="95"/>
    <n v="97.85"/>
  </r>
  <r>
    <x v="294"/>
    <x v="15"/>
    <x v="61"/>
    <n v="30"/>
    <n v="4000"/>
    <n v="120000"/>
    <m/>
    <m/>
    <m/>
    <m/>
    <m/>
    <m/>
    <m/>
    <m/>
    <m/>
    <m/>
    <m/>
    <m/>
    <m/>
    <m/>
    <m/>
    <m/>
    <s v="INFASCO"/>
    <m/>
    <n v="97.85"/>
  </r>
  <r>
    <x v="294"/>
    <x v="11"/>
    <x v="0"/>
    <n v="36"/>
    <n v="2500"/>
    <n v="90000"/>
    <m/>
    <m/>
    <m/>
    <m/>
    <m/>
    <m/>
    <m/>
    <m/>
    <m/>
    <m/>
    <m/>
    <m/>
    <m/>
    <m/>
    <m/>
    <m/>
    <s v="INFASCO"/>
    <m/>
    <n v="97.85"/>
  </r>
  <r>
    <x v="294"/>
    <x v="5"/>
    <x v="0"/>
    <n v="36"/>
    <n v="2500"/>
    <n v="90000"/>
    <m/>
    <m/>
    <m/>
    <m/>
    <m/>
    <m/>
    <m/>
    <m/>
    <m/>
    <m/>
    <m/>
    <m/>
    <m/>
    <m/>
    <m/>
    <m/>
    <s v="INFASCO"/>
    <m/>
    <n v="97.85"/>
  </r>
  <r>
    <x v="294"/>
    <x v="5"/>
    <x v="0"/>
    <n v="36"/>
    <n v="2500"/>
    <n v="90000"/>
    <m/>
    <m/>
    <m/>
    <m/>
    <m/>
    <m/>
    <m/>
    <m/>
    <m/>
    <m/>
    <m/>
    <m/>
    <m/>
    <m/>
    <m/>
    <m/>
    <s v="INFASCO"/>
    <m/>
    <n v="97.85"/>
  </r>
  <r>
    <x v="294"/>
    <x v="4"/>
    <x v="37"/>
    <n v="36"/>
    <n v="2500"/>
    <n v="90000"/>
    <m/>
    <m/>
    <m/>
    <m/>
    <m/>
    <m/>
    <m/>
    <m/>
    <m/>
    <m/>
    <m/>
    <m/>
    <m/>
    <m/>
    <m/>
    <m/>
    <s v="INFASCO"/>
    <m/>
    <n v="97.85"/>
  </r>
  <r>
    <x v="294"/>
    <x v="4"/>
    <x v="37"/>
    <n v="36"/>
    <n v="2500"/>
    <n v="90000"/>
    <m/>
    <m/>
    <m/>
    <m/>
    <m/>
    <m/>
    <m/>
    <m/>
    <m/>
    <m/>
    <m/>
    <m/>
    <m/>
    <m/>
    <m/>
    <m/>
    <s v="INFASCO"/>
    <m/>
    <n v="97.85"/>
  </r>
  <r>
    <x v="294"/>
    <x v="4"/>
    <x v="37"/>
    <n v="36"/>
    <n v="2500"/>
    <n v="90000"/>
    <m/>
    <m/>
    <m/>
    <m/>
    <m/>
    <m/>
    <m/>
    <m/>
    <m/>
    <m/>
    <m/>
    <m/>
    <m/>
    <m/>
    <m/>
    <m/>
    <s v="INFASCO"/>
    <m/>
    <n v="97.85"/>
  </r>
  <r>
    <x v="294"/>
    <x v="14"/>
    <x v="37"/>
    <n v="36"/>
    <n v="2500"/>
    <n v="90000"/>
    <m/>
    <m/>
    <m/>
    <m/>
    <m/>
    <m/>
    <m/>
    <m/>
    <m/>
    <m/>
    <m/>
    <m/>
    <m/>
    <m/>
    <m/>
    <m/>
    <s v="INFASCO"/>
    <m/>
    <n v="97.85"/>
  </r>
  <r>
    <x v="294"/>
    <x v="11"/>
    <x v="0"/>
    <n v="34"/>
    <n v="2500"/>
    <n v="85000"/>
    <m/>
    <m/>
    <m/>
    <m/>
    <m/>
    <m/>
    <m/>
    <m/>
    <m/>
    <m/>
    <m/>
    <m/>
    <m/>
    <m/>
    <m/>
    <m/>
    <s v="INFASCO"/>
    <m/>
    <n v="97.85"/>
  </r>
  <r>
    <x v="294"/>
    <x v="0"/>
    <x v="0"/>
    <n v="33"/>
    <n v="2500"/>
    <n v="82500"/>
    <m/>
    <m/>
    <m/>
    <m/>
    <m/>
    <m/>
    <m/>
    <m/>
    <m/>
    <m/>
    <m/>
    <m/>
    <m/>
    <m/>
    <m/>
    <m/>
    <s v="INFASCO"/>
    <m/>
    <n v="97.85"/>
  </r>
  <r>
    <x v="294"/>
    <x v="2"/>
    <x v="71"/>
    <n v="36"/>
    <n v="1500"/>
    <n v="54000"/>
    <m/>
    <m/>
    <m/>
    <m/>
    <m/>
    <m/>
    <m/>
    <m/>
    <m/>
    <m/>
    <m/>
    <m/>
    <m/>
    <m/>
    <m/>
    <m/>
    <s v="INFASCO"/>
    <m/>
    <n v="97.85"/>
  </r>
  <r>
    <x v="294"/>
    <x v="9"/>
    <x v="71"/>
    <n v="36"/>
    <n v="1500"/>
    <n v="54000"/>
    <m/>
    <m/>
    <m/>
    <m/>
    <m/>
    <m/>
    <m/>
    <m/>
    <m/>
    <m/>
    <m/>
    <m/>
    <m/>
    <m/>
    <m/>
    <m/>
    <s v="INFASCO"/>
    <m/>
    <n v="97.85"/>
  </r>
  <r>
    <x v="294"/>
    <x v="1"/>
    <x v="46"/>
    <n v="22"/>
    <n v="2150"/>
    <n v="47300"/>
    <m/>
    <m/>
    <m/>
    <m/>
    <m/>
    <m/>
    <m/>
    <m/>
    <m/>
    <m/>
    <m/>
    <m/>
    <m/>
    <m/>
    <m/>
    <m/>
    <s v="INFASCO"/>
    <m/>
    <n v="97.85"/>
  </r>
  <r>
    <x v="294"/>
    <x v="6"/>
    <x v="87"/>
    <n v="36"/>
    <n v="1250"/>
    <n v="45000"/>
    <m/>
    <m/>
    <m/>
    <m/>
    <m/>
    <m/>
    <m/>
    <m/>
    <m/>
    <m/>
    <m/>
    <m/>
    <m/>
    <m/>
    <m/>
    <m/>
    <s v="INFASCO"/>
    <m/>
    <n v="97.85"/>
  </r>
  <r>
    <x v="294"/>
    <x v="3"/>
    <x v="18"/>
    <n v="36"/>
    <n v="1200"/>
    <n v="43200"/>
    <m/>
    <m/>
    <m/>
    <m/>
    <m/>
    <m/>
    <m/>
    <m/>
    <m/>
    <m/>
    <m/>
    <m/>
    <m/>
    <m/>
    <m/>
    <m/>
    <s v="INFASCO"/>
    <m/>
    <n v="97.85"/>
  </r>
  <r>
    <x v="294"/>
    <x v="6"/>
    <x v="87"/>
    <n v="23"/>
    <n v="1250"/>
    <n v="28750"/>
    <m/>
    <m/>
    <m/>
    <m/>
    <m/>
    <m/>
    <m/>
    <m/>
    <m/>
    <m/>
    <m/>
    <m/>
    <m/>
    <m/>
    <m/>
    <m/>
    <s v="INFASCO"/>
    <m/>
    <n v="97.85"/>
  </r>
  <r>
    <x v="294"/>
    <x v="2"/>
    <x v="71"/>
    <n v="19"/>
    <n v="1500"/>
    <n v="28500"/>
    <m/>
    <m/>
    <m/>
    <m/>
    <m/>
    <m/>
    <m/>
    <m/>
    <m/>
    <m/>
    <m/>
    <m/>
    <m/>
    <m/>
    <m/>
    <m/>
    <s v="INFASCO"/>
    <m/>
    <n v="97.85"/>
  </r>
  <r>
    <x v="294"/>
    <x v="16"/>
    <x v="151"/>
    <n v="36"/>
    <n v="650"/>
    <n v="23400"/>
    <m/>
    <m/>
    <m/>
    <m/>
    <m/>
    <m/>
    <m/>
    <m/>
    <m/>
    <m/>
    <m/>
    <m/>
    <m/>
    <m/>
    <m/>
    <m/>
    <s v="INFASCO"/>
    <m/>
    <n v="97.85"/>
  </r>
  <r>
    <x v="294"/>
    <x v="12"/>
    <x v="55"/>
    <n v="54"/>
    <n v="400"/>
    <n v="21600"/>
    <m/>
    <m/>
    <m/>
    <m/>
    <m/>
    <m/>
    <m/>
    <m/>
    <m/>
    <m/>
    <m/>
    <m/>
    <m/>
    <m/>
    <m/>
    <m/>
    <s v="INFASCO"/>
    <m/>
    <n v="97.85"/>
  </r>
  <r>
    <x v="294"/>
    <x v="16"/>
    <x v="55"/>
    <n v="36"/>
    <n v="400"/>
    <n v="14400"/>
    <m/>
    <m/>
    <m/>
    <m/>
    <m/>
    <m/>
    <m/>
    <m/>
    <m/>
    <m/>
    <m/>
    <m/>
    <m/>
    <m/>
    <m/>
    <m/>
    <s v="INFASCO"/>
    <m/>
    <n v="97.85"/>
  </r>
  <r>
    <x v="294"/>
    <x v="6"/>
    <x v="55"/>
    <n v="36"/>
    <n v="400"/>
    <n v="14400"/>
    <m/>
    <m/>
    <m/>
    <m/>
    <m/>
    <m/>
    <m/>
    <m/>
    <m/>
    <m/>
    <m/>
    <m/>
    <m/>
    <m/>
    <m/>
    <m/>
    <s v="INFASCO"/>
    <m/>
    <n v="97.85"/>
  </r>
  <r>
    <x v="294"/>
    <x v="7"/>
    <x v="55"/>
    <n v="36"/>
    <n v="400"/>
    <n v="14400"/>
    <m/>
    <m/>
    <m/>
    <m/>
    <m/>
    <m/>
    <m/>
    <m/>
    <m/>
    <m/>
    <m/>
    <m/>
    <m/>
    <m/>
    <m/>
    <m/>
    <s v="INFASCO"/>
    <m/>
    <n v="97.85"/>
  </r>
  <r>
    <x v="294"/>
    <x v="3"/>
    <x v="55"/>
    <n v="36"/>
    <n v="400"/>
    <n v="14400"/>
    <m/>
    <m/>
    <m/>
    <m/>
    <m/>
    <m/>
    <m/>
    <m/>
    <m/>
    <m/>
    <m/>
    <m/>
    <m/>
    <m/>
    <m/>
    <m/>
    <s v="INFASCO"/>
    <m/>
    <n v="97.85"/>
  </r>
  <r>
    <x v="294"/>
    <x v="7"/>
    <x v="55"/>
    <n v="27"/>
    <n v="400"/>
    <n v="10800"/>
    <m/>
    <m/>
    <m/>
    <m/>
    <m/>
    <m/>
    <m/>
    <m/>
    <m/>
    <m/>
    <m/>
    <m/>
    <m/>
    <m/>
    <m/>
    <m/>
    <s v="INFASCO"/>
    <m/>
    <n v="97.85"/>
  </r>
  <r>
    <x v="294"/>
    <x v="17"/>
    <x v="32"/>
    <n v="36"/>
    <n v="220"/>
    <n v="7920"/>
    <n v="4"/>
    <s v="Yes"/>
    <m/>
    <s v="Yes"/>
    <m/>
    <s v="Yes"/>
    <m/>
    <s v="Yes"/>
    <m/>
    <s v="N/A"/>
    <m/>
    <s v="Yes"/>
    <m/>
    <s v="Yes"/>
    <m/>
    <s v="New"/>
    <s v="INFASCO"/>
    <n v="95"/>
    <n v="97.85"/>
  </r>
  <r>
    <x v="294"/>
    <x v="8"/>
    <x v="32"/>
    <n v="36"/>
    <n v="220"/>
    <n v="7920"/>
    <m/>
    <m/>
    <m/>
    <m/>
    <m/>
    <m/>
    <m/>
    <m/>
    <m/>
    <m/>
    <m/>
    <m/>
    <m/>
    <m/>
    <m/>
    <m/>
    <s v="INFASCO"/>
    <m/>
    <n v="97.85"/>
  </r>
  <r>
    <x v="295"/>
    <x v="24"/>
    <x v="45"/>
    <n v="33"/>
    <n v="1850"/>
    <n v="61050"/>
    <n v="325"/>
    <s v="Yes"/>
    <m/>
    <s v="Yes"/>
    <m/>
    <s v="Yes"/>
    <m/>
    <s v="Yes"/>
    <m/>
    <s v="N/A"/>
    <m/>
    <s v="Yes"/>
    <m/>
    <s v="Yes"/>
    <m/>
    <s v="New"/>
    <s v="INFASCO"/>
    <n v="220"/>
    <n v="226.6"/>
  </r>
  <r>
    <x v="296"/>
    <x v="10"/>
    <x v="95"/>
    <n v="29"/>
    <n v="100"/>
    <n v="2900"/>
    <s v="157+162"/>
    <s v="Yes"/>
    <m/>
    <s v="Yes"/>
    <m/>
    <s v="Yes"/>
    <m/>
    <s v="Yes"/>
    <m/>
    <s v="N/A"/>
    <m/>
    <s v="Yes"/>
    <m/>
    <s v="Yes"/>
    <m/>
    <s v="New"/>
    <s v="INFASCO"/>
    <s v="N/A"/>
    <n v="123.6"/>
  </r>
  <r>
    <x v="297"/>
    <x v="17"/>
    <x v="32"/>
    <n v="36"/>
    <n v="220"/>
    <n v="7920"/>
    <s v="156+004"/>
    <s v="Yes"/>
    <m/>
    <s v="Yes"/>
    <m/>
    <s v="Yes"/>
    <m/>
    <s v="Yes"/>
    <m/>
    <s v="N/A"/>
    <m/>
    <s v="Yes"/>
    <m/>
    <s v="Yes"/>
    <m/>
    <s v="New"/>
    <s v="INFASCO"/>
    <n v="95"/>
    <n v="97.85"/>
  </r>
  <r>
    <x v="298"/>
    <x v="10"/>
    <x v="95"/>
    <n v="31"/>
    <n v="100"/>
    <n v="3100"/>
    <s v="157+162"/>
    <s v="Yes"/>
    <m/>
    <s v="Yes"/>
    <m/>
    <s v="Yes"/>
    <m/>
    <s v="Yes"/>
    <m/>
    <s v="N/A"/>
    <m/>
    <s v="Yes"/>
    <m/>
    <s v="Yes"/>
    <m/>
    <s v="New"/>
    <s v="INFASCO"/>
    <s v="N/A"/>
    <n v="123.6"/>
  </r>
  <r>
    <x v="299"/>
    <x v="8"/>
    <x v="32"/>
    <n v="36"/>
    <n v="220"/>
    <n v="7920"/>
    <s v="011+325"/>
    <s v="Yes"/>
    <m/>
    <s v="Yes"/>
    <m/>
    <s v="Yes"/>
    <m/>
    <s v="Yes"/>
    <m/>
    <s v="N/A"/>
    <m/>
    <s v="Yes"/>
    <m/>
    <s v="Yes"/>
    <m/>
    <s v="New"/>
    <s v="INFASCO"/>
    <n v="95"/>
    <n v="97.85"/>
  </r>
  <r>
    <x v="300"/>
    <x v="8"/>
    <x v="32"/>
    <n v="28"/>
    <n v="220"/>
    <n v="6160"/>
    <s v="011+325"/>
    <s v="Yes"/>
    <m/>
    <s v="Yes"/>
    <m/>
    <s v="Yes"/>
    <m/>
    <s v="Yes"/>
    <m/>
    <s v="N/A"/>
    <m/>
    <s v="Yes"/>
    <m/>
    <s v="Yes"/>
    <m/>
    <s v="New"/>
    <s v="INFASCO"/>
    <n v="95"/>
    <n v="97.85"/>
  </r>
  <r>
    <x v="301"/>
    <x v="17"/>
    <x v="32"/>
    <n v="36"/>
    <n v="220"/>
    <n v="7920"/>
    <s v="156+004"/>
    <s v="Yes"/>
    <m/>
    <s v="Yes"/>
    <m/>
    <s v="Yes"/>
    <m/>
    <s v="Yes"/>
    <m/>
    <s v="N/A"/>
    <m/>
    <s v="Yes"/>
    <m/>
    <s v="Yes"/>
    <m/>
    <s v="New"/>
    <s v="INFASCO"/>
    <n v="95"/>
    <n v="97.85"/>
  </r>
  <r>
    <x v="302"/>
    <x v="8"/>
    <x v="32"/>
    <n v="12"/>
    <n v="220"/>
    <n v="2640"/>
    <s v="011+325"/>
    <s v="Yes"/>
    <m/>
    <s v="Yes"/>
    <m/>
    <s v="Yes"/>
    <m/>
    <s v="Yes"/>
    <m/>
    <s v="N/A"/>
    <m/>
    <s v="Yes"/>
    <m/>
    <s v="Yes"/>
    <m/>
    <s v="New"/>
    <s v="INFASCO"/>
    <n v="95"/>
    <n v="97.85"/>
  </r>
  <r>
    <x v="303"/>
    <x v="10"/>
    <x v="95"/>
    <n v="30"/>
    <n v="100"/>
    <n v="3000"/>
    <s v="157+162"/>
    <s v="Yes"/>
    <m/>
    <s v="Yes"/>
    <m/>
    <s v="Yes"/>
    <m/>
    <s v="Yes"/>
    <m/>
    <s v="N/A"/>
    <m/>
    <s v="Yes"/>
    <m/>
    <s v="Yes"/>
    <m/>
    <s v="New"/>
    <s v="INFASCO"/>
    <n v="120"/>
    <n v="123.6"/>
  </r>
  <r>
    <x v="304"/>
    <x v="17"/>
    <x v="32"/>
    <n v="36"/>
    <n v="220"/>
    <n v="7920"/>
    <s v="156+004"/>
    <s v="Yes"/>
    <m/>
    <s v="Yes"/>
    <m/>
    <s v="Yes"/>
    <m/>
    <s v="Yes"/>
    <m/>
    <s v="N/A"/>
    <m/>
    <s v="Yes"/>
    <m/>
    <s v="Yes"/>
    <m/>
    <s v="New"/>
    <s v="INFASCO"/>
    <n v="95"/>
    <n v="97.85"/>
  </r>
  <r>
    <x v="305"/>
    <x v="17"/>
    <x v="32"/>
    <n v="36"/>
    <n v="220"/>
    <n v="7920"/>
    <s v="156+004"/>
    <s v="Yes"/>
    <m/>
    <s v="Yes"/>
    <m/>
    <s v="Yes"/>
    <m/>
    <s v="Yes"/>
    <m/>
    <s v="N/A"/>
    <m/>
    <s v="Yes"/>
    <m/>
    <s v="Yes"/>
    <m/>
    <s v="New"/>
    <s v="INFASCO"/>
    <n v="95"/>
    <n v="97.85"/>
  </r>
  <r>
    <x v="306"/>
    <x v="10"/>
    <x v="31"/>
    <n v="36"/>
    <n v="210"/>
    <n v="7560"/>
    <s v="157+162"/>
    <s v="Yes"/>
    <m/>
    <s v="Yes"/>
    <m/>
    <s v="Yes"/>
    <m/>
    <s v="Yes"/>
    <m/>
    <s v="N/A"/>
    <m/>
    <s v="Yes"/>
    <m/>
    <s v="Yes"/>
    <m/>
    <s v="New"/>
    <s v="INFASCO"/>
    <s v="N/A"/>
    <n v="97.85"/>
  </r>
  <r>
    <x v="307"/>
    <x v="8"/>
    <x v="32"/>
    <n v="16"/>
    <n v="220"/>
    <n v="3520"/>
    <s v="011+325"/>
    <s v="Yes"/>
    <m/>
    <s v="Yes"/>
    <m/>
    <s v="Yes"/>
    <m/>
    <s v="Yes"/>
    <m/>
    <s v="N/A"/>
    <m/>
    <s v="Yes"/>
    <m/>
    <s v="Yes"/>
    <m/>
    <s v="New"/>
    <s v="INFASCO"/>
    <n v="95"/>
    <n v="97.85"/>
  </r>
  <r>
    <x v="308"/>
    <x v="8"/>
    <x v="32"/>
    <n v="35"/>
    <n v="220"/>
    <n v="7700"/>
    <s v="011+325"/>
    <s v="Yes"/>
    <m/>
    <s v="Yes"/>
    <m/>
    <s v="Yes"/>
    <m/>
    <s v="Yes"/>
    <m/>
    <s v="N/A"/>
    <m/>
    <s v="Yes"/>
    <m/>
    <s v="Yes"/>
    <m/>
    <s v="New"/>
    <s v="INFASCO"/>
    <n v="95"/>
    <n v="97.85"/>
  </r>
  <r>
    <x v="309"/>
    <x v="18"/>
    <x v="95"/>
    <n v="31"/>
    <n v="100"/>
    <n v="3100"/>
    <n v="136"/>
    <s v="Yes"/>
    <m/>
    <s v="Yes"/>
    <m/>
    <s v="Yes"/>
    <m/>
    <s v="Yes"/>
    <m/>
    <s v="N/A"/>
    <m/>
    <s v="Yes"/>
    <m/>
    <s v="Yes"/>
    <m/>
    <s v="New"/>
    <s v="INFASCO"/>
    <n v="120"/>
    <n v="123.6"/>
  </r>
  <r>
    <x v="310"/>
    <x v="17"/>
    <x v="32"/>
    <n v="42"/>
    <n v="220"/>
    <n v="9240"/>
    <s v="156+004"/>
    <s v="Yes"/>
    <m/>
    <s v="Yes"/>
    <m/>
    <s v="Yes"/>
    <m/>
    <s v="Yes"/>
    <m/>
    <s v="N/A"/>
    <m/>
    <s v="Yes"/>
    <m/>
    <s v="Yes"/>
    <m/>
    <s v="New"/>
    <s v="INFASCO"/>
    <n v="95"/>
    <n v="97.85"/>
  </r>
  <r>
    <x v="311"/>
    <x v="8"/>
    <x v="31"/>
    <n v="36"/>
    <n v="210"/>
    <n v="7560"/>
    <s v="011+325"/>
    <s v="Yes"/>
    <m/>
    <s v="Yes"/>
    <m/>
    <s v="Yes"/>
    <m/>
    <s v="Yes"/>
    <m/>
    <s v="N/A"/>
    <m/>
    <s v="Yes"/>
    <m/>
    <s v="Yes"/>
    <m/>
    <s v="New"/>
    <s v="INFASCO"/>
    <n v="95"/>
    <n v="97.85"/>
  </r>
  <r>
    <x v="312"/>
    <x v="10"/>
    <x v="31"/>
    <n v="36"/>
    <n v="210"/>
    <n v="7560"/>
    <s v="157+162"/>
    <s v="Yes"/>
    <m/>
    <s v="Yes"/>
    <m/>
    <s v="Yes"/>
    <m/>
    <s v="Yes"/>
    <m/>
    <s v="N/A"/>
    <m/>
    <s v="Yes"/>
    <m/>
    <s v="Yes"/>
    <m/>
    <s v="New"/>
    <s v="INFASCO"/>
    <s v="N/A"/>
    <n v="97.85"/>
  </r>
  <r>
    <x v="313"/>
    <x v="17"/>
    <x v="31"/>
    <n v="36"/>
    <n v="210"/>
    <n v="7560"/>
    <s v="156+004"/>
    <s v="Yes"/>
    <m/>
    <s v="Yes"/>
    <m/>
    <s v="Yes"/>
    <m/>
    <s v="Yes"/>
    <m/>
    <s v="N/A"/>
    <m/>
    <s v="Yes"/>
    <m/>
    <s v="Yes"/>
    <m/>
    <s v="New"/>
    <s v="INFASCO"/>
    <n v="95"/>
    <n v="97.85"/>
  </r>
  <r>
    <x v="314"/>
    <x v="8"/>
    <x v="31"/>
    <n v="36"/>
    <n v="210"/>
    <n v="7560"/>
    <s v="011+325"/>
    <s v="Yes"/>
    <m/>
    <s v="Yes"/>
    <m/>
    <s v="Yes"/>
    <m/>
    <s v="Yes"/>
    <m/>
    <s v="N/A"/>
    <m/>
    <s v="Yes"/>
    <m/>
    <s v="Yes"/>
    <m/>
    <s v="New"/>
    <s v="INFASCO"/>
    <n v="95"/>
    <n v="97.85"/>
  </r>
  <r>
    <x v="315"/>
    <x v="17"/>
    <x v="31"/>
    <n v="36"/>
    <n v="210"/>
    <n v="7560"/>
    <s v="156+004"/>
    <s v="Yes"/>
    <m/>
    <s v="Yes"/>
    <m/>
    <s v="Yes"/>
    <m/>
    <s v="Yes"/>
    <m/>
    <s v="N/A"/>
    <m/>
    <s v="Yes"/>
    <m/>
    <s v="Yes"/>
    <m/>
    <s v="New"/>
    <s v="INFASCO"/>
    <n v="95"/>
    <n v="97.85"/>
  </r>
  <r>
    <x v="316"/>
    <x v="18"/>
    <x v="31"/>
    <n v="36"/>
    <n v="210"/>
    <n v="7560"/>
    <n v="136"/>
    <s v="Yes"/>
    <m/>
    <s v="Yes"/>
    <m/>
    <s v="Yes"/>
    <m/>
    <s v="Yes"/>
    <m/>
    <s v="N/A"/>
    <m/>
    <s v="Yes"/>
    <m/>
    <s v="Yes"/>
    <m/>
    <s v="New"/>
    <s v="INFASCO"/>
    <n v="95"/>
    <n v="97.85"/>
  </r>
  <r>
    <x v="317"/>
    <x v="8"/>
    <x v="31"/>
    <n v="30"/>
    <n v="210"/>
    <n v="6300"/>
    <s v="01+325"/>
    <s v="Yes"/>
    <m/>
    <s v="Yes"/>
    <m/>
    <s v="Yes"/>
    <m/>
    <s v="Yes"/>
    <m/>
    <s v="N/A"/>
    <m/>
    <s v="Yes"/>
    <m/>
    <s v="Yes"/>
    <m/>
    <s v="New"/>
    <s v="INFASCO"/>
    <n v="95"/>
    <n v="97.85"/>
  </r>
  <r>
    <x v="318"/>
    <x v="17"/>
    <x v="31"/>
    <n v="36"/>
    <n v="210"/>
    <n v="7560"/>
    <s v="156+004"/>
    <s v="Yes"/>
    <m/>
    <s v="Yes"/>
    <m/>
    <s v="Yes"/>
    <m/>
    <s v="Yes"/>
    <m/>
    <s v="N/A"/>
    <m/>
    <s v="Yes"/>
    <m/>
    <s v="Yes"/>
    <m/>
    <s v="New"/>
    <s v="INFASCO"/>
    <n v="95"/>
    <n v="97.85"/>
  </r>
  <r>
    <x v="319"/>
    <x v="10"/>
    <x v="31"/>
    <n v="36"/>
    <n v="210"/>
    <n v="7560"/>
    <s v="157+162"/>
    <s v="Yes"/>
    <m/>
    <s v="Yes"/>
    <m/>
    <s v="Yes"/>
    <m/>
    <s v="Yes"/>
    <m/>
    <s v="N/A"/>
    <m/>
    <s v="Yes"/>
    <m/>
    <s v="Yes"/>
    <m/>
    <s v="New"/>
    <s v="INFASCO"/>
    <n v="95"/>
    <n v="97.85"/>
  </r>
  <r>
    <x v="320"/>
    <x v="10"/>
    <x v="95"/>
    <n v="20"/>
    <n v="100"/>
    <n v="2000"/>
    <s v="157+162"/>
    <s v="Yes"/>
    <m/>
    <s v="Yes"/>
    <m/>
    <s v="Yes"/>
    <m/>
    <s v="Yes"/>
    <m/>
    <s v="N/A"/>
    <m/>
    <s v="Yes"/>
    <m/>
    <s v="Yes"/>
    <m/>
    <s v="New"/>
    <s v="INFASCO"/>
    <n v="120"/>
    <n v="123.6"/>
  </r>
  <r>
    <x v="321"/>
    <x v="8"/>
    <x v="95"/>
    <n v="36"/>
    <n v="100"/>
    <n v="3600"/>
    <s v="011+325"/>
    <s v="Yes"/>
    <m/>
    <s v="Yes"/>
    <m/>
    <s v="Yes"/>
    <m/>
    <s v="Yes"/>
    <m/>
    <s v="N/A"/>
    <m/>
    <s v="Yes"/>
    <m/>
    <s v="Yes"/>
    <m/>
    <s v="New"/>
    <s v="INFASCO"/>
    <n v="120"/>
    <n v="123.6"/>
  </r>
  <r>
    <x v="322"/>
    <x v="17"/>
    <x v="95"/>
    <n v="32"/>
    <n v="100"/>
    <n v="3200"/>
    <s v="156+004"/>
    <s v="Yes"/>
    <m/>
    <s v="Yes"/>
    <m/>
    <s v="Yes"/>
    <m/>
    <s v="Yes"/>
    <m/>
    <s v="N/A"/>
    <m/>
    <s v="Yes"/>
    <m/>
    <s v="Yes"/>
    <m/>
    <s v="New"/>
    <s v="INFASCO"/>
    <n v="120"/>
    <n v="123.6"/>
  </r>
  <r>
    <x v="323"/>
    <x v="18"/>
    <x v="105"/>
    <n v="34"/>
    <n v="150"/>
    <n v="5100"/>
    <n v="136"/>
    <s v="Yes"/>
    <m/>
    <s v="Yes"/>
    <m/>
    <s v="Yes"/>
    <m/>
    <s v="Yes"/>
    <m/>
    <s v="N/A"/>
    <m/>
    <s v="Yes"/>
    <m/>
    <s v="Yes"/>
    <m/>
    <s v="New"/>
    <s v="INFASCO"/>
    <n v="95"/>
    <n v="97.85"/>
  </r>
  <r>
    <x v="324"/>
    <x v="10"/>
    <x v="95"/>
    <n v="33"/>
    <n v="100"/>
    <n v="3300"/>
    <s v="157+162"/>
    <s v="Yes"/>
    <m/>
    <s v="Yes"/>
    <m/>
    <s v="Yes"/>
    <m/>
    <s v="Yes"/>
    <m/>
    <s v="N/A"/>
    <m/>
    <s v="Yes"/>
    <m/>
    <s v="Yes"/>
    <m/>
    <s v="New"/>
    <s v="INFASCO"/>
    <n v="120"/>
    <n v="123.6"/>
  </r>
  <r>
    <x v="325"/>
    <x v="8"/>
    <x v="73"/>
    <n v="32"/>
    <n v="350"/>
    <n v="11200"/>
    <m/>
    <m/>
    <m/>
    <m/>
    <m/>
    <m/>
    <m/>
    <m/>
    <m/>
    <m/>
    <m/>
    <m/>
    <m/>
    <m/>
    <m/>
    <m/>
    <s v="INFASCO"/>
    <m/>
    <n v="97.85"/>
  </r>
  <r>
    <x v="325"/>
    <x v="8"/>
    <x v="105"/>
    <n v="34"/>
    <n v="150"/>
    <n v="5100"/>
    <s v="011+325"/>
    <s v="Yes"/>
    <m/>
    <s v="Yes"/>
    <m/>
    <s v="Yes"/>
    <m/>
    <s v="Yes"/>
    <m/>
    <s v="N/A"/>
    <m/>
    <s v="Yes"/>
    <m/>
    <s v="Yes"/>
    <m/>
    <s v="New"/>
    <s v="INFASCO"/>
    <n v="95"/>
    <n v="97.85"/>
  </r>
  <r>
    <x v="326"/>
    <x v="17"/>
    <x v="105"/>
    <n v="33"/>
    <n v="150"/>
    <n v="4950"/>
    <s v="156+004"/>
    <s v="Yes"/>
    <m/>
    <s v="Yes"/>
    <m/>
    <s v="Yes"/>
    <m/>
    <s v="Yes"/>
    <m/>
    <s v="N/A"/>
    <m/>
    <s v="Yes"/>
    <m/>
    <s v="Yes"/>
    <m/>
    <s v="New"/>
    <s v="INFASCO"/>
    <n v="95"/>
    <n v="97.85"/>
  </r>
  <r>
    <x v="327"/>
    <x v="17"/>
    <x v="73"/>
    <n v="36"/>
    <n v="350"/>
    <n v="12600"/>
    <s v="156+004"/>
    <s v="Yes"/>
    <m/>
    <s v="Yes"/>
    <m/>
    <s v="Yes"/>
    <m/>
    <s v="Yes"/>
    <m/>
    <s v="N/A"/>
    <m/>
    <s v="Yes"/>
    <m/>
    <s v="Yes"/>
    <m/>
    <s v="New"/>
    <s v="INFASCO"/>
    <n v="95"/>
    <n v="97.85"/>
  </r>
  <r>
    <x v="328"/>
    <x v="8"/>
    <x v="73"/>
    <n v="36"/>
    <n v="350"/>
    <n v="12600"/>
    <s v="011+325"/>
    <s v="Yes"/>
    <m/>
    <s v="Yes"/>
    <m/>
    <s v="Yes"/>
    <m/>
    <s v="Yes"/>
    <m/>
    <s v="N/A"/>
    <m/>
    <s v="Yes"/>
    <m/>
    <s v="Yes"/>
    <m/>
    <s v="New"/>
    <s v="INFASCO"/>
    <n v="95"/>
    <n v="97.85"/>
  </r>
  <r>
    <x v="329"/>
    <x v="10"/>
    <x v="73"/>
    <n v="30"/>
    <n v="350"/>
    <n v="10500"/>
    <s v="157+162"/>
    <s v="Yes"/>
    <m/>
    <s v="Yes"/>
    <m/>
    <s v="Yes"/>
    <m/>
    <s v="Yes"/>
    <m/>
    <s v="N/A"/>
    <m/>
    <s v="Yes"/>
    <m/>
    <s v="Yes"/>
    <m/>
    <s v="New"/>
    <s v="INFASCO"/>
    <n v="95"/>
    <n v="97.85"/>
  </r>
  <r>
    <x v="330"/>
    <x v="15"/>
    <x v="61"/>
    <n v="25"/>
    <n v="4000"/>
    <n v="100000"/>
    <m/>
    <m/>
    <m/>
    <m/>
    <m/>
    <m/>
    <m/>
    <m/>
    <m/>
    <m/>
    <m/>
    <m/>
    <m/>
    <m/>
    <m/>
    <m/>
    <s v="INFASCO"/>
    <m/>
    <n v="97.85"/>
  </r>
  <r>
    <x v="330"/>
    <x v="4"/>
    <x v="37"/>
    <n v="36"/>
    <n v="2500"/>
    <n v="90000"/>
    <m/>
    <m/>
    <m/>
    <m/>
    <m/>
    <m/>
    <m/>
    <m/>
    <m/>
    <m/>
    <m/>
    <m/>
    <m/>
    <m/>
    <m/>
    <m/>
    <s v="INFASCO"/>
    <m/>
    <n v="97.85"/>
  </r>
  <r>
    <x v="330"/>
    <x v="1"/>
    <x v="46"/>
    <n v="36"/>
    <n v="2150"/>
    <n v="77400"/>
    <m/>
    <m/>
    <m/>
    <m/>
    <m/>
    <m/>
    <m/>
    <m/>
    <m/>
    <m/>
    <m/>
    <m/>
    <m/>
    <m/>
    <m/>
    <m/>
    <s v="INFASCO"/>
    <m/>
    <n v="97.85"/>
  </r>
  <r>
    <x v="330"/>
    <x v="6"/>
    <x v="46"/>
    <n v="36"/>
    <n v="2150"/>
    <n v="77400"/>
    <m/>
    <m/>
    <m/>
    <m/>
    <m/>
    <m/>
    <m/>
    <m/>
    <m/>
    <m/>
    <m/>
    <m/>
    <m/>
    <m/>
    <m/>
    <m/>
    <s v="INFASCO"/>
    <m/>
    <n v="97.85"/>
  </r>
  <r>
    <x v="330"/>
    <x v="6"/>
    <x v="46"/>
    <n v="36"/>
    <n v="2150"/>
    <n v="77400"/>
    <m/>
    <m/>
    <m/>
    <m/>
    <m/>
    <m/>
    <m/>
    <m/>
    <m/>
    <m/>
    <m/>
    <m/>
    <m/>
    <m/>
    <m/>
    <m/>
    <s v="INFASCO"/>
    <m/>
    <n v="97.85"/>
  </r>
  <r>
    <x v="330"/>
    <x v="5"/>
    <x v="2"/>
    <n v="28"/>
    <n v="2700"/>
    <n v="75600"/>
    <m/>
    <m/>
    <m/>
    <m/>
    <m/>
    <m/>
    <m/>
    <m/>
    <m/>
    <m/>
    <m/>
    <m/>
    <m/>
    <m/>
    <m/>
    <m/>
    <s v="INFASCO"/>
    <m/>
    <n v="97.85"/>
  </r>
  <r>
    <x v="330"/>
    <x v="4"/>
    <x v="69"/>
    <n v="36"/>
    <n v="1900"/>
    <n v="68400"/>
    <m/>
    <m/>
    <m/>
    <m/>
    <m/>
    <m/>
    <m/>
    <m/>
    <m/>
    <m/>
    <m/>
    <m/>
    <m/>
    <m/>
    <m/>
    <m/>
    <s v="INFASCO"/>
    <m/>
    <n v="97.85"/>
  </r>
  <r>
    <x v="330"/>
    <x v="14"/>
    <x v="37"/>
    <n v="24"/>
    <n v="2500"/>
    <n v="60000"/>
    <m/>
    <m/>
    <m/>
    <m/>
    <m/>
    <m/>
    <m/>
    <m/>
    <m/>
    <m/>
    <m/>
    <m/>
    <m/>
    <m/>
    <m/>
    <m/>
    <s v="INFASCO"/>
    <m/>
    <n v="97.85"/>
  </r>
  <r>
    <x v="330"/>
    <x v="2"/>
    <x v="71"/>
    <n v="36"/>
    <n v="1500"/>
    <n v="54000"/>
    <m/>
    <m/>
    <m/>
    <m/>
    <m/>
    <m/>
    <m/>
    <m/>
    <m/>
    <m/>
    <m/>
    <m/>
    <m/>
    <m/>
    <m/>
    <m/>
    <s v="INFASCO"/>
    <m/>
    <n v="97.85"/>
  </r>
  <r>
    <x v="330"/>
    <x v="9"/>
    <x v="71"/>
    <n v="36"/>
    <n v="1500"/>
    <n v="54000"/>
    <m/>
    <m/>
    <m/>
    <m/>
    <m/>
    <m/>
    <m/>
    <m/>
    <m/>
    <m/>
    <m/>
    <m/>
    <m/>
    <m/>
    <m/>
    <m/>
    <s v="INFASCO"/>
    <m/>
    <n v="97.85"/>
  </r>
  <r>
    <x v="330"/>
    <x v="6"/>
    <x v="87"/>
    <n v="36"/>
    <n v="1250"/>
    <n v="45000"/>
    <m/>
    <m/>
    <m/>
    <m/>
    <m/>
    <m/>
    <m/>
    <m/>
    <m/>
    <m/>
    <m/>
    <m/>
    <m/>
    <m/>
    <m/>
    <m/>
    <s v="INFASCO"/>
    <m/>
    <n v="97.85"/>
  </r>
  <r>
    <x v="330"/>
    <x v="2"/>
    <x v="71"/>
    <n v="29"/>
    <n v="1500"/>
    <n v="43500"/>
    <m/>
    <m/>
    <m/>
    <m/>
    <m/>
    <m/>
    <m/>
    <m/>
    <m/>
    <m/>
    <m/>
    <m/>
    <m/>
    <m/>
    <m/>
    <m/>
    <s v="INFASCO"/>
    <m/>
    <n v="97.85"/>
  </r>
  <r>
    <x v="330"/>
    <x v="12"/>
    <x v="19"/>
    <n v="36"/>
    <n v="1200"/>
    <n v="43200"/>
    <m/>
    <m/>
    <m/>
    <m/>
    <m/>
    <m/>
    <m/>
    <m/>
    <m/>
    <m/>
    <m/>
    <m/>
    <m/>
    <m/>
    <m/>
    <m/>
    <s v="INFASCO"/>
    <m/>
    <n v="97.85"/>
  </r>
  <r>
    <x v="330"/>
    <x v="3"/>
    <x v="18"/>
    <n v="36"/>
    <n v="1200"/>
    <n v="43200"/>
    <m/>
    <m/>
    <m/>
    <m/>
    <m/>
    <m/>
    <m/>
    <m/>
    <m/>
    <m/>
    <m/>
    <m/>
    <m/>
    <m/>
    <m/>
    <m/>
    <s v="INFASCO"/>
    <m/>
    <n v="97.85"/>
  </r>
  <r>
    <x v="330"/>
    <x v="11"/>
    <x v="19"/>
    <n v="33"/>
    <n v="1200"/>
    <n v="39600"/>
    <m/>
    <m/>
    <m/>
    <m/>
    <m/>
    <m/>
    <m/>
    <m/>
    <m/>
    <m/>
    <m/>
    <m/>
    <m/>
    <m/>
    <m/>
    <m/>
    <s v="INFASCO"/>
    <m/>
    <n v="97.85"/>
  </r>
  <r>
    <x v="330"/>
    <x v="12"/>
    <x v="19"/>
    <n v="33"/>
    <n v="1200"/>
    <n v="39600"/>
    <m/>
    <m/>
    <m/>
    <m/>
    <m/>
    <m/>
    <m/>
    <m/>
    <m/>
    <m/>
    <m/>
    <m/>
    <m/>
    <m/>
    <m/>
    <m/>
    <s v="INFASCO"/>
    <m/>
    <n v="97.85"/>
  </r>
  <r>
    <x v="330"/>
    <x v="11"/>
    <x v="19"/>
    <n v="32"/>
    <n v="1200"/>
    <n v="38400"/>
    <m/>
    <m/>
    <m/>
    <m/>
    <m/>
    <m/>
    <m/>
    <m/>
    <m/>
    <m/>
    <m/>
    <m/>
    <m/>
    <m/>
    <m/>
    <m/>
    <s v="INFASCO"/>
    <m/>
    <n v="97.85"/>
  </r>
  <r>
    <x v="330"/>
    <x v="16"/>
    <x v="151"/>
    <n v="36"/>
    <n v="650"/>
    <n v="23400"/>
    <m/>
    <m/>
    <m/>
    <m/>
    <m/>
    <m/>
    <m/>
    <m/>
    <m/>
    <m/>
    <m/>
    <m/>
    <m/>
    <m/>
    <m/>
    <m/>
    <s v="INFASCO"/>
    <m/>
    <n v="97.85"/>
  </r>
  <r>
    <x v="330"/>
    <x v="16"/>
    <x v="151"/>
    <n v="36"/>
    <n v="650"/>
    <n v="23400"/>
    <m/>
    <m/>
    <m/>
    <m/>
    <m/>
    <m/>
    <m/>
    <m/>
    <m/>
    <m/>
    <m/>
    <m/>
    <m/>
    <m/>
    <m/>
    <m/>
    <s v="INFASCO"/>
    <m/>
    <n v="97.85"/>
  </r>
  <r>
    <x v="330"/>
    <x v="7"/>
    <x v="55"/>
    <n v="36"/>
    <n v="400"/>
    <n v="14400"/>
    <m/>
    <m/>
    <m/>
    <m/>
    <m/>
    <m/>
    <m/>
    <m/>
    <m/>
    <m/>
    <m/>
    <m/>
    <m/>
    <m/>
    <m/>
    <m/>
    <s v="INFASCO"/>
    <m/>
    <n v="97.85"/>
  </r>
  <r>
    <x v="330"/>
    <x v="17"/>
    <x v="73"/>
    <n v="26"/>
    <n v="350"/>
    <n v="9100"/>
    <s v="156+004"/>
    <s v="Yes"/>
    <m/>
    <s v="Yes"/>
    <m/>
    <s v="Yes"/>
    <m/>
    <s v="Yes"/>
    <m/>
    <s v="N/A"/>
    <m/>
    <s v="Yes"/>
    <m/>
    <s v="Yes"/>
    <m/>
    <s v="New"/>
    <s v="INFASCO"/>
    <n v="95"/>
    <n v="97.85"/>
  </r>
  <r>
    <x v="331"/>
    <x v="18"/>
    <x v="105"/>
    <n v="32"/>
    <n v="150"/>
    <n v="4800"/>
    <n v="136"/>
    <s v="Yes"/>
    <m/>
    <s v="Yes"/>
    <m/>
    <s v="Yes"/>
    <m/>
    <s v="Yes"/>
    <m/>
    <s v="N/A"/>
    <m/>
    <s v="Yes"/>
    <m/>
    <s v="Yes"/>
    <m/>
    <s v="New"/>
    <s v="INFASCO"/>
    <n v="95"/>
    <n v="97.85"/>
  </r>
  <r>
    <x v="332"/>
    <x v="10"/>
    <x v="73"/>
    <n v="46"/>
    <n v="350"/>
    <n v="16100"/>
    <s v="157+162"/>
    <s v="Yes"/>
    <m/>
    <s v="Yes"/>
    <m/>
    <s v="Yes"/>
    <m/>
    <s v="Yes"/>
    <m/>
    <s v="N/A"/>
    <m/>
    <s v="Yes"/>
    <m/>
    <s v="Yes"/>
    <m/>
    <s v="New"/>
    <s v="INFASCO"/>
    <n v="95"/>
    <n v="97.85"/>
  </r>
  <r>
    <x v="333"/>
    <x v="8"/>
    <x v="97"/>
    <n v="13"/>
    <n v="2200"/>
    <n v="28600"/>
    <s v="011+325"/>
    <s v="Yes"/>
    <m/>
    <s v="Yes"/>
    <m/>
    <s v="Yes"/>
    <m/>
    <s v="Yes"/>
    <m/>
    <s v="N/A"/>
    <m/>
    <s v="Yes"/>
    <m/>
    <s v="Yes"/>
    <m/>
    <s v="New"/>
    <s v="INFASCO"/>
    <n v="120"/>
    <n v="123.6"/>
  </r>
  <r>
    <x v="334"/>
    <x v="17"/>
    <x v="42"/>
    <n v="36"/>
    <n v="450"/>
    <n v="16200"/>
    <s v="156+177"/>
    <s v="Yes"/>
    <m/>
    <s v="Yes"/>
    <m/>
    <s v="Yes"/>
    <m/>
    <s v="Yes"/>
    <m/>
    <s v="N/A"/>
    <m/>
    <s v="Yes"/>
    <m/>
    <s v="Yes"/>
    <m/>
    <s v="New"/>
    <s v="INFASCO"/>
    <n v="95"/>
    <n v="97.85"/>
  </r>
  <r>
    <x v="335"/>
    <x v="8"/>
    <x v="33"/>
    <n v="27"/>
    <n v="145"/>
    <n v="3915"/>
    <n v="12.909090909090908"/>
    <s v="Yes"/>
    <m/>
    <s v="Yes"/>
    <m/>
    <s v="Yes"/>
    <m/>
    <s v="Yes"/>
    <m/>
    <s v="N/A"/>
    <m/>
    <s v="Yes"/>
    <m/>
    <s v="Yes"/>
    <m/>
    <s v="New"/>
    <s v="INFASCO"/>
    <n v="120"/>
    <n v="123.6"/>
  </r>
  <r>
    <x v="336"/>
    <x v="10"/>
    <x v="42"/>
    <n v="36"/>
    <n v="450"/>
    <n v="16200"/>
    <s v="157+325"/>
    <s v="Yes"/>
    <m/>
    <s v="Yes"/>
    <m/>
    <s v="Yes"/>
    <m/>
    <s v="Yes"/>
    <m/>
    <s v="N/A"/>
    <m/>
    <s v="Yes"/>
    <m/>
    <s v="Yes"/>
    <m/>
    <s v="New"/>
    <s v="INFASCO"/>
    <n v="95"/>
    <n v="97.85"/>
  </r>
  <r>
    <x v="337"/>
    <x v="10"/>
    <x v="97"/>
    <n v="13"/>
    <n v="2200"/>
    <n v="28600"/>
    <s v="157+325"/>
    <s v="Yes"/>
    <m/>
    <s v="Yes"/>
    <m/>
    <s v="Yes"/>
    <m/>
    <s v="Yes"/>
    <m/>
    <s v="N/A"/>
    <m/>
    <s v="Yes"/>
    <m/>
    <s v="Yes"/>
    <m/>
    <s v="New"/>
    <s v="INFASCO"/>
    <n v="120"/>
    <n v="123.6"/>
  </r>
  <r>
    <x v="338"/>
    <x v="8"/>
    <x v="33"/>
    <n v="27"/>
    <n v="145"/>
    <n v="3915"/>
    <n v="12.909090909090908"/>
    <s v="Yes"/>
    <m/>
    <s v="Yes"/>
    <m/>
    <s v="Yes"/>
    <m/>
    <s v="Yes"/>
    <m/>
    <s v="N/A"/>
    <m/>
    <s v="Yes"/>
    <m/>
    <s v="Yes"/>
    <m/>
    <s v="New"/>
    <s v="INFASCO"/>
    <n v="120"/>
    <n v="123.6"/>
  </r>
  <r>
    <x v="339"/>
    <x v="17"/>
    <x v="33"/>
    <n v="27"/>
    <n v="145"/>
    <n v="5220"/>
    <s v="156+177"/>
    <s v="Yes"/>
    <m/>
    <s v="Yes"/>
    <m/>
    <s v="Yes"/>
    <m/>
    <s v="Yes"/>
    <m/>
    <s v="N/A"/>
    <m/>
    <s v="Yes"/>
    <m/>
    <s v="Yes"/>
    <m/>
    <s v="New"/>
    <s v="INFASCO"/>
    <n v="120"/>
    <n v="123.6"/>
  </r>
  <r>
    <x v="340"/>
    <x v="10"/>
    <x v="33"/>
    <n v="25"/>
    <n v="145"/>
    <n v="3625"/>
    <s v="157+325"/>
    <s v="Yes"/>
    <m/>
    <s v="Yes"/>
    <m/>
    <s v="Yes"/>
    <m/>
    <s v="Yes"/>
    <m/>
    <s v="N/A"/>
    <m/>
    <s v="Yes"/>
    <m/>
    <s v="Yes"/>
    <m/>
    <s v="New"/>
    <s v="INFASCO"/>
    <n v="120"/>
    <n v="123.6"/>
  </r>
  <r>
    <x v="341"/>
    <x v="18"/>
    <x v="152"/>
    <n v="24"/>
    <n v="2150"/>
    <n v="51600"/>
    <s v="10+146+136"/>
    <s v="Yes"/>
    <m/>
    <s v="Yes"/>
    <m/>
    <s v="Yes"/>
    <m/>
    <s v="Yes"/>
    <m/>
    <s v="N/A"/>
    <m/>
    <s v="Yes"/>
    <m/>
    <s v="Yes"/>
    <m/>
    <s v="New"/>
    <s v="INFASCO"/>
    <s v="N/A"/>
    <n v="97.85"/>
  </r>
  <r>
    <x v="342"/>
    <x v="8"/>
    <x v="33"/>
    <n v="16"/>
    <n v="145"/>
    <n v="2320"/>
    <n v="12.909090909090908"/>
    <s v="Yes"/>
    <m/>
    <s v="Yes"/>
    <m/>
    <s v="Yes"/>
    <m/>
    <s v="Yes"/>
    <m/>
    <s v="N/A"/>
    <m/>
    <s v="Yes"/>
    <m/>
    <s v="Yes"/>
    <m/>
    <s v="New"/>
    <s v="INFASCO"/>
    <n v="120"/>
    <n v="123.6"/>
  </r>
  <r>
    <x v="343"/>
    <x v="18"/>
    <x v="73"/>
    <n v="26"/>
    <n v="350"/>
    <n v="9100"/>
    <n v="136"/>
    <s v="Yes"/>
    <m/>
    <s v="Yes"/>
    <m/>
    <s v="Yes"/>
    <m/>
    <s v="Yes"/>
    <m/>
    <s v="N/A"/>
    <m/>
    <s v="Yes"/>
    <m/>
    <s v="Yes"/>
    <m/>
    <s v="New"/>
    <s v="INFASCO"/>
    <n v="95"/>
    <n v="97.85"/>
  </r>
  <r>
    <x v="344"/>
    <x v="8"/>
    <x v="29"/>
    <n v="36"/>
    <n v="500"/>
    <n v="18000"/>
    <n v="12.909090909090908"/>
    <s v="Yes"/>
    <m/>
    <s v="Yes"/>
    <m/>
    <s v="Yes"/>
    <m/>
    <s v="Yes"/>
    <m/>
    <s v="N/A"/>
    <m/>
    <s v="Yes"/>
    <m/>
    <s v="Yes"/>
    <m/>
    <s v="New"/>
    <s v="INFASCO"/>
    <n v="95"/>
    <n v="97.85"/>
  </r>
  <r>
    <x v="345"/>
    <x v="17"/>
    <x v="33"/>
    <n v="29"/>
    <n v="145"/>
    <n v="5220"/>
    <s v="156+177"/>
    <s v="Yes"/>
    <m/>
    <s v="Yes"/>
    <m/>
    <s v="Yes"/>
    <m/>
    <s v="Yes"/>
    <m/>
    <s v="N/A"/>
    <m/>
    <s v="Yes"/>
    <m/>
    <s v="Yes"/>
    <m/>
    <s v="New"/>
    <s v="INFASCO"/>
    <n v="120"/>
    <n v="123.6"/>
  </r>
  <r>
    <x v="346"/>
    <x v="18"/>
    <x v="73"/>
    <n v="35"/>
    <n v="350"/>
    <n v="12250"/>
    <n v="136"/>
    <s v="Yes"/>
    <m/>
    <s v="Yes"/>
    <m/>
    <s v="Yes"/>
    <m/>
    <s v="Yes"/>
    <m/>
    <s v="N/A"/>
    <m/>
    <s v="Yes"/>
    <m/>
    <s v="Yes"/>
    <m/>
    <s v="New"/>
    <s v="INFASCO"/>
    <n v="95"/>
    <n v="97.85"/>
  </r>
  <r>
    <x v="347"/>
    <x v="8"/>
    <x v="29"/>
    <n v="27"/>
    <n v="500"/>
    <n v="13500"/>
    <n v="12.909090909090908"/>
    <s v="Yes"/>
    <m/>
    <s v="Yes"/>
    <m/>
    <s v="Yes"/>
    <m/>
    <s v="Yes"/>
    <m/>
    <s v="N/A"/>
    <m/>
    <s v="Yes"/>
    <m/>
    <s v="Yes"/>
    <m/>
    <s v="New"/>
    <s v="INFASCO"/>
    <n v="95"/>
    <n v="97.85"/>
  </r>
  <r>
    <x v="348"/>
    <x v="17"/>
    <x v="33"/>
    <n v="29"/>
    <n v="145"/>
    <n v="1885"/>
    <s v="156+177"/>
    <s v="Yes"/>
    <m/>
    <s v="Yes"/>
    <m/>
    <s v="Yes"/>
    <m/>
    <s v="Yes"/>
    <m/>
    <s v="N/A"/>
    <m/>
    <s v="Yes"/>
    <m/>
    <s v="Yes"/>
    <m/>
    <s v="New"/>
    <s v="INFASCO"/>
    <n v="120"/>
    <n v="123.6"/>
  </r>
  <r>
    <x v="349"/>
    <x v="10"/>
    <x v="33"/>
    <n v="27"/>
    <n v="145"/>
    <n v="3915"/>
    <s v="157+014"/>
    <s v="Yes"/>
    <m/>
    <s v="Yes"/>
    <m/>
    <s v="Yes"/>
    <m/>
    <s v="Yes"/>
    <m/>
    <s v="N/A"/>
    <m/>
    <s v="Yes"/>
    <m/>
    <s v="Yes"/>
    <m/>
    <s v="New"/>
    <s v="INFASCO"/>
    <n v="120"/>
    <n v="123.6"/>
  </r>
  <r>
    <x v="350"/>
    <x v="10"/>
    <x v="73"/>
    <n v="31"/>
    <n v="350"/>
    <n v="10850"/>
    <n v="157"/>
    <s v="Yes"/>
    <m/>
    <s v="Yes"/>
    <m/>
    <s v="Yes"/>
    <m/>
    <s v="Yes"/>
    <m/>
    <s v="N/A"/>
    <m/>
    <s v="Yes"/>
    <m/>
    <s v="Yes"/>
    <m/>
    <s v="New"/>
    <s v="INFASCO"/>
    <n v="95"/>
    <n v="97.85"/>
  </r>
  <r>
    <x v="351"/>
    <x v="18"/>
    <x v="73"/>
    <n v="33"/>
    <n v="350"/>
    <n v="11550"/>
    <n v="136"/>
    <s v="Yes"/>
    <m/>
    <s v="Yes"/>
    <m/>
    <s v="Yes"/>
    <m/>
    <s v="Yes"/>
    <m/>
    <s v="N/A"/>
    <m/>
    <s v="Yes"/>
    <m/>
    <s v="Yes"/>
    <m/>
    <s v="New"/>
    <s v="INFASCO"/>
    <n v="95"/>
    <n v="97.85"/>
  </r>
  <r>
    <x v="352"/>
    <x v="15"/>
    <x v="61"/>
    <n v="28"/>
    <n v="4000"/>
    <n v="112000"/>
    <m/>
    <m/>
    <m/>
    <m/>
    <m/>
    <m/>
    <m/>
    <m/>
    <m/>
    <m/>
    <m/>
    <m/>
    <m/>
    <m/>
    <m/>
    <m/>
    <s v="INFASCO"/>
    <m/>
    <n v="97.85"/>
  </r>
  <r>
    <x v="352"/>
    <x v="1"/>
    <x v="108"/>
    <n v="30"/>
    <n v="3500"/>
    <n v="105000"/>
    <m/>
    <m/>
    <m/>
    <m/>
    <m/>
    <m/>
    <m/>
    <m/>
    <m/>
    <m/>
    <m/>
    <m/>
    <m/>
    <m/>
    <m/>
    <m/>
    <s v="INFASCO"/>
    <m/>
    <n v="97.85"/>
  </r>
  <r>
    <x v="352"/>
    <x v="5"/>
    <x v="2"/>
    <n v="33"/>
    <n v="2700"/>
    <n v="89100"/>
    <m/>
    <m/>
    <m/>
    <m/>
    <m/>
    <m/>
    <m/>
    <m/>
    <m/>
    <m/>
    <m/>
    <m/>
    <m/>
    <m/>
    <m/>
    <m/>
    <s v="INFASCO"/>
    <m/>
    <n v="97.85"/>
  </r>
  <r>
    <x v="352"/>
    <x v="5"/>
    <x v="2"/>
    <n v="33"/>
    <n v="2700"/>
    <n v="89100"/>
    <m/>
    <m/>
    <m/>
    <m/>
    <m/>
    <m/>
    <m/>
    <m/>
    <m/>
    <m/>
    <m/>
    <m/>
    <m/>
    <m/>
    <m/>
    <m/>
    <s v="INFASCO"/>
    <m/>
    <n v="97.85"/>
  </r>
  <r>
    <x v="352"/>
    <x v="6"/>
    <x v="46"/>
    <n v="36"/>
    <n v="2150"/>
    <n v="77400"/>
    <m/>
    <m/>
    <m/>
    <m/>
    <m/>
    <m/>
    <m/>
    <m/>
    <m/>
    <m/>
    <m/>
    <m/>
    <m/>
    <m/>
    <m/>
    <m/>
    <s v="INFASCO"/>
    <m/>
    <n v="97.85"/>
  </r>
  <r>
    <x v="352"/>
    <x v="6"/>
    <x v="46"/>
    <n v="36"/>
    <n v="2150"/>
    <n v="77400"/>
    <m/>
    <m/>
    <m/>
    <m/>
    <m/>
    <m/>
    <m/>
    <m/>
    <m/>
    <m/>
    <m/>
    <m/>
    <m/>
    <m/>
    <m/>
    <m/>
    <s v="INFASCO"/>
    <m/>
    <n v="97.85"/>
  </r>
  <r>
    <x v="352"/>
    <x v="6"/>
    <x v="46"/>
    <n v="36"/>
    <n v="2150"/>
    <n v="77400"/>
    <m/>
    <m/>
    <m/>
    <m/>
    <m/>
    <m/>
    <m/>
    <m/>
    <m/>
    <m/>
    <m/>
    <m/>
    <m/>
    <m/>
    <m/>
    <m/>
    <s v="INFASCO"/>
    <m/>
    <n v="97.85"/>
  </r>
  <r>
    <x v="352"/>
    <x v="14"/>
    <x v="46"/>
    <n v="36"/>
    <n v="2150"/>
    <n v="77400"/>
    <m/>
    <m/>
    <m/>
    <m/>
    <m/>
    <m/>
    <m/>
    <m/>
    <m/>
    <m/>
    <m/>
    <m/>
    <m/>
    <m/>
    <m/>
    <m/>
    <s v="INFASCO"/>
    <m/>
    <n v="97.85"/>
  </r>
  <r>
    <x v="352"/>
    <x v="4"/>
    <x v="69"/>
    <n v="36"/>
    <n v="1900"/>
    <n v="68400"/>
    <m/>
    <m/>
    <m/>
    <m/>
    <m/>
    <m/>
    <m/>
    <m/>
    <m/>
    <m/>
    <m/>
    <m/>
    <m/>
    <m/>
    <m/>
    <m/>
    <s v="INFASCO"/>
    <m/>
    <n v="97.85"/>
  </r>
  <r>
    <x v="352"/>
    <x v="4"/>
    <x v="69"/>
    <n v="36"/>
    <n v="1900"/>
    <n v="68400"/>
    <m/>
    <m/>
    <m/>
    <m/>
    <m/>
    <m/>
    <m/>
    <m/>
    <m/>
    <m/>
    <m/>
    <m/>
    <m/>
    <m/>
    <m/>
    <m/>
    <s v="INFASCO"/>
    <m/>
    <n v="97.85"/>
  </r>
  <r>
    <x v="352"/>
    <x v="5"/>
    <x v="2"/>
    <n v="25"/>
    <n v="2700"/>
    <n v="67500"/>
    <m/>
    <m/>
    <m/>
    <m/>
    <m/>
    <m/>
    <m/>
    <m/>
    <m/>
    <m/>
    <m/>
    <m/>
    <m/>
    <m/>
    <m/>
    <m/>
    <s v="INFASCO"/>
    <m/>
    <n v="97.85"/>
  </r>
  <r>
    <x v="352"/>
    <x v="2"/>
    <x v="71"/>
    <n v="36"/>
    <n v="1500"/>
    <n v="54000"/>
    <m/>
    <m/>
    <m/>
    <m/>
    <m/>
    <m/>
    <m/>
    <m/>
    <m/>
    <m/>
    <m/>
    <m/>
    <m/>
    <m/>
    <m/>
    <m/>
    <s v="INFASCO"/>
    <m/>
    <n v="97.85"/>
  </r>
  <r>
    <x v="352"/>
    <x v="9"/>
    <x v="71"/>
    <n v="34"/>
    <n v="1500"/>
    <n v="51000"/>
    <m/>
    <m/>
    <m/>
    <m/>
    <m/>
    <m/>
    <m/>
    <m/>
    <m/>
    <m/>
    <m/>
    <m/>
    <m/>
    <m/>
    <m/>
    <m/>
    <s v="INFASCO"/>
    <m/>
    <n v="97.85"/>
  </r>
  <r>
    <x v="352"/>
    <x v="11"/>
    <x v="5"/>
    <n v="48"/>
    <n v="1000"/>
    <n v="48000"/>
    <m/>
    <m/>
    <m/>
    <m/>
    <m/>
    <m/>
    <m/>
    <m/>
    <m/>
    <m/>
    <m/>
    <m/>
    <m/>
    <m/>
    <m/>
    <m/>
    <s v="INFASCO"/>
    <m/>
    <n v="97.85"/>
  </r>
  <r>
    <x v="352"/>
    <x v="12"/>
    <x v="119"/>
    <n v="40"/>
    <n v="1200"/>
    <n v="48000"/>
    <m/>
    <m/>
    <m/>
    <m/>
    <m/>
    <m/>
    <m/>
    <m/>
    <m/>
    <m/>
    <m/>
    <m/>
    <m/>
    <m/>
    <m/>
    <m/>
    <s v="INFASCO"/>
    <m/>
    <n v="97.85"/>
  </r>
  <r>
    <x v="352"/>
    <x v="3"/>
    <x v="18"/>
    <n v="34"/>
    <n v="1200"/>
    <n v="40800"/>
    <m/>
    <m/>
    <m/>
    <m/>
    <m/>
    <m/>
    <m/>
    <m/>
    <m/>
    <m/>
    <m/>
    <m/>
    <m/>
    <m/>
    <m/>
    <m/>
    <s v="INFASCO"/>
    <m/>
    <n v="97.85"/>
  </r>
  <r>
    <x v="352"/>
    <x v="13"/>
    <x v="87"/>
    <n v="32"/>
    <n v="1250"/>
    <n v="40000"/>
    <m/>
    <m/>
    <m/>
    <m/>
    <m/>
    <m/>
    <m/>
    <m/>
    <m/>
    <m/>
    <m/>
    <m/>
    <m/>
    <m/>
    <m/>
    <m/>
    <s v="INFASCO"/>
    <m/>
    <n v="97.85"/>
  </r>
  <r>
    <x v="352"/>
    <x v="4"/>
    <x v="69"/>
    <n v="19"/>
    <n v="1900"/>
    <n v="36100"/>
    <m/>
    <m/>
    <m/>
    <m/>
    <m/>
    <m/>
    <m/>
    <m/>
    <m/>
    <m/>
    <m/>
    <m/>
    <m/>
    <m/>
    <m/>
    <m/>
    <s v="INFASCO"/>
    <m/>
    <n v="97.85"/>
  </r>
  <r>
    <x v="352"/>
    <x v="11"/>
    <x v="5"/>
    <n v="36"/>
    <n v="1000"/>
    <n v="36000"/>
    <m/>
    <m/>
    <m/>
    <m/>
    <m/>
    <m/>
    <m/>
    <m/>
    <m/>
    <m/>
    <m/>
    <m/>
    <m/>
    <m/>
    <m/>
    <m/>
    <s v="INFASCO"/>
    <m/>
    <n v="97.85"/>
  </r>
  <r>
    <x v="352"/>
    <x v="11"/>
    <x v="5"/>
    <n v="36"/>
    <n v="1000"/>
    <n v="36000"/>
    <m/>
    <m/>
    <m/>
    <m/>
    <m/>
    <m/>
    <m/>
    <m/>
    <m/>
    <m/>
    <m/>
    <m/>
    <m/>
    <m/>
    <m/>
    <m/>
    <s v="INFASCO"/>
    <m/>
    <n v="97.85"/>
  </r>
  <r>
    <x v="352"/>
    <x v="11"/>
    <x v="5"/>
    <n v="36"/>
    <n v="1000"/>
    <n v="36000"/>
    <m/>
    <m/>
    <m/>
    <m/>
    <m/>
    <m/>
    <m/>
    <m/>
    <m/>
    <m/>
    <m/>
    <m/>
    <m/>
    <m/>
    <m/>
    <m/>
    <s v="INFASCO"/>
    <m/>
    <n v="97.85"/>
  </r>
  <r>
    <x v="352"/>
    <x v="3"/>
    <x v="5"/>
    <n v="36"/>
    <n v="1000"/>
    <n v="36000"/>
    <m/>
    <m/>
    <m/>
    <m/>
    <m/>
    <m/>
    <m/>
    <m/>
    <m/>
    <m/>
    <m/>
    <m/>
    <m/>
    <m/>
    <m/>
    <m/>
    <s v="INFASCO"/>
    <m/>
    <n v="97.85"/>
  </r>
  <r>
    <x v="352"/>
    <x v="12"/>
    <x v="119"/>
    <n v="25"/>
    <n v="1200"/>
    <n v="30000"/>
    <m/>
    <m/>
    <m/>
    <m/>
    <m/>
    <m/>
    <m/>
    <m/>
    <m/>
    <m/>
    <m/>
    <m/>
    <m/>
    <m/>
    <m/>
    <m/>
    <s v="INFASCO"/>
    <m/>
    <n v="97.85"/>
  </r>
  <r>
    <x v="352"/>
    <x v="7"/>
    <x v="109"/>
    <n v="36"/>
    <n v="660"/>
    <n v="23760"/>
    <m/>
    <m/>
    <m/>
    <m/>
    <m/>
    <m/>
    <m/>
    <m/>
    <m/>
    <m/>
    <m/>
    <m/>
    <m/>
    <m/>
    <m/>
    <m/>
    <s v="INFASCO"/>
    <m/>
    <n v="97.85"/>
  </r>
  <r>
    <x v="352"/>
    <x v="16"/>
    <x v="151"/>
    <n v="36"/>
    <n v="650"/>
    <n v="23400"/>
    <m/>
    <m/>
    <m/>
    <m/>
    <m/>
    <m/>
    <m/>
    <m/>
    <m/>
    <m/>
    <m/>
    <m/>
    <m/>
    <m/>
    <m/>
    <m/>
    <s v="INFASCO"/>
    <m/>
    <n v="97.85"/>
  </r>
  <r>
    <x v="352"/>
    <x v="16"/>
    <x v="151"/>
    <n v="36"/>
    <n v="650"/>
    <n v="23400"/>
    <m/>
    <m/>
    <m/>
    <m/>
    <m/>
    <m/>
    <m/>
    <m/>
    <m/>
    <m/>
    <m/>
    <m/>
    <m/>
    <m/>
    <m/>
    <m/>
    <s v="INFASCO"/>
    <m/>
    <n v="97.85"/>
  </r>
  <r>
    <x v="352"/>
    <x v="17"/>
    <x v="153"/>
    <n v="34"/>
    <n v="300"/>
    <n v="10200"/>
    <s v="156+177"/>
    <s v="Yes"/>
    <m/>
    <s v="Yes"/>
    <m/>
    <s v="Yes"/>
    <m/>
    <s v="Yes"/>
    <m/>
    <s v="N/A"/>
    <m/>
    <s v="Yes"/>
    <m/>
    <s v="Yes"/>
    <m/>
    <s v="New"/>
    <s v="INFASCO"/>
    <n v="95"/>
    <n v="97.85"/>
  </r>
  <r>
    <x v="353"/>
    <x v="8"/>
    <x v="85"/>
    <n v="36"/>
    <n v="485"/>
    <n v="17460"/>
    <n v="12.909090909090908"/>
    <s v="Yes"/>
    <m/>
    <s v="Yes"/>
    <m/>
    <s v="Yes"/>
    <m/>
    <s v="Yes"/>
    <m/>
    <s v="N/A"/>
    <m/>
    <s v="Yes"/>
    <m/>
    <s v="Yes"/>
    <m/>
    <s v="New"/>
    <s v="INFASCO"/>
    <n v="95"/>
    <n v="97.85"/>
  </r>
  <r>
    <x v="354"/>
    <x v="10"/>
    <x v="73"/>
    <n v="36"/>
    <n v="350"/>
    <n v="12600"/>
    <n v="157"/>
    <s v="Yes"/>
    <m/>
    <s v="Yes"/>
    <m/>
    <s v="Yes"/>
    <m/>
    <s v="Yes"/>
    <m/>
    <s v="N/A"/>
    <m/>
    <s v="Yes"/>
    <m/>
    <s v="Yes"/>
    <m/>
    <s v="New"/>
    <s v="INFASCO"/>
    <n v="95"/>
    <n v="97.85"/>
  </r>
  <r>
    <x v="355"/>
    <x v="11"/>
    <x v="5"/>
    <n v="56"/>
    <n v="1000"/>
    <n v="56000"/>
    <m/>
    <m/>
    <m/>
    <m/>
    <m/>
    <m/>
    <m/>
    <m/>
    <m/>
    <m/>
    <m/>
    <m/>
    <m/>
    <m/>
    <m/>
    <m/>
    <s v="INFASCO"/>
    <m/>
    <n v="97.85"/>
  </r>
  <r>
    <x v="355"/>
    <x v="9"/>
    <x v="71"/>
    <n v="36"/>
    <n v="1500"/>
    <n v="54000"/>
    <m/>
    <m/>
    <m/>
    <m/>
    <m/>
    <m/>
    <m/>
    <m/>
    <m/>
    <m/>
    <m/>
    <m/>
    <m/>
    <m/>
    <m/>
    <m/>
    <s v="INFASCO"/>
    <m/>
    <n v="97.85"/>
  </r>
  <r>
    <x v="355"/>
    <x v="14"/>
    <x v="46"/>
    <n v="23"/>
    <n v="2150"/>
    <n v="49450"/>
    <m/>
    <m/>
    <m/>
    <m/>
    <m/>
    <m/>
    <m/>
    <m/>
    <m/>
    <m/>
    <m/>
    <m/>
    <m/>
    <m/>
    <m/>
    <m/>
    <s v="INFASCO"/>
    <m/>
    <n v="97.85"/>
  </r>
  <r>
    <x v="355"/>
    <x v="3"/>
    <x v="5"/>
    <n v="49"/>
    <n v="1000"/>
    <n v="49000"/>
    <m/>
    <m/>
    <m/>
    <m/>
    <m/>
    <m/>
    <m/>
    <m/>
    <m/>
    <m/>
    <m/>
    <m/>
    <m/>
    <m/>
    <m/>
    <m/>
    <s v="INFASCO"/>
    <m/>
    <n v="97.85"/>
  </r>
  <r>
    <x v="355"/>
    <x v="3"/>
    <x v="5"/>
    <n v="36"/>
    <n v="1000"/>
    <n v="36000"/>
    <m/>
    <m/>
    <m/>
    <m/>
    <m/>
    <m/>
    <m/>
    <m/>
    <m/>
    <m/>
    <m/>
    <m/>
    <m/>
    <m/>
    <m/>
    <m/>
    <s v="INFASCO"/>
    <m/>
    <n v="97.85"/>
  </r>
  <r>
    <x v="355"/>
    <x v="13"/>
    <x v="5"/>
    <n v="25"/>
    <n v="1000"/>
    <n v="25000"/>
    <m/>
    <m/>
    <m/>
    <m/>
    <m/>
    <m/>
    <m/>
    <m/>
    <m/>
    <m/>
    <m/>
    <m/>
    <m/>
    <m/>
    <m/>
    <m/>
    <s v="INFASCO"/>
    <m/>
    <n v="97.85"/>
  </r>
  <r>
    <x v="356"/>
    <x v="18"/>
    <x v="73"/>
    <n v="36"/>
    <n v="350"/>
    <n v="12600"/>
    <s v="136+177"/>
    <s v="Yes"/>
    <m/>
    <s v="Yes"/>
    <m/>
    <s v="Yes"/>
    <m/>
    <s v="Yes"/>
    <m/>
    <s v="N/A"/>
    <m/>
    <s v="Yes"/>
    <m/>
    <s v="Yes"/>
    <m/>
    <s v="New"/>
    <s v="INFASCO"/>
    <n v="95"/>
    <n v="97.85"/>
  </r>
  <r>
    <x v="357"/>
    <x v="8"/>
    <x v="85"/>
    <n v="33"/>
    <n v="485"/>
    <n v="16005"/>
    <s v="011+171"/>
    <s v="Yes"/>
    <m/>
    <s v="Yes"/>
    <m/>
    <s v="Yes"/>
    <m/>
    <s v="Yes"/>
    <m/>
    <s v="N/A"/>
    <m/>
    <s v="Yes"/>
    <m/>
    <s v="Yes"/>
    <m/>
    <s v="New"/>
    <s v="INFASCO"/>
    <n v="95"/>
    <n v="97.85"/>
  </r>
  <r>
    <x v="358"/>
    <x v="15"/>
    <x v="71"/>
    <n v="58"/>
    <n v="1500"/>
    <n v="87000"/>
    <m/>
    <m/>
    <m/>
    <m/>
    <m/>
    <m/>
    <m/>
    <m/>
    <m/>
    <m/>
    <m/>
    <m/>
    <m/>
    <m/>
    <m/>
    <m/>
    <s v="INFASCO"/>
    <m/>
    <n v="97.85"/>
  </r>
  <r>
    <x v="358"/>
    <x v="6"/>
    <x v="46"/>
    <n v="36"/>
    <n v="2150"/>
    <n v="77400"/>
    <m/>
    <m/>
    <m/>
    <m/>
    <m/>
    <m/>
    <m/>
    <m/>
    <m/>
    <m/>
    <m/>
    <m/>
    <m/>
    <m/>
    <m/>
    <m/>
    <s v="INFASCO"/>
    <m/>
    <n v="97.85"/>
  </r>
  <r>
    <x v="358"/>
    <x v="6"/>
    <x v="46"/>
    <n v="36"/>
    <n v="2150"/>
    <n v="77400"/>
    <m/>
    <m/>
    <m/>
    <m/>
    <m/>
    <m/>
    <m/>
    <m/>
    <m/>
    <m/>
    <m/>
    <m/>
    <m/>
    <m/>
    <m/>
    <m/>
    <s v="INFASCO"/>
    <m/>
    <n v="97.85"/>
  </r>
  <r>
    <x v="358"/>
    <x v="4"/>
    <x v="46"/>
    <n v="36"/>
    <n v="2150"/>
    <n v="77400"/>
    <m/>
    <m/>
    <m/>
    <m/>
    <m/>
    <m/>
    <m/>
    <m/>
    <m/>
    <m/>
    <m/>
    <m/>
    <m/>
    <m/>
    <m/>
    <m/>
    <s v="INFASCO"/>
    <m/>
    <n v="97.85"/>
  </r>
  <r>
    <x v="358"/>
    <x v="5"/>
    <x v="2"/>
    <n v="26"/>
    <n v="2700"/>
    <n v="70200"/>
    <m/>
    <m/>
    <m/>
    <m/>
    <m/>
    <m/>
    <m/>
    <m/>
    <m/>
    <m/>
    <m/>
    <m/>
    <m/>
    <m/>
    <m/>
    <m/>
    <s v="INFASCO"/>
    <m/>
    <n v="97.85"/>
  </r>
  <r>
    <x v="358"/>
    <x v="4"/>
    <x v="69"/>
    <n v="36"/>
    <n v="1900"/>
    <n v="68400"/>
    <m/>
    <m/>
    <m/>
    <m/>
    <m/>
    <m/>
    <m/>
    <m/>
    <m/>
    <m/>
    <m/>
    <m/>
    <m/>
    <m/>
    <m/>
    <m/>
    <s v="INFASCO"/>
    <m/>
    <n v="97.85"/>
  </r>
  <r>
    <x v="358"/>
    <x v="1"/>
    <x v="108"/>
    <n v="18"/>
    <n v="3500"/>
    <n v="63000"/>
    <m/>
    <m/>
    <m/>
    <m/>
    <m/>
    <m/>
    <m/>
    <m/>
    <m/>
    <m/>
    <m/>
    <m/>
    <m/>
    <m/>
    <m/>
    <m/>
    <s v="INFASCO"/>
    <m/>
    <n v="97.85"/>
  </r>
  <r>
    <x v="358"/>
    <x v="5"/>
    <x v="2"/>
    <n v="21"/>
    <n v="2700"/>
    <n v="56700"/>
    <m/>
    <m/>
    <m/>
    <m/>
    <m/>
    <m/>
    <m/>
    <m/>
    <m/>
    <m/>
    <m/>
    <m/>
    <m/>
    <m/>
    <m/>
    <m/>
    <s v="INFASCO"/>
    <m/>
    <n v="97.85"/>
  </r>
  <r>
    <x v="358"/>
    <x v="2"/>
    <x v="71"/>
    <n v="36"/>
    <n v="1500"/>
    <n v="54000"/>
    <m/>
    <m/>
    <m/>
    <m/>
    <m/>
    <m/>
    <m/>
    <m/>
    <m/>
    <m/>
    <m/>
    <m/>
    <m/>
    <m/>
    <m/>
    <m/>
    <s v="INFASCO"/>
    <m/>
    <n v="97.85"/>
  </r>
  <r>
    <x v="358"/>
    <x v="12"/>
    <x v="4"/>
    <n v="33"/>
    <n v="1200"/>
    <n v="39600"/>
    <m/>
    <m/>
    <m/>
    <m/>
    <m/>
    <m/>
    <m/>
    <m/>
    <m/>
    <m/>
    <m/>
    <m/>
    <m/>
    <m/>
    <m/>
    <m/>
    <s v="INFASCO"/>
    <m/>
    <n v="97.85"/>
  </r>
  <r>
    <x v="358"/>
    <x v="2"/>
    <x v="71"/>
    <n v="22"/>
    <n v="1500"/>
    <n v="33000"/>
    <m/>
    <m/>
    <m/>
    <m/>
    <m/>
    <m/>
    <m/>
    <m/>
    <m/>
    <m/>
    <m/>
    <m/>
    <m/>
    <m/>
    <m/>
    <m/>
    <s v="INFASCO"/>
    <m/>
    <n v="97.85"/>
  </r>
  <r>
    <x v="358"/>
    <x v="1"/>
    <x v="108"/>
    <n v="9"/>
    <n v="3500"/>
    <n v="31500"/>
    <m/>
    <m/>
    <m/>
    <m/>
    <m/>
    <m/>
    <m/>
    <m/>
    <m/>
    <m/>
    <m/>
    <m/>
    <m/>
    <m/>
    <m/>
    <m/>
    <s v="INFASCO"/>
    <m/>
    <n v="97.85"/>
  </r>
  <r>
    <x v="358"/>
    <x v="7"/>
    <x v="109"/>
    <n v="36"/>
    <n v="660"/>
    <n v="23760"/>
    <m/>
    <m/>
    <m/>
    <m/>
    <m/>
    <m/>
    <m/>
    <m/>
    <m/>
    <m/>
    <m/>
    <m/>
    <m/>
    <m/>
    <m/>
    <m/>
    <s v="INFASCO"/>
    <m/>
    <n v="97.85"/>
  </r>
  <r>
    <x v="358"/>
    <x v="16"/>
    <x v="151"/>
    <n v="36"/>
    <n v="650"/>
    <n v="23400"/>
    <m/>
    <m/>
    <m/>
    <m/>
    <m/>
    <m/>
    <m/>
    <m/>
    <m/>
    <m/>
    <m/>
    <m/>
    <m/>
    <m/>
    <m/>
    <m/>
    <s v="INFASCO"/>
    <m/>
    <n v="97.85"/>
  </r>
  <r>
    <x v="358"/>
    <x v="16"/>
    <x v="151"/>
    <n v="36"/>
    <n v="650"/>
    <n v="23400"/>
    <m/>
    <m/>
    <m/>
    <m/>
    <m/>
    <m/>
    <m/>
    <m/>
    <m/>
    <m/>
    <m/>
    <m/>
    <m/>
    <m/>
    <m/>
    <m/>
    <s v="INFASCO"/>
    <m/>
    <n v="97.85"/>
  </r>
  <r>
    <x v="358"/>
    <x v="17"/>
    <x v="42"/>
    <n v="36"/>
    <n v="450"/>
    <n v="16200"/>
    <n v="136"/>
    <s v="Yes"/>
    <m/>
    <s v="Yes"/>
    <m/>
    <s v="Yes"/>
    <m/>
    <s v="Yes"/>
    <m/>
    <s v="N/A"/>
    <m/>
    <s v="Yes"/>
    <m/>
    <s v="Yes"/>
    <m/>
    <s v="New"/>
    <s v="INFASCO"/>
    <n v="95"/>
    <n v="97.85"/>
  </r>
  <r>
    <x v="359"/>
    <x v="8"/>
    <x v="151"/>
    <n v="36"/>
    <n v="650"/>
    <n v="23400"/>
    <s v="011+171"/>
    <s v="Yes"/>
    <m/>
    <s v="Yes"/>
    <m/>
    <s v="Yes"/>
    <m/>
    <s v="Yes"/>
    <m/>
    <s v="N/A"/>
    <m/>
    <s v="Yes"/>
    <m/>
    <s v="Yes"/>
    <m/>
    <s v="New"/>
    <s v="INFASCO"/>
    <n v="95"/>
    <n v="97.85"/>
  </r>
  <r>
    <x v="360"/>
    <x v="10"/>
    <x v="151"/>
    <n v="36"/>
    <n v="650"/>
    <n v="23400"/>
    <s v="157+325"/>
    <s v="Yes"/>
    <m/>
    <s v="Yes"/>
    <m/>
    <s v="Yes"/>
    <m/>
    <s v="Yes"/>
    <m/>
    <s v="N/A"/>
    <m/>
    <s v="Yes"/>
    <m/>
    <s v="Yes"/>
    <m/>
    <s v="New"/>
    <s v="INFASCO"/>
    <n v="95"/>
    <n v="97.85"/>
  </r>
  <r>
    <x v="361"/>
    <x v="10"/>
    <x v="151"/>
    <n v="36"/>
    <n v="650"/>
    <n v="23400"/>
    <n v="157"/>
    <s v="Yes"/>
    <m/>
    <s v="Yes"/>
    <m/>
    <s v="Yes"/>
    <m/>
    <s v="Yes"/>
    <m/>
    <s v="N/A"/>
    <m/>
    <s v="Yes"/>
    <m/>
    <s v="Yes"/>
    <m/>
    <s v="New"/>
    <s v="INFASCO"/>
    <n v="95"/>
    <n v="97.85"/>
  </r>
  <r>
    <x v="362"/>
    <x v="8"/>
    <x v="151"/>
    <n v="43"/>
    <n v="650"/>
    <n v="27950"/>
    <s v="011+171"/>
    <s v="Yes"/>
    <m/>
    <s v="Yes"/>
    <m/>
    <s v="Yes"/>
    <m/>
    <s v="Yes"/>
    <m/>
    <s v="N/A"/>
    <m/>
    <s v="Yes"/>
    <m/>
    <s v="Yes"/>
    <m/>
    <s v="New"/>
    <s v="INFASCO"/>
    <n v="95"/>
    <n v="97.85"/>
  </r>
  <r>
    <x v="363"/>
    <x v="10"/>
    <x v="151"/>
    <n v="42"/>
    <n v="650"/>
    <n v="29250"/>
    <s v="157+178"/>
    <s v="Yes"/>
    <m/>
    <s v="Yes"/>
    <m/>
    <s v="Yes"/>
    <m/>
    <s v="Yes"/>
    <m/>
    <s v="N/A"/>
    <m/>
    <s v="Yes"/>
    <m/>
    <s v="Yes"/>
    <m/>
    <s v="New"/>
    <s v="INFASCO"/>
    <n v="95"/>
    <n v="97.85"/>
  </r>
  <r>
    <x v="364"/>
    <x v="10"/>
    <x v="42"/>
    <n v="35"/>
    <n v="450"/>
    <n v="15750"/>
    <n v="157"/>
    <s v="Yes"/>
    <m/>
    <s v="Yes"/>
    <m/>
    <s v="Yes"/>
    <m/>
    <s v="Yes"/>
    <m/>
    <s v="N/A"/>
    <m/>
    <s v="Yes"/>
    <m/>
    <s v="Yes"/>
    <m/>
    <s v="New"/>
    <s v="INFASCO"/>
    <n v="95"/>
    <n v="97.85"/>
  </r>
  <r>
    <x v="365"/>
    <x v="8"/>
    <x v="114"/>
    <n v="28"/>
    <n v="600"/>
    <n v="16800"/>
    <s v="011+171"/>
    <s v="Yes"/>
    <m/>
    <s v="Yes"/>
    <m/>
    <s v="Yes"/>
    <m/>
    <s v="Yes"/>
    <m/>
    <s v="N/A"/>
    <m/>
    <s v="Yes"/>
    <m/>
    <s v="Yes"/>
    <m/>
    <s v="New"/>
    <s v="INFASCO"/>
    <n v="95"/>
    <n v="97.85"/>
  </r>
  <r>
    <x v="366"/>
    <x v="8"/>
    <x v="151"/>
    <n v="36"/>
    <n v="650"/>
    <n v="23400"/>
    <s v="011+171"/>
    <s v="Yes"/>
    <m/>
    <s v="Yes"/>
    <m/>
    <s v="Yes"/>
    <m/>
    <s v="Yes"/>
    <m/>
    <s v="N/A"/>
    <m/>
    <s v="Yes"/>
    <m/>
    <s v="Yes"/>
    <m/>
    <s v="New"/>
    <s v="INFASCO"/>
    <n v="95"/>
    <n v="97.85"/>
  </r>
  <r>
    <x v="367"/>
    <x v="8"/>
    <x v="151"/>
    <n v="36"/>
    <n v="650"/>
    <n v="23400"/>
    <s v="011+171"/>
    <s v="Yes"/>
    <m/>
    <s v="Yes"/>
    <m/>
    <s v="Yes"/>
    <m/>
    <s v="Yes"/>
    <m/>
    <s v="N/A"/>
    <m/>
    <s v="Yes"/>
    <m/>
    <s v="Yes"/>
    <m/>
    <s v="New"/>
    <s v="INFASCO"/>
    <n v="95"/>
    <n v="97.85"/>
  </r>
  <r>
    <x v="368"/>
    <x v="18"/>
    <x v="0"/>
    <n v="33"/>
    <n v="2500"/>
    <n v="82500"/>
    <s v="157+014"/>
    <s v="Yes"/>
    <m/>
    <s v="Yes"/>
    <m/>
    <s v="Yes"/>
    <m/>
    <s v="Yes"/>
    <m/>
    <s v="N/A"/>
    <m/>
    <s v="Yes"/>
    <m/>
    <s v="Yes"/>
    <m/>
    <s v="New"/>
    <s v="INFASCO"/>
    <n v="95"/>
    <n v="97.85"/>
  </r>
  <r>
    <x v="369"/>
    <x v="18"/>
    <x v="0"/>
    <n v="34"/>
    <n v="2500"/>
    <n v="85000"/>
    <s v="157+178"/>
    <s v="Yes"/>
    <m/>
    <s v="Yes"/>
    <m/>
    <s v="Yes"/>
    <m/>
    <s v="Yes"/>
    <m/>
    <s v="N/A"/>
    <m/>
    <s v="Yes"/>
    <m/>
    <s v="Yes"/>
    <m/>
    <s v="New"/>
    <s v="INFASCO"/>
    <n v="95"/>
    <n v="97.85"/>
  </r>
  <r>
    <x v="370"/>
    <x v="25"/>
    <x v="154"/>
    <n v="28"/>
    <n v="1050"/>
    <n v="29400"/>
    <m/>
    <m/>
    <m/>
    <m/>
    <m/>
    <m/>
    <m/>
    <m/>
    <m/>
    <m/>
    <m/>
    <m/>
    <m/>
    <m/>
    <m/>
    <m/>
    <s v="INFASCO"/>
    <m/>
    <n v="441"/>
  </r>
  <r>
    <x v="371"/>
    <x v="8"/>
    <x v="151"/>
    <n v="8"/>
    <n v="650"/>
    <n v="5200"/>
    <s v="011+171"/>
    <s v="Yes"/>
    <m/>
    <s v="Yes"/>
    <m/>
    <s v="Yes"/>
    <m/>
    <s v="Yes"/>
    <m/>
    <s v="N/A"/>
    <m/>
    <s v="Yes"/>
    <m/>
    <s v="Yes"/>
    <m/>
    <s v="New"/>
    <s v="INFASCO"/>
    <n v="95"/>
    <n v="97.85"/>
  </r>
  <r>
    <x v="372"/>
    <x v="8"/>
    <x v="11"/>
    <n v="36"/>
    <n v="280"/>
    <n v="10080"/>
    <s v="011+171"/>
    <s v="Yes"/>
    <m/>
    <s v="Yes"/>
    <m/>
    <s v="Yes"/>
    <m/>
    <s v="Yes"/>
    <m/>
    <s v="N/A"/>
    <m/>
    <s v="Yes"/>
    <m/>
    <s v="Yes"/>
    <m/>
    <s v="New"/>
    <s v="INFASCO"/>
    <n v="95"/>
    <n v="97.85"/>
  </r>
  <r>
    <x v="373"/>
    <x v="18"/>
    <x v="0"/>
    <n v="32"/>
    <n v="2500"/>
    <n v="80000"/>
    <s v="157+hau"/>
    <s v="Yes"/>
    <m/>
    <s v="Yes"/>
    <m/>
    <s v="Yes"/>
    <m/>
    <s v="Yes"/>
    <m/>
    <s v="N/A"/>
    <m/>
    <s v="Yes"/>
    <m/>
    <s v="Yes"/>
    <m/>
    <s v="New"/>
    <s v="INFASCO"/>
    <n v="95"/>
    <n v="97.85"/>
  </r>
  <r>
    <x v="374"/>
    <x v="10"/>
    <x v="155"/>
    <n v="29"/>
    <n v="650"/>
    <n v="18850"/>
    <s v="157+hau"/>
    <s v="Yes"/>
    <m/>
    <s v="Yes"/>
    <m/>
    <s v="Yes"/>
    <m/>
    <s v="Yes"/>
    <m/>
    <s v="N/A"/>
    <m/>
    <s v="Yes"/>
    <m/>
    <s v="Yes"/>
    <m/>
    <s v="New"/>
    <s v="INFASCO"/>
    <s v="N/A"/>
    <n v="97.85"/>
  </r>
  <r>
    <x v="375"/>
    <x v="8"/>
    <x v="155"/>
    <n v="36"/>
    <n v="650"/>
    <n v="23400"/>
    <s v="011+171"/>
    <s v="Yes"/>
    <m/>
    <s v="Yes"/>
    <m/>
    <s v="Yes"/>
    <m/>
    <s v="Yes"/>
    <m/>
    <s v="N/A"/>
    <m/>
    <s v="Yes"/>
    <m/>
    <s v="Yes"/>
    <m/>
    <s v="New"/>
    <s v="INFASCO"/>
    <s v="N/A"/>
    <n v="97.85"/>
  </r>
  <r>
    <x v="375"/>
    <x v="8"/>
    <x v="155"/>
    <n v="29"/>
    <n v="650"/>
    <n v="18850"/>
    <m/>
    <m/>
    <m/>
    <m/>
    <m/>
    <m/>
    <m/>
    <m/>
    <m/>
    <m/>
    <m/>
    <m/>
    <m/>
    <m/>
    <m/>
    <m/>
    <s v="INFASCO"/>
    <m/>
    <n v="97.85"/>
  </r>
  <r>
    <x v="376"/>
    <x v="10"/>
    <x v="136"/>
    <n v="36"/>
    <n v="1300"/>
    <n v="46800"/>
    <s v="157+HAU"/>
    <s v="Yes"/>
    <m/>
    <s v="Yes"/>
    <m/>
    <s v="Yes"/>
    <m/>
    <s v="Yes"/>
    <m/>
    <s v="N/A"/>
    <m/>
    <s v="Yes"/>
    <m/>
    <s v="Yes"/>
    <m/>
    <s v="New"/>
    <s v="INFASCO"/>
    <n v="41"/>
    <n v="41"/>
  </r>
  <r>
    <x v="377"/>
    <x v="8"/>
    <x v="136"/>
    <n v="36"/>
    <n v="1300"/>
    <n v="46800"/>
    <s v="011+171"/>
    <s v="Yes"/>
    <m/>
    <s v="Yes"/>
    <m/>
    <s v="Yes"/>
    <m/>
    <s v="Yes"/>
    <m/>
    <s v="N/A"/>
    <m/>
    <s v="Yes"/>
    <m/>
    <s v="Yes"/>
    <m/>
    <s v="New"/>
    <s v="INFASCO"/>
    <n v="41"/>
    <n v="41"/>
  </r>
  <r>
    <x v="378"/>
    <x v="10"/>
    <x v="136"/>
    <n v="24"/>
    <n v="1300"/>
    <n v="31200"/>
    <s v="157+HAU"/>
    <s v="Yes"/>
    <m/>
    <s v="Yes"/>
    <m/>
    <s v="Yes"/>
    <m/>
    <s v="Yes"/>
    <m/>
    <s v="N/A"/>
    <m/>
    <s v="Yes"/>
    <m/>
    <s v="Yes"/>
    <m/>
    <s v="New"/>
    <s v="INFASCO"/>
    <n v="41"/>
    <n v="41"/>
  </r>
  <r>
    <x v="379"/>
    <x v="10"/>
    <x v="125"/>
    <n v="1"/>
    <n v="74000"/>
    <n v="74000"/>
    <s v="157+HAU"/>
    <s v="Yes"/>
    <m/>
    <s v="Yes"/>
    <m/>
    <s v="Yes"/>
    <m/>
    <s v="Yes"/>
    <m/>
    <s v="N/A"/>
    <m/>
    <s v="Yes"/>
    <m/>
    <s v="Yes"/>
    <m/>
    <s v="New"/>
    <s v="INFASCO"/>
    <n v="46"/>
    <n v="47.38"/>
  </r>
  <r>
    <x v="380"/>
    <x v="10"/>
    <x v="125"/>
    <n v="1"/>
    <n v="9800"/>
    <n v="9800"/>
    <s v="157+HAU"/>
    <s v="Yes"/>
    <m/>
    <s v="Yes"/>
    <m/>
    <s v="Yes"/>
    <m/>
    <s v="Yes"/>
    <m/>
    <s v="N/A"/>
    <m/>
    <s v="Yes"/>
    <m/>
    <s v="Yes"/>
    <m/>
    <s v="New"/>
    <s v="INFASCO"/>
    <n v="46"/>
    <n v="47.38"/>
  </r>
  <r>
    <x v="381"/>
    <x v="17"/>
    <x v="136"/>
    <n v="32"/>
    <n v="1300"/>
    <n v="41600"/>
    <s v="156+10"/>
    <s v="Yes"/>
    <m/>
    <s v="Yes"/>
    <m/>
    <s v="Yes"/>
    <m/>
    <s v="Yes"/>
    <m/>
    <s v="N/A"/>
    <m/>
    <s v="Yes"/>
    <m/>
    <s v="Yes"/>
    <m/>
    <s v="New"/>
    <s v="INFASCO"/>
    <n v="41"/>
    <n v="41"/>
  </r>
  <r>
    <x v="382"/>
    <x v="8"/>
    <x v="10"/>
    <n v="36"/>
    <n v="450"/>
    <n v="16200"/>
    <s v="011+171"/>
    <s v="Yes"/>
    <m/>
    <s v="Yes"/>
    <m/>
    <s v="Yes"/>
    <m/>
    <s v="Yes"/>
    <m/>
    <s v="N/A"/>
    <m/>
    <s v="Yes"/>
    <m/>
    <s v="Yes"/>
    <m/>
    <s v="New"/>
    <s v="INFASCO"/>
    <n v="95"/>
    <n v="97.85"/>
  </r>
  <r>
    <x v="383"/>
    <x v="17"/>
    <x v="10"/>
    <n v="36"/>
    <n v="450"/>
    <n v="16200"/>
    <s v="156+10"/>
    <s v="Yes"/>
    <m/>
    <s v="Yes"/>
    <m/>
    <s v="Yes"/>
    <m/>
    <s v="Yes"/>
    <m/>
    <s v="N/A"/>
    <m/>
    <s v="Yes"/>
    <m/>
    <s v="Yes"/>
    <m/>
    <s v="New"/>
    <s v="INFASCO"/>
    <n v="95"/>
    <n v="97.85"/>
  </r>
  <r>
    <x v="384"/>
    <x v="8"/>
    <x v="10"/>
    <n v="36"/>
    <n v="450"/>
    <n v="16200"/>
    <s v="011+171"/>
    <s v="Yes"/>
    <m/>
    <s v="Yes"/>
    <m/>
    <s v="Yes"/>
    <m/>
    <s v="Yes"/>
    <m/>
    <s v="N/A"/>
    <m/>
    <s v="Yes"/>
    <m/>
    <s v="Yes"/>
    <m/>
    <s v="New"/>
    <s v="INFASCO"/>
    <n v="95"/>
    <n v="97.85"/>
  </r>
  <r>
    <x v="385"/>
    <x v="17"/>
    <x v="10"/>
    <n v="36"/>
    <n v="450"/>
    <n v="16200"/>
    <s v="156+10"/>
    <s v="Yes"/>
    <m/>
    <s v="Yes"/>
    <m/>
    <s v="Yes"/>
    <m/>
    <s v="Yes"/>
    <m/>
    <s v="N/A"/>
    <m/>
    <s v="Yes"/>
    <m/>
    <s v="Yes"/>
    <m/>
    <s v="New"/>
    <s v="INFASCO"/>
    <n v="95"/>
    <n v="97.85"/>
  </r>
  <r>
    <x v="386"/>
    <x v="10"/>
    <x v="10"/>
    <n v="36"/>
    <n v="450"/>
    <n v="16200"/>
    <s v="157+HAU"/>
    <s v="Yes"/>
    <m/>
    <s v="Yes"/>
    <m/>
    <s v="Yes"/>
    <m/>
    <s v="Yes"/>
    <m/>
    <s v="N/A"/>
    <m/>
    <s v="Yes"/>
    <m/>
    <s v="Yes"/>
    <m/>
    <s v="New"/>
    <s v="INFASCO"/>
    <n v="95"/>
    <n v="97.85"/>
  </r>
  <r>
    <x v="387"/>
    <x v="10"/>
    <x v="156"/>
    <n v="1"/>
    <n v="8100"/>
    <n v="8100"/>
    <s v="157+HAU"/>
    <s v="Yes"/>
    <m/>
    <s v="Yes"/>
    <m/>
    <s v="Yes"/>
    <m/>
    <s v="Yes"/>
    <m/>
    <s v="N/A"/>
    <m/>
    <s v="Yes"/>
    <m/>
    <s v="Yes"/>
    <m/>
    <s v="New"/>
    <s v="INFASCO"/>
    <s v="N/A"/>
    <n v="118.45"/>
  </r>
  <r>
    <x v="388"/>
    <x v="10"/>
    <x v="156"/>
    <n v="1"/>
    <n v="4340"/>
    <n v="4340"/>
    <s v="157+HAU"/>
    <s v="Yes"/>
    <m/>
    <s v="Yes"/>
    <m/>
    <s v="Yes"/>
    <m/>
    <s v="Yes"/>
    <m/>
    <s v="N/A"/>
    <m/>
    <s v="Yes"/>
    <m/>
    <s v="Yes"/>
    <m/>
    <s v="New"/>
    <s v="INFASCO"/>
    <s v="N/A"/>
    <n v="118.45"/>
  </r>
  <r>
    <x v="389"/>
    <x v="8"/>
    <x v="10"/>
    <n v="36"/>
    <n v="450"/>
    <n v="16200"/>
    <s v="011+171"/>
    <s v="Yes"/>
    <m/>
    <s v="Yes"/>
    <m/>
    <s v="Yes"/>
    <m/>
    <s v="Yes"/>
    <m/>
    <s v="N/A"/>
    <m/>
    <s v="Yes"/>
    <m/>
    <s v="Yes"/>
    <m/>
    <s v="New"/>
    <s v="INFASCO"/>
    <n v="95"/>
    <n v="97.85"/>
  </r>
  <r>
    <x v="390"/>
    <x v="1"/>
    <x v="108"/>
    <n v="36"/>
    <n v="3500"/>
    <n v="126000"/>
    <m/>
    <m/>
    <m/>
    <m/>
    <m/>
    <m/>
    <m/>
    <m/>
    <m/>
    <m/>
    <m/>
    <m/>
    <m/>
    <m/>
    <m/>
    <m/>
    <s v="INFASCO"/>
    <m/>
    <n v="97.85"/>
  </r>
  <r>
    <x v="390"/>
    <x v="5"/>
    <x v="86"/>
    <n v="36"/>
    <n v="2500"/>
    <n v="90000"/>
    <m/>
    <m/>
    <m/>
    <m/>
    <m/>
    <m/>
    <m/>
    <m/>
    <m/>
    <m/>
    <m/>
    <m/>
    <m/>
    <m/>
    <m/>
    <m/>
    <s v="INFASCO"/>
    <m/>
    <n v="97.85"/>
  </r>
  <r>
    <x v="390"/>
    <x v="15"/>
    <x v="71"/>
    <n v="56"/>
    <n v="1500"/>
    <n v="84000"/>
    <m/>
    <m/>
    <m/>
    <m/>
    <m/>
    <m/>
    <m/>
    <m/>
    <m/>
    <m/>
    <m/>
    <m/>
    <m/>
    <m/>
    <m/>
    <m/>
    <s v="INFASCO"/>
    <m/>
    <n v="97.85"/>
  </r>
  <r>
    <x v="390"/>
    <x v="6"/>
    <x v="46"/>
    <n v="36"/>
    <n v="2150"/>
    <n v="77400"/>
    <m/>
    <m/>
    <m/>
    <m/>
    <m/>
    <m/>
    <m/>
    <m/>
    <m/>
    <m/>
    <m/>
    <m/>
    <m/>
    <m/>
    <m/>
    <m/>
    <s v="INFASCO"/>
    <m/>
    <n v="97.85"/>
  </r>
  <r>
    <x v="390"/>
    <x v="6"/>
    <x v="46"/>
    <n v="36"/>
    <n v="2150"/>
    <n v="77400"/>
    <m/>
    <m/>
    <m/>
    <m/>
    <m/>
    <m/>
    <m/>
    <m/>
    <m/>
    <m/>
    <m/>
    <m/>
    <m/>
    <m/>
    <m/>
    <m/>
    <s v="INFASCO"/>
    <m/>
    <n v="97.85"/>
  </r>
  <r>
    <x v="390"/>
    <x v="4"/>
    <x v="46"/>
    <n v="36"/>
    <n v="2150"/>
    <n v="77400"/>
    <m/>
    <m/>
    <m/>
    <m/>
    <m/>
    <m/>
    <m/>
    <m/>
    <m/>
    <m/>
    <m/>
    <m/>
    <m/>
    <m/>
    <m/>
    <m/>
    <s v="INFASCO"/>
    <m/>
    <n v="97.85"/>
  </r>
  <r>
    <x v="390"/>
    <x v="4"/>
    <x v="46"/>
    <n v="36"/>
    <n v="2150"/>
    <n v="77400"/>
    <m/>
    <m/>
    <m/>
    <m/>
    <m/>
    <m/>
    <m/>
    <m/>
    <m/>
    <m/>
    <m/>
    <m/>
    <m/>
    <m/>
    <m/>
    <m/>
    <s v="INFASCO"/>
    <m/>
    <n v="97.85"/>
  </r>
  <r>
    <x v="390"/>
    <x v="14"/>
    <x v="46"/>
    <n v="32"/>
    <n v="2150"/>
    <n v="68800"/>
    <m/>
    <m/>
    <m/>
    <m/>
    <m/>
    <m/>
    <m/>
    <m/>
    <m/>
    <m/>
    <m/>
    <m/>
    <m/>
    <m/>
    <m/>
    <m/>
    <s v="INFASCO"/>
    <m/>
    <n v="97.85"/>
  </r>
  <r>
    <x v="390"/>
    <x v="5"/>
    <x v="2"/>
    <n v="25"/>
    <n v="2700"/>
    <n v="67500"/>
    <m/>
    <m/>
    <m/>
    <m/>
    <m/>
    <m/>
    <m/>
    <m/>
    <m/>
    <m/>
    <m/>
    <m/>
    <m/>
    <m/>
    <m/>
    <m/>
    <s v="INFASCO"/>
    <m/>
    <n v="97.85"/>
  </r>
  <r>
    <x v="390"/>
    <x v="2"/>
    <x v="71"/>
    <n v="36"/>
    <n v="1500"/>
    <n v="54000"/>
    <m/>
    <m/>
    <m/>
    <m/>
    <m/>
    <m/>
    <m/>
    <m/>
    <m/>
    <m/>
    <m/>
    <m/>
    <m/>
    <m/>
    <m/>
    <m/>
    <s v="INFASCO"/>
    <m/>
    <n v="97.85"/>
  </r>
  <r>
    <x v="390"/>
    <x v="2"/>
    <x v="71"/>
    <n v="36"/>
    <n v="1500"/>
    <n v="54000"/>
    <m/>
    <m/>
    <m/>
    <m/>
    <m/>
    <m/>
    <m/>
    <m/>
    <m/>
    <m/>
    <m/>
    <m/>
    <m/>
    <m/>
    <m/>
    <m/>
    <s v="INFASCO"/>
    <m/>
    <n v="97.85"/>
  </r>
  <r>
    <x v="390"/>
    <x v="9"/>
    <x v="71"/>
    <n v="36"/>
    <n v="1500"/>
    <n v="54000"/>
    <m/>
    <m/>
    <m/>
    <m/>
    <m/>
    <m/>
    <m/>
    <m/>
    <m/>
    <m/>
    <m/>
    <m/>
    <m/>
    <m/>
    <m/>
    <m/>
    <s v="INFASCO"/>
    <m/>
    <n v="97.85"/>
  </r>
  <r>
    <x v="390"/>
    <x v="12"/>
    <x v="4"/>
    <n v="36"/>
    <n v="1200"/>
    <n v="43200"/>
    <m/>
    <m/>
    <m/>
    <m/>
    <m/>
    <m/>
    <m/>
    <m/>
    <m/>
    <m/>
    <m/>
    <m/>
    <m/>
    <m/>
    <m/>
    <m/>
    <s v="INFASCO"/>
    <m/>
    <n v="97.85"/>
  </r>
  <r>
    <x v="390"/>
    <x v="12"/>
    <x v="4"/>
    <n v="36"/>
    <n v="1200"/>
    <n v="43200"/>
    <m/>
    <m/>
    <m/>
    <m/>
    <m/>
    <m/>
    <m/>
    <m/>
    <m/>
    <m/>
    <m/>
    <m/>
    <m/>
    <m/>
    <m/>
    <m/>
    <s v="INFASCO"/>
    <m/>
    <n v="97.85"/>
  </r>
  <r>
    <x v="390"/>
    <x v="13"/>
    <x v="5"/>
    <n v="38"/>
    <n v="1000"/>
    <n v="38000"/>
    <m/>
    <m/>
    <m/>
    <m/>
    <m/>
    <m/>
    <m/>
    <m/>
    <m/>
    <m/>
    <m/>
    <m/>
    <m/>
    <m/>
    <m/>
    <m/>
    <s v="INFASCO"/>
    <m/>
    <n v="97.85"/>
  </r>
  <r>
    <x v="390"/>
    <x v="12"/>
    <x v="4"/>
    <n v="29"/>
    <n v="1200"/>
    <n v="34800"/>
    <m/>
    <m/>
    <m/>
    <m/>
    <m/>
    <m/>
    <m/>
    <m/>
    <m/>
    <m/>
    <m/>
    <m/>
    <m/>
    <m/>
    <m/>
    <m/>
    <s v="INFASCO"/>
    <m/>
    <n v="97.85"/>
  </r>
  <r>
    <x v="390"/>
    <x v="3"/>
    <x v="5"/>
    <n v="32"/>
    <n v="1000"/>
    <n v="32000"/>
    <m/>
    <m/>
    <m/>
    <m/>
    <m/>
    <m/>
    <m/>
    <m/>
    <m/>
    <m/>
    <m/>
    <m/>
    <m/>
    <m/>
    <m/>
    <m/>
    <s v="INFASCO"/>
    <m/>
    <n v="97.85"/>
  </r>
  <r>
    <x v="390"/>
    <x v="11"/>
    <x v="5"/>
    <n v="26"/>
    <n v="1000"/>
    <n v="26000"/>
    <m/>
    <m/>
    <m/>
    <m/>
    <m/>
    <m/>
    <m/>
    <m/>
    <m/>
    <m/>
    <m/>
    <m/>
    <m/>
    <m/>
    <m/>
    <m/>
    <s v="INFASCO"/>
    <m/>
    <n v="97.85"/>
  </r>
  <r>
    <x v="390"/>
    <x v="7"/>
    <x v="109"/>
    <n v="36"/>
    <n v="660"/>
    <n v="23760"/>
    <m/>
    <m/>
    <m/>
    <m/>
    <m/>
    <m/>
    <m/>
    <m/>
    <m/>
    <m/>
    <m/>
    <m/>
    <m/>
    <m/>
    <m/>
    <m/>
    <s v="INFASCO"/>
    <m/>
    <n v="97.85"/>
  </r>
  <r>
    <x v="390"/>
    <x v="16"/>
    <x v="151"/>
    <n v="36"/>
    <n v="650"/>
    <n v="23400"/>
    <m/>
    <m/>
    <m/>
    <m/>
    <m/>
    <m/>
    <m/>
    <m/>
    <m/>
    <m/>
    <m/>
    <m/>
    <m/>
    <m/>
    <m/>
    <m/>
    <s v="INFASCO"/>
    <m/>
    <n v="97.85"/>
  </r>
  <r>
    <x v="390"/>
    <x v="16"/>
    <x v="151"/>
    <n v="36"/>
    <n v="650"/>
    <n v="23400"/>
    <m/>
    <m/>
    <m/>
    <m/>
    <m/>
    <m/>
    <m/>
    <m/>
    <m/>
    <m/>
    <m/>
    <m/>
    <m/>
    <m/>
    <m/>
    <m/>
    <s v="INFASCO"/>
    <m/>
    <n v="97.85"/>
  </r>
  <r>
    <x v="390"/>
    <x v="3"/>
    <x v="10"/>
    <n v="36"/>
    <n v="450"/>
    <n v="16200"/>
    <m/>
    <m/>
    <m/>
    <m/>
    <m/>
    <m/>
    <m/>
    <m/>
    <m/>
    <m/>
    <m/>
    <m/>
    <m/>
    <m/>
    <m/>
    <m/>
    <s v="INFASCO"/>
    <m/>
    <n v="97.85"/>
  </r>
  <r>
    <x v="390"/>
    <x v="17"/>
    <x v="10"/>
    <n v="36"/>
    <n v="450"/>
    <n v="16200"/>
    <s v="156+10"/>
    <s v="Yes"/>
    <m/>
    <s v="Yes"/>
    <m/>
    <s v="Yes"/>
    <m/>
    <s v="Yes"/>
    <m/>
    <s v="N/A"/>
    <m/>
    <s v="Yes"/>
    <m/>
    <s v="Yes"/>
    <m/>
    <s v="New"/>
    <s v="INFASCO"/>
    <n v="95"/>
    <n v="97.85"/>
  </r>
  <r>
    <x v="390"/>
    <x v="11"/>
    <x v="7"/>
    <n v="21"/>
    <n v="700"/>
    <n v="14700"/>
    <m/>
    <m/>
    <m/>
    <m/>
    <m/>
    <m/>
    <m/>
    <m/>
    <m/>
    <m/>
    <m/>
    <m/>
    <m/>
    <m/>
    <m/>
    <m/>
    <s v="INFASCO"/>
    <m/>
    <n v="97.85"/>
  </r>
  <r>
    <x v="391"/>
    <x v="5"/>
    <x v="86"/>
    <n v="36"/>
    <n v="2500"/>
    <n v="90000"/>
    <m/>
    <m/>
    <m/>
    <m/>
    <m/>
    <m/>
    <m/>
    <m/>
    <m/>
    <m/>
    <m/>
    <m/>
    <m/>
    <m/>
    <m/>
    <m/>
    <s v="INFASCO"/>
    <m/>
    <n v="97.85"/>
  </r>
  <r>
    <x v="391"/>
    <x v="1"/>
    <x v="108"/>
    <n v="25"/>
    <n v="3500"/>
    <n v="87500"/>
    <m/>
    <m/>
    <m/>
    <m/>
    <m/>
    <m/>
    <m/>
    <m/>
    <m/>
    <m/>
    <m/>
    <m/>
    <m/>
    <m/>
    <m/>
    <m/>
    <s v="INFASCO"/>
    <m/>
    <n v="97.85"/>
  </r>
  <r>
    <x v="391"/>
    <x v="12"/>
    <x v="157"/>
    <n v="36"/>
    <n v="2300"/>
    <n v="82800"/>
    <m/>
    <m/>
    <m/>
    <m/>
    <m/>
    <m/>
    <m/>
    <m/>
    <m/>
    <m/>
    <m/>
    <m/>
    <m/>
    <m/>
    <m/>
    <m/>
    <s v="INFASCO"/>
    <m/>
    <n v="97.85"/>
  </r>
  <r>
    <x v="391"/>
    <x v="6"/>
    <x v="46"/>
    <n v="36"/>
    <n v="2150"/>
    <n v="77400"/>
    <m/>
    <m/>
    <m/>
    <m/>
    <m/>
    <m/>
    <m/>
    <m/>
    <m/>
    <m/>
    <m/>
    <m/>
    <m/>
    <m/>
    <m/>
    <m/>
    <s v="INFASCO"/>
    <m/>
    <n v="97.85"/>
  </r>
  <r>
    <x v="391"/>
    <x v="4"/>
    <x v="46"/>
    <n v="36"/>
    <n v="2150"/>
    <n v="77400"/>
    <m/>
    <m/>
    <m/>
    <m/>
    <m/>
    <m/>
    <m/>
    <m/>
    <m/>
    <m/>
    <m/>
    <m/>
    <m/>
    <m/>
    <m/>
    <m/>
    <s v="INFASCO"/>
    <m/>
    <n v="97.85"/>
  </r>
  <r>
    <x v="391"/>
    <x v="17"/>
    <x v="125"/>
    <n v="1"/>
    <n v="74000"/>
    <n v="74000"/>
    <n v="156"/>
    <m/>
    <m/>
    <m/>
    <m/>
    <m/>
    <m/>
    <m/>
    <m/>
    <m/>
    <m/>
    <m/>
    <m/>
    <m/>
    <m/>
    <m/>
    <s v="INFASCO"/>
    <m/>
    <n v="47.38"/>
  </r>
  <r>
    <x v="391"/>
    <x v="4"/>
    <x v="69"/>
    <n v="36"/>
    <n v="1900"/>
    <n v="68400"/>
    <m/>
    <m/>
    <m/>
    <m/>
    <m/>
    <m/>
    <m/>
    <m/>
    <m/>
    <m/>
    <m/>
    <m/>
    <m/>
    <m/>
    <m/>
    <m/>
    <s v="INFASCO"/>
    <m/>
    <n v="97.85"/>
  </r>
  <r>
    <x v="391"/>
    <x v="12"/>
    <x v="157"/>
    <n v="25"/>
    <n v="2300"/>
    <n v="57500"/>
    <m/>
    <m/>
    <m/>
    <m/>
    <m/>
    <m/>
    <m/>
    <m/>
    <m/>
    <m/>
    <m/>
    <m/>
    <m/>
    <m/>
    <m/>
    <m/>
    <s v="INFASCO"/>
    <m/>
    <n v="97.85"/>
  </r>
  <r>
    <x v="391"/>
    <x v="5"/>
    <x v="2"/>
    <n v="21"/>
    <n v="2700"/>
    <n v="56700"/>
    <m/>
    <m/>
    <m/>
    <m/>
    <m/>
    <m/>
    <m/>
    <m/>
    <m/>
    <m/>
    <m/>
    <m/>
    <m/>
    <m/>
    <m/>
    <m/>
    <s v="INFASCO"/>
    <m/>
    <n v="97.85"/>
  </r>
  <r>
    <x v="391"/>
    <x v="2"/>
    <x v="71"/>
    <n v="36"/>
    <n v="1500"/>
    <n v="54000"/>
    <m/>
    <m/>
    <m/>
    <m/>
    <m/>
    <m/>
    <m/>
    <m/>
    <m/>
    <m/>
    <m/>
    <m/>
    <m/>
    <m/>
    <m/>
    <m/>
    <s v="INFASCO"/>
    <m/>
    <n v="97.85"/>
  </r>
  <r>
    <x v="391"/>
    <x v="14"/>
    <x v="46"/>
    <n v="25"/>
    <n v="2150"/>
    <n v="53750"/>
    <m/>
    <m/>
    <m/>
    <m/>
    <m/>
    <m/>
    <m/>
    <m/>
    <m/>
    <m/>
    <m/>
    <m/>
    <m/>
    <m/>
    <m/>
    <m/>
    <s v="INFASCO"/>
    <m/>
    <n v="97.85"/>
  </r>
  <r>
    <x v="391"/>
    <x v="9"/>
    <x v="71"/>
    <n v="33"/>
    <n v="1500"/>
    <n v="49500"/>
    <m/>
    <m/>
    <m/>
    <m/>
    <m/>
    <m/>
    <m/>
    <m/>
    <m/>
    <m/>
    <m/>
    <m/>
    <m/>
    <m/>
    <m/>
    <m/>
    <s v="INFASCO"/>
    <m/>
    <n v="97.85"/>
  </r>
  <r>
    <x v="391"/>
    <x v="11"/>
    <x v="7"/>
    <n v="41"/>
    <n v="700"/>
    <n v="28700"/>
    <m/>
    <m/>
    <m/>
    <m/>
    <m/>
    <m/>
    <m/>
    <m/>
    <m/>
    <m/>
    <m/>
    <m/>
    <m/>
    <m/>
    <m/>
    <m/>
    <s v="INFASCO"/>
    <m/>
    <n v="97.85"/>
  </r>
  <r>
    <x v="391"/>
    <x v="6"/>
    <x v="7"/>
    <n v="36"/>
    <n v="700"/>
    <n v="25200"/>
    <m/>
    <m/>
    <m/>
    <m/>
    <m/>
    <m/>
    <m/>
    <m/>
    <m/>
    <m/>
    <m/>
    <m/>
    <m/>
    <m/>
    <m/>
    <m/>
    <s v="INFASCO"/>
    <m/>
    <n v="97.85"/>
  </r>
  <r>
    <x v="391"/>
    <x v="11"/>
    <x v="10"/>
    <n v="36"/>
    <n v="700"/>
    <n v="25200"/>
    <m/>
    <m/>
    <m/>
    <m/>
    <m/>
    <m/>
    <m/>
    <m/>
    <m/>
    <m/>
    <m/>
    <m/>
    <m/>
    <m/>
    <m/>
    <m/>
    <s v="INFASCO"/>
    <m/>
    <n v="97.85"/>
  </r>
  <r>
    <x v="391"/>
    <x v="7"/>
    <x v="7"/>
    <n v="36"/>
    <n v="700"/>
    <n v="25200"/>
    <m/>
    <m/>
    <m/>
    <m/>
    <m/>
    <m/>
    <m/>
    <m/>
    <m/>
    <m/>
    <m/>
    <m/>
    <m/>
    <m/>
    <m/>
    <m/>
    <s v="INFASCO"/>
    <m/>
    <n v="97.85"/>
  </r>
  <r>
    <x v="391"/>
    <x v="13"/>
    <x v="7"/>
    <n v="36"/>
    <n v="700"/>
    <n v="25200"/>
    <m/>
    <m/>
    <m/>
    <m/>
    <m/>
    <m/>
    <m/>
    <m/>
    <m/>
    <m/>
    <m/>
    <m/>
    <m/>
    <m/>
    <m/>
    <m/>
    <s v="INFASCO"/>
    <m/>
    <n v="97.85"/>
  </r>
  <r>
    <x v="391"/>
    <x v="16"/>
    <x v="7"/>
    <n v="36"/>
    <n v="700"/>
    <n v="25200"/>
    <m/>
    <m/>
    <m/>
    <m/>
    <m/>
    <m/>
    <m/>
    <m/>
    <m/>
    <m/>
    <m/>
    <m/>
    <m/>
    <m/>
    <m/>
    <m/>
    <s v="INFASCO"/>
    <m/>
    <n v="97.85"/>
  </r>
  <r>
    <x v="391"/>
    <x v="16"/>
    <x v="7"/>
    <n v="36"/>
    <n v="700"/>
    <n v="25200"/>
    <m/>
    <m/>
    <m/>
    <m/>
    <m/>
    <m/>
    <m/>
    <m/>
    <m/>
    <m/>
    <m/>
    <m/>
    <m/>
    <m/>
    <m/>
    <m/>
    <s v="INFASCO"/>
    <m/>
    <n v="97.85"/>
  </r>
  <r>
    <x v="391"/>
    <x v="11"/>
    <x v="7"/>
    <n v="30"/>
    <n v="700"/>
    <n v="21000"/>
    <m/>
    <m/>
    <m/>
    <m/>
    <m/>
    <m/>
    <m/>
    <m/>
    <m/>
    <m/>
    <m/>
    <m/>
    <m/>
    <m/>
    <m/>
    <m/>
    <s v="INFASCO"/>
    <m/>
    <n v="97.85"/>
  </r>
  <r>
    <x v="391"/>
    <x v="3"/>
    <x v="10"/>
    <n v="36"/>
    <n v="450"/>
    <n v="16200"/>
    <m/>
    <m/>
    <m/>
    <m/>
    <m/>
    <m/>
    <m/>
    <m/>
    <m/>
    <m/>
    <m/>
    <m/>
    <m/>
    <m/>
    <m/>
    <m/>
    <s v="INFASCO"/>
    <m/>
    <n v="97.85"/>
  </r>
  <r>
    <x v="391"/>
    <x v="3"/>
    <x v="10"/>
    <n v="36"/>
    <n v="450"/>
    <n v="16200"/>
    <m/>
    <m/>
    <m/>
    <m/>
    <m/>
    <m/>
    <m/>
    <m/>
    <m/>
    <m/>
    <m/>
    <m/>
    <m/>
    <m/>
    <m/>
    <m/>
    <s v="INFASCO"/>
    <m/>
    <n v="97.85"/>
  </r>
  <r>
    <x v="392"/>
    <x v="10"/>
    <x v="11"/>
    <n v="36"/>
    <n v="280"/>
    <n v="10080"/>
    <s v="157+HAU"/>
    <s v="Yes"/>
    <m/>
    <s v="Yes"/>
    <m/>
    <s v="Yes"/>
    <m/>
    <s v="Yes"/>
    <m/>
    <s v="N/A"/>
    <m/>
    <s v="Yes"/>
    <m/>
    <s v="Yes"/>
    <m/>
    <s v="New"/>
    <s v="INFASCO"/>
    <n v="95"/>
    <n v="97.85"/>
  </r>
  <r>
    <x v="393"/>
    <x v="8"/>
    <x v="11"/>
    <n v="36"/>
    <n v="280"/>
    <n v="10080"/>
    <s v="011+325"/>
    <s v="Yes"/>
    <m/>
    <s v="Yes"/>
    <m/>
    <s v="Yes"/>
    <m/>
    <s v="Yes"/>
    <m/>
    <s v="N/A"/>
    <m/>
    <s v="Yes"/>
    <m/>
    <s v="Yes"/>
    <m/>
    <s v="New"/>
    <s v="INFASCO"/>
    <n v="95"/>
    <n v="97.85"/>
  </r>
  <r>
    <x v="394"/>
    <x v="17"/>
    <x v="125"/>
    <n v="1"/>
    <n v="74571"/>
    <n v="74571"/>
    <n v="156"/>
    <s v="Yes"/>
    <m/>
    <s v="Yes"/>
    <m/>
    <s v="Yes"/>
    <m/>
    <s v="Yes"/>
    <m/>
    <s v="N/A"/>
    <m/>
    <s v="Yes"/>
    <m/>
    <s v="Yes"/>
    <m/>
    <s v="New"/>
    <s v="INFASCO"/>
    <n v="46"/>
    <n v="47.38"/>
  </r>
  <r>
    <x v="395"/>
    <x v="10"/>
    <x v="36"/>
    <n v="36"/>
    <n v="4000"/>
    <n v="144000"/>
    <s v="157+HAU"/>
    <s v="Yes"/>
    <m/>
    <s v="Yes"/>
    <m/>
    <s v="Yes"/>
    <m/>
    <s v="Yes"/>
    <m/>
    <s v="N/A"/>
    <m/>
    <s v="Yes"/>
    <m/>
    <s v="Yes"/>
    <m/>
    <s v="New"/>
    <s v="INFASCO"/>
    <n v="120"/>
    <n v="123.6"/>
  </r>
  <r>
    <x v="396"/>
    <x v="8"/>
    <x v="49"/>
    <n v="36"/>
    <n v="1400"/>
    <n v="50400"/>
    <n v="11"/>
    <s v="Yes"/>
    <m/>
    <s v="Yes"/>
    <m/>
    <s v="Yes"/>
    <m/>
    <s v="Yes"/>
    <m/>
    <s v="N/A"/>
    <m/>
    <s v="Yes"/>
    <m/>
    <s v="Yes"/>
    <m/>
    <s v="New"/>
    <s v="INFASCO"/>
    <n v="95"/>
    <n v="97.85"/>
  </r>
  <r>
    <x v="397"/>
    <x v="17"/>
    <x v="125"/>
    <n v="1"/>
    <n v="74000"/>
    <n v="74000"/>
    <n v="156"/>
    <s v="Yes"/>
    <m/>
    <s v="Yes"/>
    <m/>
    <s v="Yes"/>
    <m/>
    <s v="Yes"/>
    <m/>
    <s v="N/A"/>
    <m/>
    <s v="Yes"/>
    <m/>
    <s v="Yes"/>
    <m/>
    <s v="New"/>
    <s v="INFASCO"/>
    <n v="46"/>
    <n v="47.38"/>
  </r>
  <r>
    <x v="398"/>
    <x v="10"/>
    <x v="36"/>
    <n v="23"/>
    <n v="4000"/>
    <n v="92000"/>
    <s v="157+HAU"/>
    <s v="Yes"/>
    <m/>
    <s v="Yes"/>
    <m/>
    <s v="Yes"/>
    <m/>
    <s v="Yes"/>
    <m/>
    <s v="N/A"/>
    <m/>
    <s v="Yes"/>
    <m/>
    <s v="Yes"/>
    <m/>
    <s v="New"/>
    <s v="INFASCO"/>
    <n v="120"/>
    <n v="123.6"/>
  </r>
  <r>
    <x v="399"/>
    <x v="8"/>
    <x v="49"/>
    <n v="36"/>
    <n v="1400"/>
    <n v="50400"/>
    <s v="011+SON"/>
    <s v="Yes"/>
    <m/>
    <s v="Yes"/>
    <m/>
    <s v="Yes"/>
    <m/>
    <s v="Yes"/>
    <m/>
    <s v="N/A"/>
    <m/>
    <s v="Yes"/>
    <m/>
    <s v="Yes"/>
    <m/>
    <s v="New"/>
    <s v="INFASCO"/>
    <n v="95"/>
    <n v="97.85"/>
  </r>
  <r>
    <x v="400"/>
    <x v="8"/>
    <x v="49"/>
    <n v="19"/>
    <n v="1400"/>
    <n v="26600"/>
    <s v="11+SON"/>
    <s v="Yes"/>
    <m/>
    <s v="Yes"/>
    <m/>
    <s v="Yes"/>
    <m/>
    <s v="Yes"/>
    <m/>
    <s v="N/A"/>
    <m/>
    <s v="Yes"/>
    <m/>
    <s v="Yes"/>
    <m/>
    <s v="New"/>
    <s v="INFASCO"/>
    <n v="95"/>
    <n v="97.85"/>
  </r>
  <r>
    <x v="401"/>
    <x v="10"/>
    <x v="36"/>
    <n v="30"/>
    <n v="4000"/>
    <n v="120000"/>
    <s v="157+HAU"/>
    <s v="Yes"/>
    <m/>
    <s v="Yes"/>
    <m/>
    <s v="Yes"/>
    <m/>
    <s v="Yes"/>
    <m/>
    <s v="N/A"/>
    <m/>
    <s v="Yes"/>
    <m/>
    <s v="Yes"/>
    <m/>
    <s v="New"/>
    <s v="INFASCO"/>
    <n v="120"/>
    <n v="123.6"/>
  </r>
  <r>
    <x v="402"/>
    <x v="17"/>
    <x v="125"/>
    <n v="1"/>
    <n v="70890"/>
    <n v="70890"/>
    <n v="156"/>
    <s v="Yes"/>
    <m/>
    <s v="Yes"/>
    <m/>
    <s v="Yes"/>
    <m/>
    <s v="Yes"/>
    <m/>
    <s v="N/A"/>
    <m/>
    <s v="Yes"/>
    <m/>
    <s v="Yes"/>
    <m/>
    <s v="New"/>
    <s v="INFASCO"/>
    <n v="46"/>
    <n v="47.38"/>
  </r>
  <r>
    <x v="403"/>
    <x v="8"/>
    <x v="49"/>
    <n v="34"/>
    <n v="1400"/>
    <n v="47600"/>
    <s v="11+SON"/>
    <s v="Yes"/>
    <m/>
    <s v="Yes"/>
    <m/>
    <s v="Yes"/>
    <m/>
    <s v="Yes"/>
    <m/>
    <s v="N/A"/>
    <m/>
    <s v="Yes"/>
    <m/>
    <s v="Yes"/>
    <m/>
    <s v="New"/>
    <s v="INFASCO"/>
    <n v="95"/>
    <n v="97.85"/>
  </r>
  <r>
    <x v="404"/>
    <x v="8"/>
    <x v="49"/>
    <n v="34"/>
    <n v="1400"/>
    <n v="47600"/>
    <s v="11+SON"/>
    <s v="Yes"/>
    <m/>
    <s v="Yes"/>
    <m/>
    <s v="Yes"/>
    <m/>
    <s v="Yes"/>
    <m/>
    <s v="N/A"/>
    <m/>
    <s v="Yes"/>
    <m/>
    <s v="Yes"/>
    <m/>
    <s v="New"/>
    <s v="INFASCO"/>
    <n v="95"/>
    <n v="97.85"/>
  </r>
  <r>
    <x v="405"/>
    <x v="10"/>
    <x v="36"/>
    <n v="30"/>
    <n v="4000"/>
    <n v="120000"/>
    <s v="157+HAU"/>
    <s v="Yes"/>
    <m/>
    <s v="Yes"/>
    <m/>
    <s v="Yes"/>
    <m/>
    <s v="Yes"/>
    <m/>
    <s v="N/A"/>
    <m/>
    <s v="Yes"/>
    <m/>
    <s v="Yes"/>
    <m/>
    <s v="New"/>
    <s v="INFASCO"/>
    <n v="120"/>
    <n v="123.6"/>
  </r>
  <r>
    <x v="406"/>
    <x v="17"/>
    <x v="49"/>
    <n v="36"/>
    <n v="1400"/>
    <n v="50400"/>
    <n v="156"/>
    <s v="Yes"/>
    <m/>
    <s v="Yes"/>
    <m/>
    <s v="Yes"/>
    <m/>
    <s v="Yes"/>
    <m/>
    <s v="N/A"/>
    <m/>
    <s v="Yes"/>
    <m/>
    <s v="Yes"/>
    <m/>
    <s v="New"/>
    <s v="INFASCO"/>
    <n v="95"/>
    <n v="97.85"/>
  </r>
  <r>
    <x v="407"/>
    <x v="18"/>
    <x v="49"/>
    <n v="26"/>
    <n v="1400"/>
    <n v="36400"/>
    <n v="136"/>
    <s v="Yes"/>
    <m/>
    <s v="Yes"/>
    <m/>
    <s v="Yes"/>
    <m/>
    <s v="Yes"/>
    <m/>
    <s v="N/A"/>
    <m/>
    <s v="Yes"/>
    <m/>
    <s v="Yes"/>
    <m/>
    <s v="New"/>
    <s v="INFASCO"/>
    <n v="95"/>
    <n v="97.85"/>
  </r>
  <r>
    <x v="408"/>
    <x v="8"/>
    <x v="44"/>
    <n v="25"/>
    <n v="100"/>
    <n v="2500"/>
    <s v="11+SON"/>
    <s v="Yes"/>
    <m/>
    <s v="Yes"/>
    <m/>
    <s v="Yes"/>
    <m/>
    <s v="Yes"/>
    <m/>
    <s v="N/A"/>
    <m/>
    <s v="Yes"/>
    <m/>
    <s v="Yes"/>
    <m/>
    <s v="New"/>
    <s v="INFASCO"/>
    <n v="51"/>
    <n v="51"/>
  </r>
  <r>
    <x v="409"/>
    <x v="17"/>
    <x v="49"/>
    <n v="27"/>
    <n v="1400"/>
    <n v="37800"/>
    <n v="156"/>
    <s v="Yes"/>
    <m/>
    <s v="Yes"/>
    <m/>
    <s v="Yes"/>
    <m/>
    <s v="Yes"/>
    <m/>
    <s v="N/A"/>
    <m/>
    <s v="Yes"/>
    <m/>
    <s v="Yes"/>
    <m/>
    <s v="New"/>
    <s v="INFASCO"/>
    <n v="95"/>
    <n v="97.85"/>
  </r>
  <r>
    <x v="410"/>
    <x v="10"/>
    <x v="36"/>
    <n v="33"/>
    <n v="4000"/>
    <n v="132000"/>
    <s v="157+HAU"/>
    <s v="Yes"/>
    <m/>
    <s v="Yes"/>
    <m/>
    <s v="Yes"/>
    <m/>
    <s v="Yes"/>
    <m/>
    <s v="N/A"/>
    <m/>
    <s v="Yes"/>
    <m/>
    <s v="Yes"/>
    <m/>
    <s v="New"/>
    <s v="INFASCO"/>
    <n v="120"/>
    <n v="123.6"/>
  </r>
  <r>
    <x v="411"/>
    <x v="10"/>
    <x v="36"/>
    <n v="27"/>
    <n v="4000"/>
    <n v="108000"/>
    <s v="157+HAU"/>
    <s v="Yes"/>
    <m/>
    <s v="Yes"/>
    <m/>
    <s v="Yes"/>
    <m/>
    <s v="Yes"/>
    <m/>
    <s v="N/A"/>
    <m/>
    <s v="Yes"/>
    <m/>
    <s v="Yes"/>
    <m/>
    <s v="New"/>
    <s v="INFASCO"/>
    <n v="120"/>
    <n v="123.6"/>
  </r>
  <r>
    <x v="412"/>
    <x v="17"/>
    <x v="49"/>
    <n v="44"/>
    <n v="1400"/>
    <n v="53200"/>
    <s v="156+146"/>
    <s v="Yes"/>
    <m/>
    <s v="Yes"/>
    <m/>
    <s v="Yes"/>
    <m/>
    <s v="Yes"/>
    <m/>
    <s v="N/A"/>
    <m/>
    <s v="Yes"/>
    <m/>
    <s v="Yes"/>
    <m/>
    <s v="New"/>
    <s v="INFASCO"/>
    <n v="95"/>
    <n v="97.85"/>
  </r>
  <r>
    <x v="413"/>
    <x v="8"/>
    <x v="49"/>
    <n v="36"/>
    <n v="1400"/>
    <n v="50400"/>
    <s v="11+SON"/>
    <s v="Yes"/>
    <m/>
    <s v="Yes"/>
    <m/>
    <s v="Yes"/>
    <m/>
    <s v="Yes"/>
    <m/>
    <s v="N/A"/>
    <m/>
    <s v="Yes"/>
    <m/>
    <s v="Yes"/>
    <m/>
    <s v="New"/>
    <s v="INFASCO"/>
    <n v="95"/>
    <n v="97.85"/>
  </r>
  <r>
    <x v="414"/>
    <x v="10"/>
    <x v="36"/>
    <n v="36"/>
    <n v="4000"/>
    <n v="144000"/>
    <s v="157+HAU"/>
    <s v="Yes"/>
    <m/>
    <s v="Yes"/>
    <m/>
    <s v="Yes"/>
    <m/>
    <s v="Yes"/>
    <m/>
    <s v="N/A"/>
    <m/>
    <s v="Yes"/>
    <m/>
    <s v="Yes"/>
    <m/>
    <s v="New"/>
    <s v="INFASCO"/>
    <n v="120"/>
    <n v="123.6"/>
  </r>
  <r>
    <x v="415"/>
    <x v="8"/>
    <x v="49"/>
    <n v="36"/>
    <n v="1400"/>
    <n v="50400"/>
    <s v="11+SON"/>
    <s v="Yes"/>
    <m/>
    <s v="Yes"/>
    <m/>
    <s v="Yes"/>
    <m/>
    <s v="Yes"/>
    <m/>
    <s v="N/A"/>
    <m/>
    <s v="Yes"/>
    <m/>
    <s v="Yes"/>
    <m/>
    <s v="New"/>
    <s v="INFASCO"/>
    <n v="95"/>
    <n v="97.85"/>
  </r>
  <r>
    <x v="416"/>
    <x v="18"/>
    <x v="44"/>
    <n v="24"/>
    <n v="100"/>
    <n v="2400"/>
    <n v="136"/>
    <s v="Yes"/>
    <m/>
    <s v="Yes"/>
    <m/>
    <s v="Yes"/>
    <m/>
    <s v="Yes"/>
    <m/>
    <s v="N/A"/>
    <m/>
    <s v="Yes"/>
    <m/>
    <s v="Yes"/>
    <m/>
    <s v="New"/>
    <s v="INFASCO"/>
    <n v="120"/>
    <n v="51"/>
  </r>
  <r>
    <x v="417"/>
    <x v="17"/>
    <x v="158"/>
    <n v="36"/>
    <n v="1200"/>
    <n v="43200"/>
    <n v="156"/>
    <s v="Yes"/>
    <m/>
    <s v="Yes"/>
    <m/>
    <s v="Yes"/>
    <m/>
    <s v="Yes"/>
    <m/>
    <s v="N/A"/>
    <m/>
    <s v="Yes"/>
    <m/>
    <s v="Yes"/>
    <m/>
    <s v="New"/>
    <s v="INFASCO"/>
    <s v="N/A"/>
    <n v="97.85"/>
  </r>
  <r>
    <x v="418"/>
    <x v="10"/>
    <x v="36"/>
    <n v="36"/>
    <n v="4000"/>
    <n v="144000"/>
    <s v="157+hau"/>
    <s v="Yes"/>
    <m/>
    <s v="Yes"/>
    <m/>
    <s v="Yes"/>
    <m/>
    <s v="Yes"/>
    <m/>
    <s v="N/A"/>
    <m/>
    <s v="Yes"/>
    <m/>
    <s v="Yes"/>
    <m/>
    <s v="New"/>
    <s v="INFASCO"/>
    <n v="120"/>
    <n v="123.6"/>
  </r>
  <r>
    <x v="419"/>
    <x v="8"/>
    <x v="159"/>
    <n v="53"/>
    <n v="600"/>
    <n v="31800"/>
    <s v="11+son"/>
    <s v="Yes"/>
    <m/>
    <s v="Yes"/>
    <m/>
    <s v="Yes"/>
    <m/>
    <s v="Yes"/>
    <m/>
    <s v="N/A"/>
    <m/>
    <s v="Yes"/>
    <m/>
    <s v="Yes"/>
    <m/>
    <s v="New"/>
    <s v="INFASCO"/>
    <n v="51"/>
    <n v="51"/>
  </r>
  <r>
    <x v="420"/>
    <x v="17"/>
    <x v="158"/>
    <n v="31"/>
    <n v="1200"/>
    <n v="37200"/>
    <s v="156+146"/>
    <s v="Yes"/>
    <m/>
    <s v="Yes"/>
    <m/>
    <s v="Yes"/>
    <m/>
    <s v="Yes"/>
    <m/>
    <s v="N/A"/>
    <m/>
    <s v="Yes"/>
    <m/>
    <s v="Yes"/>
    <m/>
    <s v="New"/>
    <s v="INFASCO"/>
    <s v="N/A"/>
    <n v="97.85"/>
  </r>
  <r>
    <x v="421"/>
    <x v="1"/>
    <x v="108"/>
    <n v="46"/>
    <n v="3500"/>
    <n v="161000"/>
    <m/>
    <m/>
    <m/>
    <m/>
    <m/>
    <m/>
    <m/>
    <m/>
    <m/>
    <m/>
    <m/>
    <m/>
    <m/>
    <m/>
    <m/>
    <m/>
    <s v="INFASCO"/>
    <m/>
    <n v="97.85"/>
  </r>
  <r>
    <x v="421"/>
    <x v="0"/>
    <x v="0"/>
    <n v="36"/>
    <n v="2500"/>
    <n v="90000"/>
    <m/>
    <m/>
    <m/>
    <m/>
    <m/>
    <m/>
    <m/>
    <m/>
    <m/>
    <m/>
    <m/>
    <m/>
    <m/>
    <m/>
    <m/>
    <m/>
    <s v="INFASCO"/>
    <m/>
    <n v="97.85"/>
  </r>
  <r>
    <x v="421"/>
    <x v="12"/>
    <x v="157"/>
    <n v="36"/>
    <n v="2300"/>
    <n v="82800"/>
    <m/>
    <m/>
    <m/>
    <m/>
    <m/>
    <m/>
    <m/>
    <m/>
    <m/>
    <m/>
    <m/>
    <m/>
    <m/>
    <m/>
    <m/>
    <m/>
    <s v="INFASCO"/>
    <m/>
    <n v="97.85"/>
  </r>
  <r>
    <x v="421"/>
    <x v="0"/>
    <x v="0"/>
    <n v="33"/>
    <n v="2500"/>
    <n v="82500"/>
    <m/>
    <m/>
    <m/>
    <m/>
    <m/>
    <m/>
    <m/>
    <m/>
    <m/>
    <m/>
    <m/>
    <m/>
    <m/>
    <m/>
    <m/>
    <m/>
    <s v="INFASCO"/>
    <m/>
    <n v="97.85"/>
  </r>
  <r>
    <x v="421"/>
    <x v="5"/>
    <x v="2"/>
    <n v="30"/>
    <n v="2700"/>
    <n v="81000"/>
    <m/>
    <m/>
    <m/>
    <m/>
    <m/>
    <m/>
    <m/>
    <m/>
    <m/>
    <m/>
    <m/>
    <m/>
    <m/>
    <m/>
    <m/>
    <m/>
    <s v="INFASCO"/>
    <m/>
    <n v="97.85"/>
  </r>
  <r>
    <x v="421"/>
    <x v="5"/>
    <x v="2"/>
    <n v="25"/>
    <n v="2700"/>
    <n v="67500"/>
    <m/>
    <m/>
    <m/>
    <m/>
    <m/>
    <m/>
    <m/>
    <m/>
    <m/>
    <m/>
    <m/>
    <m/>
    <m/>
    <m/>
    <m/>
    <m/>
    <s v="INFASCO"/>
    <m/>
    <n v="97.85"/>
  </r>
  <r>
    <x v="421"/>
    <x v="15"/>
    <x v="2"/>
    <n v="25"/>
    <n v="2700"/>
    <n v="67500"/>
    <m/>
    <m/>
    <m/>
    <m/>
    <m/>
    <m/>
    <m/>
    <m/>
    <m/>
    <m/>
    <m/>
    <m/>
    <m/>
    <m/>
    <m/>
    <m/>
    <s v="INFASCO"/>
    <m/>
    <n v="97.85"/>
  </r>
  <r>
    <x v="421"/>
    <x v="18"/>
    <x v="46"/>
    <n v="28"/>
    <n v="2150"/>
    <n v="60200"/>
    <m/>
    <m/>
    <m/>
    <m/>
    <m/>
    <m/>
    <m/>
    <m/>
    <m/>
    <m/>
    <m/>
    <m/>
    <m/>
    <m/>
    <m/>
    <m/>
    <s v="INFASCO"/>
    <m/>
    <n v="97.85"/>
  </r>
  <r>
    <x v="421"/>
    <x v="11"/>
    <x v="87"/>
    <n v="36"/>
    <n v="1250"/>
    <n v="45000"/>
    <m/>
    <m/>
    <m/>
    <m/>
    <m/>
    <m/>
    <m/>
    <m/>
    <m/>
    <m/>
    <m/>
    <m/>
    <m/>
    <m/>
    <m/>
    <m/>
    <s v="INFASCO"/>
    <m/>
    <n v="97.85"/>
  </r>
  <r>
    <x v="421"/>
    <x v="17"/>
    <x v="136"/>
    <n v="34"/>
    <n v="1300"/>
    <n v="44200"/>
    <m/>
    <m/>
    <m/>
    <m/>
    <m/>
    <m/>
    <m/>
    <m/>
    <m/>
    <m/>
    <m/>
    <m/>
    <m/>
    <m/>
    <m/>
    <m/>
    <s v="INFASCO"/>
    <m/>
    <n v="41"/>
  </r>
  <r>
    <x v="421"/>
    <x v="17"/>
    <x v="136"/>
    <n v="31"/>
    <n v="1300"/>
    <n v="40300"/>
    <n v="156"/>
    <s v="Yes"/>
    <m/>
    <s v="Yes"/>
    <m/>
    <s v="Yes"/>
    <m/>
    <s v="Yes"/>
    <m/>
    <s v="N/A"/>
    <m/>
    <s v="Yes"/>
    <m/>
    <s v="Yes"/>
    <m/>
    <s v="New"/>
    <s v="INFASCO"/>
    <n v="41"/>
    <n v="41"/>
  </r>
  <r>
    <x v="421"/>
    <x v="11"/>
    <x v="87"/>
    <n v="32"/>
    <n v="1250"/>
    <n v="40000"/>
    <m/>
    <m/>
    <m/>
    <m/>
    <m/>
    <m/>
    <m/>
    <m/>
    <m/>
    <m/>
    <m/>
    <m/>
    <m/>
    <m/>
    <m/>
    <m/>
    <s v="INFASCO"/>
    <m/>
    <n v="97.85"/>
  </r>
  <r>
    <x v="421"/>
    <x v="14"/>
    <x v="7"/>
    <n v="37"/>
    <n v="700"/>
    <n v="25900"/>
    <m/>
    <m/>
    <m/>
    <m/>
    <m/>
    <m/>
    <m/>
    <m/>
    <m/>
    <m/>
    <m/>
    <m/>
    <m/>
    <m/>
    <m/>
    <m/>
    <s v="INFASCO"/>
    <m/>
    <n v="97.85"/>
  </r>
  <r>
    <x v="421"/>
    <x v="14"/>
    <x v="7"/>
    <n v="36"/>
    <n v="700"/>
    <n v="25200"/>
    <m/>
    <m/>
    <m/>
    <m/>
    <m/>
    <m/>
    <m/>
    <m/>
    <m/>
    <m/>
    <m/>
    <m/>
    <m/>
    <m/>
    <m/>
    <m/>
    <s v="INFASCO"/>
    <m/>
    <n v="97.85"/>
  </r>
  <r>
    <x v="421"/>
    <x v="13"/>
    <x v="7"/>
    <n v="36"/>
    <n v="700"/>
    <n v="25200"/>
    <m/>
    <m/>
    <m/>
    <m/>
    <m/>
    <m/>
    <m/>
    <m/>
    <m/>
    <m/>
    <m/>
    <m/>
    <m/>
    <m/>
    <m/>
    <m/>
    <s v="INFASCO"/>
    <m/>
    <n v="97.85"/>
  </r>
  <r>
    <x v="421"/>
    <x v="3"/>
    <x v="10"/>
    <n v="36"/>
    <n v="450"/>
    <n v="16200"/>
    <m/>
    <m/>
    <m/>
    <m/>
    <m/>
    <m/>
    <m/>
    <m/>
    <m/>
    <m/>
    <m/>
    <m/>
    <m/>
    <m/>
    <m/>
    <m/>
    <s v="INFASCO"/>
    <m/>
    <n v="97.85"/>
  </r>
  <r>
    <x v="421"/>
    <x v="3"/>
    <x v="10"/>
    <n v="36"/>
    <n v="450"/>
    <n v="16200"/>
    <m/>
    <m/>
    <m/>
    <m/>
    <m/>
    <m/>
    <m/>
    <m/>
    <m/>
    <m/>
    <m/>
    <m/>
    <m/>
    <m/>
    <m/>
    <m/>
    <s v="INFASCO"/>
    <m/>
    <n v="97.85"/>
  </r>
  <r>
    <x v="421"/>
    <x v="12"/>
    <x v="10"/>
    <n v="36"/>
    <n v="450"/>
    <n v="16200"/>
    <m/>
    <m/>
    <m/>
    <m/>
    <m/>
    <m/>
    <m/>
    <m/>
    <m/>
    <m/>
    <m/>
    <m/>
    <m/>
    <m/>
    <m/>
    <m/>
    <s v="INFASCO"/>
    <m/>
    <n v="97.85"/>
  </r>
  <r>
    <x v="421"/>
    <x v="8"/>
    <x v="11"/>
    <n v="36"/>
    <n v="280"/>
    <n v="10080"/>
    <m/>
    <m/>
    <m/>
    <m/>
    <m/>
    <m/>
    <m/>
    <m/>
    <m/>
    <m/>
    <m/>
    <m/>
    <m/>
    <m/>
    <m/>
    <m/>
    <s v="INFASCO"/>
    <m/>
    <n v="97.85"/>
  </r>
  <r>
    <x v="421"/>
    <x v="8"/>
    <x v="11"/>
    <n v="36"/>
    <n v="280"/>
    <n v="10080"/>
    <m/>
    <m/>
    <m/>
    <m/>
    <m/>
    <m/>
    <m/>
    <m/>
    <m/>
    <m/>
    <m/>
    <m/>
    <m/>
    <m/>
    <m/>
    <m/>
    <s v="INFASCO"/>
    <m/>
    <n v="97.85"/>
  </r>
  <r>
    <x v="421"/>
    <x v="8"/>
    <x v="11"/>
    <n v="34"/>
    <n v="280"/>
    <n v="9520"/>
    <m/>
    <m/>
    <m/>
    <m/>
    <m/>
    <m/>
    <m/>
    <m/>
    <m/>
    <m/>
    <m/>
    <m/>
    <m/>
    <m/>
    <m/>
    <m/>
    <s v="INFASCO"/>
    <m/>
    <n v="97.85"/>
  </r>
  <r>
    <x v="421"/>
    <x v="8"/>
    <x v="67"/>
    <n v="36"/>
    <n v="180"/>
    <n v="6480"/>
    <m/>
    <m/>
    <m/>
    <m/>
    <m/>
    <m/>
    <m/>
    <m/>
    <m/>
    <m/>
    <m/>
    <m/>
    <m/>
    <m/>
    <m/>
    <m/>
    <s v="INFASCO"/>
    <m/>
    <n v="97.85"/>
  </r>
  <r>
    <x v="421"/>
    <x v="8"/>
    <x v="14"/>
    <n v="36"/>
    <n v="175"/>
    <n v="6300"/>
    <m/>
    <m/>
    <m/>
    <m/>
    <m/>
    <m/>
    <m/>
    <m/>
    <m/>
    <m/>
    <m/>
    <m/>
    <m/>
    <m/>
    <m/>
    <m/>
    <s v="INFASCO"/>
    <m/>
    <n v="97.85"/>
  </r>
  <r>
    <x v="421"/>
    <x v="8"/>
    <x v="14"/>
    <n v="35"/>
    <n v="175"/>
    <n v="6125"/>
    <m/>
    <m/>
    <m/>
    <m/>
    <m/>
    <m/>
    <m/>
    <m/>
    <m/>
    <m/>
    <m/>
    <m/>
    <m/>
    <m/>
    <m/>
    <m/>
    <s v="INFASCO"/>
    <m/>
    <n v="97.85"/>
  </r>
  <r>
    <x v="421"/>
    <x v="8"/>
    <x v="44"/>
    <n v="27"/>
    <n v="100"/>
    <n v="2700"/>
    <m/>
    <m/>
    <m/>
    <m/>
    <m/>
    <m/>
    <m/>
    <m/>
    <m/>
    <m/>
    <m/>
    <m/>
    <m/>
    <m/>
    <m/>
    <m/>
    <s v="INFASCO"/>
    <m/>
    <n v="51"/>
  </r>
  <r>
    <x v="421"/>
    <x v="8"/>
    <x v="44"/>
    <n v="16"/>
    <n v="100"/>
    <n v="1600"/>
    <m/>
    <m/>
    <m/>
    <m/>
    <m/>
    <m/>
    <m/>
    <m/>
    <m/>
    <m/>
    <m/>
    <m/>
    <m/>
    <m/>
    <m/>
    <m/>
    <s v="INFASCO"/>
    <m/>
    <n v="51"/>
  </r>
  <r>
    <x v="422"/>
    <x v="8"/>
    <x v="36"/>
    <n v="33"/>
    <n v="4000"/>
    <n v="132000"/>
    <s v="011+298"/>
    <s v="Yes"/>
    <m/>
    <s v="Yes"/>
    <m/>
    <s v="Yes"/>
    <m/>
    <s v="Yes"/>
    <m/>
    <s v="N/A"/>
    <m/>
    <s v="Yes"/>
    <m/>
    <s v="Yes"/>
    <m/>
    <s v="New"/>
    <s v="INFASCO"/>
    <n v="120"/>
    <n v="123.6"/>
  </r>
  <r>
    <x v="423"/>
    <x v="8"/>
    <x v="44"/>
    <n v="27"/>
    <n v="100"/>
    <n v="2700"/>
    <s v="011+298"/>
    <s v="Yes"/>
    <m/>
    <s v="Yes"/>
    <m/>
    <s v="Yes"/>
    <m/>
    <s v="Yes"/>
    <m/>
    <s v="N/A"/>
    <m/>
    <s v="Yes"/>
    <m/>
    <s v="Yes"/>
    <m/>
    <s v="New"/>
    <s v="INFASCO"/>
    <n v="120"/>
    <n v="51"/>
  </r>
  <r>
    <x v="424"/>
    <x v="8"/>
    <x v="44"/>
    <n v="30"/>
    <n v="100"/>
    <n v="3000"/>
    <s v="011+298"/>
    <s v="Yes"/>
    <m/>
    <s v="Yes"/>
    <m/>
    <s v="Yes"/>
    <m/>
    <s v="Yes"/>
    <m/>
    <s v="N/A"/>
    <m/>
    <s v="Yes"/>
    <m/>
    <s v="Yes"/>
    <m/>
    <s v="New"/>
    <s v="INFASCO"/>
    <n v="120"/>
    <n v="51"/>
  </r>
  <r>
    <x v="425"/>
    <x v="10"/>
    <x v="44"/>
    <n v="23"/>
    <n v="100"/>
    <n v="2300"/>
    <s v="157+179"/>
    <s v="Yes"/>
    <m/>
    <s v="Yes"/>
    <m/>
    <s v="Yes"/>
    <m/>
    <s v="Yes"/>
    <m/>
    <s v="N/A"/>
    <m/>
    <s v="Yes"/>
    <m/>
    <s v="Yes"/>
    <m/>
    <s v="New"/>
    <s v="INFASCO"/>
    <n v="120"/>
    <n v="51"/>
  </r>
  <r>
    <x v="426"/>
    <x v="10"/>
    <x v="44"/>
    <n v="24"/>
    <n v="100"/>
    <n v="2400"/>
    <s v="157+179"/>
    <s v="Yes"/>
    <m/>
    <s v="Yes"/>
    <m/>
    <s v="Yes"/>
    <m/>
    <s v="Yes"/>
    <m/>
    <s v="N/A"/>
    <m/>
    <s v="Yes"/>
    <m/>
    <s v="Yes"/>
    <m/>
    <s v="New"/>
    <s v="INFASCO"/>
    <n v="120"/>
    <n v="51"/>
  </r>
  <r>
    <x v="427"/>
    <x v="10"/>
    <x v="44"/>
    <n v="25"/>
    <n v="100"/>
    <n v="2500"/>
    <s v="157+179"/>
    <s v="Yes"/>
    <m/>
    <s v="Yes"/>
    <m/>
    <s v="Yes"/>
    <m/>
    <s v="Yes"/>
    <m/>
    <s v="N/A"/>
    <m/>
    <s v="Yes"/>
    <m/>
    <s v="Yes"/>
    <m/>
    <s v="New"/>
    <s v="INFASCO"/>
    <n v="120"/>
    <n v="51"/>
  </r>
  <r>
    <x v="428"/>
    <x v="10"/>
    <x v="36"/>
    <n v="32"/>
    <n v="4000"/>
    <n v="128000"/>
    <s v="157+179"/>
    <s v="Yes"/>
    <m/>
    <s v="Yes"/>
    <m/>
    <s v="Yes"/>
    <m/>
    <s v="Yes"/>
    <m/>
    <s v="N/A"/>
    <m/>
    <s v="Yes"/>
    <m/>
    <s v="Yes"/>
    <m/>
    <s v="New"/>
    <s v="INFASCO"/>
    <n v="120"/>
    <n v="123.6"/>
  </r>
  <r>
    <x v="429"/>
    <x v="10"/>
    <x v="36"/>
    <n v="23"/>
    <n v="4000"/>
    <n v="92000"/>
    <s v="157+179"/>
    <s v="Yes"/>
    <m/>
    <s v="Yes"/>
    <m/>
    <s v="Yes"/>
    <m/>
    <s v="Yes"/>
    <m/>
    <s v="N/A"/>
    <m/>
    <s v="Yes"/>
    <m/>
    <s v="Yes"/>
    <m/>
    <s v="New"/>
    <s v="INFASCO"/>
    <n v="120"/>
    <n v="123.6"/>
  </r>
  <r>
    <x v="429"/>
    <x v="2"/>
    <x v="71"/>
    <n v="36"/>
    <n v="1500"/>
    <n v="54000"/>
    <m/>
    <m/>
    <m/>
    <m/>
    <m/>
    <m/>
    <m/>
    <m/>
    <m/>
    <m/>
    <m/>
    <m/>
    <m/>
    <m/>
    <m/>
    <m/>
    <s v="INFASCO"/>
    <m/>
    <n v="97.85"/>
  </r>
  <r>
    <x v="429"/>
    <x v="4"/>
    <x v="119"/>
    <n v="36"/>
    <n v="1200"/>
    <n v="43200"/>
    <m/>
    <m/>
    <m/>
    <m/>
    <m/>
    <m/>
    <m/>
    <m/>
    <m/>
    <m/>
    <m/>
    <m/>
    <m/>
    <m/>
    <m/>
    <m/>
    <s v="INFASCO"/>
    <m/>
    <n v="97.85"/>
  </r>
  <r>
    <x v="429"/>
    <x v="16"/>
    <x v="7"/>
    <n v="36"/>
    <n v="700"/>
    <n v="25200"/>
    <m/>
    <m/>
    <m/>
    <m/>
    <m/>
    <m/>
    <m/>
    <m/>
    <m/>
    <m/>
    <m/>
    <m/>
    <m/>
    <m/>
    <m/>
    <m/>
    <s v="INFASCO"/>
    <m/>
    <n v="97.85"/>
  </r>
  <r>
    <x v="429"/>
    <x v="6"/>
    <x v="63"/>
    <n v="36"/>
    <n v="450"/>
    <n v="16200"/>
    <m/>
    <m/>
    <m/>
    <m/>
    <m/>
    <m/>
    <m/>
    <m/>
    <m/>
    <m/>
    <m/>
    <m/>
    <m/>
    <m/>
    <m/>
    <m/>
    <s v="INFASCO"/>
    <m/>
    <n v="97.85"/>
  </r>
  <r>
    <x v="429"/>
    <x v="6"/>
    <x v="63"/>
    <n v="36"/>
    <n v="450"/>
    <n v="16200"/>
    <m/>
    <m/>
    <m/>
    <m/>
    <m/>
    <m/>
    <m/>
    <m/>
    <m/>
    <m/>
    <m/>
    <m/>
    <m/>
    <m/>
    <m/>
    <m/>
    <s v="INFASCO"/>
    <m/>
    <n v="97.85"/>
  </r>
  <r>
    <x v="429"/>
    <x v="6"/>
    <x v="63"/>
    <n v="36"/>
    <n v="450"/>
    <n v="16200"/>
    <m/>
    <m/>
    <m/>
    <m/>
    <m/>
    <m/>
    <m/>
    <m/>
    <m/>
    <m/>
    <m/>
    <m/>
    <m/>
    <m/>
    <m/>
    <m/>
    <s v="INFASCO"/>
    <m/>
    <n v="97.85"/>
  </r>
  <r>
    <x v="429"/>
    <x v="6"/>
    <x v="63"/>
    <n v="27"/>
    <n v="450"/>
    <n v="12150"/>
    <m/>
    <m/>
    <m/>
    <m/>
    <m/>
    <m/>
    <m/>
    <m/>
    <m/>
    <m/>
    <m/>
    <m/>
    <m/>
    <m/>
    <m/>
    <m/>
    <s v="INFASCO"/>
    <m/>
    <n v="97.85"/>
  </r>
  <r>
    <x v="429"/>
    <x v="16"/>
    <x v="10"/>
    <n v="24"/>
    <n v="450"/>
    <n v="10800"/>
    <m/>
    <m/>
    <m/>
    <m/>
    <m/>
    <m/>
    <m/>
    <m/>
    <m/>
    <m/>
    <m/>
    <m/>
    <m/>
    <m/>
    <m/>
    <m/>
    <s v="INFASCO"/>
    <m/>
    <n v="97.85"/>
  </r>
  <r>
    <x v="429"/>
    <x v="10"/>
    <x v="11"/>
    <n v="36"/>
    <n v="280"/>
    <n v="10080"/>
    <m/>
    <m/>
    <m/>
    <m/>
    <m/>
    <m/>
    <m/>
    <m/>
    <m/>
    <m/>
    <m/>
    <m/>
    <m/>
    <m/>
    <m/>
    <m/>
    <s v="INFASCO"/>
    <m/>
    <n v="97.85"/>
  </r>
  <r>
    <x v="429"/>
    <x v="10"/>
    <x v="11"/>
    <n v="36"/>
    <n v="280"/>
    <n v="10080"/>
    <m/>
    <m/>
    <m/>
    <m/>
    <m/>
    <m/>
    <m/>
    <m/>
    <m/>
    <m/>
    <m/>
    <m/>
    <m/>
    <m/>
    <m/>
    <m/>
    <s v="INFASCO"/>
    <m/>
    <n v="97.85"/>
  </r>
  <r>
    <x v="429"/>
    <x v="10"/>
    <x v="14"/>
    <n v="34"/>
    <n v="175"/>
    <n v="5950"/>
    <m/>
    <m/>
    <m/>
    <m/>
    <m/>
    <m/>
    <m/>
    <m/>
    <m/>
    <m/>
    <m/>
    <m/>
    <m/>
    <m/>
    <m/>
    <m/>
    <s v="INFASCO"/>
    <m/>
    <n v="97.85"/>
  </r>
  <r>
    <x v="429"/>
    <x v="10"/>
    <x v="67"/>
    <n v="36"/>
    <n v="150"/>
    <n v="5400"/>
    <m/>
    <m/>
    <m/>
    <m/>
    <m/>
    <m/>
    <m/>
    <m/>
    <m/>
    <m/>
    <m/>
    <m/>
    <m/>
    <m/>
    <m/>
    <m/>
    <s v="INFASCO"/>
    <m/>
    <n v="97.85"/>
  </r>
  <r>
    <x v="429"/>
    <x v="10"/>
    <x v="44"/>
    <n v="27"/>
    <n v="100"/>
    <n v="2700"/>
    <m/>
    <m/>
    <m/>
    <m/>
    <m/>
    <m/>
    <m/>
    <m/>
    <m/>
    <m/>
    <m/>
    <m/>
    <m/>
    <m/>
    <m/>
    <m/>
    <s v="INFASCO"/>
    <m/>
    <n v="51"/>
  </r>
  <r>
    <x v="429"/>
    <x v="10"/>
    <x v="45"/>
    <n v="1"/>
    <m/>
    <n v="0"/>
    <m/>
    <m/>
    <m/>
    <m/>
    <m/>
    <m/>
    <m/>
    <m/>
    <m/>
    <m/>
    <m/>
    <m/>
    <m/>
    <m/>
    <m/>
    <m/>
    <s v="INFASCO"/>
    <m/>
    <n v="69"/>
  </r>
  <r>
    <x v="429"/>
    <x v="10"/>
    <x v="45"/>
    <n v="1"/>
    <m/>
    <n v="0"/>
    <m/>
    <m/>
    <m/>
    <m/>
    <m/>
    <m/>
    <m/>
    <m/>
    <m/>
    <m/>
    <m/>
    <m/>
    <m/>
    <m/>
    <m/>
    <m/>
    <s v="INFASCO"/>
    <m/>
    <n v="69"/>
  </r>
  <r>
    <x v="430"/>
    <x v="1"/>
    <x v="108"/>
    <n v="36"/>
    <n v="3500"/>
    <n v="126000"/>
    <m/>
    <m/>
    <m/>
    <m/>
    <m/>
    <m/>
    <m/>
    <m/>
    <m/>
    <m/>
    <m/>
    <m/>
    <m/>
    <m/>
    <m/>
    <m/>
    <s v="INFASCO"/>
    <m/>
    <n v="97.85"/>
  </r>
  <r>
    <x v="430"/>
    <x v="2"/>
    <x v="160"/>
    <n v="36"/>
    <n v="3300"/>
    <n v="118800"/>
    <m/>
    <m/>
    <m/>
    <m/>
    <m/>
    <m/>
    <m/>
    <m/>
    <m/>
    <m/>
    <m/>
    <m/>
    <m/>
    <m/>
    <m/>
    <m/>
    <s v="INFASCO"/>
    <m/>
    <n v="97.85"/>
  </r>
  <r>
    <x v="430"/>
    <x v="0"/>
    <x v="0"/>
    <n v="36"/>
    <n v="2500"/>
    <n v="90000"/>
    <m/>
    <m/>
    <m/>
    <m/>
    <m/>
    <m/>
    <m/>
    <m/>
    <m/>
    <m/>
    <m/>
    <m/>
    <m/>
    <m/>
    <m/>
    <m/>
    <s v="INFASCO"/>
    <m/>
    <n v="97.85"/>
  </r>
  <r>
    <x v="430"/>
    <x v="5"/>
    <x v="0"/>
    <n v="36"/>
    <n v="2500"/>
    <n v="90000"/>
    <m/>
    <m/>
    <m/>
    <m/>
    <m/>
    <m/>
    <m/>
    <m/>
    <m/>
    <m/>
    <m/>
    <m/>
    <m/>
    <m/>
    <m/>
    <m/>
    <s v="INFASCO"/>
    <m/>
    <n v="97.85"/>
  </r>
  <r>
    <x v="430"/>
    <x v="15"/>
    <x v="2"/>
    <n v="31"/>
    <n v="2700"/>
    <n v="83700"/>
    <m/>
    <m/>
    <m/>
    <m/>
    <m/>
    <m/>
    <m/>
    <m/>
    <m/>
    <m/>
    <m/>
    <m/>
    <m/>
    <m/>
    <m/>
    <m/>
    <s v="INFASCO"/>
    <m/>
    <n v="97.85"/>
  </r>
  <r>
    <x v="430"/>
    <x v="8"/>
    <x v="50"/>
    <n v="30"/>
    <n v="2500"/>
    <n v="75000"/>
    <m/>
    <m/>
    <m/>
    <m/>
    <m/>
    <m/>
    <m/>
    <m/>
    <m/>
    <m/>
    <m/>
    <m/>
    <m/>
    <m/>
    <m/>
    <m/>
    <s v="INFASCO"/>
    <m/>
    <n v="123.6"/>
  </r>
  <r>
    <x v="430"/>
    <x v="10"/>
    <x v="45"/>
    <n v="1"/>
    <n v="75000"/>
    <n v="75000"/>
    <m/>
    <m/>
    <m/>
    <m/>
    <m/>
    <m/>
    <m/>
    <m/>
    <m/>
    <m/>
    <m/>
    <m/>
    <m/>
    <m/>
    <m/>
    <m/>
    <s v="INFASCO"/>
    <m/>
    <n v="69"/>
  </r>
  <r>
    <x v="430"/>
    <x v="10"/>
    <x v="45"/>
    <n v="1"/>
    <n v="75000"/>
    <n v="75000"/>
    <m/>
    <m/>
    <m/>
    <m/>
    <m/>
    <m/>
    <m/>
    <m/>
    <m/>
    <m/>
    <m/>
    <m/>
    <m/>
    <m/>
    <m/>
    <m/>
    <s v="INFASCO"/>
    <m/>
    <n v="69"/>
  </r>
  <r>
    <x v="430"/>
    <x v="10"/>
    <x v="45"/>
    <n v="1"/>
    <n v="70000"/>
    <n v="70000"/>
    <m/>
    <m/>
    <m/>
    <m/>
    <m/>
    <m/>
    <m/>
    <m/>
    <m/>
    <m/>
    <m/>
    <m/>
    <m/>
    <m/>
    <m/>
    <m/>
    <s v="INFASCO"/>
    <m/>
    <n v="69"/>
  </r>
  <r>
    <x v="430"/>
    <x v="10"/>
    <x v="45"/>
    <n v="1"/>
    <n v="67000"/>
    <n v="67000"/>
    <m/>
    <m/>
    <m/>
    <m/>
    <m/>
    <m/>
    <m/>
    <m/>
    <m/>
    <m/>
    <m/>
    <m/>
    <m/>
    <m/>
    <m/>
    <m/>
    <s v="INFASCO"/>
    <m/>
    <n v="69"/>
  </r>
  <r>
    <x v="430"/>
    <x v="11"/>
    <x v="46"/>
    <n v="30"/>
    <n v="2150"/>
    <n v="64500"/>
    <m/>
    <m/>
    <m/>
    <m/>
    <m/>
    <m/>
    <m/>
    <m/>
    <m/>
    <m/>
    <m/>
    <m/>
    <m/>
    <m/>
    <m/>
    <m/>
    <s v="INFASCO"/>
    <m/>
    <n v="97.85"/>
  </r>
  <r>
    <x v="430"/>
    <x v="11"/>
    <x v="46"/>
    <n v="30"/>
    <n v="2150"/>
    <n v="64500"/>
    <m/>
    <m/>
    <m/>
    <m/>
    <m/>
    <m/>
    <m/>
    <m/>
    <m/>
    <m/>
    <m/>
    <m/>
    <m/>
    <m/>
    <m/>
    <m/>
    <s v="INFASCO"/>
    <m/>
    <n v="97.85"/>
  </r>
  <r>
    <x v="430"/>
    <x v="9"/>
    <x v="0"/>
    <n v="23"/>
    <n v="2500"/>
    <n v="57500"/>
    <m/>
    <m/>
    <m/>
    <m/>
    <m/>
    <m/>
    <m/>
    <m/>
    <m/>
    <m/>
    <m/>
    <m/>
    <m/>
    <m/>
    <m/>
    <m/>
    <s v="INFASCO"/>
    <m/>
    <n v="97.85"/>
  </r>
  <r>
    <x v="430"/>
    <x v="8"/>
    <x v="135"/>
    <n v="36"/>
    <n v="1500"/>
    <n v="54000"/>
    <m/>
    <m/>
    <m/>
    <m/>
    <m/>
    <m/>
    <m/>
    <m/>
    <m/>
    <m/>
    <m/>
    <m/>
    <m/>
    <m/>
    <m/>
    <m/>
    <s v="INFASCO"/>
    <m/>
    <n v="95"/>
  </r>
  <r>
    <x v="430"/>
    <x v="8"/>
    <x v="135"/>
    <n v="30"/>
    <n v="1500"/>
    <n v="45000"/>
    <m/>
    <m/>
    <m/>
    <m/>
    <m/>
    <m/>
    <m/>
    <m/>
    <m/>
    <m/>
    <m/>
    <m/>
    <m/>
    <m/>
    <m/>
    <m/>
    <s v="INFASCO"/>
    <m/>
    <n v="97.85"/>
  </r>
  <r>
    <x v="430"/>
    <x v="8"/>
    <x v="72"/>
    <n v="36"/>
    <n v="1150"/>
    <n v="41400"/>
    <m/>
    <m/>
    <m/>
    <m/>
    <m/>
    <m/>
    <m/>
    <m/>
    <m/>
    <m/>
    <m/>
    <m/>
    <m/>
    <m/>
    <m/>
    <m/>
    <s v="INFASCO"/>
    <m/>
    <n v="97.85"/>
  </r>
  <r>
    <x v="430"/>
    <x v="8"/>
    <x v="72"/>
    <n v="36"/>
    <n v="1150"/>
    <n v="41400"/>
    <m/>
    <m/>
    <m/>
    <m/>
    <m/>
    <m/>
    <m/>
    <m/>
    <m/>
    <m/>
    <m/>
    <m/>
    <m/>
    <m/>
    <m/>
    <m/>
    <s v="INFASCO"/>
    <m/>
    <n v="97.85"/>
  </r>
  <r>
    <x v="430"/>
    <x v="10"/>
    <x v="72"/>
    <n v="32"/>
    <n v="1150"/>
    <n v="36800"/>
    <m/>
    <m/>
    <m/>
    <m/>
    <m/>
    <m/>
    <m/>
    <m/>
    <m/>
    <m/>
    <m/>
    <m/>
    <m/>
    <m/>
    <m/>
    <m/>
    <s v="INFASCO"/>
    <m/>
    <n v="97.85"/>
  </r>
  <r>
    <x v="430"/>
    <x v="4"/>
    <x v="5"/>
    <n v="36"/>
    <n v="1000"/>
    <n v="36000"/>
    <m/>
    <m/>
    <m/>
    <m/>
    <m/>
    <m/>
    <m/>
    <m/>
    <m/>
    <m/>
    <m/>
    <m/>
    <m/>
    <m/>
    <m/>
    <m/>
    <s v="INFASCO"/>
    <m/>
    <n v="97.85"/>
  </r>
  <r>
    <x v="430"/>
    <x v="4"/>
    <x v="5"/>
    <n v="36"/>
    <n v="1000"/>
    <n v="36000"/>
    <m/>
    <m/>
    <m/>
    <m/>
    <m/>
    <m/>
    <m/>
    <m/>
    <m/>
    <m/>
    <m/>
    <m/>
    <m/>
    <m/>
    <m/>
    <m/>
    <s v="INFASCO"/>
    <m/>
    <n v="97.85"/>
  </r>
  <r>
    <x v="430"/>
    <x v="8"/>
    <x v="161"/>
    <n v="36"/>
    <n v="800"/>
    <n v="28800"/>
    <m/>
    <m/>
    <m/>
    <m/>
    <m/>
    <m/>
    <m/>
    <m/>
    <m/>
    <m/>
    <m/>
    <m/>
    <m/>
    <m/>
    <m/>
    <m/>
    <s v="INFASCO"/>
    <m/>
    <n v="97.85"/>
  </r>
  <r>
    <x v="430"/>
    <x v="8"/>
    <x v="72"/>
    <n v="23"/>
    <n v="1150"/>
    <n v="26450"/>
    <m/>
    <m/>
    <m/>
    <m/>
    <m/>
    <m/>
    <m/>
    <m/>
    <m/>
    <m/>
    <m/>
    <m/>
    <m/>
    <m/>
    <m/>
    <m/>
    <s v="INFASCO"/>
    <m/>
    <n v="97.85"/>
  </r>
  <r>
    <x v="430"/>
    <x v="6"/>
    <x v="7"/>
    <n v="36"/>
    <n v="700"/>
    <n v="25200"/>
    <m/>
    <m/>
    <m/>
    <m/>
    <m/>
    <m/>
    <m/>
    <m/>
    <m/>
    <m/>
    <m/>
    <m/>
    <m/>
    <m/>
    <m/>
    <m/>
    <s v="INFASCO"/>
    <m/>
    <n v="97.85"/>
  </r>
  <r>
    <x v="430"/>
    <x v="6"/>
    <x v="7"/>
    <n v="36"/>
    <n v="700"/>
    <n v="25200"/>
    <m/>
    <m/>
    <m/>
    <m/>
    <m/>
    <m/>
    <m/>
    <m/>
    <m/>
    <m/>
    <m/>
    <m/>
    <m/>
    <m/>
    <m/>
    <m/>
    <s v="INFASCO"/>
    <m/>
    <n v="97.85"/>
  </r>
  <r>
    <x v="430"/>
    <x v="6"/>
    <x v="7"/>
    <n v="36"/>
    <n v="700"/>
    <n v="25200"/>
    <m/>
    <m/>
    <m/>
    <m/>
    <m/>
    <m/>
    <m/>
    <m/>
    <m/>
    <m/>
    <m/>
    <m/>
    <m/>
    <m/>
    <m/>
    <m/>
    <s v="INFASCO"/>
    <m/>
    <n v="97.85"/>
  </r>
  <r>
    <x v="430"/>
    <x v="14"/>
    <x v="7"/>
    <n v="36"/>
    <n v="700"/>
    <n v="25200"/>
    <m/>
    <m/>
    <m/>
    <m/>
    <m/>
    <m/>
    <m/>
    <m/>
    <m/>
    <m/>
    <m/>
    <m/>
    <m/>
    <m/>
    <m/>
    <m/>
    <s v="INFASCO"/>
    <m/>
    <n v="97.85"/>
  </r>
  <r>
    <x v="430"/>
    <x v="8"/>
    <x v="161"/>
    <n v="29"/>
    <n v="800"/>
    <n v="23200"/>
    <m/>
    <m/>
    <m/>
    <m/>
    <m/>
    <m/>
    <m/>
    <m/>
    <m/>
    <m/>
    <m/>
    <m/>
    <m/>
    <m/>
    <m/>
    <m/>
    <s v="INFASCO"/>
    <m/>
    <n v="97.85"/>
  </r>
  <r>
    <x v="430"/>
    <x v="8"/>
    <x v="20"/>
    <n v="21"/>
    <n v="1000"/>
    <n v="21000"/>
    <m/>
    <m/>
    <m/>
    <m/>
    <m/>
    <m/>
    <m/>
    <m/>
    <m/>
    <m/>
    <m/>
    <m/>
    <m/>
    <m/>
    <m/>
    <m/>
    <s v="INFASCO"/>
    <m/>
    <n v="123.6"/>
  </r>
  <r>
    <x v="430"/>
    <x v="8"/>
    <x v="20"/>
    <n v="19"/>
    <n v="1000"/>
    <n v="19000"/>
    <m/>
    <m/>
    <m/>
    <m/>
    <m/>
    <m/>
    <m/>
    <m/>
    <m/>
    <m/>
    <m/>
    <m/>
    <m/>
    <m/>
    <m/>
    <m/>
    <s v="INFASCO"/>
    <m/>
    <n v="123.6"/>
  </r>
  <r>
    <x v="430"/>
    <x v="8"/>
    <x v="20"/>
    <n v="18"/>
    <n v="1000"/>
    <n v="18000"/>
    <m/>
    <m/>
    <m/>
    <m/>
    <m/>
    <m/>
    <m/>
    <m/>
    <m/>
    <m/>
    <m/>
    <m/>
    <m/>
    <m/>
    <m/>
    <m/>
    <s v="INFASCO"/>
    <m/>
    <n v="123.6"/>
  </r>
  <r>
    <x v="430"/>
    <x v="10"/>
    <x v="162"/>
    <n v="22"/>
    <n v="800"/>
    <n v="17600"/>
    <m/>
    <m/>
    <m/>
    <m/>
    <m/>
    <m/>
    <m/>
    <m/>
    <m/>
    <m/>
    <m/>
    <m/>
    <m/>
    <m/>
    <m/>
    <m/>
    <s v="INFASCO"/>
    <m/>
    <n v="123.6"/>
  </r>
  <r>
    <x v="430"/>
    <x v="16"/>
    <x v="10"/>
    <n v="36"/>
    <n v="450"/>
    <n v="16200"/>
    <m/>
    <m/>
    <m/>
    <m/>
    <m/>
    <m/>
    <m/>
    <m/>
    <m/>
    <m/>
    <m/>
    <m/>
    <m/>
    <m/>
    <m/>
    <m/>
    <s v="INFASCO"/>
    <m/>
    <n v="97.85"/>
  </r>
  <r>
    <x v="430"/>
    <x v="16"/>
    <x v="10"/>
    <n v="36"/>
    <n v="450"/>
    <n v="16200"/>
    <m/>
    <m/>
    <m/>
    <m/>
    <m/>
    <m/>
    <m/>
    <m/>
    <m/>
    <m/>
    <m/>
    <m/>
    <m/>
    <m/>
    <m/>
    <m/>
    <s v="INFASCO"/>
    <m/>
    <n v="97.85"/>
  </r>
  <r>
    <x v="430"/>
    <x v="6"/>
    <x v="63"/>
    <n v="36"/>
    <n v="450"/>
    <n v="16200"/>
    <m/>
    <m/>
    <m/>
    <m/>
    <m/>
    <m/>
    <m/>
    <m/>
    <m/>
    <m/>
    <m/>
    <m/>
    <m/>
    <m/>
    <m/>
    <m/>
    <s v="INFASCO"/>
    <m/>
    <n v="97.85"/>
  </r>
  <r>
    <x v="430"/>
    <x v="12"/>
    <x v="10"/>
    <n v="36"/>
    <n v="450"/>
    <n v="16200"/>
    <m/>
    <m/>
    <m/>
    <m/>
    <m/>
    <m/>
    <m/>
    <m/>
    <m/>
    <m/>
    <m/>
    <m/>
    <m/>
    <m/>
    <m/>
    <m/>
    <s v="INFASCO"/>
    <m/>
    <n v="97.85"/>
  </r>
  <r>
    <x v="430"/>
    <x v="12"/>
    <x v="10"/>
    <n v="36"/>
    <n v="450"/>
    <n v="16200"/>
    <m/>
    <m/>
    <m/>
    <m/>
    <m/>
    <m/>
    <m/>
    <m/>
    <m/>
    <m/>
    <m/>
    <m/>
    <m/>
    <m/>
    <m/>
    <m/>
    <s v="INFASCO"/>
    <m/>
    <n v="97.85"/>
  </r>
  <r>
    <x v="430"/>
    <x v="3"/>
    <x v="10"/>
    <n v="36"/>
    <n v="450"/>
    <n v="16200"/>
    <m/>
    <m/>
    <m/>
    <m/>
    <m/>
    <m/>
    <m/>
    <m/>
    <m/>
    <m/>
    <m/>
    <m/>
    <m/>
    <m/>
    <m/>
    <m/>
    <s v="INFASCO"/>
    <m/>
    <n v="97.85"/>
  </r>
  <r>
    <x v="430"/>
    <x v="3"/>
    <x v="10"/>
    <n v="34"/>
    <n v="450"/>
    <n v="15300"/>
    <m/>
    <m/>
    <m/>
    <m/>
    <m/>
    <m/>
    <m/>
    <m/>
    <m/>
    <m/>
    <m/>
    <m/>
    <m/>
    <m/>
    <m/>
    <m/>
    <s v="INFASCO"/>
    <m/>
    <n v="97.85"/>
  </r>
  <r>
    <x v="430"/>
    <x v="10"/>
    <x v="73"/>
    <n v="32"/>
    <n v="350"/>
    <n v="11200"/>
    <m/>
    <m/>
    <m/>
    <m/>
    <m/>
    <m/>
    <m/>
    <m/>
    <m/>
    <m/>
    <m/>
    <m/>
    <m/>
    <m/>
    <m/>
    <m/>
    <s v="INFASCO"/>
    <m/>
    <n v="97.85"/>
  </r>
  <r>
    <x v="430"/>
    <x v="10"/>
    <x v="163"/>
    <n v="36"/>
    <n v="250"/>
    <n v="9000"/>
    <m/>
    <m/>
    <m/>
    <m/>
    <m/>
    <m/>
    <m/>
    <m/>
    <m/>
    <m/>
    <m/>
    <m/>
    <m/>
    <m/>
    <m/>
    <m/>
    <e v="#N/A"/>
    <m/>
    <n v="95"/>
  </r>
  <r>
    <x v="430"/>
    <x v="10"/>
    <x v="163"/>
    <n v="36"/>
    <n v="250"/>
    <n v="9000"/>
    <m/>
    <m/>
    <m/>
    <m/>
    <m/>
    <m/>
    <m/>
    <m/>
    <m/>
    <m/>
    <m/>
    <m/>
    <m/>
    <m/>
    <m/>
    <m/>
    <e v="#N/A"/>
    <m/>
    <n v="95"/>
  </r>
  <r>
    <x v="431"/>
    <x v="9"/>
    <x v="0"/>
    <n v="36"/>
    <n v="2500"/>
    <n v="90000"/>
    <m/>
    <m/>
    <m/>
    <m/>
    <m/>
    <m/>
    <m/>
    <m/>
    <m/>
    <m/>
    <m/>
    <m/>
    <m/>
    <m/>
    <m/>
    <m/>
    <s v="INFASCO"/>
    <m/>
    <n v="97.85"/>
  </r>
  <r>
    <x v="431"/>
    <x v="5"/>
    <x v="0"/>
    <n v="36"/>
    <n v="2500"/>
    <n v="90000"/>
    <m/>
    <m/>
    <m/>
    <m/>
    <m/>
    <m/>
    <m/>
    <m/>
    <m/>
    <m/>
    <m/>
    <m/>
    <m/>
    <m/>
    <m/>
    <m/>
    <s v="INFASCO"/>
    <m/>
    <n v="97.85"/>
  </r>
  <r>
    <x v="431"/>
    <x v="5"/>
    <x v="86"/>
    <n v="36"/>
    <n v="2500"/>
    <n v="90000"/>
    <m/>
    <m/>
    <m/>
    <m/>
    <m/>
    <m/>
    <m/>
    <m/>
    <m/>
    <m/>
    <m/>
    <m/>
    <m/>
    <m/>
    <m/>
    <m/>
    <s v="INFASCO"/>
    <m/>
    <n v="97.85"/>
  </r>
  <r>
    <x v="431"/>
    <x v="11"/>
    <x v="46"/>
    <n v="36"/>
    <n v="2150"/>
    <n v="77400"/>
    <m/>
    <m/>
    <m/>
    <m/>
    <m/>
    <m/>
    <m/>
    <m/>
    <m/>
    <m/>
    <m/>
    <m/>
    <m/>
    <m/>
    <m/>
    <m/>
    <s v="INFASCO"/>
    <m/>
    <n v="97.85"/>
  </r>
  <r>
    <x v="431"/>
    <x v="15"/>
    <x v="2"/>
    <n v="25"/>
    <n v="2700"/>
    <n v="67500"/>
    <m/>
    <m/>
    <m/>
    <m/>
    <m/>
    <m/>
    <m/>
    <m/>
    <m/>
    <m/>
    <m/>
    <m/>
    <m/>
    <m/>
    <m/>
    <m/>
    <s v="INFASCO"/>
    <m/>
    <n v="97.85"/>
  </r>
  <r>
    <x v="431"/>
    <x v="11"/>
    <x v="46"/>
    <n v="31"/>
    <n v="2150"/>
    <n v="66650"/>
    <m/>
    <m/>
    <m/>
    <m/>
    <m/>
    <m/>
    <m/>
    <m/>
    <m/>
    <m/>
    <m/>
    <m/>
    <m/>
    <m/>
    <m/>
    <m/>
    <s v="INFASCO"/>
    <m/>
    <n v="97.85"/>
  </r>
  <r>
    <x v="431"/>
    <x v="1"/>
    <x v="108"/>
    <n v="12"/>
    <n v="3500"/>
    <n v="42000"/>
    <m/>
    <m/>
    <m/>
    <m/>
    <m/>
    <m/>
    <m/>
    <m/>
    <m/>
    <m/>
    <m/>
    <m/>
    <m/>
    <m/>
    <m/>
    <m/>
    <s v="INFASCO"/>
    <m/>
    <n v="97.85"/>
  </r>
  <r>
    <x v="431"/>
    <x v="14"/>
    <x v="7"/>
    <n v="36"/>
    <n v="700"/>
    <n v="25200"/>
    <m/>
    <m/>
    <m/>
    <m/>
    <m/>
    <m/>
    <m/>
    <m/>
    <m/>
    <m/>
    <m/>
    <m/>
    <m/>
    <m/>
    <m/>
    <m/>
    <s v="INFASCO"/>
    <m/>
    <n v="97.85"/>
  </r>
  <r>
    <x v="431"/>
    <x v="3"/>
    <x v="10"/>
    <n v="36"/>
    <n v="450"/>
    <n v="16200"/>
    <m/>
    <m/>
    <m/>
    <m/>
    <m/>
    <m/>
    <m/>
    <m/>
    <m/>
    <m/>
    <m/>
    <m/>
    <m/>
    <m/>
    <m/>
    <m/>
    <s v="INFASCO"/>
    <m/>
    <n v="97.85"/>
  </r>
  <r>
    <x v="431"/>
    <x v="26"/>
    <x v="10"/>
    <n v="36"/>
    <n v="450"/>
    <n v="16200"/>
    <m/>
    <m/>
    <m/>
    <m/>
    <m/>
    <m/>
    <m/>
    <m/>
    <m/>
    <m/>
    <m/>
    <m/>
    <m/>
    <m/>
    <m/>
    <m/>
    <s v="INFASCO"/>
    <m/>
    <n v="97.85"/>
  </r>
  <r>
    <x v="431"/>
    <x v="12"/>
    <x v="10"/>
    <n v="36"/>
    <n v="450"/>
    <n v="16200"/>
    <m/>
    <m/>
    <m/>
    <m/>
    <m/>
    <m/>
    <m/>
    <m/>
    <m/>
    <m/>
    <m/>
    <m/>
    <m/>
    <m/>
    <m/>
    <m/>
    <s v="INFASCO"/>
    <m/>
    <n v="97.85"/>
  </r>
  <r>
    <x v="431"/>
    <x v="14"/>
    <x v="7"/>
    <n v="20"/>
    <n v="700"/>
    <n v="14000"/>
    <m/>
    <m/>
    <m/>
    <m/>
    <m/>
    <m/>
    <m/>
    <m/>
    <m/>
    <m/>
    <m/>
    <m/>
    <m/>
    <m/>
    <m/>
    <m/>
    <s v="INFASCO"/>
    <m/>
    <n v="97.85"/>
  </r>
  <r>
    <x v="431"/>
    <x v="12"/>
    <x v="10"/>
    <n v="30"/>
    <n v="450"/>
    <n v="13500"/>
    <m/>
    <m/>
    <m/>
    <m/>
    <m/>
    <m/>
    <m/>
    <m/>
    <m/>
    <m/>
    <m/>
    <m/>
    <m/>
    <m/>
    <m/>
    <m/>
    <s v="INFASCO"/>
    <m/>
    <n v="97.85"/>
  </r>
  <r>
    <x v="431"/>
    <x v="3"/>
    <x v="10"/>
    <n v="26"/>
    <n v="450"/>
    <n v="11700"/>
    <m/>
    <m/>
    <m/>
    <m/>
    <m/>
    <m/>
    <m/>
    <m/>
    <m/>
    <m/>
    <m/>
    <m/>
    <m/>
    <m/>
    <m/>
    <m/>
    <s v="INFASCO"/>
    <m/>
    <n v="97.85"/>
  </r>
  <r>
    <x v="432"/>
    <x v="8"/>
    <x v="73"/>
    <n v="36"/>
    <n v="350"/>
    <n v="12600"/>
    <s v="011+298"/>
    <s v="Yes"/>
    <m/>
    <s v="Yes"/>
    <m/>
    <s v="Yes"/>
    <m/>
    <s v="Yes"/>
    <m/>
    <s v="N/A"/>
    <m/>
    <s v="Yes"/>
    <m/>
    <s v="Yes"/>
    <m/>
    <s v="New"/>
    <s v="INFASCO"/>
    <n v="95"/>
    <n v="97.85"/>
  </r>
  <r>
    <x v="433"/>
    <x v="8"/>
    <x v="73"/>
    <n v="26"/>
    <n v="350"/>
    <n v="9100"/>
    <s v="011+298"/>
    <s v="Yes"/>
    <m/>
    <s v="Yes"/>
    <m/>
    <s v="Yes"/>
    <m/>
    <s v="Yes"/>
    <m/>
    <s v="N/A"/>
    <m/>
    <s v="Yes"/>
    <m/>
    <s v="Yes"/>
    <m/>
    <s v="New"/>
    <s v="INFASCO"/>
    <n v="95"/>
    <n v="97.85"/>
  </r>
  <r>
    <x v="434"/>
    <x v="10"/>
    <x v="73"/>
    <n v="43"/>
    <n v="350"/>
    <n v="15050"/>
    <s v="157+179"/>
    <s v="Yes"/>
    <m/>
    <s v="Yes"/>
    <m/>
    <s v="Yes"/>
    <m/>
    <s v="Yes"/>
    <m/>
    <s v="N/A"/>
    <m/>
    <s v="Yes"/>
    <m/>
    <s v="Yes"/>
    <m/>
    <s v="New"/>
    <s v="INFASCO"/>
    <n v="95"/>
    <n v="97.85"/>
  </r>
  <r>
    <x v="435"/>
    <x v="10"/>
    <x v="73"/>
    <n v="33"/>
    <n v="350"/>
    <n v="11550"/>
    <s v="157+179"/>
    <s v="Yes"/>
    <m/>
    <s v="Yes"/>
    <m/>
    <s v="Yes"/>
    <m/>
    <s v="Yes"/>
    <m/>
    <s v="N/A"/>
    <m/>
    <s v="Yes"/>
    <m/>
    <s v="Yes"/>
    <m/>
    <s v="New"/>
    <s v="INFASCO"/>
    <n v="95"/>
    <n v="97.85"/>
  </r>
  <r>
    <x v="436"/>
    <x v="8"/>
    <x v="73"/>
    <n v="36"/>
    <n v="350"/>
    <n v="12600"/>
    <s v="011+298"/>
    <s v="Yes"/>
    <m/>
    <s v="Yes"/>
    <m/>
    <s v="Yes"/>
    <m/>
    <s v="Yes"/>
    <m/>
    <s v="N/A"/>
    <m/>
    <s v="Yes"/>
    <m/>
    <s v="Yes"/>
    <m/>
    <s v="New"/>
    <s v="INFASCO"/>
    <n v="95"/>
    <n v="97.85"/>
  </r>
  <r>
    <x v="437"/>
    <x v="8"/>
    <x v="73"/>
    <n v="33"/>
    <n v="350"/>
    <n v="11550"/>
    <s v="011+298"/>
    <s v="Yes"/>
    <m/>
    <s v="Yes"/>
    <m/>
    <s v="Yes"/>
    <m/>
    <s v="Yes"/>
    <m/>
    <s v="N/A"/>
    <m/>
    <s v="Yes"/>
    <m/>
    <s v="Yes"/>
    <m/>
    <s v="New"/>
    <s v="INFASCO"/>
    <n v="95"/>
    <n v="97.85"/>
  </r>
  <r>
    <x v="438"/>
    <x v="10"/>
    <x v="73"/>
    <n v="41"/>
    <n v="350"/>
    <n v="14350"/>
    <s v="157+179"/>
    <s v="Yes"/>
    <m/>
    <s v="Yes"/>
    <m/>
    <s v="Yes"/>
    <m/>
    <s v="Yes"/>
    <m/>
    <s v="N/A"/>
    <m/>
    <s v="Yes"/>
    <m/>
    <s v="Yes"/>
    <m/>
    <s v="New"/>
    <s v="INFASCO"/>
    <n v="95"/>
    <n v="97.85"/>
  </r>
  <r>
    <x v="439"/>
    <x v="10"/>
    <x v="73"/>
    <n v="27"/>
    <n v="350"/>
    <n v="9450"/>
    <s v="157+179"/>
    <s v="Yes"/>
    <m/>
    <s v="Yes"/>
    <m/>
    <s v="Yes"/>
    <m/>
    <s v="Yes"/>
    <m/>
    <s v="N/A"/>
    <m/>
    <s v="Yes"/>
    <m/>
    <s v="Yes"/>
    <m/>
    <s v="New"/>
    <s v="INFASCO"/>
    <n v="95"/>
    <n v="97.85"/>
  </r>
  <r>
    <x v="440"/>
    <x v="2"/>
    <x v="160"/>
    <n v="36"/>
    <n v="3300"/>
    <n v="118800"/>
    <m/>
    <m/>
    <m/>
    <m/>
    <m/>
    <m/>
    <m/>
    <m/>
    <m/>
    <m/>
    <m/>
    <m/>
    <m/>
    <m/>
    <m/>
    <m/>
    <s v="INFASCO"/>
    <m/>
    <n v="97.85"/>
  </r>
  <r>
    <x v="440"/>
    <x v="4"/>
    <x v="5"/>
    <n v="36"/>
    <n v="1000"/>
    <n v="36000"/>
    <m/>
    <m/>
    <m/>
    <m/>
    <m/>
    <m/>
    <m/>
    <m/>
    <m/>
    <m/>
    <m/>
    <m/>
    <m/>
    <m/>
    <m/>
    <m/>
    <s v="INFASCO"/>
    <m/>
    <n v="97.85"/>
  </r>
  <r>
    <x v="440"/>
    <x v="4"/>
    <x v="5"/>
    <n v="36"/>
    <n v="1000"/>
    <n v="36000"/>
    <m/>
    <m/>
    <m/>
    <m/>
    <m/>
    <m/>
    <m/>
    <m/>
    <m/>
    <m/>
    <m/>
    <m/>
    <m/>
    <m/>
    <m/>
    <m/>
    <s v="INFASCO"/>
    <m/>
    <n v="97.85"/>
  </r>
  <r>
    <x v="440"/>
    <x v="6"/>
    <x v="7"/>
    <n v="36"/>
    <n v="700"/>
    <n v="25200"/>
    <m/>
    <m/>
    <m/>
    <m/>
    <m/>
    <m/>
    <m/>
    <m/>
    <m/>
    <m/>
    <m/>
    <m/>
    <m/>
    <m/>
    <m/>
    <m/>
    <s v="INFASCO"/>
    <m/>
    <n v="97.85"/>
  </r>
  <r>
    <x v="440"/>
    <x v="6"/>
    <x v="7"/>
    <n v="36"/>
    <n v="700"/>
    <n v="25200"/>
    <m/>
    <m/>
    <m/>
    <m/>
    <m/>
    <m/>
    <m/>
    <m/>
    <m/>
    <m/>
    <m/>
    <m/>
    <m/>
    <m/>
    <m/>
    <m/>
    <s v="INFASCO"/>
    <m/>
    <n v="97.85"/>
  </r>
  <r>
    <x v="440"/>
    <x v="16"/>
    <x v="10"/>
    <n v="36"/>
    <n v="450"/>
    <n v="16200"/>
    <m/>
    <m/>
    <m/>
    <m/>
    <m/>
    <m/>
    <m/>
    <m/>
    <m/>
    <m/>
    <m/>
    <m/>
    <m/>
    <m/>
    <m/>
    <m/>
    <s v="INFASCO"/>
    <m/>
    <n v="97.85"/>
  </r>
  <r>
    <x v="440"/>
    <x v="16"/>
    <x v="10"/>
    <n v="36"/>
    <n v="450"/>
    <n v="16200"/>
    <m/>
    <m/>
    <m/>
    <m/>
    <m/>
    <m/>
    <m/>
    <m/>
    <m/>
    <m/>
    <m/>
    <m/>
    <m/>
    <m/>
    <m/>
    <m/>
    <s v="INFASCO"/>
    <m/>
    <n v="97.85"/>
  </r>
  <r>
    <x v="440"/>
    <x v="6"/>
    <x v="10"/>
    <n v="36"/>
    <n v="450"/>
    <n v="16200"/>
    <m/>
    <m/>
    <m/>
    <m/>
    <m/>
    <m/>
    <m/>
    <m/>
    <m/>
    <m/>
    <m/>
    <m/>
    <m/>
    <m/>
    <m/>
    <m/>
    <s v="INFASCO"/>
    <m/>
    <n v="97.85"/>
  </r>
  <r>
    <x v="440"/>
    <x v="7"/>
    <x v="7"/>
    <n v="22"/>
    <n v="700"/>
    <n v="15400"/>
    <m/>
    <m/>
    <m/>
    <m/>
    <m/>
    <m/>
    <m/>
    <m/>
    <m/>
    <m/>
    <m/>
    <m/>
    <m/>
    <m/>
    <m/>
    <m/>
    <s v="INFASCO"/>
    <m/>
    <n v="97.85"/>
  </r>
  <r>
    <x v="440"/>
    <x v="7"/>
    <x v="7"/>
    <n v="16"/>
    <n v="700"/>
    <n v="11200"/>
    <m/>
    <m/>
    <m/>
    <m/>
    <m/>
    <m/>
    <m/>
    <m/>
    <m/>
    <m/>
    <m/>
    <m/>
    <m/>
    <m/>
    <m/>
    <m/>
    <s v="INFASCO"/>
    <m/>
    <n v="97.85"/>
  </r>
  <r>
    <x v="440"/>
    <x v="17"/>
    <x v="104"/>
    <n v="16"/>
    <n v="550"/>
    <n v="8800"/>
    <s v="156+327"/>
    <s v="Yes"/>
    <m/>
    <s v="Yes"/>
    <m/>
    <s v="Yes"/>
    <m/>
    <s v="Yes"/>
    <m/>
    <s v="N/A"/>
    <m/>
    <s v="Yes"/>
    <m/>
    <s v="Yes"/>
    <m/>
    <s v="Re-certified"/>
    <s v="INFASCO"/>
    <n v="120"/>
    <n v="240"/>
  </r>
  <r>
    <x v="440"/>
    <x v="17"/>
    <x v="104"/>
    <n v="13"/>
    <n v="550"/>
    <n v="7150"/>
    <m/>
    <m/>
    <m/>
    <m/>
    <m/>
    <m/>
    <m/>
    <m/>
    <m/>
    <m/>
    <m/>
    <m/>
    <m/>
    <m/>
    <m/>
    <m/>
    <s v="INFASCO"/>
    <m/>
    <n v="240"/>
  </r>
  <r>
    <x v="441"/>
    <x v="10"/>
    <x v="95"/>
    <n v="36"/>
    <n v="100"/>
    <n v="3600"/>
    <s v="157+179"/>
    <s v="Yes"/>
    <m/>
    <s v="Yes"/>
    <m/>
    <s v="Yes"/>
    <m/>
    <s v="Yes"/>
    <m/>
    <s v="N/A"/>
    <m/>
    <s v="Yes"/>
    <m/>
    <s v="Yes"/>
    <m/>
    <s v="New"/>
    <s v="INFASCO"/>
    <n v="120"/>
    <n v="123.6"/>
  </r>
  <r>
    <x v="442"/>
    <x v="10"/>
    <x v="95"/>
    <n v="23"/>
    <n v="100"/>
    <n v="2300"/>
    <s v="157+179"/>
    <s v="Yes"/>
    <m/>
    <s v="Yes"/>
    <m/>
    <s v="Yes"/>
    <m/>
    <s v="Yes"/>
    <m/>
    <s v="N/A"/>
    <m/>
    <s v="Yes"/>
    <m/>
    <s v="Yes"/>
    <m/>
    <s v="New"/>
    <s v="INFASCO"/>
    <n v="120"/>
    <n v="123.6"/>
  </r>
  <r>
    <x v="443"/>
    <x v="8"/>
    <x v="18"/>
    <n v="36"/>
    <n v="1200"/>
    <n v="43200"/>
    <m/>
    <m/>
    <m/>
    <m/>
    <m/>
    <m/>
    <m/>
    <m/>
    <m/>
    <m/>
    <m/>
    <m/>
    <m/>
    <m/>
    <m/>
    <m/>
    <s v="INFASCO"/>
    <m/>
    <n v="97.85"/>
  </r>
  <r>
    <x v="443"/>
    <x v="8"/>
    <x v="73"/>
    <n v="36"/>
    <n v="350"/>
    <n v="12600"/>
    <s v="011+298"/>
    <s v="Yes"/>
    <m/>
    <s v="Yes"/>
    <m/>
    <s v="Yes"/>
    <m/>
    <s v="Yes"/>
    <m/>
    <s v="N/A"/>
    <m/>
    <s v="Yes"/>
    <m/>
    <s v="Yes"/>
    <m/>
    <s v="New"/>
    <s v="INFASCO"/>
    <n v="95"/>
    <n v="97.85"/>
  </r>
  <r>
    <x v="444"/>
    <x v="8"/>
    <x v="55"/>
    <n v="36"/>
    <n v="400"/>
    <n v="14400"/>
    <s v="011+298"/>
    <s v="Yes"/>
    <m/>
    <s v="Yes"/>
    <m/>
    <s v="Yes"/>
    <m/>
    <s v="Yes"/>
    <m/>
    <s v="N/A"/>
    <m/>
    <s v="Yes"/>
    <m/>
    <s v="Yes"/>
    <m/>
    <s v="New"/>
    <s v="INFASCO"/>
    <n v="95"/>
    <n v="97.85"/>
  </r>
  <r>
    <x v="445"/>
    <x v="8"/>
    <x v="55"/>
    <n v="36"/>
    <n v="400"/>
    <n v="14400"/>
    <s v="011+298"/>
    <s v="Yes"/>
    <m/>
    <s v="Yes"/>
    <m/>
    <s v="Yes"/>
    <m/>
    <s v="Yes"/>
    <m/>
    <s v="N/A"/>
    <m/>
    <s v="Yes"/>
    <m/>
    <s v="Yes"/>
    <m/>
    <s v="New"/>
    <s v="INFASCO"/>
    <n v="95"/>
    <n v="97.85"/>
  </r>
  <r>
    <x v="446"/>
    <x v="10"/>
    <x v="55"/>
    <n v="36"/>
    <n v="400"/>
    <n v="14400"/>
    <s v="157+179"/>
    <s v="Yes"/>
    <m/>
    <s v="Yes"/>
    <m/>
    <s v="Yes"/>
    <m/>
    <s v="Yes"/>
    <m/>
    <s v="N/A"/>
    <m/>
    <s v="Yes"/>
    <m/>
    <s v="Yes"/>
    <m/>
    <s v="New"/>
    <s v="INFASCO"/>
    <n v="95"/>
    <n v="97.85"/>
  </r>
  <r>
    <x v="447"/>
    <x v="10"/>
    <x v="55"/>
    <n v="36"/>
    <n v="400"/>
    <n v="14400"/>
    <s v="157+179"/>
    <s v="Yes"/>
    <m/>
    <s v="Yes"/>
    <m/>
    <s v="Yes"/>
    <m/>
    <s v="Yes"/>
    <m/>
    <s v="N/A"/>
    <m/>
    <s v="Yes"/>
    <m/>
    <s v="Yes"/>
    <m/>
    <s v="New"/>
    <s v="INFASCO"/>
    <n v="95"/>
    <n v="97.85"/>
  </r>
  <r>
    <x v="448"/>
    <x v="8"/>
    <x v="55"/>
    <n v="48"/>
    <n v="400"/>
    <n v="19200"/>
    <s v="011+298"/>
    <s v="Yes"/>
    <m/>
    <s v="Yes"/>
    <m/>
    <s v="Yes"/>
    <m/>
    <s v="Yes"/>
    <m/>
    <s v="N/A"/>
    <m/>
    <s v="Yes"/>
    <m/>
    <s v="Yes"/>
    <m/>
    <s v="New"/>
    <s v="INFASCO"/>
    <n v="95"/>
    <n v="97.85"/>
  </r>
  <r>
    <x v="449"/>
    <x v="8"/>
    <x v="55"/>
    <n v="40"/>
    <n v="400"/>
    <n v="16000"/>
    <s v="011+298"/>
    <s v="Yes"/>
    <m/>
    <s v="Yes"/>
    <m/>
    <s v="Yes"/>
    <m/>
    <s v="Yes"/>
    <m/>
    <s v="N/A"/>
    <m/>
    <s v="Yes"/>
    <m/>
    <s v="Yes"/>
    <m/>
    <s v="New"/>
    <s v="INFASCO"/>
    <n v="95"/>
    <n v="97.85"/>
  </r>
  <r>
    <x v="450"/>
    <x v="10"/>
    <x v="55"/>
    <n v="36"/>
    <n v="400"/>
    <n v="14400"/>
    <s v="157+179"/>
    <s v="Yes"/>
    <m/>
    <s v="Yes"/>
    <m/>
    <s v="Yes"/>
    <m/>
    <s v="Yes"/>
    <m/>
    <s v="N/A"/>
    <m/>
    <s v="Yes"/>
    <m/>
    <s v="Yes"/>
    <m/>
    <s v="New"/>
    <s v="INFASCO"/>
    <n v="95"/>
    <n v="97.85"/>
  </r>
  <r>
    <x v="451"/>
    <x v="10"/>
    <x v="55"/>
    <n v="36"/>
    <n v="400"/>
    <n v="14400"/>
    <s v="157+179"/>
    <s v="Yes"/>
    <m/>
    <s v="Yes"/>
    <m/>
    <s v="Yes"/>
    <m/>
    <s v="Yes"/>
    <m/>
    <s v="N/A"/>
    <m/>
    <s v="Yes"/>
    <m/>
    <s v="Yes"/>
    <m/>
    <s v="New"/>
    <s v="INFASCO"/>
    <n v="95"/>
    <n v="97.85"/>
  </r>
  <r>
    <x v="452"/>
    <x v="8"/>
    <x v="55"/>
    <n v="36"/>
    <n v="400"/>
    <n v="14400"/>
    <s v="011+298"/>
    <s v="Yes"/>
    <m/>
    <s v="Yes"/>
    <m/>
    <s v="Yes"/>
    <m/>
    <s v="Yes"/>
    <m/>
    <s v="N/A"/>
    <m/>
    <s v="Yes"/>
    <m/>
    <s v="Yes"/>
    <m/>
    <s v="New"/>
    <s v="INFASCO"/>
    <n v="95"/>
    <n v="97.85"/>
  </r>
  <r>
    <x v="453"/>
    <x v="10"/>
    <x v="55"/>
    <n v="33"/>
    <n v="400"/>
    <n v="13200"/>
    <s v="157+179"/>
    <s v="Yes"/>
    <m/>
    <s v="Yes"/>
    <m/>
    <s v="Yes"/>
    <m/>
    <s v="Yes"/>
    <m/>
    <s v="N/A"/>
    <m/>
    <s v="Yes"/>
    <m/>
    <s v="Yes"/>
    <m/>
    <s v="New"/>
    <s v="INFASCO"/>
    <n v="95"/>
    <n v="97.85"/>
  </r>
  <r>
    <x v="454"/>
    <x v="8"/>
    <x v="60"/>
    <n v="25"/>
    <n v="5500"/>
    <n v="137500"/>
    <m/>
    <m/>
    <m/>
    <m/>
    <m/>
    <m/>
    <m/>
    <m/>
    <m/>
    <m/>
    <m/>
    <m/>
    <m/>
    <m/>
    <m/>
    <m/>
    <s v="INFASCO"/>
    <m/>
    <n v="123.6"/>
  </r>
  <r>
    <x v="454"/>
    <x v="8"/>
    <x v="60"/>
    <n v="23"/>
    <n v="5500"/>
    <n v="126500"/>
    <m/>
    <m/>
    <m/>
    <m/>
    <m/>
    <m/>
    <m/>
    <m/>
    <m/>
    <m/>
    <m/>
    <m/>
    <m/>
    <m/>
    <m/>
    <m/>
    <s v="INFASCO"/>
    <m/>
    <n v="123.6"/>
  </r>
  <r>
    <x v="454"/>
    <x v="1"/>
    <x v="108"/>
    <n v="36"/>
    <n v="3500"/>
    <n v="126000"/>
    <m/>
    <m/>
    <m/>
    <m/>
    <m/>
    <m/>
    <m/>
    <m/>
    <m/>
    <m/>
    <m/>
    <m/>
    <m/>
    <m/>
    <m/>
    <m/>
    <s v="INFASCO"/>
    <m/>
    <n v="97.85"/>
  </r>
  <r>
    <x v="454"/>
    <x v="10"/>
    <x v="60"/>
    <n v="20"/>
    <n v="5500"/>
    <n v="110000"/>
    <m/>
    <m/>
    <m/>
    <m/>
    <m/>
    <m/>
    <m/>
    <m/>
    <m/>
    <m/>
    <m/>
    <m/>
    <m/>
    <m/>
    <m/>
    <m/>
    <s v="INFASCO"/>
    <m/>
    <n v="123.6"/>
  </r>
  <r>
    <x v="454"/>
    <x v="5"/>
    <x v="2"/>
    <n v="36"/>
    <n v="2500"/>
    <n v="90000"/>
    <m/>
    <m/>
    <m/>
    <m/>
    <m/>
    <m/>
    <m/>
    <m/>
    <m/>
    <m/>
    <m/>
    <m/>
    <m/>
    <m/>
    <m/>
    <m/>
    <s v="INFASCO"/>
    <m/>
    <n v="97.85"/>
  </r>
  <r>
    <x v="454"/>
    <x v="15"/>
    <x v="2"/>
    <n v="30"/>
    <n v="2700"/>
    <n v="81000"/>
    <m/>
    <m/>
    <m/>
    <m/>
    <m/>
    <m/>
    <m/>
    <m/>
    <m/>
    <m/>
    <m/>
    <m/>
    <m/>
    <m/>
    <m/>
    <m/>
    <s v="INFASCO"/>
    <m/>
    <n v="97.85"/>
  </r>
  <r>
    <x v="454"/>
    <x v="11"/>
    <x v="46"/>
    <n v="36"/>
    <n v="2150"/>
    <n v="77400"/>
    <m/>
    <m/>
    <m/>
    <m/>
    <m/>
    <m/>
    <m/>
    <m/>
    <m/>
    <m/>
    <m/>
    <m/>
    <m/>
    <m/>
    <m/>
    <m/>
    <s v="INFASCO"/>
    <m/>
    <n v="97.85"/>
  </r>
  <r>
    <x v="454"/>
    <x v="8"/>
    <x v="164"/>
    <n v="22"/>
    <n v="2700"/>
    <n v="59400"/>
    <m/>
    <m/>
    <m/>
    <m/>
    <m/>
    <m/>
    <m/>
    <m/>
    <m/>
    <m/>
    <m/>
    <m/>
    <m/>
    <m/>
    <m/>
    <m/>
    <e v="#N/A"/>
    <m/>
    <n v="95"/>
  </r>
  <r>
    <x v="454"/>
    <x v="10"/>
    <x v="165"/>
    <n v="29"/>
    <n v="2000"/>
    <n v="58000"/>
    <m/>
    <m/>
    <m/>
    <m/>
    <m/>
    <m/>
    <m/>
    <m/>
    <m/>
    <m/>
    <m/>
    <m/>
    <m/>
    <m/>
    <m/>
    <m/>
    <s v="INFASCO"/>
    <m/>
    <n v="97.85"/>
  </r>
  <r>
    <x v="454"/>
    <x v="10"/>
    <x v="166"/>
    <n v="35"/>
    <n v="1400"/>
    <n v="49000"/>
    <m/>
    <m/>
    <m/>
    <m/>
    <m/>
    <m/>
    <m/>
    <m/>
    <m/>
    <m/>
    <m/>
    <m/>
    <m/>
    <m/>
    <m/>
    <m/>
    <s v="INFASCO"/>
    <m/>
    <n v="97.85"/>
  </r>
  <r>
    <x v="454"/>
    <x v="9"/>
    <x v="0"/>
    <n v="19"/>
    <n v="2500"/>
    <n v="47500"/>
    <m/>
    <m/>
    <m/>
    <m/>
    <m/>
    <m/>
    <m/>
    <m/>
    <m/>
    <m/>
    <m/>
    <m/>
    <m/>
    <m/>
    <m/>
    <m/>
    <s v="INFASCO"/>
    <m/>
    <n v="97.85"/>
  </r>
  <r>
    <x v="454"/>
    <x v="14"/>
    <x v="5"/>
    <n v="46"/>
    <n v="1000"/>
    <n v="46000"/>
    <m/>
    <m/>
    <m/>
    <m/>
    <m/>
    <m/>
    <m/>
    <m/>
    <m/>
    <m/>
    <m/>
    <m/>
    <m/>
    <m/>
    <m/>
    <m/>
    <s v="INFASCO"/>
    <m/>
    <n v="97.85"/>
  </r>
  <r>
    <x v="454"/>
    <x v="26"/>
    <x v="10"/>
    <n v="72"/>
    <n v="450"/>
    <n v="32400"/>
    <m/>
    <m/>
    <m/>
    <m/>
    <m/>
    <m/>
    <m/>
    <m/>
    <m/>
    <m/>
    <m/>
    <m/>
    <m/>
    <m/>
    <m/>
    <m/>
    <s v="INFASCO"/>
    <m/>
    <n v="97.85"/>
  </r>
  <r>
    <x v="454"/>
    <x v="26"/>
    <x v="7"/>
    <n v="41"/>
    <n v="700"/>
    <n v="28700"/>
    <m/>
    <m/>
    <m/>
    <m/>
    <m/>
    <m/>
    <m/>
    <m/>
    <m/>
    <m/>
    <m/>
    <m/>
    <m/>
    <m/>
    <m/>
    <m/>
    <s v="INFASCO"/>
    <m/>
    <n v="97.85"/>
  </r>
  <r>
    <x v="454"/>
    <x v="12"/>
    <x v="10"/>
    <n v="36"/>
    <n v="450"/>
    <n v="16200"/>
    <m/>
    <m/>
    <m/>
    <m/>
    <m/>
    <m/>
    <m/>
    <m/>
    <m/>
    <m/>
    <m/>
    <m/>
    <m/>
    <m/>
    <m/>
    <m/>
    <s v="INFASCO"/>
    <m/>
    <n v="97.85"/>
  </r>
  <r>
    <x v="454"/>
    <x v="12"/>
    <x v="10"/>
    <n v="36"/>
    <n v="450"/>
    <n v="16200"/>
    <m/>
    <m/>
    <m/>
    <m/>
    <m/>
    <m/>
    <m/>
    <m/>
    <m/>
    <m/>
    <m/>
    <m/>
    <m/>
    <m/>
    <m/>
    <m/>
    <s v="INFASCO"/>
    <m/>
    <n v="97.85"/>
  </r>
  <r>
    <x v="454"/>
    <x v="3"/>
    <x v="10"/>
    <n v="36"/>
    <n v="450"/>
    <n v="16200"/>
    <m/>
    <m/>
    <m/>
    <m/>
    <m/>
    <m/>
    <m/>
    <m/>
    <m/>
    <m/>
    <m/>
    <m/>
    <m/>
    <m/>
    <m/>
    <m/>
    <s v="INFASCO"/>
    <m/>
    <n v="97.85"/>
  </r>
  <r>
    <x v="454"/>
    <x v="3"/>
    <x v="10"/>
    <n v="36"/>
    <n v="450"/>
    <n v="16200"/>
    <m/>
    <m/>
    <m/>
    <m/>
    <m/>
    <m/>
    <m/>
    <m/>
    <m/>
    <m/>
    <m/>
    <m/>
    <m/>
    <m/>
    <m/>
    <m/>
    <s v="INFASCO"/>
    <m/>
    <n v="97.85"/>
  </r>
  <r>
    <x v="454"/>
    <x v="8"/>
    <x v="73"/>
    <n v="46"/>
    <n v="350"/>
    <n v="16100"/>
    <m/>
    <m/>
    <m/>
    <m/>
    <m/>
    <m/>
    <m/>
    <m/>
    <m/>
    <m/>
    <m/>
    <m/>
    <m/>
    <m/>
    <m/>
    <m/>
    <s v="INFASCO"/>
    <m/>
    <n v="97.85"/>
  </r>
  <r>
    <x v="454"/>
    <x v="26"/>
    <x v="10"/>
    <n v="34"/>
    <n v="450"/>
    <n v="15300"/>
    <m/>
    <m/>
    <m/>
    <m/>
    <m/>
    <m/>
    <m/>
    <m/>
    <m/>
    <m/>
    <m/>
    <m/>
    <m/>
    <m/>
    <m/>
    <m/>
    <s v="INFASCO"/>
    <m/>
    <n v="97.85"/>
  </r>
  <r>
    <x v="454"/>
    <x v="8"/>
    <x v="73"/>
    <n v="36"/>
    <n v="350"/>
    <n v="12600"/>
    <m/>
    <m/>
    <m/>
    <m/>
    <m/>
    <m/>
    <m/>
    <m/>
    <m/>
    <m/>
    <m/>
    <m/>
    <m/>
    <m/>
    <m/>
    <m/>
    <s v="INFASCO"/>
    <m/>
    <n v="97.85"/>
  </r>
  <r>
    <x v="454"/>
    <x v="10"/>
    <x v="167"/>
    <n v="25"/>
    <n v="400"/>
    <n v="10000"/>
    <m/>
    <m/>
    <m/>
    <m/>
    <m/>
    <m/>
    <m/>
    <m/>
    <m/>
    <m/>
    <m/>
    <m/>
    <m/>
    <m/>
    <m/>
    <m/>
    <s v="INFASCO"/>
    <m/>
    <n v="97.85"/>
  </r>
  <r>
    <x v="454"/>
    <x v="8"/>
    <x v="73"/>
    <n v="28"/>
    <n v="350"/>
    <n v="9800"/>
    <s v="179-325"/>
    <m/>
    <m/>
    <m/>
    <m/>
    <m/>
    <m/>
    <m/>
    <m/>
    <m/>
    <m/>
    <m/>
    <m/>
    <m/>
    <m/>
    <m/>
    <s v="INFASCO"/>
    <m/>
    <n v="97.85"/>
  </r>
  <r>
    <x v="454"/>
    <x v="10"/>
    <x v="167"/>
    <n v="24"/>
    <n v="400"/>
    <n v="9600"/>
    <m/>
    <m/>
    <m/>
    <m/>
    <m/>
    <m/>
    <m/>
    <m/>
    <m/>
    <m/>
    <m/>
    <m/>
    <m/>
    <m/>
    <m/>
    <m/>
    <s v="INFASCO"/>
    <m/>
    <n v="97.85"/>
  </r>
  <r>
    <x v="454"/>
    <x v="8"/>
    <x v="73"/>
    <n v="27"/>
    <n v="350"/>
    <n v="9450"/>
    <m/>
    <m/>
    <m/>
    <m/>
    <m/>
    <m/>
    <m/>
    <m/>
    <m/>
    <m/>
    <m/>
    <m/>
    <m/>
    <m/>
    <m/>
    <m/>
    <s v="INFASCO"/>
    <m/>
    <n v="97.85"/>
  </r>
  <r>
    <x v="454"/>
    <x v="3"/>
    <x v="10"/>
    <n v="12"/>
    <n v="450"/>
    <n v="5400"/>
    <m/>
    <m/>
    <m/>
    <m/>
    <m/>
    <m/>
    <m/>
    <m/>
    <m/>
    <m/>
    <m/>
    <m/>
    <m/>
    <m/>
    <m/>
    <m/>
    <s v="INFASCO"/>
    <m/>
    <n v="97.85"/>
  </r>
  <r>
    <x v="454"/>
    <x v="8"/>
    <x v="95"/>
    <n v="39"/>
    <n v="100"/>
    <n v="3900"/>
    <m/>
    <m/>
    <m/>
    <m/>
    <m/>
    <m/>
    <m/>
    <m/>
    <m/>
    <m/>
    <m/>
    <m/>
    <m/>
    <m/>
    <m/>
    <m/>
    <s v="INFASCO"/>
    <m/>
    <n v="123.6"/>
  </r>
  <r>
    <x v="454"/>
    <x v="8"/>
    <x v="95"/>
    <n v="30"/>
    <n v="100"/>
    <n v="3000"/>
    <m/>
    <m/>
    <m/>
    <m/>
    <m/>
    <m/>
    <m/>
    <m/>
    <m/>
    <m/>
    <m/>
    <m/>
    <m/>
    <m/>
    <m/>
    <m/>
    <s v="INFASCO"/>
    <m/>
    <n v="123.6"/>
  </r>
  <r>
    <x v="454"/>
    <x v="8"/>
    <x v="95"/>
    <n v="29"/>
    <n v="100"/>
    <n v="2900"/>
    <m/>
    <m/>
    <m/>
    <m/>
    <m/>
    <m/>
    <m/>
    <m/>
    <m/>
    <m/>
    <m/>
    <m/>
    <m/>
    <m/>
    <m/>
    <m/>
    <s v="INFASCO"/>
    <m/>
    <n v="123.6"/>
  </r>
  <r>
    <x v="454"/>
    <x v="8"/>
    <x v="95"/>
    <n v="22"/>
    <n v="100"/>
    <n v="2200"/>
    <m/>
    <m/>
    <m/>
    <m/>
    <m/>
    <m/>
    <m/>
    <m/>
    <m/>
    <m/>
    <m/>
    <m/>
    <m/>
    <m/>
    <m/>
    <m/>
    <s v="INFASCO"/>
    <m/>
    <n v="123.6"/>
  </r>
  <r>
    <x v="455"/>
    <x v="2"/>
    <x v="86"/>
    <n v="36"/>
    <n v="2500"/>
    <n v="90000"/>
    <m/>
    <m/>
    <m/>
    <m/>
    <m/>
    <m/>
    <m/>
    <m/>
    <m/>
    <m/>
    <m/>
    <m/>
    <m/>
    <m/>
    <m/>
    <m/>
    <s v="INFASCO"/>
    <m/>
    <n v="97.85"/>
  </r>
  <r>
    <x v="455"/>
    <x v="4"/>
    <x v="5"/>
    <n v="36"/>
    <n v="1000"/>
    <n v="36000"/>
    <m/>
    <m/>
    <m/>
    <m/>
    <m/>
    <m/>
    <m/>
    <m/>
    <m/>
    <m/>
    <m/>
    <m/>
    <m/>
    <m/>
    <m/>
    <m/>
    <s v="INFASCO"/>
    <m/>
    <n v="97.85"/>
  </r>
  <r>
    <x v="455"/>
    <x v="4"/>
    <x v="5"/>
    <n v="36"/>
    <n v="1000"/>
    <n v="36000"/>
    <m/>
    <m/>
    <m/>
    <m/>
    <m/>
    <m/>
    <m/>
    <m/>
    <m/>
    <m/>
    <m/>
    <m/>
    <m/>
    <m/>
    <m/>
    <m/>
    <s v="INFASCO"/>
    <m/>
    <n v="97.85"/>
  </r>
  <r>
    <x v="455"/>
    <x v="6"/>
    <x v="7"/>
    <n v="36"/>
    <n v="700"/>
    <n v="25200"/>
    <m/>
    <m/>
    <m/>
    <m/>
    <m/>
    <m/>
    <m/>
    <m/>
    <m/>
    <m/>
    <m/>
    <m/>
    <m/>
    <m/>
    <m/>
    <m/>
    <s v="INFASCO"/>
    <m/>
    <n v="97.85"/>
  </r>
  <r>
    <x v="455"/>
    <x v="7"/>
    <x v="7"/>
    <n v="36"/>
    <n v="700"/>
    <n v="25200"/>
    <m/>
    <m/>
    <m/>
    <m/>
    <m/>
    <m/>
    <m/>
    <m/>
    <m/>
    <m/>
    <m/>
    <m/>
    <m/>
    <m/>
    <m/>
    <m/>
    <s v="INFASCO"/>
    <m/>
    <n v="97.85"/>
  </r>
  <r>
    <x v="455"/>
    <x v="16"/>
    <x v="10"/>
    <n v="36"/>
    <n v="450"/>
    <n v="16200"/>
    <m/>
    <m/>
    <m/>
    <m/>
    <m/>
    <m/>
    <m/>
    <m/>
    <m/>
    <m/>
    <m/>
    <m/>
    <m/>
    <m/>
    <m/>
    <m/>
    <s v="INFASCO"/>
    <m/>
    <n v="97.85"/>
  </r>
  <r>
    <x v="455"/>
    <x v="6"/>
    <x v="10"/>
    <n v="36"/>
    <n v="450"/>
    <n v="16200"/>
    <m/>
    <m/>
    <m/>
    <m/>
    <m/>
    <m/>
    <m/>
    <m/>
    <m/>
    <m/>
    <m/>
    <m/>
    <m/>
    <m/>
    <m/>
    <m/>
    <s v="INFASCO"/>
    <m/>
    <n v="97.85"/>
  </r>
  <r>
    <x v="456"/>
    <x v="8"/>
    <x v="73"/>
    <n v="27"/>
    <n v="350"/>
    <n v="9450"/>
    <s v="011+325"/>
    <s v="Yes"/>
    <m/>
    <s v="Yes"/>
    <m/>
    <s v="Yes"/>
    <m/>
    <s v="Yes"/>
    <m/>
    <s v="N/A"/>
    <m/>
    <s v="Yes"/>
    <m/>
    <s v="Yes"/>
    <m/>
    <s v="New"/>
    <s v="INFASCO"/>
    <n v="95"/>
    <n v="97.85"/>
  </r>
  <r>
    <x v="457"/>
    <x v="10"/>
    <x v="148"/>
    <n v="26"/>
    <n v="1200"/>
    <n v="31200"/>
    <n v="171"/>
    <s v="Yes"/>
    <m/>
    <s v="Yes"/>
    <m/>
    <s v="Yes"/>
    <m/>
    <s v="Yes"/>
    <m/>
    <s v="N/A"/>
    <m/>
    <s v="Yes"/>
    <m/>
    <s v="Yes"/>
    <m/>
    <s v="New"/>
    <s v="INFASCO"/>
    <n v="95"/>
    <n v="97.85"/>
  </r>
  <r>
    <x v="458"/>
    <x v="8"/>
    <x v="60"/>
    <n v="22"/>
    <n v="5500"/>
    <n v="121000"/>
    <s v="011+325"/>
    <s v="Yes"/>
    <m/>
    <s v="Yes"/>
    <m/>
    <s v="Yes"/>
    <m/>
    <s v="Yes"/>
    <m/>
    <s v="N/A"/>
    <m/>
    <s v="Yes"/>
    <m/>
    <s v="Yes"/>
    <m/>
    <s v="New"/>
    <s v="INFASCO"/>
    <n v="120"/>
    <n v="123.6"/>
  </r>
  <r>
    <x v="459"/>
    <x v="8"/>
    <x v="148"/>
    <n v="26"/>
    <n v="1200"/>
    <n v="31200"/>
    <s v="011+325"/>
    <s v="Yes"/>
    <m/>
    <s v="Yes"/>
    <m/>
    <s v="Yes"/>
    <m/>
    <s v="Yes"/>
    <m/>
    <s v="N/A"/>
    <m/>
    <s v="Yes"/>
    <m/>
    <s v="Yes"/>
    <m/>
    <s v="New"/>
    <s v="INFASCO"/>
    <n v="95"/>
    <n v="97.85"/>
  </r>
  <r>
    <x v="460"/>
    <x v="8"/>
    <x v="148"/>
    <n v="27"/>
    <n v="1200"/>
    <n v="32400"/>
    <s v="011+325"/>
    <s v="Yes"/>
    <m/>
    <s v="Yes"/>
    <m/>
    <s v="Yes"/>
    <m/>
    <s v="Yes"/>
    <m/>
    <s v="N/A"/>
    <m/>
    <s v="Yes"/>
    <m/>
    <s v="Yes"/>
    <m/>
    <s v="New"/>
    <s v="INFASCO"/>
    <n v="95"/>
    <n v="97.85"/>
  </r>
  <r>
    <x v="461"/>
    <x v="10"/>
    <x v="148"/>
    <n v="26"/>
    <n v="1200"/>
    <n v="31200"/>
    <n v="171"/>
    <s v="Yes"/>
    <m/>
    <s v="Yes"/>
    <m/>
    <s v="Yes"/>
    <m/>
    <s v="Yes"/>
    <m/>
    <s v="N/A"/>
    <m/>
    <s v="Yes"/>
    <m/>
    <s v="Yes"/>
    <m/>
    <s v="New"/>
    <s v="INFASCO"/>
    <n v="95"/>
    <n v="97.85"/>
  </r>
  <r>
    <x v="462"/>
    <x v="8"/>
    <x v="49"/>
    <n v="23"/>
    <n v="1400"/>
    <n v="32200"/>
    <s v="011+325"/>
    <s v="Yes"/>
    <m/>
    <s v="Yes"/>
    <m/>
    <s v="Yes"/>
    <m/>
    <s v="Yes"/>
    <m/>
    <s v="N/A"/>
    <m/>
    <s v="Yes"/>
    <m/>
    <s v="Yes"/>
    <m/>
    <s v="New"/>
    <s v="INFASCO"/>
    <n v="95"/>
    <n v="97.85"/>
  </r>
  <r>
    <x v="463"/>
    <x v="18"/>
    <x v="36"/>
    <n v="30"/>
    <n v="4000"/>
    <n v="120000"/>
    <s v="136+298"/>
    <s v="Yes"/>
    <m/>
    <s v="Yes"/>
    <m/>
    <s v="Yes"/>
    <m/>
    <s v="Yes"/>
    <m/>
    <s v="N/A"/>
    <m/>
    <s v="Yes"/>
    <m/>
    <s v="Yes"/>
    <m/>
    <s v="New"/>
    <s v="INFASCO"/>
    <n v="120"/>
    <n v="123.6"/>
  </r>
  <r>
    <x v="464"/>
    <x v="10"/>
    <x v="168"/>
    <n v="31"/>
    <n v="1950"/>
    <n v="60450"/>
    <n v="171"/>
    <s v="Yes"/>
    <m/>
    <s v="Yes"/>
    <m/>
    <s v="Yes"/>
    <m/>
    <s v="Yes"/>
    <m/>
    <s v="N/A"/>
    <m/>
    <s v="Yes"/>
    <m/>
    <s v="Yes"/>
    <m/>
    <s v="New"/>
    <s v="INFASCO"/>
    <n v="95"/>
    <n v="97.85"/>
  </r>
  <r>
    <x v="465"/>
    <x v="18"/>
    <x v="36"/>
    <n v="33"/>
    <n v="4000"/>
    <n v="132000"/>
    <s v="136+298"/>
    <s v="Yes"/>
    <m/>
    <s v="Yes"/>
    <m/>
    <s v="Yes"/>
    <m/>
    <s v="Yes"/>
    <m/>
    <s v="N/A"/>
    <m/>
    <s v="Yes"/>
    <m/>
    <s v="Yes"/>
    <m/>
    <s v="New"/>
    <s v="INFASCO"/>
    <n v="120"/>
    <n v="123.6"/>
  </r>
  <r>
    <x v="466"/>
    <x v="10"/>
    <x v="36"/>
    <n v="30"/>
    <n v="4000"/>
    <n v="120000"/>
    <s v="171+298"/>
    <s v="Yes"/>
    <m/>
    <s v="Yes"/>
    <m/>
    <s v="Yes"/>
    <m/>
    <s v="Yes"/>
    <m/>
    <s v="N/A"/>
    <m/>
    <s v="Yes"/>
    <m/>
    <s v="Yes"/>
    <m/>
    <s v="New"/>
    <s v="INFASCO"/>
    <n v="120"/>
    <n v="123.6"/>
  </r>
  <r>
    <x v="467"/>
    <x v="10"/>
    <x v="134"/>
    <n v="36"/>
    <n v="750"/>
    <n v="27000"/>
    <s v="171+298"/>
    <s v="Yes"/>
    <m/>
    <s v="Yes"/>
    <m/>
    <s v="Yes"/>
    <m/>
    <s v="Yes"/>
    <m/>
    <s v="N/A"/>
    <m/>
    <s v="Yes"/>
    <m/>
    <s v="Yes"/>
    <m/>
    <s v="New"/>
    <s v="INFASCO"/>
    <n v="120"/>
    <n v="123.6"/>
  </r>
  <r>
    <x v="468"/>
    <x v="8"/>
    <x v="169"/>
    <n v="33"/>
    <n v="875"/>
    <n v="28875"/>
    <s v="01+325"/>
    <s v="Yes"/>
    <m/>
    <s v="Yes"/>
    <m/>
    <s v="Yes"/>
    <m/>
    <s v="Yes"/>
    <m/>
    <s v="N/A"/>
    <m/>
    <s v="Yes"/>
    <m/>
    <s v="Yes"/>
    <m/>
    <s v="New"/>
    <s v="INFASCO"/>
    <n v="95"/>
    <n v="97.85"/>
  </r>
  <r>
    <x v="469"/>
    <x v="1"/>
    <x v="108"/>
    <n v="36"/>
    <n v="3500"/>
    <n v="126000"/>
    <m/>
    <m/>
    <m/>
    <m/>
    <m/>
    <m/>
    <m/>
    <m/>
    <m/>
    <m/>
    <m/>
    <m/>
    <m/>
    <m/>
    <m/>
    <m/>
    <s v="INFASCO"/>
    <m/>
    <n v="97.85"/>
  </r>
  <r>
    <x v="469"/>
    <x v="2"/>
    <x v="86"/>
    <n v="36"/>
    <n v="2500"/>
    <n v="90000"/>
    <m/>
    <m/>
    <m/>
    <m/>
    <m/>
    <m/>
    <m/>
    <m/>
    <m/>
    <m/>
    <m/>
    <m/>
    <m/>
    <m/>
    <m/>
    <m/>
    <s v="INFASCO"/>
    <m/>
    <n v="97.85"/>
  </r>
  <r>
    <x v="469"/>
    <x v="4"/>
    <x v="37"/>
    <n v="36"/>
    <n v="2500"/>
    <n v="90000"/>
    <m/>
    <m/>
    <m/>
    <m/>
    <m/>
    <m/>
    <m/>
    <m/>
    <m/>
    <m/>
    <m/>
    <m/>
    <m/>
    <m/>
    <m/>
    <m/>
    <s v="INFASCO"/>
    <m/>
    <n v="97.85"/>
  </r>
  <r>
    <x v="469"/>
    <x v="5"/>
    <x v="86"/>
    <n v="36"/>
    <n v="2500"/>
    <n v="90000"/>
    <m/>
    <m/>
    <m/>
    <m/>
    <m/>
    <m/>
    <m/>
    <m/>
    <m/>
    <m/>
    <m/>
    <m/>
    <m/>
    <m/>
    <m/>
    <m/>
    <s v="INFASCO"/>
    <m/>
    <n v="97.85"/>
  </r>
  <r>
    <x v="469"/>
    <x v="5"/>
    <x v="86"/>
    <n v="36"/>
    <n v="2500"/>
    <n v="90000"/>
    <m/>
    <m/>
    <m/>
    <m/>
    <m/>
    <m/>
    <m/>
    <m/>
    <m/>
    <m/>
    <m/>
    <m/>
    <m/>
    <m/>
    <m/>
    <m/>
    <s v="INFASCO"/>
    <m/>
    <n v="97.85"/>
  </r>
  <r>
    <x v="469"/>
    <x v="15"/>
    <x v="2"/>
    <n v="33"/>
    <n v="2700"/>
    <n v="89100"/>
    <m/>
    <m/>
    <m/>
    <m/>
    <m/>
    <m/>
    <m/>
    <m/>
    <m/>
    <m/>
    <m/>
    <m/>
    <m/>
    <m/>
    <m/>
    <m/>
    <s v="INFASCO"/>
    <m/>
    <n v="97.85"/>
  </r>
  <r>
    <x v="469"/>
    <x v="11"/>
    <x v="46"/>
    <n v="36"/>
    <n v="2150"/>
    <n v="77400"/>
    <m/>
    <m/>
    <m/>
    <m/>
    <m/>
    <m/>
    <m/>
    <m/>
    <m/>
    <m/>
    <m/>
    <m/>
    <m/>
    <m/>
    <m/>
    <m/>
    <s v="INFASCO"/>
    <m/>
    <n v="97.85"/>
  </r>
  <r>
    <x v="469"/>
    <x v="11"/>
    <x v="46"/>
    <n v="32"/>
    <n v="2150"/>
    <n v="68800"/>
    <m/>
    <m/>
    <m/>
    <m/>
    <m/>
    <m/>
    <m/>
    <m/>
    <m/>
    <m/>
    <m/>
    <m/>
    <m/>
    <m/>
    <m/>
    <m/>
    <s v="INFASCO"/>
    <m/>
    <n v="97.85"/>
  </r>
  <r>
    <x v="469"/>
    <x v="8"/>
    <x v="168"/>
    <n v="32"/>
    <n v="1950"/>
    <n v="62400"/>
    <m/>
    <m/>
    <m/>
    <m/>
    <m/>
    <m/>
    <m/>
    <m/>
    <m/>
    <m/>
    <m/>
    <m/>
    <m/>
    <m/>
    <m/>
    <m/>
    <s v="INFASCO"/>
    <m/>
    <n v="97.85"/>
  </r>
  <r>
    <x v="469"/>
    <x v="4"/>
    <x v="46"/>
    <n v="29"/>
    <n v="2150"/>
    <n v="62350"/>
    <m/>
    <m/>
    <m/>
    <m/>
    <m/>
    <m/>
    <m/>
    <m/>
    <m/>
    <m/>
    <m/>
    <m/>
    <m/>
    <m/>
    <m/>
    <m/>
    <s v="INFASCO"/>
    <m/>
    <n v="97.85"/>
  </r>
  <r>
    <x v="469"/>
    <x v="13"/>
    <x v="5"/>
    <n v="36"/>
    <n v="1000"/>
    <n v="36000"/>
    <m/>
    <m/>
    <m/>
    <m/>
    <m/>
    <m/>
    <m/>
    <m/>
    <m/>
    <m/>
    <m/>
    <m/>
    <m/>
    <m/>
    <m/>
    <m/>
    <s v="INFASCO"/>
    <m/>
    <n v="97.85"/>
  </r>
  <r>
    <x v="469"/>
    <x v="8"/>
    <x v="169"/>
    <n v="33"/>
    <n v="875"/>
    <n v="28875"/>
    <m/>
    <m/>
    <m/>
    <m/>
    <m/>
    <m/>
    <m/>
    <m/>
    <m/>
    <m/>
    <m/>
    <m/>
    <m/>
    <m/>
    <m/>
    <m/>
    <s v="INFASCO"/>
    <m/>
    <n v="97.85"/>
  </r>
  <r>
    <x v="469"/>
    <x v="6"/>
    <x v="7"/>
    <n v="36"/>
    <n v="700"/>
    <n v="25200"/>
    <m/>
    <m/>
    <m/>
    <m/>
    <m/>
    <m/>
    <m/>
    <m/>
    <m/>
    <m/>
    <m/>
    <m/>
    <m/>
    <m/>
    <m/>
    <m/>
    <s v="INFASCO"/>
    <m/>
    <n v="97.85"/>
  </r>
  <r>
    <x v="469"/>
    <x v="6"/>
    <x v="7"/>
    <n v="36"/>
    <n v="700"/>
    <n v="25200"/>
    <m/>
    <m/>
    <m/>
    <m/>
    <m/>
    <m/>
    <m/>
    <m/>
    <m/>
    <m/>
    <m/>
    <m/>
    <m/>
    <m/>
    <m/>
    <m/>
    <s v="INFASCO"/>
    <m/>
    <n v="97.85"/>
  </r>
  <r>
    <x v="469"/>
    <x v="6"/>
    <x v="7"/>
    <n v="36"/>
    <n v="700"/>
    <n v="25200"/>
    <m/>
    <m/>
    <m/>
    <m/>
    <m/>
    <m/>
    <m/>
    <m/>
    <m/>
    <m/>
    <m/>
    <m/>
    <m/>
    <m/>
    <m/>
    <m/>
    <s v="INFASCO"/>
    <m/>
    <n v="97.85"/>
  </r>
  <r>
    <x v="469"/>
    <x v="7"/>
    <x v="7"/>
    <n v="36"/>
    <n v="700"/>
    <n v="25200"/>
    <m/>
    <m/>
    <m/>
    <m/>
    <m/>
    <m/>
    <m/>
    <m/>
    <m/>
    <m/>
    <m/>
    <m/>
    <m/>
    <m/>
    <m/>
    <m/>
    <s v="INFASCO"/>
    <m/>
    <n v="97.85"/>
  </r>
  <r>
    <x v="469"/>
    <x v="12"/>
    <x v="7"/>
    <n v="36"/>
    <n v="700"/>
    <n v="25200"/>
    <m/>
    <m/>
    <m/>
    <m/>
    <m/>
    <m/>
    <m/>
    <m/>
    <m/>
    <m/>
    <m/>
    <m/>
    <m/>
    <m/>
    <m/>
    <m/>
    <s v="INFASCO"/>
    <m/>
    <n v="97.85"/>
  </r>
  <r>
    <x v="469"/>
    <x v="26"/>
    <x v="7"/>
    <n v="36"/>
    <n v="700"/>
    <n v="25200"/>
    <m/>
    <m/>
    <m/>
    <m/>
    <m/>
    <m/>
    <m/>
    <m/>
    <m/>
    <m/>
    <m/>
    <m/>
    <m/>
    <m/>
    <m/>
    <m/>
    <s v="INFASCO"/>
    <m/>
    <n v="97.85"/>
  </r>
  <r>
    <x v="469"/>
    <x v="26"/>
    <x v="7"/>
    <n v="36"/>
    <n v="700"/>
    <n v="25200"/>
    <m/>
    <m/>
    <m/>
    <m/>
    <m/>
    <m/>
    <m/>
    <m/>
    <m/>
    <m/>
    <m/>
    <m/>
    <m/>
    <m/>
    <m/>
    <m/>
    <s v="INFASCO"/>
    <m/>
    <n v="97.85"/>
  </r>
  <r>
    <x v="469"/>
    <x v="26"/>
    <x v="7"/>
    <n v="36"/>
    <n v="700"/>
    <n v="25200"/>
    <m/>
    <m/>
    <m/>
    <m/>
    <m/>
    <m/>
    <m/>
    <m/>
    <m/>
    <m/>
    <m/>
    <m/>
    <m/>
    <m/>
    <m/>
    <m/>
    <s v="INFASCO"/>
    <m/>
    <n v="97.85"/>
  </r>
  <r>
    <x v="469"/>
    <x v="26"/>
    <x v="7"/>
    <n v="36"/>
    <n v="700"/>
    <n v="25200"/>
    <m/>
    <m/>
    <m/>
    <m/>
    <m/>
    <m/>
    <m/>
    <m/>
    <m/>
    <m/>
    <m/>
    <m/>
    <m/>
    <m/>
    <m/>
    <m/>
    <s v="INFASCO"/>
    <m/>
    <n v="97.85"/>
  </r>
  <r>
    <x v="469"/>
    <x v="14"/>
    <x v="7"/>
    <n v="36"/>
    <n v="700"/>
    <n v="25200"/>
    <m/>
    <m/>
    <m/>
    <m/>
    <m/>
    <m/>
    <m/>
    <m/>
    <m/>
    <m/>
    <m/>
    <m/>
    <m/>
    <m/>
    <m/>
    <m/>
    <s v="INFASCO"/>
    <m/>
    <n v="97.85"/>
  </r>
  <r>
    <x v="469"/>
    <x v="18"/>
    <x v="134"/>
    <n v="30"/>
    <n v="750"/>
    <n v="22500"/>
    <n v="136"/>
    <s v="Yes"/>
    <m/>
    <s v="Yes"/>
    <m/>
    <s v="Yes"/>
    <m/>
    <s v="Yes"/>
    <m/>
    <s v="N/A"/>
    <m/>
    <s v="Yes"/>
    <m/>
    <s v="Yes"/>
    <m/>
    <s v="New"/>
    <s v="INFASCO"/>
    <n v="120"/>
    <n v="123.6"/>
  </r>
  <r>
    <x v="469"/>
    <x v="14"/>
    <x v="7"/>
    <n v="30"/>
    <n v="700"/>
    <n v="21000"/>
    <m/>
    <m/>
    <m/>
    <m/>
    <m/>
    <m/>
    <m/>
    <m/>
    <m/>
    <m/>
    <m/>
    <m/>
    <m/>
    <m/>
    <m/>
    <m/>
    <s v="INFASCO"/>
    <m/>
    <n v="97.85"/>
  </r>
  <r>
    <x v="469"/>
    <x v="3"/>
    <x v="10"/>
    <n v="45"/>
    <n v="450"/>
    <n v="20250"/>
    <m/>
    <m/>
    <m/>
    <m/>
    <m/>
    <m/>
    <m/>
    <m/>
    <m/>
    <m/>
    <m/>
    <m/>
    <m/>
    <m/>
    <m/>
    <m/>
    <s v="INFASCO"/>
    <m/>
    <n v="97.85"/>
  </r>
  <r>
    <x v="469"/>
    <x v="7"/>
    <x v="7"/>
    <n v="28"/>
    <n v="700"/>
    <n v="19600"/>
    <m/>
    <m/>
    <m/>
    <m/>
    <m/>
    <m/>
    <m/>
    <m/>
    <m/>
    <m/>
    <m/>
    <m/>
    <m/>
    <m/>
    <m/>
    <m/>
    <s v="INFASCO"/>
    <m/>
    <n v="97.85"/>
  </r>
  <r>
    <x v="469"/>
    <x v="16"/>
    <x v="10"/>
    <n v="36"/>
    <n v="450"/>
    <n v="16200"/>
    <m/>
    <m/>
    <m/>
    <m/>
    <m/>
    <m/>
    <m/>
    <m/>
    <m/>
    <m/>
    <m/>
    <m/>
    <m/>
    <m/>
    <m/>
    <m/>
    <s v="INFASCO"/>
    <m/>
    <n v="97.85"/>
  </r>
  <r>
    <x v="469"/>
    <x v="16"/>
    <x v="10"/>
    <n v="36"/>
    <n v="450"/>
    <n v="16200"/>
    <m/>
    <m/>
    <m/>
    <m/>
    <m/>
    <m/>
    <m/>
    <m/>
    <m/>
    <m/>
    <m/>
    <m/>
    <m/>
    <m/>
    <m/>
    <m/>
    <s v="INFASCO"/>
    <m/>
    <n v="97.85"/>
  </r>
  <r>
    <x v="469"/>
    <x v="12"/>
    <x v="10"/>
    <n v="36"/>
    <n v="450"/>
    <n v="16200"/>
    <m/>
    <m/>
    <m/>
    <m/>
    <m/>
    <m/>
    <m/>
    <m/>
    <m/>
    <m/>
    <m/>
    <m/>
    <m/>
    <m/>
    <m/>
    <m/>
    <s v="INFASCO"/>
    <m/>
    <n v="97.85"/>
  </r>
  <r>
    <x v="469"/>
    <x v="6"/>
    <x v="7"/>
    <n v="21"/>
    <n v="700"/>
    <n v="14700"/>
    <m/>
    <m/>
    <m/>
    <m/>
    <m/>
    <m/>
    <m/>
    <m/>
    <m/>
    <m/>
    <m/>
    <m/>
    <m/>
    <m/>
    <m/>
    <m/>
    <s v="INFASCO"/>
    <m/>
    <n v="97.85"/>
  </r>
  <r>
    <x v="469"/>
    <x v="3"/>
    <x v="10"/>
    <n v="30"/>
    <n v="450"/>
    <n v="13500"/>
    <m/>
    <m/>
    <m/>
    <m/>
    <m/>
    <m/>
    <m/>
    <m/>
    <m/>
    <m/>
    <m/>
    <m/>
    <m/>
    <m/>
    <m/>
    <m/>
    <s v="INFASCO"/>
    <m/>
    <n v="97.85"/>
  </r>
  <r>
    <x v="469"/>
    <x v="26"/>
    <x v="10"/>
    <n v="29"/>
    <n v="450"/>
    <n v="13050"/>
    <m/>
    <m/>
    <m/>
    <m/>
    <m/>
    <m/>
    <m/>
    <m/>
    <m/>
    <m/>
    <m/>
    <m/>
    <m/>
    <m/>
    <m/>
    <m/>
    <s v="INFASCO"/>
    <m/>
    <n v="97.85"/>
  </r>
  <r>
    <x v="469"/>
    <x v="8"/>
    <x v="45"/>
    <n v="1"/>
    <m/>
    <n v="0"/>
    <m/>
    <m/>
    <m/>
    <m/>
    <m/>
    <m/>
    <m/>
    <m/>
    <m/>
    <m/>
    <m/>
    <m/>
    <m/>
    <m/>
    <m/>
    <m/>
    <s v="INFASCO"/>
    <m/>
    <n v="69"/>
  </r>
  <r>
    <x v="470"/>
    <x v="10"/>
    <x v="130"/>
    <n v="45"/>
    <n v="400"/>
    <n v="18000"/>
    <s v="171+298"/>
    <s v="Yes"/>
    <m/>
    <s v="Yes"/>
    <m/>
    <s v="Yes"/>
    <m/>
    <s v="Yes"/>
    <m/>
    <s v="N/A"/>
    <m/>
    <s v="Yes"/>
    <m/>
    <s v="Yes"/>
    <m/>
    <s v="New"/>
    <s v="INFASCO"/>
    <n v="95"/>
    <n v="97.85"/>
  </r>
  <r>
    <x v="471"/>
    <x v="10"/>
    <x v="31"/>
    <n v="36"/>
    <n v="210"/>
    <n v="7560"/>
    <s v="171+298"/>
    <s v="Yes"/>
    <m/>
    <s v="Yes"/>
    <m/>
    <s v="Yes"/>
    <m/>
    <s v="Yes"/>
    <m/>
    <s v="N/A"/>
    <m/>
    <s v="Yes"/>
    <m/>
    <s v="Yes"/>
    <m/>
    <s v="New"/>
    <s v="INFASCO"/>
    <n v="95"/>
    <n v="97.85"/>
  </r>
  <r>
    <x v="472"/>
    <x v="8"/>
    <x v="130"/>
    <n v="36"/>
    <n v="400"/>
    <n v="14400"/>
    <s v="011+325"/>
    <s v="Yes"/>
    <m/>
    <s v="Yes"/>
    <m/>
    <s v="Yes"/>
    <m/>
    <s v="Yes"/>
    <m/>
    <s v="N/A"/>
    <m/>
    <s v="Yes"/>
    <m/>
    <s v="Yes"/>
    <m/>
    <s v="New"/>
    <s v="INFASCO"/>
    <s v="N/A"/>
    <n v="97.85"/>
  </r>
  <r>
    <x v="473"/>
    <x v="8"/>
    <x v="112"/>
    <n v="36"/>
    <n v="170"/>
    <n v="6120"/>
    <s v="011+325"/>
    <s v="Yes"/>
    <m/>
    <s v="Yes"/>
    <m/>
    <s v="Yes"/>
    <m/>
    <s v="Yes"/>
    <m/>
    <s v="N/A"/>
    <m/>
    <s v="Yes"/>
    <m/>
    <s v="Yes"/>
    <m/>
    <s v="New"/>
    <s v="INFASCO"/>
    <n v="120"/>
    <n v="123.6"/>
  </r>
  <r>
    <x v="474"/>
    <x v="17"/>
    <x v="31"/>
    <n v="36"/>
    <n v="210"/>
    <n v="7560"/>
    <s v="156+014"/>
    <s v="Yes"/>
    <m/>
    <s v="Yes"/>
    <m/>
    <s v="Yes"/>
    <m/>
    <s v="Yes"/>
    <m/>
    <s v="N/A"/>
    <m/>
    <s v="Yes"/>
    <m/>
    <s v="Yes"/>
    <m/>
    <s v="New"/>
    <s v="INFASCO"/>
    <n v="95"/>
    <n v="97.85"/>
  </r>
  <r>
    <x v="475"/>
    <x v="17"/>
    <x v="31"/>
    <n v="11"/>
    <n v="210"/>
    <n v="2310"/>
    <n v="156"/>
    <s v="Yes"/>
    <m/>
    <s v="Yes"/>
    <m/>
    <s v="Yes"/>
    <m/>
    <s v="Yes"/>
    <m/>
    <s v="N/A"/>
    <m/>
    <s v="Yes"/>
    <m/>
    <s v="Yes"/>
    <m/>
    <s v="New"/>
    <s v="INFASCO"/>
    <n v="95"/>
    <n v="97.85"/>
  </r>
  <r>
    <x v="476"/>
    <x v="17"/>
    <x v="31"/>
    <n v="24"/>
    <n v="210"/>
    <n v="5040"/>
    <n v="156"/>
    <s v="Yes"/>
    <m/>
    <s v="Yes"/>
    <m/>
    <s v="Yes"/>
    <m/>
    <s v="Yes"/>
    <m/>
    <s v="N/A"/>
    <m/>
    <s v="Yes"/>
    <m/>
    <s v="Yes"/>
    <m/>
    <s v="New"/>
    <s v="INFASCO"/>
    <n v="95"/>
    <n v="97.85"/>
  </r>
  <r>
    <x v="477"/>
    <x v="8"/>
    <x v="112"/>
    <n v="32"/>
    <n v="170"/>
    <n v="5440"/>
    <s v="011+325"/>
    <s v="Yes"/>
    <m/>
    <s v="Yes"/>
    <m/>
    <s v="Yes"/>
    <m/>
    <s v="Yes"/>
    <m/>
    <s v="N/A"/>
    <m/>
    <s v="Yes"/>
    <m/>
    <s v="Yes"/>
    <m/>
    <s v="New"/>
    <s v="INFASCO"/>
    <n v="120"/>
    <n v="123.6"/>
  </r>
  <r>
    <x v="478"/>
    <x v="8"/>
    <x v="42"/>
    <n v="32"/>
    <n v="450"/>
    <n v="14400"/>
    <s v="011+325"/>
    <s v="Yes"/>
    <m/>
    <s v="Yes"/>
    <m/>
    <s v="Yes"/>
    <m/>
    <s v="Yes"/>
    <m/>
    <s v="N/A"/>
    <m/>
    <s v="Yes"/>
    <m/>
    <s v="Yes"/>
    <m/>
    <s v="New"/>
    <s v="INFASCO"/>
    <n v="95"/>
    <n v="97.85"/>
  </r>
  <r>
    <x v="479"/>
    <x v="10"/>
    <x v="74"/>
    <n v="36"/>
    <n v="320"/>
    <n v="11520"/>
    <n v="156"/>
    <s v="Yes"/>
    <m/>
    <s v="Yes"/>
    <m/>
    <s v="Yes"/>
    <m/>
    <s v="Yes"/>
    <m/>
    <s v="N/A"/>
    <m/>
    <s v="Yes"/>
    <m/>
    <s v="Yes"/>
    <m/>
    <s v="New"/>
    <s v="INFASCO"/>
    <n v="95"/>
    <n v="97.85"/>
  </r>
  <r>
    <x v="480"/>
    <x v="10"/>
    <x v="74"/>
    <n v="13"/>
    <n v="320"/>
    <n v="4160"/>
    <s v="156+004"/>
    <s v="Yes"/>
    <m/>
    <s v="Yes"/>
    <m/>
    <s v="Yes"/>
    <m/>
    <s v="Yes"/>
    <m/>
    <s v="N/A"/>
    <m/>
    <s v="Yes"/>
    <m/>
    <s v="Yes"/>
    <m/>
    <s v="New"/>
    <s v="INFASCO"/>
    <n v="95"/>
    <n v="97.85"/>
  </r>
  <r>
    <x v="481"/>
    <x v="8"/>
    <x v="42"/>
    <n v="33"/>
    <n v="450"/>
    <n v="14850"/>
    <s v="011+325"/>
    <s v="Yes"/>
    <m/>
    <s v="Yes"/>
    <m/>
    <s v="Yes"/>
    <m/>
    <s v="Yes"/>
    <m/>
    <s v="N/A"/>
    <m/>
    <s v="Yes"/>
    <m/>
    <s v="Yes"/>
    <m/>
    <s v="New"/>
    <s v="INFASCO"/>
    <n v="95"/>
    <n v="97.85"/>
  </r>
  <r>
    <x v="482"/>
    <x v="10"/>
    <x v="170"/>
    <n v="36"/>
    <n v="800"/>
    <n v="28800"/>
    <s v="156+004"/>
    <s v="Yes"/>
    <m/>
    <s v="Yes"/>
    <m/>
    <s v="Yes"/>
    <m/>
    <s v="Yes"/>
    <m/>
    <s v="N/A"/>
    <m/>
    <s v="Yes"/>
    <m/>
    <s v="Yes"/>
    <m/>
    <s v="New"/>
    <s v="INFASCO"/>
    <n v="95"/>
    <n v="97.85"/>
  </r>
  <r>
    <x v="483"/>
    <x v="10"/>
    <x v="170"/>
    <n v="17"/>
    <n v="800"/>
    <n v="13600"/>
    <s v="156+004"/>
    <s v="Yes"/>
    <m/>
    <s v="Yes"/>
    <m/>
    <s v="Yes"/>
    <m/>
    <s v="Yes"/>
    <m/>
    <s v="N/A"/>
    <m/>
    <s v="Yes"/>
    <m/>
    <s v="Yes"/>
    <m/>
    <s v="New"/>
    <s v="INFASCO"/>
    <n v="95"/>
    <n v="97.85"/>
  </r>
  <r>
    <x v="484"/>
    <x v="10"/>
    <x v="36"/>
    <n v="27"/>
    <n v="4000"/>
    <n v="108000"/>
    <s v="156+004"/>
    <s v="Yes"/>
    <m/>
    <s v="Yes"/>
    <m/>
    <s v="Yes"/>
    <m/>
    <s v="Yes"/>
    <m/>
    <s v="N/A"/>
    <m/>
    <s v="Yes"/>
    <m/>
    <s v="Yes"/>
    <m/>
    <s v="New"/>
    <s v="INFASCO"/>
    <n v="120"/>
    <n v="123.6"/>
  </r>
  <r>
    <x v="485"/>
    <x v="17"/>
    <x v="151"/>
    <n v="36"/>
    <n v="650"/>
    <n v="23400"/>
    <s v="162+327"/>
    <s v="Yes"/>
    <m/>
    <s v="Yes"/>
    <m/>
    <s v="Yes"/>
    <m/>
    <s v="Yes"/>
    <m/>
    <s v="N/A"/>
    <m/>
    <s v="Yes"/>
    <m/>
    <s v="Yes"/>
    <m/>
    <s v="New"/>
    <s v="INFASCO"/>
    <s v="N/A"/>
    <n v="97.85"/>
  </r>
  <r>
    <x v="486"/>
    <x v="10"/>
    <x v="151"/>
    <n v="28"/>
    <n v="650"/>
    <n v="7800"/>
    <s v="156+004"/>
    <s v="Yes"/>
    <m/>
    <s v="Yes"/>
    <m/>
    <s v="Yes"/>
    <m/>
    <s v="Yes"/>
    <m/>
    <s v="N/A"/>
    <m/>
    <s v="Yes"/>
    <m/>
    <s v="Yes"/>
    <m/>
    <s v="New"/>
    <s v="INFASCO"/>
    <n v="95"/>
    <n v="97.85"/>
  </r>
  <r>
    <x v="487"/>
    <x v="10"/>
    <x v="151"/>
    <n v="40"/>
    <n v="650"/>
    <n v="26000"/>
    <s v="156+004"/>
    <s v="Yes"/>
    <m/>
    <s v="Yes"/>
    <m/>
    <s v="Yes"/>
    <m/>
    <s v="Yes"/>
    <m/>
    <s v="N/A"/>
    <m/>
    <s v="Yes"/>
    <m/>
    <s v="Yes"/>
    <m/>
    <s v="New"/>
    <s v="INFASCO"/>
    <n v="95"/>
    <n v="97.85"/>
  </r>
  <r>
    <x v="488"/>
    <x v="17"/>
    <x v="151"/>
    <n v="32"/>
    <n v="650"/>
    <n v="20800"/>
    <n v="162"/>
    <s v="Yes"/>
    <m/>
    <s v="Yes"/>
    <m/>
    <s v="Yes"/>
    <m/>
    <s v="Yes"/>
    <m/>
    <s v="N/A"/>
    <m/>
    <s v="Yes"/>
    <m/>
    <s v="Yes"/>
    <m/>
    <s v="New"/>
    <s v="INFASCO"/>
    <s v="N/A"/>
    <n v="97.85"/>
  </r>
  <r>
    <x v="489"/>
    <x v="8"/>
    <x v="151"/>
    <n v="27"/>
    <n v="650"/>
    <n v="17550"/>
    <s v="011+325"/>
    <s v="Yes"/>
    <m/>
    <s v="Yes"/>
    <m/>
    <s v="Yes"/>
    <m/>
    <s v="Yes"/>
    <m/>
    <s v="N/A"/>
    <m/>
    <s v="Yes"/>
    <m/>
    <s v="Yes"/>
    <m/>
    <s v="New"/>
    <s v="INFASCO"/>
    <n v="95"/>
    <n v="97.85"/>
  </r>
  <r>
    <x v="489"/>
    <x v="8"/>
    <x v="151"/>
    <n v="27"/>
    <n v="650"/>
    <n v="17550"/>
    <m/>
    <m/>
    <m/>
    <m/>
    <m/>
    <m/>
    <m/>
    <m/>
    <m/>
    <m/>
    <m/>
    <m/>
    <m/>
    <m/>
    <m/>
    <m/>
    <s v="INFASCO"/>
    <m/>
    <n v="97.85"/>
  </r>
  <r>
    <x v="490"/>
    <x v="8"/>
    <x v="151"/>
    <n v="39"/>
    <n v="650"/>
    <n v="25350"/>
    <s v="011+325"/>
    <s v="Yes"/>
    <m/>
    <s v="Yes"/>
    <m/>
    <s v="Yes"/>
    <m/>
    <s v="Yes"/>
    <m/>
    <s v="N/A"/>
    <m/>
    <s v="Yes"/>
    <m/>
    <s v="Yes"/>
    <m/>
    <s v="New"/>
    <s v="INFASCO"/>
    <n v="95"/>
    <n v="97.85"/>
  </r>
  <r>
    <x v="491"/>
    <x v="8"/>
    <x v="80"/>
    <n v="25"/>
    <n v="75"/>
    <n v="1875"/>
    <s v="011+325"/>
    <s v="Yes"/>
    <m/>
    <s v="Yes"/>
    <m/>
    <s v="Yes"/>
    <m/>
    <s v="Yes"/>
    <m/>
    <s v="N/A"/>
    <m/>
    <s v="Yes"/>
    <m/>
    <s v="Yes"/>
    <m/>
    <s v="New"/>
    <s v="INFASCO"/>
    <n v="120"/>
    <n v="123.6"/>
  </r>
  <r>
    <x v="492"/>
    <x v="8"/>
    <x v="80"/>
    <n v="29"/>
    <n v="75"/>
    <n v="2175"/>
    <s v="011+325"/>
    <s v="Yes"/>
    <m/>
    <s v="Yes"/>
    <m/>
    <s v="Yes"/>
    <m/>
    <s v="Yes"/>
    <m/>
    <s v="N/A"/>
    <m/>
    <s v="Yes"/>
    <m/>
    <s v="Yes"/>
    <m/>
    <s v="New"/>
    <s v="INFASCO"/>
    <n v="120"/>
    <n v="123.6"/>
  </r>
  <r>
    <x v="493"/>
    <x v="10"/>
    <x v="79"/>
    <n v="26"/>
    <n v="830"/>
    <n v="21580"/>
    <n v="4"/>
    <s v="Yes"/>
    <m/>
    <s v="Yes"/>
    <m/>
    <s v="Yes"/>
    <m/>
    <s v="Yes"/>
    <m/>
    <s v="N/A"/>
    <m/>
    <s v="Yes"/>
    <m/>
    <s v="Yes"/>
    <m/>
    <s v="New"/>
    <s v="INFASCO"/>
    <n v="95"/>
    <n v="97.85"/>
  </r>
  <r>
    <x v="494"/>
    <x v="1"/>
    <x v="76"/>
    <n v="30"/>
    <n v="4500"/>
    <n v="135000"/>
    <m/>
    <m/>
    <m/>
    <m/>
    <m/>
    <m/>
    <m/>
    <m/>
    <m/>
    <m/>
    <m/>
    <m/>
    <m/>
    <m/>
    <m/>
    <m/>
    <s v="INFASCO"/>
    <m/>
    <n v="97.85"/>
  </r>
  <r>
    <x v="494"/>
    <x v="2"/>
    <x v="86"/>
    <n v="36"/>
    <n v="2500"/>
    <n v="90000"/>
    <m/>
    <m/>
    <m/>
    <m/>
    <m/>
    <m/>
    <m/>
    <m/>
    <m/>
    <m/>
    <m/>
    <m/>
    <m/>
    <m/>
    <m/>
    <m/>
    <s v="INFASCO"/>
    <m/>
    <n v="97.85"/>
  </r>
  <r>
    <x v="494"/>
    <x v="5"/>
    <x v="86"/>
    <n v="36"/>
    <n v="2500"/>
    <n v="90000"/>
    <m/>
    <m/>
    <m/>
    <m/>
    <m/>
    <m/>
    <m/>
    <m/>
    <m/>
    <m/>
    <m/>
    <m/>
    <m/>
    <m/>
    <m/>
    <m/>
    <s v="INFASCO"/>
    <m/>
    <n v="97.85"/>
  </r>
  <r>
    <x v="494"/>
    <x v="4"/>
    <x v="46"/>
    <n v="36"/>
    <n v="2150"/>
    <n v="77400"/>
    <m/>
    <m/>
    <m/>
    <m/>
    <m/>
    <m/>
    <m/>
    <m/>
    <m/>
    <m/>
    <m/>
    <m/>
    <m/>
    <m/>
    <m/>
    <m/>
    <s v="INFASCO"/>
    <m/>
    <n v="97.85"/>
  </r>
  <r>
    <x v="494"/>
    <x v="11"/>
    <x v="46"/>
    <n v="32"/>
    <n v="2150"/>
    <n v="68800"/>
    <m/>
    <m/>
    <m/>
    <m/>
    <m/>
    <m/>
    <m/>
    <m/>
    <m/>
    <m/>
    <m/>
    <m/>
    <m/>
    <m/>
    <m/>
    <m/>
    <s v="INFASCO"/>
    <m/>
    <n v="97.85"/>
  </r>
  <r>
    <x v="494"/>
    <x v="15"/>
    <x v="2"/>
    <n v="23"/>
    <n v="2700"/>
    <n v="62100"/>
    <m/>
    <m/>
    <m/>
    <m/>
    <m/>
    <m/>
    <m/>
    <m/>
    <m/>
    <m/>
    <m/>
    <m/>
    <m/>
    <m/>
    <m/>
    <m/>
    <s v="INFASCO"/>
    <m/>
    <n v="97.85"/>
  </r>
  <r>
    <x v="494"/>
    <x v="6"/>
    <x v="7"/>
    <n v="36"/>
    <n v="700"/>
    <n v="25200"/>
    <m/>
    <m/>
    <m/>
    <m/>
    <m/>
    <m/>
    <m/>
    <m/>
    <m/>
    <m/>
    <m/>
    <m/>
    <m/>
    <m/>
    <m/>
    <m/>
    <s v="INFASCO"/>
    <m/>
    <n v="97.85"/>
  </r>
  <r>
    <x v="494"/>
    <x v="6"/>
    <x v="7"/>
    <n v="36"/>
    <n v="700"/>
    <n v="25200"/>
    <m/>
    <m/>
    <m/>
    <m/>
    <m/>
    <m/>
    <m/>
    <m/>
    <m/>
    <m/>
    <m/>
    <m/>
    <m/>
    <m/>
    <m/>
    <m/>
    <s v="INFASCO"/>
    <m/>
    <n v="97.85"/>
  </r>
  <r>
    <x v="494"/>
    <x v="6"/>
    <x v="7"/>
    <n v="36"/>
    <n v="700"/>
    <n v="25200"/>
    <m/>
    <m/>
    <m/>
    <m/>
    <m/>
    <m/>
    <m/>
    <m/>
    <m/>
    <m/>
    <m/>
    <m/>
    <m/>
    <m/>
    <m/>
    <m/>
    <s v="INFASCO"/>
    <m/>
    <n v="97.85"/>
  </r>
  <r>
    <x v="494"/>
    <x v="7"/>
    <x v="7"/>
    <n v="36"/>
    <n v="700"/>
    <n v="25200"/>
    <m/>
    <m/>
    <m/>
    <m/>
    <m/>
    <m/>
    <m/>
    <m/>
    <m/>
    <m/>
    <m/>
    <m/>
    <m/>
    <m/>
    <m/>
    <m/>
    <s v="INFASCO"/>
    <m/>
    <n v="97.85"/>
  </r>
  <r>
    <x v="494"/>
    <x v="12"/>
    <x v="7"/>
    <n v="36"/>
    <n v="700"/>
    <n v="25200"/>
    <m/>
    <m/>
    <m/>
    <m/>
    <m/>
    <m/>
    <m/>
    <m/>
    <m/>
    <m/>
    <m/>
    <m/>
    <m/>
    <m/>
    <m/>
    <m/>
    <s v="INFASCO"/>
    <m/>
    <n v="97.85"/>
  </r>
  <r>
    <x v="494"/>
    <x v="16"/>
    <x v="151"/>
    <n v="33"/>
    <n v="650"/>
    <n v="21450"/>
    <m/>
    <m/>
    <m/>
    <m/>
    <m/>
    <m/>
    <m/>
    <m/>
    <m/>
    <m/>
    <m/>
    <m/>
    <m/>
    <m/>
    <m/>
    <m/>
    <s v="INFASCO"/>
    <m/>
    <n v="97.85"/>
  </r>
  <r>
    <x v="494"/>
    <x v="17"/>
    <x v="79"/>
    <n v="24"/>
    <n v="830"/>
    <n v="19920"/>
    <n v="162"/>
    <s v="Yes"/>
    <m/>
    <s v="Yes"/>
    <m/>
    <s v="Yes"/>
    <m/>
    <s v="Yes"/>
    <m/>
    <s v="N/A"/>
    <m/>
    <s v="Yes"/>
    <m/>
    <s v="Yes"/>
    <m/>
    <s v="Re-certified"/>
    <s v="INFASCO"/>
    <s v="N/A"/>
    <n v="190"/>
  </r>
  <r>
    <x v="494"/>
    <x v="5"/>
    <x v="86"/>
    <n v="7"/>
    <n v="2500"/>
    <n v="17500"/>
    <m/>
    <m/>
    <m/>
    <m/>
    <m/>
    <m/>
    <m/>
    <m/>
    <m/>
    <m/>
    <m/>
    <m/>
    <m/>
    <m/>
    <m/>
    <m/>
    <s v="INFASCO"/>
    <m/>
    <n v="97.85"/>
  </r>
  <r>
    <x v="494"/>
    <x v="12"/>
    <x v="7"/>
    <n v="22"/>
    <n v="700"/>
    <n v="15400"/>
    <m/>
    <m/>
    <m/>
    <m/>
    <m/>
    <m/>
    <m/>
    <m/>
    <m/>
    <m/>
    <m/>
    <m/>
    <m/>
    <m/>
    <m/>
    <m/>
    <s v="INFASCO"/>
    <m/>
    <n v="97.85"/>
  </r>
  <r>
    <x v="494"/>
    <x v="6"/>
    <x v="55"/>
    <n v="36"/>
    <n v="400"/>
    <n v="14400"/>
    <m/>
    <m/>
    <m/>
    <m/>
    <m/>
    <m/>
    <m/>
    <m/>
    <m/>
    <m/>
    <m/>
    <m/>
    <m/>
    <m/>
    <m/>
    <m/>
    <s v="INFASCO"/>
    <m/>
    <n v="97.85"/>
  </r>
  <r>
    <x v="494"/>
    <x v="12"/>
    <x v="7"/>
    <n v="18"/>
    <n v="700"/>
    <n v="12600"/>
    <m/>
    <m/>
    <m/>
    <m/>
    <m/>
    <m/>
    <m/>
    <m/>
    <m/>
    <m/>
    <m/>
    <m/>
    <m/>
    <m/>
    <m/>
    <m/>
    <s v="INFASCO"/>
    <m/>
    <n v="97.85"/>
  </r>
  <r>
    <x v="494"/>
    <x v="11"/>
    <x v="46"/>
    <n v="5"/>
    <n v="2150"/>
    <n v="10750"/>
    <m/>
    <m/>
    <m/>
    <m/>
    <m/>
    <m/>
    <m/>
    <m/>
    <m/>
    <m/>
    <m/>
    <m/>
    <m/>
    <m/>
    <m/>
    <m/>
    <s v="INFASCO"/>
    <m/>
    <n v="97.85"/>
  </r>
  <r>
    <x v="494"/>
    <x v="10"/>
    <x v="31"/>
    <n v="46"/>
    <n v="210"/>
    <n v="9660"/>
    <m/>
    <m/>
    <m/>
    <m/>
    <m/>
    <m/>
    <m/>
    <m/>
    <m/>
    <m/>
    <m/>
    <m/>
    <m/>
    <m/>
    <m/>
    <m/>
    <s v="INFASCO"/>
    <m/>
    <n v="97.85"/>
  </r>
  <r>
    <x v="494"/>
    <x v="10"/>
    <x v="31"/>
    <n v="36"/>
    <n v="210"/>
    <n v="7560"/>
    <m/>
    <m/>
    <m/>
    <m/>
    <m/>
    <m/>
    <m/>
    <m/>
    <m/>
    <m/>
    <m/>
    <m/>
    <m/>
    <m/>
    <m/>
    <m/>
    <s v="INFASCO"/>
    <m/>
    <n v="97.85"/>
  </r>
  <r>
    <x v="494"/>
    <x v="12"/>
    <x v="7"/>
    <n v="6"/>
    <n v="700"/>
    <n v="4200"/>
    <m/>
    <m/>
    <m/>
    <m/>
    <m/>
    <m/>
    <m/>
    <m/>
    <m/>
    <m/>
    <m/>
    <m/>
    <m/>
    <m/>
    <m/>
    <m/>
    <s v="INFASCO"/>
    <m/>
    <n v="97.85"/>
  </r>
  <r>
    <x v="495"/>
    <x v="18"/>
    <x v="106"/>
    <n v="34"/>
    <n v="2450"/>
    <n v="83300"/>
    <n v="156"/>
    <s v="Yes"/>
    <m/>
    <s v="Yes"/>
    <m/>
    <s v="Yes"/>
    <m/>
    <s v="Yes"/>
    <m/>
    <s v="N/A"/>
    <m/>
    <s v="Yes"/>
    <m/>
    <s v="Yes"/>
    <m/>
    <s v="New"/>
    <s v="INFASCO"/>
    <n v="95"/>
    <n v="97.85"/>
  </r>
  <r>
    <x v="496"/>
    <x v="8"/>
    <x v="80"/>
    <n v="36"/>
    <n v="75"/>
    <n v="2700"/>
    <s v="011+325"/>
    <s v="Yes"/>
    <m/>
    <s v="Yes"/>
    <m/>
    <s v="Yes"/>
    <m/>
    <s v="Yes"/>
    <m/>
    <s v="N/A"/>
    <m/>
    <s v="Yes"/>
    <m/>
    <s v="Yes"/>
    <m/>
    <s v="New"/>
    <s v="INFASCO"/>
    <n v="120"/>
    <n v="123.6"/>
  </r>
  <r>
    <x v="497"/>
    <x v="8"/>
    <x v="80"/>
    <n v="29"/>
    <n v="75"/>
    <n v="2175"/>
    <s v="011+325"/>
    <s v="Yes"/>
    <m/>
    <s v="Yes"/>
    <m/>
    <s v="Yes"/>
    <m/>
    <s v="Yes"/>
    <m/>
    <s v="N/A"/>
    <m/>
    <s v="Yes"/>
    <m/>
    <s v="Yes"/>
    <m/>
    <s v="New"/>
    <s v="INFASCO"/>
    <n v="120"/>
    <n v="123.6"/>
  </r>
  <r>
    <x v="498"/>
    <x v="10"/>
    <x v="42"/>
    <n v="36"/>
    <n v="450"/>
    <n v="16200"/>
    <s v="156+004"/>
    <s v="Yes"/>
    <m/>
    <s v="Yes"/>
    <m/>
    <s v="Yes"/>
    <m/>
    <s v="Yes"/>
    <m/>
    <s v="N/A"/>
    <m/>
    <s v="Yes"/>
    <m/>
    <s v="Yes"/>
    <m/>
    <s v="New"/>
    <s v="INFASCO"/>
    <n v="95"/>
    <n v="97.85"/>
  </r>
  <r>
    <x v="499"/>
    <x v="1"/>
    <x v="76"/>
    <n v="25"/>
    <n v="4500"/>
    <n v="112500"/>
    <m/>
    <m/>
    <m/>
    <m/>
    <m/>
    <m/>
    <m/>
    <m/>
    <m/>
    <m/>
    <m/>
    <m/>
    <m/>
    <m/>
    <m/>
    <m/>
    <s v="INFASCO"/>
    <m/>
    <n v="97.85"/>
  </r>
  <r>
    <x v="499"/>
    <x v="2"/>
    <x v="86"/>
    <n v="36"/>
    <n v="2500"/>
    <n v="90000"/>
    <m/>
    <m/>
    <m/>
    <m/>
    <m/>
    <m/>
    <m/>
    <m/>
    <m/>
    <m/>
    <m/>
    <m/>
    <m/>
    <m/>
    <m/>
    <m/>
    <s v="INFASCO"/>
    <m/>
    <n v="97.85"/>
  </r>
  <r>
    <x v="499"/>
    <x v="5"/>
    <x v="86"/>
    <n v="36"/>
    <n v="2500"/>
    <n v="90000"/>
    <m/>
    <m/>
    <m/>
    <m/>
    <m/>
    <m/>
    <m/>
    <m/>
    <m/>
    <m/>
    <m/>
    <m/>
    <m/>
    <m/>
    <m/>
    <m/>
    <s v="INFASCO"/>
    <m/>
    <n v="97.85"/>
  </r>
  <r>
    <x v="499"/>
    <x v="0"/>
    <x v="0"/>
    <n v="36"/>
    <n v="2500"/>
    <n v="90000"/>
    <m/>
    <m/>
    <m/>
    <m/>
    <m/>
    <m/>
    <m/>
    <m/>
    <m/>
    <m/>
    <m/>
    <m/>
    <m/>
    <m/>
    <m/>
    <m/>
    <s v="INFASCO"/>
    <m/>
    <n v="97.85"/>
  </r>
  <r>
    <x v="499"/>
    <x v="4"/>
    <x v="46"/>
    <n v="36"/>
    <n v="2150"/>
    <n v="77400"/>
    <m/>
    <m/>
    <m/>
    <m/>
    <m/>
    <m/>
    <m/>
    <m/>
    <m/>
    <m/>
    <m/>
    <m/>
    <m/>
    <m/>
    <m/>
    <m/>
    <s v="INFASCO"/>
    <m/>
    <n v="97.85"/>
  </r>
  <r>
    <x v="499"/>
    <x v="4"/>
    <x v="46"/>
    <n v="36"/>
    <n v="2150"/>
    <n v="77400"/>
    <m/>
    <m/>
    <m/>
    <m/>
    <m/>
    <m/>
    <m/>
    <m/>
    <m/>
    <m/>
    <m/>
    <m/>
    <m/>
    <m/>
    <m/>
    <m/>
    <s v="INFASCO"/>
    <m/>
    <n v="97.85"/>
  </r>
  <r>
    <x v="499"/>
    <x v="11"/>
    <x v="46"/>
    <n v="32"/>
    <n v="2150"/>
    <n v="68800"/>
    <m/>
    <m/>
    <m/>
    <m/>
    <m/>
    <m/>
    <m/>
    <m/>
    <m/>
    <m/>
    <m/>
    <m/>
    <m/>
    <m/>
    <m/>
    <m/>
    <s v="INFASCO"/>
    <m/>
    <n v="97.85"/>
  </r>
  <r>
    <x v="499"/>
    <x v="27"/>
    <x v="46"/>
    <n v="25"/>
    <n v="2150"/>
    <n v="53750"/>
    <m/>
    <m/>
    <m/>
    <m/>
    <m/>
    <m/>
    <m/>
    <m/>
    <m/>
    <m/>
    <m/>
    <m/>
    <m/>
    <m/>
    <m/>
    <m/>
    <s v="INFASCO"/>
    <m/>
    <n v="97.85"/>
  </r>
  <r>
    <x v="499"/>
    <x v="9"/>
    <x v="0"/>
    <n v="20"/>
    <n v="2500"/>
    <n v="50000"/>
    <m/>
    <m/>
    <m/>
    <m/>
    <m/>
    <m/>
    <m/>
    <m/>
    <m/>
    <m/>
    <m/>
    <m/>
    <m/>
    <m/>
    <m/>
    <m/>
    <s v="INFASCO"/>
    <m/>
    <n v="97.85"/>
  </r>
  <r>
    <x v="499"/>
    <x v="13"/>
    <x v="5"/>
    <n v="36"/>
    <n v="1000"/>
    <n v="36000"/>
    <m/>
    <m/>
    <m/>
    <m/>
    <m/>
    <m/>
    <m/>
    <m/>
    <m/>
    <m/>
    <m/>
    <m/>
    <m/>
    <m/>
    <m/>
    <m/>
    <s v="INFASCO"/>
    <m/>
    <n v="97.85"/>
  </r>
  <r>
    <x v="499"/>
    <x v="12"/>
    <x v="5"/>
    <n v="36"/>
    <n v="1000"/>
    <n v="36000"/>
    <m/>
    <m/>
    <m/>
    <m/>
    <m/>
    <m/>
    <m/>
    <m/>
    <m/>
    <m/>
    <m/>
    <m/>
    <m/>
    <m/>
    <m/>
    <m/>
    <s v="INFASCO"/>
    <m/>
    <n v="97.85"/>
  </r>
  <r>
    <x v="499"/>
    <x v="7"/>
    <x v="7"/>
    <n v="36"/>
    <n v="700"/>
    <n v="25200"/>
    <m/>
    <m/>
    <m/>
    <m/>
    <m/>
    <m/>
    <m/>
    <m/>
    <m/>
    <m/>
    <m/>
    <m/>
    <m/>
    <m/>
    <m/>
    <m/>
    <s v="INFASCO"/>
    <m/>
    <n v="97.85"/>
  </r>
  <r>
    <x v="499"/>
    <x v="14"/>
    <x v="7"/>
    <n v="36"/>
    <n v="700"/>
    <n v="25200"/>
    <m/>
    <m/>
    <m/>
    <m/>
    <m/>
    <m/>
    <m/>
    <m/>
    <m/>
    <m/>
    <m/>
    <m/>
    <m/>
    <m/>
    <m/>
    <m/>
    <s v="INFASCO"/>
    <m/>
    <n v="97.85"/>
  </r>
  <r>
    <x v="499"/>
    <x v="6"/>
    <x v="5"/>
    <n v="24"/>
    <n v="1000"/>
    <n v="24000"/>
    <m/>
    <m/>
    <m/>
    <m/>
    <m/>
    <m/>
    <m/>
    <m/>
    <m/>
    <m/>
    <m/>
    <m/>
    <m/>
    <m/>
    <m/>
    <m/>
    <s v="INFASCO"/>
    <m/>
    <n v="97.85"/>
  </r>
  <r>
    <x v="499"/>
    <x v="16"/>
    <x v="151"/>
    <n v="36"/>
    <n v="650"/>
    <n v="23400"/>
    <m/>
    <m/>
    <m/>
    <m/>
    <m/>
    <m/>
    <m/>
    <m/>
    <m/>
    <m/>
    <m/>
    <m/>
    <m/>
    <m/>
    <m/>
    <m/>
    <s v="INFASCO"/>
    <m/>
    <n v="97.85"/>
  </r>
  <r>
    <x v="499"/>
    <x v="3"/>
    <x v="7"/>
    <n v="31"/>
    <n v="700"/>
    <n v="21700"/>
    <m/>
    <m/>
    <m/>
    <m/>
    <m/>
    <m/>
    <m/>
    <m/>
    <m/>
    <m/>
    <m/>
    <m/>
    <m/>
    <m/>
    <m/>
    <m/>
    <s v="INFASCO"/>
    <m/>
    <n v="97.85"/>
  </r>
  <r>
    <x v="499"/>
    <x v="26"/>
    <x v="55"/>
    <n v="50"/>
    <n v="400"/>
    <n v="20000"/>
    <m/>
    <m/>
    <m/>
    <m/>
    <m/>
    <m/>
    <m/>
    <m/>
    <m/>
    <m/>
    <m/>
    <m/>
    <m/>
    <m/>
    <m/>
    <m/>
    <s v="INFASCO"/>
    <m/>
    <n v="97.85"/>
  </r>
  <r>
    <x v="499"/>
    <x v="26"/>
    <x v="55"/>
    <n v="50"/>
    <n v="400"/>
    <n v="20000"/>
    <m/>
    <m/>
    <m/>
    <m/>
    <m/>
    <m/>
    <m/>
    <m/>
    <m/>
    <m/>
    <m/>
    <m/>
    <m/>
    <m/>
    <m/>
    <m/>
    <s v="INFASCO"/>
    <m/>
    <n v="97.85"/>
  </r>
  <r>
    <x v="499"/>
    <x v="6"/>
    <x v="55"/>
    <n v="36"/>
    <n v="400"/>
    <n v="14400"/>
    <m/>
    <m/>
    <m/>
    <m/>
    <m/>
    <m/>
    <m/>
    <m/>
    <m/>
    <m/>
    <m/>
    <m/>
    <m/>
    <m/>
    <m/>
    <m/>
    <s v="INFASCO"/>
    <m/>
    <n v="97.85"/>
  </r>
  <r>
    <x v="499"/>
    <x v="6"/>
    <x v="55"/>
    <n v="36"/>
    <n v="400"/>
    <n v="14400"/>
    <m/>
    <m/>
    <m/>
    <m/>
    <m/>
    <m/>
    <m/>
    <m/>
    <m/>
    <m/>
    <m/>
    <m/>
    <m/>
    <m/>
    <m/>
    <m/>
    <s v="INFASCO"/>
    <m/>
    <n v="97.85"/>
  </r>
  <r>
    <x v="499"/>
    <x v="6"/>
    <x v="55"/>
    <n v="36"/>
    <n v="400"/>
    <n v="14400"/>
    <m/>
    <m/>
    <m/>
    <m/>
    <m/>
    <m/>
    <m/>
    <m/>
    <m/>
    <m/>
    <m/>
    <m/>
    <m/>
    <m/>
    <m/>
    <m/>
    <s v="INFASCO"/>
    <m/>
    <n v="97.85"/>
  </r>
  <r>
    <x v="499"/>
    <x v="7"/>
    <x v="5"/>
    <n v="36"/>
    <n v="400"/>
    <n v="14400"/>
    <m/>
    <m/>
    <m/>
    <m/>
    <m/>
    <m/>
    <m/>
    <m/>
    <m/>
    <m/>
    <m/>
    <m/>
    <m/>
    <m/>
    <m/>
    <m/>
    <s v="INFASCO"/>
    <m/>
    <n v="97.85"/>
  </r>
  <r>
    <x v="499"/>
    <x v="26"/>
    <x v="55"/>
    <n v="36"/>
    <n v="400"/>
    <n v="14400"/>
    <m/>
    <m/>
    <m/>
    <m/>
    <m/>
    <m/>
    <m/>
    <m/>
    <m/>
    <m/>
    <m/>
    <m/>
    <m/>
    <m/>
    <m/>
    <m/>
    <s v="INFASCO"/>
    <m/>
    <n v="97.85"/>
  </r>
  <r>
    <x v="499"/>
    <x v="26"/>
    <x v="55"/>
    <n v="36"/>
    <n v="400"/>
    <n v="14400"/>
    <m/>
    <m/>
    <m/>
    <m/>
    <m/>
    <m/>
    <m/>
    <m/>
    <m/>
    <m/>
    <m/>
    <m/>
    <m/>
    <m/>
    <m/>
    <m/>
    <s v="INFASCO"/>
    <m/>
    <n v="97.85"/>
  </r>
  <r>
    <x v="499"/>
    <x v="3"/>
    <x v="55"/>
    <n v="36"/>
    <n v="400"/>
    <n v="14400"/>
    <m/>
    <m/>
    <m/>
    <m/>
    <m/>
    <m/>
    <m/>
    <m/>
    <m/>
    <m/>
    <m/>
    <m/>
    <m/>
    <m/>
    <m/>
    <m/>
    <s v="INFASCO"/>
    <m/>
    <n v="97.85"/>
  </r>
  <r>
    <x v="499"/>
    <x v="8"/>
    <x v="31"/>
    <n v="36"/>
    <n v="210"/>
    <n v="7560"/>
    <m/>
    <m/>
    <m/>
    <m/>
    <m/>
    <m/>
    <m/>
    <m/>
    <m/>
    <m/>
    <m/>
    <m/>
    <m/>
    <m/>
    <m/>
    <m/>
    <s v="INFASCO"/>
    <m/>
    <n v="97.85"/>
  </r>
  <r>
    <x v="500"/>
    <x v="18"/>
    <x v="31"/>
    <n v="36"/>
    <n v="210"/>
    <n v="7560"/>
    <s v="136+156"/>
    <s v="Yes"/>
    <m/>
    <s v="Yes"/>
    <m/>
    <s v="Yes"/>
    <m/>
    <s v="Yes"/>
    <m/>
    <s v="N/A"/>
    <m/>
    <s v="Yes"/>
    <m/>
    <s v="Yes"/>
    <m/>
    <s v="New"/>
    <s v="INFASCO"/>
    <n v="95"/>
    <n v="97.85"/>
  </r>
  <r>
    <x v="501"/>
    <x v="8"/>
    <x v="31"/>
    <n v="36"/>
    <n v="210"/>
    <n v="7560"/>
    <s v="011+325"/>
    <s v="Yes"/>
    <m/>
    <s v="Yes"/>
    <m/>
    <s v="Yes"/>
    <m/>
    <s v="Yes"/>
    <m/>
    <s v="N/A"/>
    <m/>
    <s v="Yes"/>
    <m/>
    <s v="Yes"/>
    <m/>
    <s v="New"/>
    <s v="INFASCO"/>
    <n v="95"/>
    <n v="97.85"/>
  </r>
  <r>
    <x v="502"/>
    <x v="8"/>
    <x v="31"/>
    <n v="36"/>
    <n v="210"/>
    <n v="7560"/>
    <s v="011+325"/>
    <s v="Yes"/>
    <m/>
    <s v="Yes"/>
    <m/>
    <s v="Yes"/>
    <m/>
    <s v="Yes"/>
    <m/>
    <s v="N/A"/>
    <m/>
    <s v="Yes"/>
    <m/>
    <s v="Yes"/>
    <m/>
    <s v="New"/>
    <s v="INFASCO"/>
    <n v="95"/>
    <n v="97.85"/>
  </r>
  <r>
    <x v="503"/>
    <x v="18"/>
    <x v="31"/>
    <n v="36"/>
    <n v="210"/>
    <n v="7560"/>
    <s v="156+136"/>
    <s v="Yes"/>
    <m/>
    <s v="Yes"/>
    <m/>
    <s v="Yes"/>
    <m/>
    <s v="Yes"/>
    <m/>
    <s v="N/A"/>
    <m/>
    <s v="Yes"/>
    <m/>
    <s v="Yes"/>
    <m/>
    <s v="New"/>
    <s v="INFASCO"/>
    <n v="95"/>
    <n v="97.85"/>
  </r>
  <r>
    <x v="504"/>
    <x v="8"/>
    <x v="31"/>
    <n v="36"/>
    <n v="210"/>
    <n v="7560"/>
    <s v="011+325"/>
    <s v="Yes"/>
    <m/>
    <s v="Yes"/>
    <m/>
    <s v="Yes"/>
    <m/>
    <s v="Yes"/>
    <m/>
    <s v="N/A"/>
    <m/>
    <s v="Yes"/>
    <m/>
    <s v="Yes"/>
    <m/>
    <s v="New"/>
    <s v="INFASCO"/>
    <n v="95"/>
    <n v="97.85"/>
  </r>
  <r>
    <x v="505"/>
    <x v="8"/>
    <x v="31"/>
    <n v="36"/>
    <n v="210"/>
    <n v="7560"/>
    <s v="011+325"/>
    <s v="Yes"/>
    <m/>
    <s v="Yes"/>
    <m/>
    <s v="Yes"/>
    <m/>
    <s v="Yes"/>
    <m/>
    <s v="N/A"/>
    <m/>
    <s v="Yes"/>
    <m/>
    <s v="Yes"/>
    <m/>
    <s v="New"/>
    <s v="INFASCO"/>
    <n v="95"/>
    <n v="97.85"/>
  </r>
  <r>
    <x v="506"/>
    <x v="18"/>
    <x v="31"/>
    <n v="36"/>
    <n v="210"/>
    <n v="7560"/>
    <s v="156+HUNG"/>
    <s v="Yes"/>
    <m/>
    <s v="Yes"/>
    <m/>
    <s v="Yes"/>
    <m/>
    <s v="Yes"/>
    <m/>
    <s v="N/A"/>
    <m/>
    <s v="Yes"/>
    <m/>
    <s v="Yes"/>
    <m/>
    <s v="New"/>
    <s v="INFASCO"/>
    <n v="95"/>
    <n v="97.85"/>
  </r>
  <r>
    <x v="507"/>
    <x v="10"/>
    <x v="42"/>
    <n v="36"/>
    <n v="450"/>
    <n v="16200"/>
    <s v="136+298"/>
    <s v="Yes"/>
    <m/>
    <s v="Yes"/>
    <m/>
    <s v="Yes"/>
    <m/>
    <s v="Yes"/>
    <m/>
    <s v="N/A"/>
    <m/>
    <s v="Yes"/>
    <m/>
    <s v="Yes"/>
    <m/>
    <s v="New"/>
    <s v="INFASCO"/>
    <n v="95"/>
    <n v="97.85"/>
  </r>
  <r>
    <x v="508"/>
    <x v="10"/>
    <x v="31"/>
    <n v="36"/>
    <n v="210"/>
    <n v="7560"/>
    <s v="136+298"/>
    <s v="Yes"/>
    <m/>
    <s v="Yes"/>
    <m/>
    <s v="Yes"/>
    <m/>
    <s v="Yes"/>
    <m/>
    <s v="N/A"/>
    <m/>
    <s v="Yes"/>
    <m/>
    <s v="Yes"/>
    <m/>
    <s v="New"/>
    <s v="INFASCO"/>
    <n v="95"/>
    <n v="97.85"/>
  </r>
  <r>
    <x v="509"/>
    <x v="10"/>
    <x v="31"/>
    <n v="36"/>
    <n v="210"/>
    <n v="7560"/>
    <s v="136+298"/>
    <s v="Yes"/>
    <m/>
    <s v="Yes"/>
    <m/>
    <s v="Yes"/>
    <m/>
    <s v="Yes"/>
    <m/>
    <s v="N/A"/>
    <m/>
    <s v="Yes"/>
    <m/>
    <s v="Yes"/>
    <m/>
    <s v="New"/>
    <s v="INFASCO"/>
    <n v="95"/>
    <n v="97.85"/>
  </r>
  <r>
    <x v="510"/>
    <x v="18"/>
    <x v="31"/>
    <n v="33"/>
    <n v="210"/>
    <n v="6930"/>
    <s v="156+HUNG"/>
    <s v="Yes"/>
    <m/>
    <s v="Yes"/>
    <m/>
    <s v="Yes"/>
    <m/>
    <s v="Yes"/>
    <m/>
    <s v="N/A"/>
    <m/>
    <s v="Yes"/>
    <m/>
    <s v="Yes"/>
    <m/>
    <s v="New"/>
    <s v="INFASCO"/>
    <n v="95"/>
    <n v="97.85"/>
  </r>
  <r>
    <x v="511"/>
    <x v="17"/>
    <x v="31"/>
    <n v="36"/>
    <n v="210"/>
    <n v="7560"/>
    <n v="168"/>
    <s v="Yes"/>
    <m/>
    <s v="Yes"/>
    <m/>
    <s v="Yes"/>
    <m/>
    <s v="Yes"/>
    <m/>
    <s v="N/A"/>
    <m/>
    <s v="Yes"/>
    <m/>
    <s v="Yes"/>
    <m/>
    <s v="New"/>
    <s v="INFASCO"/>
    <n v="95"/>
    <n v="97.85"/>
  </r>
  <r>
    <x v="512"/>
    <x v="17"/>
    <x v="151"/>
    <n v="29"/>
    <n v="650"/>
    <n v="18850"/>
    <n v="168"/>
    <s v="Yes"/>
    <m/>
    <s v="Yes"/>
    <m/>
    <s v="Yes"/>
    <m/>
    <s v="Yes"/>
    <m/>
    <s v="N/A"/>
    <m/>
    <s v="Yes"/>
    <m/>
    <s v="Yes"/>
    <m/>
    <s v="New"/>
    <s v="INFASCO"/>
    <n v="95"/>
    <n v="97.85"/>
  </r>
  <r>
    <x v="513"/>
    <x v="17"/>
    <x v="31"/>
    <n v="35"/>
    <n v="210"/>
    <n v="7350"/>
    <s v="156+HUNG"/>
    <s v="Yes"/>
    <m/>
    <s v="Yes"/>
    <m/>
    <s v="Yes"/>
    <m/>
    <s v="Yes"/>
    <m/>
    <s v="N/A"/>
    <m/>
    <s v="Yes"/>
    <m/>
    <s v="Yes"/>
    <m/>
    <s v="New"/>
    <s v="INFASCO"/>
    <n v="95"/>
    <n v="97.85"/>
  </r>
  <r>
    <x v="514"/>
    <x v="17"/>
    <x v="45"/>
    <n v="1"/>
    <n v="1850"/>
    <n v="1850"/>
    <n v="168"/>
    <s v="Yes"/>
    <m/>
    <s v="Yes"/>
    <m/>
    <s v="Yes"/>
    <m/>
    <s v="Yes"/>
    <m/>
    <s v="N/A"/>
    <m/>
    <s v="Yes"/>
    <m/>
    <s v="Yes"/>
    <m/>
    <s v="New"/>
    <s v="INFASCO"/>
    <n v="220"/>
    <n v="226.6"/>
  </r>
  <r>
    <x v="515"/>
    <x v="18"/>
    <x v="61"/>
    <n v="28"/>
    <n v="4000"/>
    <n v="112000"/>
    <s v="156+HUNG"/>
    <s v="Yes"/>
    <m/>
    <s v="Yes"/>
    <m/>
    <s v="Yes"/>
    <m/>
    <s v="Yes"/>
    <m/>
    <s v="N/A"/>
    <m/>
    <s v="Yes"/>
    <m/>
    <s v="Yes"/>
    <m/>
    <s v="New"/>
    <s v="INFASCO"/>
    <n v="95"/>
    <n v="97.85"/>
  </r>
  <r>
    <x v="516"/>
    <x v="10"/>
    <x v="14"/>
    <n v="36"/>
    <n v="175"/>
    <n v="6300"/>
    <n v="168"/>
    <s v="Yes"/>
    <m/>
    <s v="Yes"/>
    <m/>
    <s v="Yes"/>
    <m/>
    <s v="Yes"/>
    <m/>
    <s v="N/A"/>
    <m/>
    <s v="Yes"/>
    <m/>
    <s v="Yes"/>
    <m/>
    <s v="New"/>
    <s v="INFASCO"/>
    <n v="95"/>
    <n v="97.85"/>
  </r>
  <r>
    <x v="517"/>
    <x v="18"/>
    <x v="86"/>
    <n v="36"/>
    <n v="2500"/>
    <n v="90000"/>
    <s v="156+HUNG"/>
    <s v="Yes"/>
    <m/>
    <s v="Yes"/>
    <m/>
    <s v="Yes"/>
    <m/>
    <s v="Yes"/>
    <m/>
    <s v="N/A"/>
    <m/>
    <s v="Yes"/>
    <m/>
    <s v="Yes"/>
    <m/>
    <s v="New"/>
    <s v="INFASCO"/>
    <n v="95"/>
    <n v="97.85"/>
  </r>
  <r>
    <x v="518"/>
    <x v="10"/>
    <x v="32"/>
    <n v="24"/>
    <n v="220"/>
    <n v="5280"/>
    <s v="136+298"/>
    <s v="Yes"/>
    <m/>
    <s v="Yes"/>
    <m/>
    <s v="Yes"/>
    <m/>
    <s v="Yes"/>
    <m/>
    <s v="N/A"/>
    <m/>
    <s v="Yes"/>
    <m/>
    <s v="Yes"/>
    <m/>
    <s v="New"/>
    <s v="INFASCO"/>
    <n v="95"/>
    <n v="97.85"/>
  </r>
  <r>
    <x v="519"/>
    <x v="18"/>
    <x v="86"/>
    <n v="36"/>
    <n v="2500"/>
    <n v="90000"/>
    <s v="156+HUNG"/>
    <s v="Yes"/>
    <m/>
    <s v="Yes"/>
    <m/>
    <s v="Yes"/>
    <m/>
    <s v="Yes"/>
    <m/>
    <s v="N/A"/>
    <m/>
    <s v="Yes"/>
    <m/>
    <s v="Yes"/>
    <m/>
    <s v="New"/>
    <s v="INFASCO"/>
    <n v="95"/>
    <n v="97.85"/>
  </r>
  <r>
    <x v="520"/>
    <x v="10"/>
    <x v="32"/>
    <n v="33"/>
    <n v="220"/>
    <n v="7260"/>
    <s v="136+298"/>
    <s v="Yes"/>
    <m/>
    <s v="Yes"/>
    <m/>
    <s v="Yes"/>
    <m/>
    <s v="Yes"/>
    <m/>
    <s v="N/A"/>
    <m/>
    <s v="Yes"/>
    <m/>
    <s v="Yes"/>
    <m/>
    <s v="New"/>
    <s v="INFASCO"/>
    <n v="95"/>
    <n v="97.85"/>
  </r>
  <r>
    <x v="521"/>
    <x v="8"/>
    <x v="31"/>
    <n v="36"/>
    <n v="210"/>
    <n v="7560"/>
    <s v="011+325"/>
    <s v="Yes"/>
    <m/>
    <s v="Yes"/>
    <m/>
    <s v="Yes"/>
    <m/>
    <s v="Yes"/>
    <m/>
    <s v="N/A"/>
    <m/>
    <s v="Yes"/>
    <m/>
    <s v="Yes"/>
    <m/>
    <s v="New"/>
    <s v="INFASCO"/>
    <n v="95"/>
    <n v="97.85"/>
  </r>
  <r>
    <x v="522"/>
    <x v="8"/>
    <x v="93"/>
    <n v="36"/>
    <n v="250"/>
    <n v="9000"/>
    <s v="011+325"/>
    <s v="Yes"/>
    <m/>
    <s v="Yes"/>
    <m/>
    <s v="Yes"/>
    <m/>
    <s v="Yes"/>
    <m/>
    <s v="N/A"/>
    <m/>
    <s v="Yes"/>
    <m/>
    <s v="Yes"/>
    <m/>
    <s v="New"/>
    <s v="INFASCO"/>
    <n v="120"/>
    <n v="123.6"/>
  </r>
  <r>
    <x v="523"/>
    <x v="8"/>
    <x v="93"/>
    <n v="12"/>
    <n v="250"/>
    <n v="3000"/>
    <s v="011+325"/>
    <s v="Yes"/>
    <m/>
    <s v="Yes"/>
    <m/>
    <s v="Yes"/>
    <m/>
    <s v="Yes"/>
    <m/>
    <s v="N/A"/>
    <m/>
    <s v="Yes"/>
    <m/>
    <s v="Yes"/>
    <m/>
    <s v="New"/>
    <s v="INFASCO"/>
    <n v="120"/>
    <n v="123.6"/>
  </r>
  <r>
    <x v="524"/>
    <x v="18"/>
    <x v="86"/>
    <n v="36"/>
    <n v="2500"/>
    <n v="90000"/>
    <s v="156+HUNG"/>
    <s v="Yes"/>
    <m/>
    <s v="Yes"/>
    <m/>
    <s v="Yes"/>
    <m/>
    <s v="Yes"/>
    <m/>
    <s v="N/A"/>
    <m/>
    <s v="Yes"/>
    <m/>
    <s v="Yes"/>
    <m/>
    <s v="New"/>
    <s v="INFASCO"/>
    <n v="95"/>
    <n v="97.85"/>
  </r>
  <r>
    <x v="525"/>
    <x v="10"/>
    <x v="32"/>
    <n v="31"/>
    <n v="220"/>
    <n v="6820"/>
    <s v="136+298"/>
    <s v="Yes"/>
    <m/>
    <s v="Yes"/>
    <m/>
    <s v="Yes"/>
    <m/>
    <s v="Yes"/>
    <m/>
    <s v="N/A"/>
    <m/>
    <s v="Yes"/>
    <m/>
    <s v="Yes"/>
    <m/>
    <s v="New"/>
    <s v="INFASCO"/>
    <n v="95"/>
    <n v="97.85"/>
  </r>
  <r>
    <x v="526"/>
    <x v="2"/>
    <x v="86"/>
    <n v="36"/>
    <n v="2500"/>
    <n v="90000"/>
    <m/>
    <m/>
    <m/>
    <m/>
    <m/>
    <m/>
    <m/>
    <m/>
    <m/>
    <m/>
    <m/>
    <m/>
    <m/>
    <m/>
    <m/>
    <m/>
    <s v="INFASCO"/>
    <m/>
    <n v="97.85"/>
  </r>
  <r>
    <x v="526"/>
    <x v="4"/>
    <x v="46"/>
    <n v="36"/>
    <n v="2150"/>
    <n v="77400"/>
    <m/>
    <m/>
    <m/>
    <m/>
    <m/>
    <m/>
    <m/>
    <m/>
    <m/>
    <m/>
    <m/>
    <m/>
    <m/>
    <m/>
    <m/>
    <m/>
    <s v="INFASCO"/>
    <m/>
    <n v="97.85"/>
  </r>
  <r>
    <x v="526"/>
    <x v="4"/>
    <x v="46"/>
    <n v="36"/>
    <n v="2150"/>
    <n v="77400"/>
    <m/>
    <m/>
    <m/>
    <m/>
    <m/>
    <m/>
    <m/>
    <m/>
    <m/>
    <m/>
    <m/>
    <m/>
    <m/>
    <m/>
    <m/>
    <m/>
    <s v="INFASCO"/>
    <m/>
    <n v="97.85"/>
  </r>
  <r>
    <x v="526"/>
    <x v="15"/>
    <x v="160"/>
    <n v="18"/>
    <n v="3300"/>
    <n v="59400"/>
    <m/>
    <m/>
    <m/>
    <m/>
    <m/>
    <m/>
    <m/>
    <m/>
    <m/>
    <m/>
    <m/>
    <m/>
    <m/>
    <m/>
    <m/>
    <m/>
    <s v="INFASCO"/>
    <m/>
    <n v="97.85"/>
  </r>
  <r>
    <x v="526"/>
    <x v="6"/>
    <x v="5"/>
    <n v="36"/>
    <n v="1000"/>
    <n v="36000"/>
    <m/>
    <m/>
    <m/>
    <m/>
    <m/>
    <m/>
    <m/>
    <m/>
    <m/>
    <m/>
    <m/>
    <m/>
    <m/>
    <m/>
    <m/>
    <m/>
    <s v="INFASCO"/>
    <m/>
    <n v="97.85"/>
  </r>
  <r>
    <x v="526"/>
    <x v="6"/>
    <x v="5"/>
    <n v="36"/>
    <n v="1000"/>
    <n v="36000"/>
    <m/>
    <m/>
    <m/>
    <m/>
    <m/>
    <m/>
    <m/>
    <m/>
    <m/>
    <m/>
    <m/>
    <m/>
    <m/>
    <m/>
    <m/>
    <m/>
    <s v="INFASCO"/>
    <m/>
    <n v="97.85"/>
  </r>
  <r>
    <x v="526"/>
    <x v="12"/>
    <x v="5"/>
    <n v="25"/>
    <n v="1000"/>
    <n v="25000"/>
    <m/>
    <m/>
    <m/>
    <m/>
    <m/>
    <m/>
    <m/>
    <m/>
    <m/>
    <m/>
    <m/>
    <m/>
    <m/>
    <m/>
    <m/>
    <m/>
    <s v="INFASCO"/>
    <m/>
    <n v="97.85"/>
  </r>
  <r>
    <x v="526"/>
    <x v="16"/>
    <x v="151"/>
    <n v="36"/>
    <n v="650"/>
    <n v="23400"/>
    <m/>
    <m/>
    <m/>
    <m/>
    <m/>
    <m/>
    <m/>
    <m/>
    <m/>
    <m/>
    <m/>
    <m/>
    <m/>
    <m/>
    <m/>
    <m/>
    <s v="INFASCO"/>
    <m/>
    <n v="97.85"/>
  </r>
  <r>
    <x v="526"/>
    <x v="16"/>
    <x v="151"/>
    <n v="36"/>
    <n v="650"/>
    <n v="23400"/>
    <m/>
    <m/>
    <m/>
    <m/>
    <m/>
    <m/>
    <m/>
    <m/>
    <m/>
    <m/>
    <m/>
    <m/>
    <m/>
    <m/>
    <m/>
    <m/>
    <s v="INFASCO"/>
    <m/>
    <n v="97.85"/>
  </r>
  <r>
    <x v="526"/>
    <x v="4"/>
    <x v="10"/>
    <n v="36"/>
    <n v="450"/>
    <n v="16200"/>
    <m/>
    <m/>
    <m/>
    <m/>
    <m/>
    <m/>
    <m/>
    <m/>
    <m/>
    <m/>
    <m/>
    <m/>
    <m/>
    <m/>
    <m/>
    <m/>
    <s v="INFASCO"/>
    <m/>
    <n v="97.85"/>
  </r>
  <r>
    <x v="526"/>
    <x v="6"/>
    <x v="55"/>
    <n v="36"/>
    <n v="400"/>
    <n v="14400"/>
    <m/>
    <m/>
    <m/>
    <m/>
    <m/>
    <m/>
    <m/>
    <m/>
    <m/>
    <m/>
    <m/>
    <m/>
    <m/>
    <m/>
    <m/>
    <m/>
    <s v="INFASCO"/>
    <m/>
    <n v="97.85"/>
  </r>
  <r>
    <x v="527"/>
    <x v="8"/>
    <x v="93"/>
    <n v="36"/>
    <n v="250"/>
    <n v="9000"/>
    <n v="7.746478873239436E-2"/>
    <s v="Yes"/>
    <m/>
    <s v="Yes"/>
    <m/>
    <s v="Yes"/>
    <m/>
    <s v="Yes"/>
    <m/>
    <s v="N/A"/>
    <m/>
    <s v="Yes"/>
    <m/>
    <s v="Yes"/>
    <m/>
    <s v="New"/>
    <s v="INFASCO"/>
    <n v="120"/>
    <n v="123.6"/>
  </r>
  <r>
    <x v="528"/>
    <x v="8"/>
    <x v="93"/>
    <n v="13"/>
    <n v="250"/>
    <n v="3250"/>
    <n v="7.746478873239436E-2"/>
    <s v="Yes"/>
    <m/>
    <s v="Yes"/>
    <m/>
    <s v="Yes"/>
    <m/>
    <s v="Yes"/>
    <m/>
    <s v="N/A"/>
    <m/>
    <s v="Yes"/>
    <m/>
    <s v="Yes"/>
    <m/>
    <s v="New"/>
    <s v="INFASCO"/>
    <n v="120"/>
    <n v="123.6"/>
  </r>
  <r>
    <x v="529"/>
    <x v="8"/>
    <x v="40"/>
    <n v="36"/>
    <n v="850"/>
    <n v="30600"/>
    <n v="7.746478873239436E-2"/>
    <s v="Yes"/>
    <m/>
    <s v="Yes"/>
    <m/>
    <s v="Yes"/>
    <m/>
    <s v="Yes"/>
    <m/>
    <s v="N/A"/>
    <m/>
    <s v="Yes"/>
    <m/>
    <s v="Yes"/>
    <m/>
    <s v="New"/>
    <s v="INFASCO"/>
    <n v="120"/>
    <n v="123.6"/>
  </r>
  <r>
    <x v="530"/>
    <x v="8"/>
    <x v="40"/>
    <n v="18"/>
    <n v="850"/>
    <n v="15300"/>
    <n v="7.746478873239436E-2"/>
    <s v="Yes"/>
    <m/>
    <s v="Yes"/>
    <m/>
    <s v="Yes"/>
    <m/>
    <s v="Yes"/>
    <m/>
    <s v="N/A"/>
    <m/>
    <s v="Yes"/>
    <m/>
    <s v="Yes"/>
    <m/>
    <s v="New"/>
    <s v="INFASCO"/>
    <n v="120"/>
    <n v="123.6"/>
  </r>
  <r>
    <x v="531"/>
    <x v="8"/>
    <x v="156"/>
    <n v="1"/>
    <n v="18000"/>
    <n v="5600"/>
    <n v="7.746478873239436E-2"/>
    <s v="Yes"/>
    <m/>
    <s v="Yes"/>
    <m/>
    <s v="Yes"/>
    <m/>
    <s v="Yes"/>
    <m/>
    <s v="N/A"/>
    <m/>
    <s v="Yes"/>
    <m/>
    <s v="Yes"/>
    <m/>
    <s v="New"/>
    <s v="INFASCO"/>
    <n v="115"/>
    <n v="118.45"/>
  </r>
  <r>
    <x v="532"/>
    <x v="8"/>
    <x v="156"/>
    <n v="1"/>
    <n v="11041"/>
    <n v="11041"/>
    <n v="7.746478873239436E-2"/>
    <s v="Yes"/>
    <m/>
    <s v="Yes"/>
    <m/>
    <s v="Yes"/>
    <m/>
    <s v="Yes"/>
    <m/>
    <s v="N/A"/>
    <m/>
    <s v="Yes"/>
    <m/>
    <s v="Yes"/>
    <m/>
    <s v="New"/>
    <s v="INFASCO"/>
    <n v="115"/>
    <n v="118.45"/>
  </r>
  <r>
    <x v="533"/>
    <x v="10"/>
    <x v="32"/>
    <n v="36"/>
    <n v="220"/>
    <n v="7920"/>
    <s v="156+rupinder"/>
    <s v="Yes"/>
    <m/>
    <s v="Yes"/>
    <m/>
    <s v="Yes"/>
    <m/>
    <s v="Yes"/>
    <m/>
    <s v="N/A"/>
    <m/>
    <s v="Yes"/>
    <m/>
    <s v="Yes"/>
    <m/>
    <s v="New"/>
    <s v="INFASCO"/>
    <n v="95"/>
    <n v="97.85"/>
  </r>
  <r>
    <x v="534"/>
    <x v="10"/>
    <x v="78"/>
    <n v="1"/>
    <n v="35000"/>
    <n v="35000"/>
    <s v="156+rupinder"/>
    <s v="Yes"/>
    <m/>
    <s v="Yes"/>
    <m/>
    <s v="Yes"/>
    <m/>
    <s v="Yes"/>
    <m/>
    <s v="N/A"/>
    <m/>
    <s v="Yes"/>
    <m/>
    <s v="Yes"/>
    <m/>
    <s v="New"/>
    <s v="INFASCO"/>
    <n v="115"/>
    <n v="118.45"/>
  </r>
  <r>
    <x v="535"/>
    <x v="10"/>
    <x v="78"/>
    <n v="1"/>
    <n v="35000"/>
    <n v="35000"/>
    <s v="156+rupinder"/>
    <s v="Yes"/>
    <m/>
    <s v="Yes"/>
    <m/>
    <s v="Yes"/>
    <m/>
    <s v="Yes"/>
    <m/>
    <s v="N/A"/>
    <m/>
    <s v="Yes"/>
    <m/>
    <s v="Yes"/>
    <m/>
    <s v="New"/>
    <s v="INFASCO"/>
    <n v="115"/>
    <n v="118.45"/>
  </r>
  <r>
    <x v="536"/>
    <x v="10"/>
    <x v="78"/>
    <n v="1"/>
    <n v="35000"/>
    <n v="35000"/>
    <s v="156+rupinder"/>
    <s v="Yes"/>
    <m/>
    <s v="Yes"/>
    <m/>
    <s v="Yes"/>
    <m/>
    <s v="Yes"/>
    <m/>
    <s v="N/A"/>
    <m/>
    <s v="Yes"/>
    <m/>
    <s v="Yes"/>
    <m/>
    <s v="New"/>
    <s v="INFASCO"/>
    <n v="115"/>
    <n v="118.45"/>
  </r>
  <r>
    <x v="537"/>
    <x v="10"/>
    <x v="78"/>
    <n v="2"/>
    <n v="56154"/>
    <n v="56154"/>
    <s v="156+rupinder"/>
    <s v="Yes"/>
    <m/>
    <s v="Yes"/>
    <m/>
    <s v="Yes"/>
    <m/>
    <s v="Yes"/>
    <m/>
    <s v="N/A"/>
    <m/>
    <s v="Yes"/>
    <m/>
    <s v="Yes"/>
    <m/>
    <s v="New"/>
    <s v="INFASCO"/>
    <n v="115"/>
    <n v="118.45"/>
  </r>
  <r>
    <x v="538"/>
    <x v="10"/>
    <x v="171"/>
    <n v="33"/>
    <n v="1100"/>
    <n v="36300"/>
    <n v="156"/>
    <s v="Yes"/>
    <m/>
    <s v="Yes"/>
    <m/>
    <s v="Yes"/>
    <m/>
    <s v="Yes"/>
    <m/>
    <s v="N/A"/>
    <m/>
    <s v="Yes"/>
    <m/>
    <s v="Yes"/>
    <m/>
    <s v="New"/>
    <s v="INFASCO"/>
    <n v="95"/>
    <n v="97.85"/>
  </r>
  <r>
    <x v="539"/>
    <x v="10"/>
    <x v="147"/>
    <n v="27"/>
    <n v="3000"/>
    <n v="81000"/>
    <n v="156"/>
    <s v="Yes"/>
    <m/>
    <s v="Yes"/>
    <m/>
    <s v="Yes"/>
    <m/>
    <s v="Yes"/>
    <m/>
    <s v="N/A"/>
    <m/>
    <s v="Yes"/>
    <m/>
    <s v="Yes"/>
    <m/>
    <s v="New"/>
    <s v="INFASCO"/>
    <n v="120"/>
    <n v="123.6"/>
  </r>
  <r>
    <x v="540"/>
    <x v="18"/>
    <x v="86"/>
    <n v="35"/>
    <n v="2500"/>
    <n v="87500"/>
    <n v="162"/>
    <s v="Yes"/>
    <m/>
    <s v="Yes"/>
    <m/>
    <s v="Yes"/>
    <m/>
    <s v="Yes"/>
    <m/>
    <s v="N/A"/>
    <m/>
    <s v="Yes"/>
    <m/>
    <s v="Yes"/>
    <m/>
    <s v="New"/>
    <s v="INFASCO"/>
    <s v="N/A"/>
    <n v="97.85"/>
  </r>
  <r>
    <x v="541"/>
    <x v="18"/>
    <x v="86"/>
    <n v="36"/>
    <n v="2500"/>
    <n v="90000"/>
    <n v="162"/>
    <s v="Yes"/>
    <m/>
    <s v="Yes"/>
    <m/>
    <s v="Yes"/>
    <m/>
    <s v="Yes"/>
    <m/>
    <s v="N/A"/>
    <m/>
    <s v="Yes"/>
    <m/>
    <s v="Yes"/>
    <m/>
    <s v="New"/>
    <s v="INFASCO"/>
    <s v="N/A"/>
    <n v="97.85"/>
  </r>
  <r>
    <x v="542"/>
    <x v="18"/>
    <x v="86"/>
    <n v="36"/>
    <n v="2500"/>
    <n v="90000"/>
    <n v="162"/>
    <s v="Yes"/>
    <m/>
    <s v="Yes"/>
    <m/>
    <s v="Yes"/>
    <m/>
    <s v="Yes"/>
    <m/>
    <s v="N/A"/>
    <m/>
    <s v="Yes"/>
    <m/>
    <s v="Yes"/>
    <m/>
    <s v="New"/>
    <s v="INFASCO"/>
    <s v="N/A"/>
    <n v="97.85"/>
  </r>
  <r>
    <x v="543"/>
    <x v="8"/>
    <x v="147"/>
    <n v="31"/>
    <n v="3000"/>
    <n v="93000"/>
    <n v="7.746478873239436E-2"/>
    <s v="Yes"/>
    <m/>
    <s v="Yes"/>
    <m/>
    <s v="Yes"/>
    <m/>
    <s v="Yes"/>
    <m/>
    <s v="N/A"/>
    <m/>
    <s v="Yes"/>
    <m/>
    <s v="Yes"/>
    <m/>
    <s v="New"/>
    <s v="INFASCO"/>
    <s v="N/A"/>
    <n v="123.6"/>
  </r>
  <r>
    <x v="544"/>
    <x v="10"/>
    <x v="172"/>
    <n v="1"/>
    <n v="2400"/>
    <n v="2400"/>
    <n v="156"/>
    <s v="Yes"/>
    <m/>
    <s v="Yes"/>
    <m/>
    <s v="Yes"/>
    <m/>
    <s v="Yes"/>
    <m/>
    <s v="N/A"/>
    <m/>
    <s v="Yes"/>
    <m/>
    <s v="Yes"/>
    <m/>
    <s v="New"/>
    <s v="INFASCO"/>
    <s v="N/A"/>
    <n v="118.45"/>
  </r>
  <r>
    <x v="545"/>
    <x v="17"/>
    <x v="173"/>
    <n v="24"/>
    <n v="4000"/>
    <n v="96000"/>
    <n v="168"/>
    <s v="Yes"/>
    <m/>
    <s v="Yes"/>
    <m/>
    <s v="Yes"/>
    <m/>
    <s v="Yes"/>
    <m/>
    <s v="N/A"/>
    <m/>
    <s v="Yes"/>
    <m/>
    <s v="Yes"/>
    <m/>
    <s v="New"/>
    <s v="INFASCO"/>
    <n v="95"/>
    <n v="97.85"/>
  </r>
  <r>
    <x v="545"/>
    <x v="9"/>
    <x v="0"/>
    <n v="34"/>
    <n v="2500"/>
    <n v="85000"/>
    <m/>
    <m/>
    <m/>
    <m/>
    <m/>
    <m/>
    <m/>
    <m/>
    <m/>
    <m/>
    <m/>
    <m/>
    <m/>
    <m/>
    <m/>
    <m/>
    <s v="INFASCO"/>
    <m/>
    <n v="97.85"/>
  </r>
  <r>
    <x v="545"/>
    <x v="8"/>
    <x v="45"/>
    <n v="1"/>
    <n v="75000"/>
    <n v="75000"/>
    <m/>
    <m/>
    <m/>
    <m/>
    <m/>
    <m/>
    <m/>
    <m/>
    <m/>
    <m/>
    <m/>
    <m/>
    <m/>
    <m/>
    <m/>
    <m/>
    <s v="INFASCO"/>
    <m/>
    <n v="71.069999999999993"/>
  </r>
  <r>
    <x v="545"/>
    <x v="3"/>
    <x v="87"/>
    <n v="36"/>
    <n v="1250"/>
    <n v="45000"/>
    <m/>
    <m/>
    <m/>
    <m/>
    <m/>
    <m/>
    <m/>
    <m/>
    <m/>
    <m/>
    <m/>
    <m/>
    <m/>
    <m/>
    <m/>
    <m/>
    <s v="INFASCO"/>
    <m/>
    <n v="97.85"/>
  </r>
  <r>
    <x v="545"/>
    <x v="3"/>
    <x v="87"/>
    <n v="32"/>
    <n v="1250"/>
    <n v="40000"/>
    <m/>
    <m/>
    <m/>
    <m/>
    <m/>
    <m/>
    <m/>
    <m/>
    <m/>
    <m/>
    <m/>
    <m/>
    <m/>
    <m/>
    <m/>
    <m/>
    <s v="INFASCO"/>
    <m/>
    <n v="97.85"/>
  </r>
  <r>
    <x v="545"/>
    <x v="26"/>
    <x v="5"/>
    <n v="36"/>
    <n v="1000"/>
    <n v="36000"/>
    <m/>
    <m/>
    <m/>
    <m/>
    <m/>
    <m/>
    <m/>
    <m/>
    <m/>
    <m/>
    <m/>
    <m/>
    <m/>
    <m/>
    <m/>
    <m/>
    <s v="INFASCO"/>
    <m/>
    <n v="97.85"/>
  </r>
  <r>
    <x v="545"/>
    <x v="26"/>
    <x v="5"/>
    <n v="36"/>
    <n v="1000"/>
    <n v="36000"/>
    <m/>
    <m/>
    <m/>
    <m/>
    <m/>
    <m/>
    <m/>
    <m/>
    <m/>
    <m/>
    <m/>
    <m/>
    <m/>
    <m/>
    <m/>
    <m/>
    <s v="INFASCO"/>
    <m/>
    <n v="97.85"/>
  </r>
  <r>
    <x v="545"/>
    <x v="26"/>
    <x v="5"/>
    <n v="36"/>
    <n v="1000"/>
    <n v="36000"/>
    <m/>
    <m/>
    <m/>
    <m/>
    <m/>
    <m/>
    <m/>
    <m/>
    <m/>
    <m/>
    <m/>
    <m/>
    <m/>
    <m/>
    <m/>
    <m/>
    <s v="INFASCO"/>
    <m/>
    <n v="97.85"/>
  </r>
  <r>
    <x v="545"/>
    <x v="13"/>
    <x v="5"/>
    <n v="26"/>
    <n v="1000"/>
    <n v="26000"/>
    <m/>
    <m/>
    <m/>
    <m/>
    <m/>
    <m/>
    <m/>
    <m/>
    <m/>
    <m/>
    <m/>
    <m/>
    <m/>
    <m/>
    <m/>
    <m/>
    <s v="INFASCO"/>
    <m/>
    <n v="97.85"/>
  </r>
  <r>
    <x v="545"/>
    <x v="14"/>
    <x v="7"/>
    <n v="36"/>
    <n v="700"/>
    <n v="25200"/>
    <m/>
    <m/>
    <m/>
    <m/>
    <m/>
    <m/>
    <m/>
    <m/>
    <m/>
    <m/>
    <m/>
    <m/>
    <m/>
    <m/>
    <m/>
    <m/>
    <s v="INFASCO"/>
    <m/>
    <n v="97.85"/>
  </r>
  <r>
    <x v="546"/>
    <x v="1"/>
    <x v="76"/>
    <n v="36"/>
    <n v="4500"/>
    <n v="162000"/>
    <m/>
    <m/>
    <m/>
    <m/>
    <m/>
    <m/>
    <m/>
    <m/>
    <m/>
    <m/>
    <m/>
    <m/>
    <m/>
    <m/>
    <m/>
    <m/>
    <s v="INFASCO"/>
    <m/>
    <n v="97.85"/>
  </r>
  <r>
    <x v="546"/>
    <x v="1"/>
    <x v="76"/>
    <n v="30"/>
    <n v="4500"/>
    <n v="135000"/>
    <m/>
    <m/>
    <m/>
    <m/>
    <m/>
    <m/>
    <m/>
    <m/>
    <m/>
    <m/>
    <m/>
    <m/>
    <m/>
    <m/>
    <m/>
    <m/>
    <s v="INFASCO"/>
    <m/>
    <n v="97.85"/>
  </r>
  <r>
    <x v="546"/>
    <x v="2"/>
    <x v="86"/>
    <n v="36"/>
    <n v="2500"/>
    <n v="90000"/>
    <m/>
    <m/>
    <m/>
    <m/>
    <m/>
    <m/>
    <m/>
    <m/>
    <m/>
    <m/>
    <m/>
    <m/>
    <m/>
    <m/>
    <m/>
    <m/>
    <s v="INFASCO"/>
    <m/>
    <n v="97.85"/>
  </r>
  <r>
    <x v="546"/>
    <x v="15"/>
    <x v="0"/>
    <n v="29"/>
    <n v="2500"/>
    <n v="72500"/>
    <m/>
    <m/>
    <m/>
    <m/>
    <m/>
    <m/>
    <m/>
    <m/>
    <m/>
    <m/>
    <m/>
    <m/>
    <m/>
    <m/>
    <m/>
    <m/>
    <s v="INFASCO"/>
    <m/>
    <n v="97.85"/>
  </r>
  <r>
    <x v="546"/>
    <x v="13"/>
    <x v="0"/>
    <n v="25"/>
    <n v="2500"/>
    <n v="62500"/>
    <m/>
    <m/>
    <m/>
    <m/>
    <m/>
    <m/>
    <m/>
    <m/>
    <m/>
    <m/>
    <m/>
    <m/>
    <m/>
    <m/>
    <m/>
    <m/>
    <s v="INFASCO"/>
    <m/>
    <n v="97.85"/>
  </r>
  <r>
    <x v="546"/>
    <x v="11"/>
    <x v="5"/>
    <n v="36"/>
    <n v="1000"/>
    <n v="36000"/>
    <m/>
    <m/>
    <m/>
    <m/>
    <m/>
    <m/>
    <m/>
    <m/>
    <m/>
    <m/>
    <m/>
    <m/>
    <m/>
    <m/>
    <m/>
    <m/>
    <s v="INFASCO"/>
    <m/>
    <n v="97.85"/>
  </r>
  <r>
    <x v="546"/>
    <x v="11"/>
    <x v="5"/>
    <n v="36"/>
    <n v="1000"/>
    <n v="36000"/>
    <m/>
    <m/>
    <m/>
    <m/>
    <m/>
    <m/>
    <m/>
    <m/>
    <m/>
    <m/>
    <m/>
    <m/>
    <m/>
    <m/>
    <m/>
    <m/>
    <s v="INFASCO"/>
    <m/>
    <n v="97.85"/>
  </r>
  <r>
    <x v="546"/>
    <x v="11"/>
    <x v="5"/>
    <n v="36"/>
    <n v="1000"/>
    <n v="36000"/>
    <m/>
    <m/>
    <m/>
    <m/>
    <m/>
    <m/>
    <m/>
    <m/>
    <m/>
    <m/>
    <m/>
    <m/>
    <m/>
    <m/>
    <m/>
    <m/>
    <s v="INFASCO"/>
    <m/>
    <n v="97.85"/>
  </r>
  <r>
    <x v="546"/>
    <x v="12"/>
    <x v="5"/>
    <n v="36"/>
    <n v="1000"/>
    <n v="36000"/>
    <m/>
    <m/>
    <m/>
    <m/>
    <m/>
    <m/>
    <m/>
    <m/>
    <m/>
    <m/>
    <m/>
    <m/>
    <m/>
    <m/>
    <m/>
    <m/>
    <s v="INFASCO"/>
    <m/>
    <n v="97.85"/>
  </r>
  <r>
    <x v="546"/>
    <x v="15"/>
    <x v="5"/>
    <n v="36"/>
    <n v="1000"/>
    <n v="36000"/>
    <m/>
    <m/>
    <m/>
    <m/>
    <m/>
    <m/>
    <m/>
    <m/>
    <m/>
    <m/>
    <m/>
    <m/>
    <m/>
    <m/>
    <m/>
    <m/>
    <s v="INFASCO"/>
    <m/>
    <n v="97.85"/>
  </r>
  <r>
    <x v="546"/>
    <x v="26"/>
    <x v="5"/>
    <n v="36"/>
    <n v="1000"/>
    <n v="36000"/>
    <m/>
    <m/>
    <m/>
    <m/>
    <m/>
    <m/>
    <m/>
    <m/>
    <m/>
    <m/>
    <m/>
    <m/>
    <m/>
    <m/>
    <m/>
    <m/>
    <s v="INFASCO"/>
    <m/>
    <n v="97.85"/>
  </r>
  <r>
    <x v="546"/>
    <x v="26"/>
    <x v="5"/>
    <n v="36"/>
    <n v="1000"/>
    <n v="36000"/>
    <m/>
    <m/>
    <m/>
    <m/>
    <m/>
    <m/>
    <m/>
    <m/>
    <m/>
    <m/>
    <m/>
    <m/>
    <m/>
    <m/>
    <m/>
    <m/>
    <s v="INFASCO"/>
    <m/>
    <n v="97.85"/>
  </r>
  <r>
    <x v="546"/>
    <x v="26"/>
    <x v="5"/>
    <n v="36"/>
    <n v="1000"/>
    <n v="36000"/>
    <m/>
    <m/>
    <m/>
    <m/>
    <m/>
    <m/>
    <m/>
    <m/>
    <m/>
    <m/>
    <m/>
    <m/>
    <m/>
    <m/>
    <m/>
    <m/>
    <s v="INFASCO"/>
    <m/>
    <n v="97.85"/>
  </r>
  <r>
    <x v="546"/>
    <x v="13"/>
    <x v="5"/>
    <n v="36"/>
    <n v="1000"/>
    <n v="36000"/>
    <m/>
    <m/>
    <m/>
    <m/>
    <m/>
    <m/>
    <m/>
    <m/>
    <m/>
    <m/>
    <m/>
    <m/>
    <m/>
    <m/>
    <m/>
    <m/>
    <s v="INFASCO"/>
    <m/>
    <n v="97.85"/>
  </r>
  <r>
    <x v="546"/>
    <x v="6"/>
    <x v="5"/>
    <n v="36"/>
    <n v="1000"/>
    <n v="36000"/>
    <m/>
    <m/>
    <m/>
    <m/>
    <m/>
    <m/>
    <m/>
    <m/>
    <m/>
    <m/>
    <m/>
    <m/>
    <m/>
    <m/>
    <m/>
    <m/>
    <s v="INFASCO"/>
    <m/>
    <n v="97.85"/>
  </r>
  <r>
    <x v="546"/>
    <x v="6"/>
    <x v="5"/>
    <n v="36"/>
    <n v="1000"/>
    <n v="36000"/>
    <m/>
    <m/>
    <m/>
    <m/>
    <m/>
    <m/>
    <m/>
    <m/>
    <m/>
    <m/>
    <m/>
    <m/>
    <m/>
    <m/>
    <m/>
    <m/>
    <s v="INFASCO"/>
    <m/>
    <n v="97.85"/>
  </r>
  <r>
    <x v="546"/>
    <x v="14"/>
    <x v="7"/>
    <n v="40"/>
    <n v="700"/>
    <n v="28000"/>
    <m/>
    <m/>
    <m/>
    <m/>
    <m/>
    <m/>
    <m/>
    <m/>
    <m/>
    <m/>
    <m/>
    <m/>
    <m/>
    <m/>
    <m/>
    <m/>
    <s v="INFASCO"/>
    <m/>
    <n v="97.85"/>
  </r>
  <r>
    <x v="546"/>
    <x v="3"/>
    <x v="7"/>
    <n v="36"/>
    <n v="700"/>
    <n v="25200"/>
    <m/>
    <m/>
    <m/>
    <m/>
    <m/>
    <m/>
    <m/>
    <m/>
    <m/>
    <m/>
    <m/>
    <m/>
    <m/>
    <m/>
    <m/>
    <m/>
    <s v="INFASCO"/>
    <m/>
    <n v="97.85"/>
  </r>
  <r>
    <x v="546"/>
    <x v="16"/>
    <x v="151"/>
    <n v="36"/>
    <n v="650"/>
    <n v="23400"/>
    <m/>
    <m/>
    <m/>
    <m/>
    <m/>
    <m/>
    <m/>
    <m/>
    <m/>
    <m/>
    <m/>
    <m/>
    <m/>
    <m/>
    <m/>
    <m/>
    <s v="INFASCO"/>
    <m/>
    <n v="97.85"/>
  </r>
  <r>
    <x v="546"/>
    <x v="14"/>
    <x v="7"/>
    <n v="25"/>
    <n v="700"/>
    <n v="17500"/>
    <m/>
    <m/>
    <m/>
    <m/>
    <m/>
    <m/>
    <m/>
    <m/>
    <m/>
    <m/>
    <m/>
    <m/>
    <m/>
    <m/>
    <m/>
    <m/>
    <s v="INFASCO"/>
    <m/>
    <n v="97.85"/>
  </r>
  <r>
    <x v="546"/>
    <x v="7"/>
    <x v="10"/>
    <n v="36"/>
    <n v="450"/>
    <n v="16200"/>
    <m/>
    <m/>
    <m/>
    <m/>
    <m/>
    <m/>
    <m/>
    <m/>
    <m/>
    <m/>
    <m/>
    <m/>
    <m/>
    <m/>
    <m/>
    <m/>
    <s v="INFASCO"/>
    <m/>
    <n v="97.85"/>
  </r>
  <r>
    <x v="546"/>
    <x v="4"/>
    <x v="10"/>
    <n v="36"/>
    <n v="450"/>
    <n v="16200"/>
    <m/>
    <m/>
    <m/>
    <m/>
    <m/>
    <m/>
    <m/>
    <m/>
    <m/>
    <m/>
    <m/>
    <m/>
    <m/>
    <m/>
    <m/>
    <m/>
    <s v="INFASCO"/>
    <m/>
    <n v="97.85"/>
  </r>
  <r>
    <x v="546"/>
    <x v="4"/>
    <x v="10"/>
    <n v="36"/>
    <n v="450"/>
    <n v="16200"/>
    <m/>
    <m/>
    <m/>
    <m/>
    <m/>
    <m/>
    <m/>
    <m/>
    <m/>
    <m/>
    <m/>
    <m/>
    <m/>
    <m/>
    <m/>
    <m/>
    <s v="INFASCO"/>
    <m/>
    <n v="97.85"/>
  </r>
  <r>
    <x v="546"/>
    <x v="4"/>
    <x v="10"/>
    <n v="36"/>
    <n v="450"/>
    <n v="16200"/>
    <m/>
    <m/>
    <m/>
    <m/>
    <m/>
    <m/>
    <m/>
    <m/>
    <m/>
    <m/>
    <m/>
    <m/>
    <m/>
    <m/>
    <m/>
    <m/>
    <s v="INFASCO"/>
    <m/>
    <n v="97.85"/>
  </r>
  <r>
    <x v="546"/>
    <x v="4"/>
    <x v="10"/>
    <n v="36"/>
    <n v="450"/>
    <n v="16200"/>
    <m/>
    <m/>
    <m/>
    <m/>
    <m/>
    <m/>
    <m/>
    <m/>
    <m/>
    <m/>
    <m/>
    <m/>
    <m/>
    <m/>
    <m/>
    <m/>
    <s v="INFASCO"/>
    <m/>
    <n v="97.85"/>
  </r>
  <r>
    <x v="547"/>
    <x v="10"/>
    <x v="172"/>
    <n v="1"/>
    <n v="2497"/>
    <n v="2497"/>
    <s v="156+171"/>
    <s v="Yes"/>
    <m/>
    <s v="Yes"/>
    <m/>
    <s v="Yes"/>
    <m/>
    <s v="Yes"/>
    <m/>
    <s v="N/A"/>
    <m/>
    <s v="Yes"/>
    <m/>
    <s v="Yes"/>
    <m/>
    <s v="New"/>
    <s v="INFASCO"/>
    <s v="N/A"/>
    <n v="118.45"/>
  </r>
  <r>
    <x v="548"/>
    <x v="10"/>
    <x v="172"/>
    <n v="1"/>
    <n v="2433"/>
    <n v="2433"/>
    <s v="156+171"/>
    <s v="Yes"/>
    <m/>
    <s v="Yes"/>
    <m/>
    <s v="Yes"/>
    <m/>
    <s v="Yes"/>
    <m/>
    <s v="N/A"/>
    <m/>
    <s v="Yes"/>
    <m/>
    <s v="Yes"/>
    <m/>
    <s v="New"/>
    <s v="INFASCO"/>
    <s v="N/A"/>
    <n v="118.45"/>
  </r>
  <r>
    <x v="549"/>
    <x v="8"/>
    <x v="40"/>
    <n v="36"/>
    <n v="850"/>
    <n v="30600"/>
    <s v="011+298"/>
    <s v="Yes"/>
    <m/>
    <s v="Yes"/>
    <m/>
    <s v="Yes"/>
    <m/>
    <s v="Yes"/>
    <m/>
    <s v="N/A"/>
    <m/>
    <s v="Yes"/>
    <m/>
    <s v="Yes"/>
    <m/>
    <s v="New"/>
    <s v="INFASCO"/>
    <n v="120"/>
    <n v="123.6"/>
  </r>
  <r>
    <x v="550"/>
    <x v="8"/>
    <x v="40"/>
    <n v="15"/>
    <n v="850"/>
    <n v="12750"/>
    <s v="011+298"/>
    <s v="Yes"/>
    <m/>
    <s v="Yes"/>
    <m/>
    <s v="Yes"/>
    <m/>
    <s v="Yes"/>
    <m/>
    <s v="N/A"/>
    <m/>
    <s v="Yes"/>
    <m/>
    <s v="Yes"/>
    <m/>
    <s v="New"/>
    <s v="INFASCO"/>
    <n v="120"/>
    <n v="123.6"/>
  </r>
  <r>
    <x v="551"/>
    <x v="8"/>
    <x v="129"/>
    <n v="36"/>
    <n v="250"/>
    <n v="9000"/>
    <s v="011+298"/>
    <s v="Yes"/>
    <m/>
    <s v="Yes"/>
    <m/>
    <s v="Yes"/>
    <m/>
    <s v="Yes"/>
    <m/>
    <s v="N/A"/>
    <m/>
    <s v="Yes"/>
    <m/>
    <s v="Yes"/>
    <m/>
    <s v="New"/>
    <s v="INFASCO"/>
    <n v="95"/>
    <n v="97.85"/>
  </r>
  <r>
    <x v="552"/>
    <x v="10"/>
    <x v="172"/>
    <n v="1"/>
    <n v="2700"/>
    <n v="2700"/>
    <s v="156+171"/>
    <s v="Yes"/>
    <m/>
    <s v="Yes"/>
    <m/>
    <s v="Yes"/>
    <m/>
    <s v="Yes"/>
    <m/>
    <s v="N/A"/>
    <m/>
    <s v="Yes"/>
    <m/>
    <s v="Yes"/>
    <m/>
    <s v="New"/>
    <s v="INFASCO"/>
    <s v="N/A"/>
    <n v="118.45"/>
  </r>
  <r>
    <x v="553"/>
    <x v="10"/>
    <x v="172"/>
    <n v="1"/>
    <n v="2700"/>
    <n v="2700"/>
    <s v="156+171"/>
    <s v="Yes"/>
    <m/>
    <s v="Yes"/>
    <m/>
    <s v="Yes"/>
    <m/>
    <s v="Yes"/>
    <m/>
    <s v="N/A"/>
    <m/>
    <s v="Yes"/>
    <m/>
    <s v="Yes"/>
    <m/>
    <s v="New"/>
    <s v="INFASCO"/>
    <s v="N/A"/>
    <n v="118.45"/>
  </r>
  <r>
    <x v="554"/>
    <x v="10"/>
    <x v="172"/>
    <n v="1"/>
    <n v="2700"/>
    <n v="2700"/>
    <s v="156+171"/>
    <s v="Yes"/>
    <m/>
    <s v="Yes"/>
    <m/>
    <s v="Yes"/>
    <m/>
    <s v="Yes"/>
    <m/>
    <s v="N/A"/>
    <m/>
    <s v="Yes"/>
    <m/>
    <s v="Yes"/>
    <m/>
    <s v="New"/>
    <s v="INFASCO"/>
    <s v="N/A"/>
    <n v="118.45"/>
  </r>
  <r>
    <x v="555"/>
    <x v="10"/>
    <x v="172"/>
    <n v="1"/>
    <n v="2700"/>
    <n v="2700"/>
    <s v="156+171"/>
    <s v="Yes"/>
    <m/>
    <s v="Yes"/>
    <m/>
    <s v="Yes"/>
    <m/>
    <s v="Yes"/>
    <m/>
    <s v="N/A"/>
    <m/>
    <s v="Yes"/>
    <m/>
    <s v="Yes"/>
    <m/>
    <s v="New"/>
    <s v="INFASCO"/>
    <s v="N/A"/>
    <n v="118.45"/>
  </r>
  <r>
    <x v="556"/>
    <x v="10"/>
    <x v="172"/>
    <n v="1"/>
    <n v="2700"/>
    <n v="2700"/>
    <s v="156+171"/>
    <s v="Yes"/>
    <m/>
    <s v="Yes"/>
    <m/>
    <s v="Yes"/>
    <m/>
    <s v="Yes"/>
    <m/>
    <s v="N/A"/>
    <m/>
    <s v="Yes"/>
    <m/>
    <s v="Yes"/>
    <m/>
    <s v="New"/>
    <s v="INFASCO"/>
    <s v="N/A"/>
    <n v="118.45"/>
  </r>
  <r>
    <x v="557"/>
    <x v="8"/>
    <x v="111"/>
    <n v="46"/>
    <n v="1600"/>
    <n v="73600"/>
    <s v="011+298"/>
    <s v="Yes"/>
    <m/>
    <s v="Yes"/>
    <m/>
    <s v="Yes"/>
    <m/>
    <s v="Yes"/>
    <m/>
    <s v="N/A"/>
    <m/>
    <s v="Yes"/>
    <m/>
    <s v="Yes"/>
    <m/>
    <s v="New"/>
    <s v="INFASCO"/>
    <n v="110"/>
    <n v="110"/>
  </r>
  <r>
    <x v="558"/>
    <x v="8"/>
    <x v="111"/>
    <n v="36"/>
    <n v="1600"/>
    <n v="57600"/>
    <s v="011+298"/>
    <s v="Yes"/>
    <m/>
    <s v="Yes"/>
    <m/>
    <s v="Yes"/>
    <m/>
    <s v="Yes"/>
    <m/>
    <s v="N/A"/>
    <m/>
    <s v="Yes"/>
    <m/>
    <s v="Yes"/>
    <m/>
    <s v="New"/>
    <s v="INFASCO"/>
    <n v="110"/>
    <n v="110"/>
  </r>
  <r>
    <x v="559"/>
    <x v="10"/>
    <x v="172"/>
    <n v="1"/>
    <n v="2700"/>
    <n v="2700"/>
    <s v="156+171"/>
    <s v="Yes"/>
    <m/>
    <s v="Yes"/>
    <m/>
    <s v="Yes"/>
    <m/>
    <s v="Yes"/>
    <m/>
    <s v="N/A"/>
    <m/>
    <s v="Yes"/>
    <m/>
    <s v="Yes"/>
    <m/>
    <s v="New"/>
    <s v="INFASCO"/>
    <s v="N/A"/>
    <n v="118.45"/>
  </r>
  <r>
    <x v="560"/>
    <x v="10"/>
    <x v="172"/>
    <n v="1"/>
    <n v="1500"/>
    <n v="1500"/>
    <s v="156+171"/>
    <s v="Yes"/>
    <m/>
    <s v="Yes"/>
    <m/>
    <s v="Yes"/>
    <m/>
    <s v="Yes"/>
    <m/>
    <s v="N/A"/>
    <m/>
    <s v="Yes"/>
    <m/>
    <s v="Yes"/>
    <m/>
    <s v="New"/>
    <s v="INFASCO"/>
    <s v="N/A"/>
    <n v="118.45"/>
  </r>
  <r>
    <x v="561"/>
    <x v="8"/>
    <x v="129"/>
    <n v="31"/>
    <n v="250"/>
    <n v="7750"/>
    <s v="011+298"/>
    <s v="Yes"/>
    <m/>
    <s v="Yes"/>
    <m/>
    <s v="Yes"/>
    <m/>
    <s v="Yes"/>
    <m/>
    <s v="N/A"/>
    <m/>
    <s v="Yes"/>
    <m/>
    <s v="Yes"/>
    <m/>
    <s v="New"/>
    <s v="INFASCO"/>
    <n v="95"/>
    <n v="97.85"/>
  </r>
  <r>
    <x v="562"/>
    <x v="8"/>
    <x v="32"/>
    <n v="36"/>
    <n v="220"/>
    <n v="7920"/>
    <s v="011+298"/>
    <s v="Yes"/>
    <m/>
    <s v="Yes"/>
    <m/>
    <s v="Yes"/>
    <m/>
    <s v="Yes"/>
    <m/>
    <s v="N/A"/>
    <m/>
    <s v="Yes"/>
    <m/>
    <s v="Yes"/>
    <m/>
    <s v="New"/>
    <s v="INFASCO"/>
    <n v="95"/>
    <n v="97.85"/>
  </r>
  <r>
    <x v="563"/>
    <x v="10"/>
    <x v="172"/>
    <n v="1"/>
    <n v="1200"/>
    <n v="1200"/>
    <n v="156"/>
    <s v="Yes"/>
    <m/>
    <s v="Yes"/>
    <m/>
    <s v="Yes"/>
    <m/>
    <s v="Yes"/>
    <m/>
    <s v="N/A"/>
    <m/>
    <s v="Yes"/>
    <m/>
    <s v="Yes"/>
    <m/>
    <s v="New"/>
    <s v="INFASCO"/>
    <s v="N/A"/>
    <n v="118.45"/>
  </r>
  <r>
    <x v="564"/>
    <x v="8"/>
    <x v="32"/>
    <n v="30"/>
    <n v="220"/>
    <n v="6600"/>
    <s v="011+298"/>
    <s v="Yes"/>
    <m/>
    <s v="Yes"/>
    <m/>
    <s v="Yes"/>
    <m/>
    <s v="Yes"/>
    <m/>
    <s v="N/A"/>
    <m/>
    <s v="Yes"/>
    <m/>
    <s v="Yes"/>
    <m/>
    <s v="New"/>
    <s v="INFASCO"/>
    <n v="95"/>
    <n v="97.85"/>
  </r>
  <r>
    <x v="565"/>
    <x v="8"/>
    <x v="29"/>
    <n v="33"/>
    <n v="500"/>
    <n v="16500"/>
    <s v="011+298"/>
    <s v="Yes"/>
    <m/>
    <s v="Yes"/>
    <m/>
    <s v="Yes"/>
    <m/>
    <s v="Yes"/>
    <m/>
    <s v="N/A"/>
    <m/>
    <s v="Yes"/>
    <m/>
    <s v="Yes"/>
    <m/>
    <s v="New"/>
    <s v="INFASCO"/>
    <n v="95"/>
    <n v="97.85"/>
  </r>
  <r>
    <x v="565"/>
    <x v="10"/>
    <x v="172"/>
    <n v="1"/>
    <n v="2500"/>
    <n v="2500"/>
    <m/>
    <m/>
    <m/>
    <m/>
    <m/>
    <m/>
    <m/>
    <m/>
    <m/>
    <m/>
    <m/>
    <m/>
    <m/>
    <m/>
    <m/>
    <m/>
    <s v="INFASCO"/>
    <m/>
    <n v="118.45"/>
  </r>
  <r>
    <x v="565"/>
    <x v="10"/>
    <x v="172"/>
    <n v="1"/>
    <n v="1000"/>
    <n v="1000"/>
    <m/>
    <m/>
    <m/>
    <m/>
    <m/>
    <m/>
    <m/>
    <m/>
    <m/>
    <m/>
    <m/>
    <m/>
    <m/>
    <m/>
    <m/>
    <m/>
    <s v="INFASCO"/>
    <m/>
    <n v="118.45"/>
  </r>
  <r>
    <x v="565"/>
    <x v="10"/>
    <x v="172"/>
    <n v="1"/>
    <n v="390"/>
    <n v="390"/>
    <m/>
    <m/>
    <m/>
    <m/>
    <m/>
    <m/>
    <m/>
    <m/>
    <m/>
    <m/>
    <m/>
    <m/>
    <m/>
    <m/>
    <m/>
    <m/>
    <s v="INFASCO"/>
    <m/>
    <n v="118.45"/>
  </r>
  <r>
    <x v="566"/>
    <x v="5"/>
    <x v="86"/>
    <n v="36"/>
    <n v="2500"/>
    <n v="90000"/>
    <m/>
    <m/>
    <m/>
    <m/>
    <m/>
    <m/>
    <m/>
    <m/>
    <m/>
    <m/>
    <m/>
    <m/>
    <m/>
    <m/>
    <m/>
    <m/>
    <s v="INFASCO"/>
    <m/>
    <n v="97.85"/>
  </r>
  <r>
    <x v="566"/>
    <x v="5"/>
    <x v="86"/>
    <n v="36"/>
    <n v="2500"/>
    <n v="90000"/>
    <m/>
    <m/>
    <m/>
    <m/>
    <m/>
    <m/>
    <m/>
    <m/>
    <m/>
    <m/>
    <m/>
    <m/>
    <m/>
    <m/>
    <m/>
    <m/>
    <s v="INFASCO"/>
    <m/>
    <n v="97.85"/>
  </r>
  <r>
    <x v="566"/>
    <x v="2"/>
    <x v="86"/>
    <n v="36"/>
    <n v="2500"/>
    <n v="90000"/>
    <m/>
    <m/>
    <m/>
    <m/>
    <m/>
    <m/>
    <m/>
    <m/>
    <m/>
    <m/>
    <m/>
    <m/>
    <m/>
    <m/>
    <m/>
    <m/>
    <s v="INFASCO"/>
    <m/>
    <n v="97.85"/>
  </r>
  <r>
    <x v="566"/>
    <x v="1"/>
    <x v="76"/>
    <n v="19"/>
    <n v="4500"/>
    <n v="85500"/>
    <m/>
    <m/>
    <m/>
    <m/>
    <m/>
    <m/>
    <m/>
    <m/>
    <m/>
    <m/>
    <m/>
    <m/>
    <m/>
    <m/>
    <m/>
    <m/>
    <s v="INFASCO"/>
    <m/>
    <n v="97.85"/>
  </r>
  <r>
    <x v="566"/>
    <x v="15"/>
    <x v="0"/>
    <n v="30"/>
    <n v="2500"/>
    <n v="75000"/>
    <m/>
    <m/>
    <m/>
    <m/>
    <m/>
    <m/>
    <m/>
    <m/>
    <m/>
    <m/>
    <m/>
    <m/>
    <m/>
    <m/>
    <m/>
    <m/>
    <s v="INFASCO"/>
    <m/>
    <n v="97.85"/>
  </r>
  <r>
    <x v="566"/>
    <x v="9"/>
    <x v="0"/>
    <n v="23"/>
    <n v="2500"/>
    <n v="57500"/>
    <m/>
    <m/>
    <m/>
    <m/>
    <m/>
    <m/>
    <m/>
    <m/>
    <m/>
    <m/>
    <m/>
    <m/>
    <m/>
    <m/>
    <m/>
    <m/>
    <s v="INFASCO"/>
    <m/>
    <n v="97.85"/>
  </r>
  <r>
    <x v="566"/>
    <x v="1"/>
    <x v="46"/>
    <n v="26"/>
    <n v="2150"/>
    <n v="55900"/>
    <m/>
    <m/>
    <m/>
    <m/>
    <m/>
    <m/>
    <m/>
    <m/>
    <m/>
    <m/>
    <m/>
    <m/>
    <m/>
    <m/>
    <m/>
    <m/>
    <s v="INFASCO"/>
    <m/>
    <n v="97.85"/>
  </r>
  <r>
    <x v="566"/>
    <x v="7"/>
    <x v="87"/>
    <n v="36"/>
    <n v="1250"/>
    <n v="45000"/>
    <m/>
    <m/>
    <m/>
    <m/>
    <m/>
    <m/>
    <m/>
    <m/>
    <m/>
    <m/>
    <m/>
    <m/>
    <m/>
    <m/>
    <m/>
    <m/>
    <s v="INFASCO"/>
    <m/>
    <n v="97.85"/>
  </r>
  <r>
    <x v="566"/>
    <x v="4"/>
    <x v="119"/>
    <n v="36"/>
    <n v="1200"/>
    <n v="43200"/>
    <m/>
    <m/>
    <m/>
    <m/>
    <m/>
    <m/>
    <m/>
    <m/>
    <m/>
    <m/>
    <m/>
    <m/>
    <m/>
    <m/>
    <m/>
    <m/>
    <s v="INFASCO"/>
    <m/>
    <n v="97.85"/>
  </r>
  <r>
    <x v="566"/>
    <x v="4"/>
    <x v="119"/>
    <n v="36"/>
    <n v="1200"/>
    <n v="43200"/>
    <m/>
    <m/>
    <m/>
    <m/>
    <m/>
    <m/>
    <m/>
    <m/>
    <m/>
    <m/>
    <m/>
    <m/>
    <m/>
    <m/>
    <m/>
    <m/>
    <s v="INFASCO"/>
    <m/>
    <n v="97.85"/>
  </r>
  <r>
    <x v="566"/>
    <x v="3"/>
    <x v="19"/>
    <n v="34"/>
    <n v="1200"/>
    <n v="40800"/>
    <m/>
    <m/>
    <m/>
    <m/>
    <m/>
    <m/>
    <m/>
    <m/>
    <m/>
    <m/>
    <m/>
    <m/>
    <m/>
    <m/>
    <m/>
    <m/>
    <s v="INFASCO"/>
    <m/>
    <n v="97.85"/>
  </r>
  <r>
    <x v="566"/>
    <x v="6"/>
    <x v="5"/>
    <n v="36"/>
    <n v="1000"/>
    <n v="36000"/>
    <m/>
    <m/>
    <m/>
    <m/>
    <m/>
    <m/>
    <m/>
    <m/>
    <m/>
    <m/>
    <m/>
    <m/>
    <m/>
    <m/>
    <m/>
    <m/>
    <s v="INFASCO"/>
    <m/>
    <n v="97.85"/>
  </r>
  <r>
    <x v="566"/>
    <x v="26"/>
    <x v="5"/>
    <n v="36"/>
    <n v="1000"/>
    <n v="36000"/>
    <m/>
    <m/>
    <m/>
    <m/>
    <m/>
    <m/>
    <m/>
    <m/>
    <m/>
    <m/>
    <m/>
    <m/>
    <m/>
    <m/>
    <m/>
    <m/>
    <s v="INFASCO"/>
    <m/>
    <n v="97.85"/>
  </r>
  <r>
    <x v="566"/>
    <x v="11"/>
    <x v="7"/>
    <n v="36"/>
    <n v="700"/>
    <n v="25200"/>
    <m/>
    <m/>
    <m/>
    <m/>
    <m/>
    <m/>
    <m/>
    <m/>
    <m/>
    <m/>
    <m/>
    <m/>
    <m/>
    <m/>
    <m/>
    <m/>
    <s v="INFASCO"/>
    <m/>
    <n v="97.85"/>
  </r>
  <r>
    <x v="566"/>
    <x v="12"/>
    <x v="7"/>
    <n v="36"/>
    <n v="700"/>
    <n v="25200"/>
    <m/>
    <m/>
    <m/>
    <m/>
    <m/>
    <m/>
    <m/>
    <m/>
    <m/>
    <m/>
    <m/>
    <m/>
    <m/>
    <m/>
    <m/>
    <m/>
    <s v="INFASCO"/>
    <m/>
    <n v="97.85"/>
  </r>
  <r>
    <x v="566"/>
    <x v="6"/>
    <x v="7"/>
    <n v="36"/>
    <n v="700"/>
    <n v="25200"/>
    <m/>
    <m/>
    <m/>
    <m/>
    <m/>
    <m/>
    <m/>
    <m/>
    <m/>
    <m/>
    <m/>
    <m/>
    <m/>
    <m/>
    <m/>
    <m/>
    <s v="INFASCO"/>
    <m/>
    <n v="97.85"/>
  </r>
  <r>
    <x v="566"/>
    <x v="6"/>
    <x v="7"/>
    <n v="36"/>
    <n v="700"/>
    <n v="25200"/>
    <m/>
    <m/>
    <m/>
    <m/>
    <m/>
    <m/>
    <m/>
    <m/>
    <m/>
    <m/>
    <m/>
    <m/>
    <m/>
    <m/>
    <m/>
    <m/>
    <s v="INFASCO"/>
    <m/>
    <n v="97.85"/>
  </r>
  <r>
    <x v="566"/>
    <x v="26"/>
    <x v="7"/>
    <n v="36"/>
    <n v="700"/>
    <n v="25200"/>
    <m/>
    <m/>
    <m/>
    <m/>
    <m/>
    <m/>
    <m/>
    <m/>
    <m/>
    <m/>
    <m/>
    <m/>
    <m/>
    <m/>
    <m/>
    <m/>
    <s v="INFASCO"/>
    <m/>
    <n v="97.85"/>
  </r>
  <r>
    <x v="566"/>
    <x v="26"/>
    <x v="7"/>
    <n v="36"/>
    <n v="700"/>
    <n v="25200"/>
    <m/>
    <m/>
    <m/>
    <m/>
    <m/>
    <m/>
    <m/>
    <m/>
    <m/>
    <m/>
    <m/>
    <m/>
    <m/>
    <m/>
    <m/>
    <m/>
    <s v="INFASCO"/>
    <m/>
    <n v="97.85"/>
  </r>
  <r>
    <x v="566"/>
    <x v="11"/>
    <x v="5"/>
    <n v="21"/>
    <n v="1000"/>
    <n v="21000"/>
    <m/>
    <m/>
    <m/>
    <m/>
    <m/>
    <m/>
    <m/>
    <m/>
    <m/>
    <m/>
    <m/>
    <m/>
    <m/>
    <m/>
    <m/>
    <m/>
    <s v="INFASCO"/>
    <m/>
    <n v="97.85"/>
  </r>
  <r>
    <x v="566"/>
    <x v="12"/>
    <x v="7"/>
    <n v="30"/>
    <n v="700"/>
    <n v="21000"/>
    <m/>
    <m/>
    <m/>
    <m/>
    <m/>
    <m/>
    <m/>
    <m/>
    <m/>
    <m/>
    <m/>
    <m/>
    <m/>
    <m/>
    <m/>
    <m/>
    <s v="INFASCO"/>
    <m/>
    <n v="97.85"/>
  </r>
  <r>
    <x v="566"/>
    <x v="14"/>
    <x v="7"/>
    <n v="28"/>
    <n v="700"/>
    <n v="19600"/>
    <m/>
    <m/>
    <m/>
    <m/>
    <m/>
    <m/>
    <m/>
    <m/>
    <m/>
    <m/>
    <m/>
    <m/>
    <m/>
    <m/>
    <m/>
    <m/>
    <s v="INFASCO"/>
    <m/>
    <n v="97.85"/>
  </r>
  <r>
    <x v="566"/>
    <x v="11"/>
    <x v="7"/>
    <n v="28"/>
    <n v="700"/>
    <n v="19600"/>
    <m/>
    <m/>
    <m/>
    <m/>
    <m/>
    <m/>
    <m/>
    <m/>
    <m/>
    <m/>
    <m/>
    <m/>
    <m/>
    <m/>
    <m/>
    <m/>
    <s v="INFASCO"/>
    <m/>
    <n v="97.85"/>
  </r>
  <r>
    <x v="566"/>
    <x v="16"/>
    <x v="10"/>
    <n v="36"/>
    <n v="450"/>
    <n v="16200"/>
    <m/>
    <m/>
    <m/>
    <m/>
    <m/>
    <m/>
    <m/>
    <m/>
    <m/>
    <m/>
    <m/>
    <m/>
    <m/>
    <m/>
    <m/>
    <m/>
    <s v="INFASCO"/>
    <m/>
    <n v="97.85"/>
  </r>
  <r>
    <x v="566"/>
    <x v="14"/>
    <x v="7"/>
    <n v="21"/>
    <n v="700"/>
    <n v="14700"/>
    <m/>
    <m/>
    <m/>
    <m/>
    <m/>
    <m/>
    <m/>
    <m/>
    <m/>
    <m/>
    <m/>
    <m/>
    <m/>
    <m/>
    <m/>
    <m/>
    <s v="INFASCO"/>
    <m/>
    <n v="97.85"/>
  </r>
  <r>
    <x v="566"/>
    <x v="13"/>
    <x v="5"/>
    <n v="13"/>
    <n v="1000"/>
    <n v="13000"/>
    <m/>
    <m/>
    <m/>
    <m/>
    <m/>
    <m/>
    <m/>
    <m/>
    <m/>
    <m/>
    <m/>
    <m/>
    <m/>
    <m/>
    <m/>
    <m/>
    <s v="INFASCO"/>
    <m/>
    <n v="97.85"/>
  </r>
  <r>
    <x v="566"/>
    <x v="12"/>
    <x v="5"/>
    <n v="10"/>
    <n v="700"/>
    <n v="7000"/>
    <m/>
    <m/>
    <m/>
    <m/>
    <m/>
    <m/>
    <m/>
    <m/>
    <m/>
    <m/>
    <m/>
    <m/>
    <m/>
    <m/>
    <m/>
    <m/>
    <s v="INFASCO"/>
    <m/>
    <n v="97.85"/>
  </r>
  <r>
    <x v="567"/>
    <x v="10"/>
    <x v="29"/>
    <n v="36"/>
    <n v="500"/>
    <n v="18000"/>
    <n v="156"/>
    <s v="Yes"/>
    <m/>
    <s v="Yes"/>
    <m/>
    <s v="Yes"/>
    <m/>
    <s v="Yes"/>
    <m/>
    <s v="N/A"/>
    <m/>
    <s v="Yes"/>
    <m/>
    <s v="Yes"/>
    <m/>
    <s v="New"/>
    <s v="INFASCO"/>
    <n v="95"/>
    <n v="97.85"/>
  </r>
  <r>
    <x v="568"/>
    <x v="8"/>
    <x v="29"/>
    <n v="20"/>
    <n v="500"/>
    <n v="10000"/>
    <s v="156+298"/>
    <s v="Yes"/>
    <m/>
    <s v="Yes"/>
    <m/>
    <s v="Yes"/>
    <m/>
    <s v="Yes"/>
    <m/>
    <s v="N/A"/>
    <m/>
    <s v="Yes"/>
    <m/>
    <s v="Yes"/>
    <m/>
    <s v="New"/>
    <s v="INFASCO"/>
    <n v="95"/>
    <n v="97.85"/>
  </r>
  <r>
    <x v="569"/>
    <x v="8"/>
    <x v="31"/>
    <n v="36"/>
    <n v="210"/>
    <n v="7560"/>
    <s v="156+298"/>
    <s v="Yes"/>
    <m/>
    <s v="Yes"/>
    <m/>
    <s v="Yes"/>
    <m/>
    <s v="Yes"/>
    <m/>
    <s v="N/A"/>
    <m/>
    <s v="Yes"/>
    <m/>
    <s v="Yes"/>
    <m/>
    <s v="New"/>
    <s v="INFASCO"/>
    <n v="95"/>
    <n v="97.85"/>
  </r>
  <r>
    <x v="570"/>
    <x v="10"/>
    <x v="29"/>
    <n v="36"/>
    <n v="500"/>
    <n v="18000"/>
    <n v="171"/>
    <s v="Yes"/>
    <m/>
    <s v="Yes"/>
    <m/>
    <s v="Yes"/>
    <m/>
    <s v="Yes"/>
    <m/>
    <s v="N/A"/>
    <m/>
    <s v="Yes"/>
    <m/>
    <s v="Yes"/>
    <m/>
    <s v="New"/>
    <s v="INFASCO"/>
    <n v="95"/>
    <n v="97.85"/>
  </r>
  <r>
    <x v="571"/>
    <x v="8"/>
    <x v="31"/>
    <n v="36"/>
    <n v="210"/>
    <n v="7560"/>
    <s v="156+298"/>
    <s v="Yes"/>
    <m/>
    <s v="Yes"/>
    <m/>
    <s v="Yes"/>
    <m/>
    <s v="Yes"/>
    <m/>
    <s v="N/A"/>
    <m/>
    <s v="Yes"/>
    <m/>
    <s v="Yes"/>
    <m/>
    <s v="New"/>
    <s v="INFASCO"/>
    <n v="95"/>
    <n v="97.85"/>
  </r>
  <r>
    <x v="572"/>
    <x v="8"/>
    <x v="31"/>
    <n v="36"/>
    <n v="210"/>
    <n v="7560"/>
    <s v="156+298"/>
    <s v="Yes"/>
    <m/>
    <s v="Yes"/>
    <m/>
    <s v="Yes"/>
    <m/>
    <s v="Yes"/>
    <m/>
    <s v="N/A"/>
    <m/>
    <s v="Yes"/>
    <m/>
    <s v="Yes"/>
    <m/>
    <s v="New"/>
    <s v="INFASCO"/>
    <n v="95"/>
    <n v="97.85"/>
  </r>
  <r>
    <x v="573"/>
    <x v="8"/>
    <x v="31"/>
    <n v="40"/>
    <n v="210"/>
    <n v="8400"/>
    <s v="156+298"/>
    <s v="Yes"/>
    <m/>
    <s v="Yes"/>
    <m/>
    <s v="Yes"/>
    <m/>
    <s v="Yes"/>
    <m/>
    <s v="N/A"/>
    <m/>
    <s v="Yes"/>
    <m/>
    <s v="Yes"/>
    <m/>
    <s v="New"/>
    <s v="INFASCO"/>
    <n v="95"/>
    <n v="97.85"/>
  </r>
  <r>
    <x v="574"/>
    <x v="10"/>
    <x v="31"/>
    <n v="36"/>
    <n v="210"/>
    <n v="7560"/>
    <s v="Huong + 171"/>
    <s v="Yes"/>
    <m/>
    <s v="Yes"/>
    <m/>
    <s v="Yes"/>
    <m/>
    <s v="Yes"/>
    <m/>
    <s v="N/A"/>
    <m/>
    <s v="Yes"/>
    <m/>
    <s v="Yes"/>
    <m/>
    <s v="New"/>
    <s v="INFASCO"/>
    <n v="95"/>
    <n v="97.85"/>
  </r>
  <r>
    <x v="575"/>
    <x v="10"/>
    <x v="31"/>
    <n v="35"/>
    <n v="210"/>
    <n v="7350"/>
    <s v="Huong + 171"/>
    <s v="Yes"/>
    <m/>
    <s v="Yes"/>
    <m/>
    <s v="Yes"/>
    <m/>
    <s v="Yes"/>
    <m/>
    <s v="N/A"/>
    <m/>
    <s v="Yes"/>
    <m/>
    <s v="Yes"/>
    <m/>
    <s v="New"/>
    <s v="INFASCO"/>
    <n v="95"/>
    <n v="97.85"/>
  </r>
  <r>
    <x v="576"/>
    <x v="8"/>
    <x v="134"/>
    <n v="36"/>
    <n v="750"/>
    <n v="27000"/>
    <s v="156+298"/>
    <s v="Yes"/>
    <m/>
    <s v="Yes"/>
    <m/>
    <s v="Yes"/>
    <m/>
    <s v="Yes"/>
    <m/>
    <s v="N/A"/>
    <m/>
    <s v="Yes"/>
    <m/>
    <s v="Yes"/>
    <m/>
    <s v="New"/>
    <s v="INFASCO"/>
    <n v="120"/>
    <n v="123.6"/>
  </r>
  <r>
    <x v="577"/>
    <x v="8"/>
    <x v="134"/>
    <n v="29"/>
    <n v="750"/>
    <n v="21750"/>
    <s v="156+298"/>
    <s v="Yes"/>
    <m/>
    <s v="Yes"/>
    <m/>
    <s v="Yes"/>
    <m/>
    <s v="Yes"/>
    <m/>
    <s v="N/A"/>
    <m/>
    <s v="Yes"/>
    <m/>
    <s v="Yes"/>
    <m/>
    <s v="New"/>
    <s v="INFASCO"/>
    <n v="120"/>
    <n v="123.6"/>
  </r>
  <r>
    <x v="578"/>
    <x v="10"/>
    <x v="133"/>
    <n v="30"/>
    <n v="200"/>
    <n v="6000"/>
    <s v="Huong+171"/>
    <s v="Yes"/>
    <m/>
    <s v="Yes"/>
    <m/>
    <s v="Yes"/>
    <m/>
    <s v="Yes"/>
    <m/>
    <s v="N/A"/>
    <m/>
    <s v="Yes"/>
    <m/>
    <s v="Yes"/>
    <m/>
    <s v="New"/>
    <s v="INFASCO"/>
    <n v="120"/>
    <n v="123.6"/>
  </r>
  <r>
    <x v="579"/>
    <x v="8"/>
    <x v="79"/>
    <n v="24"/>
    <n v="830"/>
    <n v="19920"/>
    <s v="156+298"/>
    <s v="Yes"/>
    <m/>
    <s v="Yes"/>
    <m/>
    <s v="Yes"/>
    <m/>
    <s v="Yes"/>
    <m/>
    <s v="N/A"/>
    <m/>
    <s v="Yes"/>
    <m/>
    <s v="Yes"/>
    <m/>
    <s v="New"/>
    <s v="INFASCO"/>
    <n v="95"/>
    <n v="97.85"/>
  </r>
  <r>
    <x v="580"/>
    <x v="10"/>
    <x v="79"/>
    <n v="36"/>
    <n v="830"/>
    <n v="29880"/>
    <s v="Huong+171"/>
    <s v="Yes"/>
    <m/>
    <s v="Yes"/>
    <m/>
    <s v="Yes"/>
    <m/>
    <s v="Yes"/>
    <m/>
    <s v="N/A"/>
    <m/>
    <s v="Yes"/>
    <m/>
    <s v="Yes"/>
    <m/>
    <s v="New"/>
    <s v="INFASCO"/>
    <n v="95"/>
    <n v="97.85"/>
  </r>
  <r>
    <x v="581"/>
    <x v="8"/>
    <x v="29"/>
    <n v="33"/>
    <n v="500"/>
    <n v="16500"/>
    <s v="156+298"/>
    <s v="Yes"/>
    <m/>
    <s v="Yes"/>
    <m/>
    <s v="Yes"/>
    <m/>
    <s v="Yes"/>
    <m/>
    <s v="N/A"/>
    <m/>
    <s v="Yes"/>
    <m/>
    <s v="Yes"/>
    <m/>
    <s v="New"/>
    <s v="INFASCO"/>
    <n v="95"/>
    <n v="97.85"/>
  </r>
  <r>
    <x v="582"/>
    <x v="8"/>
    <x v="29"/>
    <n v="29"/>
    <n v="500"/>
    <n v="14500"/>
    <s v="156+298"/>
    <s v="Yes"/>
    <m/>
    <s v="Yes"/>
    <m/>
    <s v="Yes"/>
    <m/>
    <s v="Yes"/>
    <m/>
    <s v="N/A"/>
    <m/>
    <s v="Yes"/>
    <m/>
    <s v="Yes"/>
    <m/>
    <s v="New"/>
    <s v="INFASCO"/>
    <n v="95"/>
    <n v="97.85"/>
  </r>
  <r>
    <x v="583"/>
    <x v="10"/>
    <x v="29"/>
    <n v="32"/>
    <n v="500"/>
    <n v="16000"/>
    <s v="Huong+171"/>
    <s v="Yes"/>
    <m/>
    <s v="Yes"/>
    <m/>
    <s v="Yes"/>
    <m/>
    <s v="Yes"/>
    <m/>
    <s v="N/A"/>
    <m/>
    <s v="Yes"/>
    <m/>
    <s v="Yes"/>
    <m/>
    <s v="New"/>
    <s v="INFASCO"/>
    <n v="95"/>
    <n v="97.85"/>
  </r>
  <r>
    <x v="584"/>
    <x v="8"/>
    <x v="29"/>
    <n v="30"/>
    <n v="500"/>
    <n v="15000"/>
    <s v="156+298"/>
    <s v="Yes"/>
    <m/>
    <s v="Yes"/>
    <m/>
    <s v="Yes"/>
    <m/>
    <s v="Yes"/>
    <m/>
    <s v="N/A"/>
    <m/>
    <s v="Yes"/>
    <m/>
    <s v="Yes"/>
    <m/>
    <s v="New"/>
    <s v="INFASCO"/>
    <n v="95"/>
    <n v="97.85"/>
  </r>
  <r>
    <x v="585"/>
    <x v="18"/>
    <x v="86"/>
    <n v="36"/>
    <n v="3500"/>
    <n v="126000"/>
    <m/>
    <m/>
    <m/>
    <m/>
    <m/>
    <m/>
    <m/>
    <m/>
    <m/>
    <m/>
    <m/>
    <m/>
    <m/>
    <m/>
    <m/>
    <m/>
    <s v="INFASCO"/>
    <m/>
    <n v="97.85"/>
  </r>
  <r>
    <x v="585"/>
    <x v="18"/>
    <x v="86"/>
    <n v="36"/>
    <n v="2500"/>
    <n v="90000"/>
    <m/>
    <m/>
    <m/>
    <m/>
    <m/>
    <m/>
    <m/>
    <m/>
    <m/>
    <m/>
    <m/>
    <m/>
    <m/>
    <m/>
    <m/>
    <m/>
    <s v="INFASCO"/>
    <m/>
    <n v="97.85"/>
  </r>
  <r>
    <x v="585"/>
    <x v="18"/>
    <x v="86"/>
    <n v="36"/>
    <n v="2500"/>
    <n v="90000"/>
    <m/>
    <m/>
    <m/>
    <m/>
    <m/>
    <m/>
    <m/>
    <m/>
    <m/>
    <m/>
    <m/>
    <m/>
    <m/>
    <m/>
    <m/>
    <m/>
    <s v="INFASCO"/>
    <m/>
    <n v="97.85"/>
  </r>
  <r>
    <x v="585"/>
    <x v="18"/>
    <x v="86"/>
    <n v="36"/>
    <n v="2500"/>
    <n v="90000"/>
    <m/>
    <m/>
    <m/>
    <m/>
    <m/>
    <m/>
    <m/>
    <m/>
    <m/>
    <m/>
    <m/>
    <m/>
    <m/>
    <m/>
    <m/>
    <m/>
    <s v="INFASCO"/>
    <m/>
    <n v="97.85"/>
  </r>
  <r>
    <x v="585"/>
    <x v="18"/>
    <x v="86"/>
    <n v="36"/>
    <n v="2500"/>
    <n v="90000"/>
    <m/>
    <m/>
    <m/>
    <m/>
    <m/>
    <m/>
    <m/>
    <m/>
    <m/>
    <m/>
    <m/>
    <m/>
    <m/>
    <m/>
    <m/>
    <m/>
    <s v="INFASCO"/>
    <m/>
    <n v="97.85"/>
  </r>
  <r>
    <x v="585"/>
    <x v="18"/>
    <x v="69"/>
    <n v="22"/>
    <n v="3800"/>
    <n v="83600"/>
    <m/>
    <m/>
    <m/>
    <m/>
    <m/>
    <m/>
    <m/>
    <m/>
    <m/>
    <m/>
    <m/>
    <m/>
    <m/>
    <m/>
    <m/>
    <m/>
    <s v="INFASCO"/>
    <m/>
    <n v="97.85"/>
  </r>
  <r>
    <x v="585"/>
    <x v="18"/>
    <x v="86"/>
    <n v="35"/>
    <n v="250"/>
    <n v="8750"/>
    <m/>
    <m/>
    <m/>
    <m/>
    <m/>
    <m/>
    <m/>
    <m/>
    <m/>
    <m/>
    <m/>
    <m/>
    <m/>
    <m/>
    <m/>
    <m/>
    <s v="INFASCO"/>
    <m/>
    <n v="97.85"/>
  </r>
  <r>
    <x v="585"/>
    <x v="8"/>
    <x v="58"/>
    <n v="10"/>
    <n v="200"/>
    <n v="2000"/>
    <s v="156+298"/>
    <s v="Yes"/>
    <m/>
    <s v="Yes"/>
    <m/>
    <s v="Yes"/>
    <m/>
    <s v="Yes"/>
    <m/>
    <s v="N/A"/>
    <m/>
    <s v="Yes"/>
    <m/>
    <s v="Yes"/>
    <m/>
    <s v="New"/>
    <s v="INFASCO"/>
    <n v="120"/>
    <n v="123.6"/>
  </r>
  <r>
    <x v="586"/>
    <x v="10"/>
    <x v="58"/>
    <n v="36"/>
    <n v="200"/>
    <n v="7200"/>
    <s v="Huong+171"/>
    <s v="Yes"/>
    <m/>
    <s v="Yes"/>
    <m/>
    <s v="Yes"/>
    <m/>
    <s v="Yes"/>
    <m/>
    <s v="N/A"/>
    <m/>
    <s v="Yes"/>
    <m/>
    <s v="Yes"/>
    <m/>
    <s v="New"/>
    <s v="INFASCO"/>
    <n v="120"/>
    <n v="123.6"/>
  </r>
  <r>
    <x v="587"/>
    <x v="18"/>
    <x v="36"/>
    <n v="36"/>
    <n v="4000"/>
    <n v="144000"/>
    <m/>
    <m/>
    <m/>
    <m/>
    <m/>
    <m/>
    <m/>
    <m/>
    <m/>
    <m/>
    <m/>
    <m/>
    <m/>
    <m/>
    <m/>
    <m/>
    <s v="INFASCO"/>
    <m/>
    <n v="123.6"/>
  </r>
  <r>
    <x v="587"/>
    <x v="18"/>
    <x v="69"/>
    <n v="41"/>
    <n v="1900"/>
    <n v="77900"/>
    <m/>
    <m/>
    <m/>
    <m/>
    <m/>
    <m/>
    <m/>
    <m/>
    <m/>
    <m/>
    <m/>
    <m/>
    <m/>
    <m/>
    <m/>
    <m/>
    <s v="INFASCO"/>
    <m/>
    <n v="97.85"/>
  </r>
  <r>
    <x v="587"/>
    <x v="18"/>
    <x v="69"/>
    <n v="36"/>
    <n v="1900"/>
    <n v="68400"/>
    <m/>
    <m/>
    <m/>
    <m/>
    <m/>
    <m/>
    <m/>
    <m/>
    <m/>
    <m/>
    <m/>
    <m/>
    <m/>
    <m/>
    <m/>
    <m/>
    <s v="INFASCO"/>
    <m/>
    <n v="97.85"/>
  </r>
  <r>
    <x v="588"/>
    <x v="10"/>
    <x v="58"/>
    <n v="14"/>
    <n v="200"/>
    <n v="2800"/>
    <s v="156+183"/>
    <s v="Yes"/>
    <m/>
    <s v="Yes"/>
    <m/>
    <s v="Yes"/>
    <m/>
    <s v="Yes"/>
    <m/>
    <s v="N/A"/>
    <m/>
    <s v="Yes"/>
    <m/>
    <s v="Yes"/>
    <m/>
    <s v="New"/>
    <s v="INFASCO"/>
    <n v="120"/>
    <n v="123.6"/>
  </r>
  <r>
    <x v="589"/>
    <x v="10"/>
    <x v="49"/>
    <n v="31"/>
    <n v="1400"/>
    <n v="43400"/>
    <s v="183+171"/>
    <s v="Yes"/>
    <m/>
    <s v="Yes"/>
    <m/>
    <s v="Yes"/>
    <m/>
    <s v="Yes"/>
    <m/>
    <s v="N/A"/>
    <m/>
    <s v="Yes"/>
    <m/>
    <s v="Yes"/>
    <m/>
    <s v="New"/>
    <s v="INFASCO"/>
    <n v="95"/>
    <n v="97.85"/>
  </r>
  <r>
    <x v="590"/>
    <x v="17"/>
    <x v="49"/>
    <n v="33"/>
    <n v="1400"/>
    <n v="46200"/>
    <s v="156+177"/>
    <s v="Yes"/>
    <m/>
    <s v="Yes"/>
    <m/>
    <s v="Yes"/>
    <m/>
    <s v="Yes"/>
    <m/>
    <s v="N/A"/>
    <m/>
    <s v="Yes"/>
    <m/>
    <s v="Yes"/>
    <m/>
    <s v="New"/>
    <s v="INFASCO"/>
    <n v="95"/>
    <n v="97.85"/>
  </r>
  <r>
    <x v="591"/>
    <x v="8"/>
    <x v="40"/>
    <n v="36"/>
    <n v="850"/>
    <n v="30600"/>
    <s v="011+298"/>
    <s v="Yes"/>
    <m/>
    <s v="Yes"/>
    <m/>
    <s v="Yes"/>
    <m/>
    <s v="Yes"/>
    <m/>
    <s v="N/A"/>
    <m/>
    <s v="Yes"/>
    <m/>
    <s v="Yes"/>
    <m/>
    <s v="New"/>
    <s v="INFASCO"/>
    <n v="120"/>
    <n v="123.6"/>
  </r>
  <r>
    <x v="592"/>
    <x v="8"/>
    <x v="40"/>
    <n v="16"/>
    <n v="850"/>
    <n v="13600"/>
    <s v="011+298"/>
    <s v="Yes"/>
    <m/>
    <s v="Yes"/>
    <m/>
    <s v="Yes"/>
    <m/>
    <s v="Yes"/>
    <m/>
    <s v="N/A"/>
    <m/>
    <s v="Yes"/>
    <m/>
    <s v="Yes"/>
    <m/>
    <s v="New"/>
    <s v="INFASCO"/>
    <n v="120"/>
    <n v="123.6"/>
  </r>
  <r>
    <x v="593"/>
    <x v="10"/>
    <x v="48"/>
    <n v="1"/>
    <n v="65000"/>
    <n v="65000"/>
    <s v="183+171"/>
    <s v="Yes"/>
    <m/>
    <s v="Yes"/>
    <m/>
    <s v="Yes"/>
    <m/>
    <s v="Yes"/>
    <m/>
    <s v="N/A"/>
    <m/>
    <s v="Yes"/>
    <m/>
    <s v="Yes"/>
    <m/>
    <s v="New"/>
    <s v="INFASCO"/>
    <n v="115"/>
    <n v="118.45"/>
  </r>
  <r>
    <x v="594"/>
    <x v="10"/>
    <x v="48"/>
    <n v="1"/>
    <n v="65775"/>
    <n v="65775"/>
    <s v="183+171"/>
    <s v="Yes"/>
    <m/>
    <s v="Yes"/>
    <m/>
    <s v="Yes"/>
    <m/>
    <s v="Yes"/>
    <m/>
    <s v="N/A"/>
    <m/>
    <s v="Yes"/>
    <m/>
    <s v="Yes"/>
    <m/>
    <s v="New"/>
    <s v="INFASCO"/>
    <n v="115"/>
    <n v="118.45"/>
  </r>
  <r>
    <x v="595"/>
    <x v="8"/>
    <x v="122"/>
    <n v="18"/>
    <n v="170"/>
    <n v="3060"/>
    <s v="011+298"/>
    <s v="Yes"/>
    <m/>
    <s v="Yes"/>
    <m/>
    <s v="Yes"/>
    <m/>
    <s v="Yes"/>
    <m/>
    <s v="N/A"/>
    <m/>
    <s v="Yes"/>
    <m/>
    <s v="Yes"/>
    <m/>
    <s v="New"/>
    <s v="INFASCO"/>
    <n v="95"/>
    <n v="97.85"/>
  </r>
  <r>
    <x v="596"/>
    <x v="8"/>
    <x v="122"/>
    <n v="40"/>
    <n v="170"/>
    <n v="6800"/>
    <s v="011+298"/>
    <s v="Yes"/>
    <m/>
    <s v="Yes"/>
    <m/>
    <s v="Yes"/>
    <m/>
    <s v="Yes"/>
    <m/>
    <s v="N/A"/>
    <m/>
    <s v="Yes"/>
    <m/>
    <s v="Yes"/>
    <m/>
    <s v="New"/>
    <s v="INFASCO"/>
    <n v="95"/>
    <n v="97.85"/>
  </r>
  <r>
    <x v="597"/>
    <x v="8"/>
    <x v="45"/>
    <n v="1"/>
    <n v="1850"/>
    <n v="1850"/>
    <s v="011+298"/>
    <s v="Yes"/>
    <m/>
    <s v="Yes"/>
    <m/>
    <s v="Yes"/>
    <m/>
    <s v="Yes"/>
    <m/>
    <s v="N/A"/>
    <m/>
    <s v="Yes"/>
    <m/>
    <s v="Yes"/>
    <m/>
    <s v="New"/>
    <s v="INFASCO"/>
    <n v="220"/>
    <n v="71.069999999999993"/>
  </r>
  <r>
    <x v="598"/>
    <x v="17"/>
    <x v="174"/>
    <n v="36"/>
    <n v="1125"/>
    <n v="40500"/>
    <n v="156"/>
    <s v="Yes"/>
    <m/>
    <s v="Yes"/>
    <m/>
    <s v="Yes"/>
    <m/>
    <s v="Yes"/>
    <m/>
    <s v="N/A"/>
    <m/>
    <s v="Yes"/>
    <m/>
    <s v="Yes"/>
    <m/>
    <s v="New"/>
    <s v="INFASCO"/>
    <n v="120"/>
    <n v="123.6"/>
  </r>
  <r>
    <x v="599"/>
    <x v="17"/>
    <x v="174"/>
    <n v="20"/>
    <n v="1125"/>
    <n v="22500"/>
    <n v="156"/>
    <s v="Yes"/>
    <m/>
    <s v="Yes"/>
    <m/>
    <s v="Yes"/>
    <m/>
    <s v="Yes"/>
    <m/>
    <s v="N/A"/>
    <m/>
    <s v="Yes"/>
    <m/>
    <s v="Yes"/>
    <m/>
    <s v="New"/>
    <s v="INFASCO"/>
    <n v="120"/>
    <n v="123.6"/>
  </r>
  <r>
    <x v="600"/>
    <x v="8"/>
    <x v="45"/>
    <n v="1"/>
    <n v="1850"/>
    <n v="1850"/>
    <s v="011+298"/>
    <s v="Yes"/>
    <m/>
    <s v="Yes"/>
    <m/>
    <s v="Yes"/>
    <m/>
    <s v="Yes"/>
    <m/>
    <s v="N/A"/>
    <m/>
    <s v="Yes"/>
    <m/>
    <s v="Yes"/>
    <m/>
    <s v="New"/>
    <s v="INFASCO"/>
    <n v="220"/>
    <n v="71.069999999999993"/>
  </r>
  <r>
    <x v="601"/>
    <x v="10"/>
    <x v="166"/>
    <n v="36"/>
    <n v="1400"/>
    <n v="50400"/>
    <s v="183+171"/>
    <s v="Yes"/>
    <m/>
    <s v="Yes"/>
    <m/>
    <s v="Yes"/>
    <m/>
    <s v="Yes"/>
    <m/>
    <s v="N/A"/>
    <m/>
    <s v="Yes"/>
    <m/>
    <s v="Yes"/>
    <m/>
    <s v="New"/>
    <s v="INFASCO"/>
    <n v="95"/>
    <n v="97.85"/>
  </r>
  <r>
    <x v="602"/>
    <x v="10"/>
    <x v="166"/>
    <n v="35"/>
    <n v="1400"/>
    <n v="49000"/>
    <s v="183+171"/>
    <s v="Yes"/>
    <m/>
    <s v="Yes"/>
    <m/>
    <s v="Yes"/>
    <m/>
    <s v="Yes"/>
    <m/>
    <s v="N/A"/>
    <m/>
    <s v="Yes"/>
    <m/>
    <s v="Yes"/>
    <m/>
    <s v="New"/>
    <s v="INFASCO"/>
    <n v="95"/>
    <n v="97.85"/>
  </r>
  <r>
    <x v="603"/>
    <x v="8"/>
    <x v="36"/>
    <n v="36"/>
    <n v="4000"/>
    <n v="144000"/>
    <s v="011+298"/>
    <s v="Yes"/>
    <m/>
    <s v="Yes"/>
    <m/>
    <s v="Yes"/>
    <m/>
    <s v="Yes"/>
    <m/>
    <s v="N/A"/>
    <m/>
    <s v="Yes"/>
    <m/>
    <s v="Yes"/>
    <m/>
    <s v="New"/>
    <s v="INFASCO"/>
    <n v="120"/>
    <n v="123.6"/>
  </r>
  <r>
    <x v="604"/>
    <x v="18"/>
    <x v="60"/>
    <n v="36"/>
    <n v="5500"/>
    <n v="198000"/>
    <m/>
    <m/>
    <m/>
    <m/>
    <m/>
    <m/>
    <m/>
    <m/>
    <m/>
    <m/>
    <m/>
    <m/>
    <m/>
    <m/>
    <m/>
    <m/>
    <s v="INFASCO"/>
    <m/>
    <n v="123.6"/>
  </r>
  <r>
    <x v="604"/>
    <x v="18"/>
    <x v="36"/>
    <n v="28"/>
    <n v="4000"/>
    <n v="112000"/>
    <m/>
    <m/>
    <m/>
    <m/>
    <m/>
    <m/>
    <m/>
    <m/>
    <m/>
    <m/>
    <m/>
    <m/>
    <m/>
    <m/>
    <m/>
    <m/>
    <s v="INFASCO"/>
    <m/>
    <n v="123.6"/>
  </r>
  <r>
    <x v="604"/>
    <x v="18"/>
    <x v="60"/>
    <n v="19"/>
    <n v="5500"/>
    <n v="104500"/>
    <m/>
    <m/>
    <m/>
    <m/>
    <m/>
    <m/>
    <m/>
    <m/>
    <m/>
    <m/>
    <m/>
    <m/>
    <m/>
    <m/>
    <m/>
    <m/>
    <s v="INFASCO"/>
    <m/>
    <n v="123.6"/>
  </r>
  <r>
    <x v="604"/>
    <x v="5"/>
    <x v="2"/>
    <n v="36"/>
    <n v="2700"/>
    <n v="97200"/>
    <m/>
    <m/>
    <m/>
    <m/>
    <m/>
    <m/>
    <m/>
    <m/>
    <m/>
    <m/>
    <m/>
    <m/>
    <m/>
    <m/>
    <m/>
    <m/>
    <s v="INFASCO"/>
    <m/>
    <n v="97.85"/>
  </r>
  <r>
    <x v="604"/>
    <x v="17"/>
    <x v="173"/>
    <n v="24"/>
    <n v="4000"/>
    <n v="96000"/>
    <m/>
    <m/>
    <m/>
    <m/>
    <m/>
    <m/>
    <m/>
    <m/>
    <m/>
    <m/>
    <m/>
    <m/>
    <m/>
    <m/>
    <m/>
    <m/>
    <s v="INFASCO"/>
    <m/>
    <n v="97.85"/>
  </r>
  <r>
    <x v="604"/>
    <x v="18"/>
    <x v="60"/>
    <n v="17"/>
    <n v="5500"/>
    <n v="93500"/>
    <m/>
    <m/>
    <m/>
    <m/>
    <m/>
    <m/>
    <m/>
    <m/>
    <m/>
    <m/>
    <m/>
    <m/>
    <m/>
    <m/>
    <m/>
    <m/>
    <s v="INFASCO"/>
    <m/>
    <n v="123.6"/>
  </r>
  <r>
    <x v="604"/>
    <x v="18"/>
    <x v="60"/>
    <n v="17"/>
    <n v="5500"/>
    <n v="93500"/>
    <m/>
    <m/>
    <m/>
    <m/>
    <m/>
    <m/>
    <m/>
    <m/>
    <m/>
    <m/>
    <m/>
    <m/>
    <m/>
    <m/>
    <m/>
    <m/>
    <s v="INFASCO"/>
    <m/>
    <n v="123.6"/>
  </r>
  <r>
    <x v="604"/>
    <x v="9"/>
    <x v="0"/>
    <n v="36"/>
    <n v="2500"/>
    <n v="90000"/>
    <m/>
    <m/>
    <m/>
    <m/>
    <m/>
    <m/>
    <m/>
    <m/>
    <m/>
    <m/>
    <m/>
    <m/>
    <m/>
    <m/>
    <m/>
    <m/>
    <s v="INFASCO"/>
    <m/>
    <n v="97.85"/>
  </r>
  <r>
    <x v="604"/>
    <x v="0"/>
    <x v="0"/>
    <n v="36"/>
    <n v="2500"/>
    <n v="90000"/>
    <m/>
    <m/>
    <m/>
    <m/>
    <m/>
    <m/>
    <m/>
    <m/>
    <m/>
    <m/>
    <m/>
    <m/>
    <m/>
    <m/>
    <m/>
    <m/>
    <s v="INFASCO"/>
    <m/>
    <n v="97.85"/>
  </r>
  <r>
    <x v="604"/>
    <x v="12"/>
    <x v="37"/>
    <n v="36"/>
    <n v="2500"/>
    <n v="90000"/>
    <m/>
    <m/>
    <m/>
    <m/>
    <m/>
    <m/>
    <m/>
    <m/>
    <m/>
    <m/>
    <m/>
    <m/>
    <m/>
    <m/>
    <m/>
    <m/>
    <s v="INFASCO"/>
    <m/>
    <n v="97.85"/>
  </r>
  <r>
    <x v="604"/>
    <x v="2"/>
    <x v="86"/>
    <n v="36"/>
    <n v="2500"/>
    <n v="90000"/>
    <m/>
    <m/>
    <m/>
    <m/>
    <m/>
    <m/>
    <m/>
    <m/>
    <m/>
    <m/>
    <m/>
    <m/>
    <m/>
    <m/>
    <m/>
    <m/>
    <s v="INFASCO"/>
    <m/>
    <n v="97.85"/>
  </r>
  <r>
    <x v="604"/>
    <x v="15"/>
    <x v="0"/>
    <n v="30"/>
    <n v="2500"/>
    <n v="75000"/>
    <m/>
    <m/>
    <m/>
    <m/>
    <m/>
    <m/>
    <m/>
    <m/>
    <m/>
    <m/>
    <m/>
    <m/>
    <m/>
    <m/>
    <m/>
    <m/>
    <s v="INFASCO"/>
    <m/>
    <n v="97.85"/>
  </r>
  <r>
    <x v="604"/>
    <x v="1"/>
    <x v="46"/>
    <n v="30"/>
    <n v="2150"/>
    <n v="64500"/>
    <m/>
    <m/>
    <m/>
    <m/>
    <m/>
    <m/>
    <m/>
    <m/>
    <m/>
    <m/>
    <m/>
    <m/>
    <m/>
    <m/>
    <m/>
    <m/>
    <s v="INFASCO"/>
    <m/>
    <n v="97.85"/>
  </r>
  <r>
    <x v="604"/>
    <x v="2"/>
    <x v="2"/>
    <n v="18"/>
    <n v="2700"/>
    <n v="48600"/>
    <m/>
    <m/>
    <m/>
    <m/>
    <m/>
    <m/>
    <m/>
    <m/>
    <m/>
    <m/>
    <m/>
    <m/>
    <m/>
    <m/>
    <m/>
    <m/>
    <s v="INFASCO"/>
    <m/>
    <n v="97.85"/>
  </r>
  <r>
    <x v="604"/>
    <x v="17"/>
    <x v="49"/>
    <n v="33"/>
    <n v="1400"/>
    <n v="46200"/>
    <m/>
    <m/>
    <m/>
    <m/>
    <m/>
    <m/>
    <m/>
    <m/>
    <m/>
    <m/>
    <m/>
    <m/>
    <m/>
    <m/>
    <m/>
    <m/>
    <s v="INFASCO"/>
    <m/>
    <n v="97.85"/>
  </r>
  <r>
    <x v="604"/>
    <x v="7"/>
    <x v="87"/>
    <n v="36"/>
    <n v="1250"/>
    <n v="45000"/>
    <m/>
    <m/>
    <m/>
    <m/>
    <m/>
    <m/>
    <m/>
    <m/>
    <m/>
    <m/>
    <m/>
    <m/>
    <m/>
    <m/>
    <m/>
    <m/>
    <s v="INFASCO"/>
    <m/>
    <n v="97.85"/>
  </r>
  <r>
    <x v="604"/>
    <x v="6"/>
    <x v="78"/>
    <n v="1"/>
    <n v="45000"/>
    <n v="45000"/>
    <m/>
    <m/>
    <m/>
    <m/>
    <m/>
    <m/>
    <m/>
    <m/>
    <m/>
    <m/>
    <m/>
    <m/>
    <m/>
    <m/>
    <m/>
    <m/>
    <s v="INFASCO"/>
    <m/>
    <n v="118.45"/>
  </r>
  <r>
    <x v="604"/>
    <x v="4"/>
    <x v="119"/>
    <n v="36"/>
    <n v="1200"/>
    <n v="43200"/>
    <m/>
    <m/>
    <m/>
    <m/>
    <m/>
    <m/>
    <m/>
    <m/>
    <m/>
    <m/>
    <m/>
    <m/>
    <m/>
    <m/>
    <m/>
    <m/>
    <s v="INFASCO"/>
    <m/>
    <n v="97.85"/>
  </r>
  <r>
    <x v="604"/>
    <x v="4"/>
    <x v="119"/>
    <n v="36"/>
    <n v="1200"/>
    <n v="43200"/>
    <m/>
    <m/>
    <m/>
    <m/>
    <m/>
    <m/>
    <m/>
    <m/>
    <m/>
    <m/>
    <m/>
    <m/>
    <m/>
    <m/>
    <m/>
    <m/>
    <s v="INFASCO"/>
    <m/>
    <n v="97.85"/>
  </r>
  <r>
    <x v="604"/>
    <x v="18"/>
    <x v="18"/>
    <n v="36"/>
    <n v="1200"/>
    <n v="43200"/>
    <m/>
    <m/>
    <m/>
    <m/>
    <m/>
    <m/>
    <m/>
    <m/>
    <m/>
    <m/>
    <m/>
    <m/>
    <m/>
    <m/>
    <m/>
    <m/>
    <s v="INFASCO"/>
    <m/>
    <n v="97.85"/>
  </r>
  <r>
    <x v="604"/>
    <x v="17"/>
    <x v="175"/>
    <n v="33"/>
    <n v="1300"/>
    <n v="42900"/>
    <m/>
    <m/>
    <m/>
    <m/>
    <m/>
    <m/>
    <m/>
    <m/>
    <m/>
    <m/>
    <m/>
    <m/>
    <m/>
    <m/>
    <m/>
    <m/>
    <s v="INFASCO"/>
    <m/>
    <n v="97.85"/>
  </r>
  <r>
    <x v="604"/>
    <x v="17"/>
    <x v="18"/>
    <n v="34"/>
    <n v="1200"/>
    <n v="40800"/>
    <n v="156"/>
    <s v="Yes"/>
    <m/>
    <s v="Yes"/>
    <m/>
    <s v="Yes"/>
    <m/>
    <s v="Yes"/>
    <m/>
    <s v="N/A"/>
    <m/>
    <s v="Yes"/>
    <m/>
    <s v="Yes"/>
    <m/>
    <s v="New"/>
    <s v="INFASCO"/>
    <n v="95"/>
    <n v="97.85"/>
  </r>
  <r>
    <x v="604"/>
    <x v="11"/>
    <x v="19"/>
    <n v="32"/>
    <n v="1200"/>
    <n v="38400"/>
    <m/>
    <m/>
    <m/>
    <m/>
    <m/>
    <m/>
    <m/>
    <m/>
    <m/>
    <m/>
    <m/>
    <m/>
    <m/>
    <m/>
    <m/>
    <m/>
    <s v="INFASCO"/>
    <m/>
    <n v="97.85"/>
  </r>
  <r>
    <x v="604"/>
    <x v="8"/>
    <x v="165"/>
    <n v="18"/>
    <n v="2000"/>
    <n v="36000"/>
    <m/>
    <m/>
    <m/>
    <m/>
    <m/>
    <m/>
    <m/>
    <m/>
    <m/>
    <m/>
    <m/>
    <m/>
    <m/>
    <m/>
    <m/>
    <m/>
    <s v="INFASCO"/>
    <m/>
    <n v="97.85"/>
  </r>
  <r>
    <x v="604"/>
    <x v="6"/>
    <x v="119"/>
    <n v="30"/>
    <n v="1200"/>
    <n v="36000"/>
    <m/>
    <m/>
    <m/>
    <m/>
    <m/>
    <m/>
    <m/>
    <m/>
    <m/>
    <m/>
    <m/>
    <m/>
    <m/>
    <m/>
    <m/>
    <m/>
    <s v="INFASCO"/>
    <m/>
    <n v="97.85"/>
  </r>
  <r>
    <x v="604"/>
    <x v="11"/>
    <x v="78"/>
    <n v="1"/>
    <n v="35000"/>
    <n v="35000"/>
    <m/>
    <m/>
    <m/>
    <m/>
    <m/>
    <m/>
    <m/>
    <m/>
    <m/>
    <m/>
    <m/>
    <m/>
    <m/>
    <m/>
    <m/>
    <m/>
    <s v="INFASCO"/>
    <m/>
    <n v="118.45"/>
  </r>
  <r>
    <x v="604"/>
    <x v="17"/>
    <x v="174"/>
    <n v="29"/>
    <n v="1125"/>
    <n v="32625"/>
    <m/>
    <m/>
    <m/>
    <m/>
    <m/>
    <m/>
    <m/>
    <m/>
    <m/>
    <m/>
    <m/>
    <m/>
    <m/>
    <m/>
    <m/>
    <m/>
    <s v="INFASCO"/>
    <m/>
    <n v="123.6"/>
  </r>
  <r>
    <x v="604"/>
    <x v="17"/>
    <x v="174"/>
    <n v="27"/>
    <n v="1125"/>
    <n v="30375"/>
    <m/>
    <m/>
    <m/>
    <m/>
    <m/>
    <m/>
    <m/>
    <m/>
    <m/>
    <m/>
    <m/>
    <m/>
    <m/>
    <m/>
    <m/>
    <m/>
    <s v="INFASCO"/>
    <m/>
    <n v="123.6"/>
  </r>
  <r>
    <x v="604"/>
    <x v="26"/>
    <x v="7"/>
    <n v="36"/>
    <n v="700"/>
    <n v="25200"/>
    <m/>
    <m/>
    <m/>
    <m/>
    <m/>
    <m/>
    <m/>
    <m/>
    <m/>
    <m/>
    <m/>
    <m/>
    <m/>
    <m/>
    <m/>
    <m/>
    <s v="INFASCO"/>
    <m/>
    <n v="97.85"/>
  </r>
  <r>
    <x v="604"/>
    <x v="26"/>
    <x v="7"/>
    <n v="36"/>
    <n v="700"/>
    <n v="25200"/>
    <m/>
    <m/>
    <m/>
    <m/>
    <m/>
    <m/>
    <m/>
    <m/>
    <m/>
    <m/>
    <m/>
    <m/>
    <m/>
    <m/>
    <m/>
    <m/>
    <s v="INFASCO"/>
    <m/>
    <n v="97.85"/>
  </r>
  <r>
    <x v="604"/>
    <x v="26"/>
    <x v="7"/>
    <n v="36"/>
    <n v="700"/>
    <n v="25200"/>
    <m/>
    <m/>
    <m/>
    <m/>
    <m/>
    <m/>
    <m/>
    <m/>
    <m/>
    <m/>
    <m/>
    <m/>
    <m/>
    <m/>
    <m/>
    <m/>
    <s v="INFASCO"/>
    <m/>
    <n v="97.85"/>
  </r>
  <r>
    <x v="604"/>
    <x v="3"/>
    <x v="7"/>
    <n v="36"/>
    <n v="700"/>
    <n v="25200"/>
    <m/>
    <m/>
    <m/>
    <m/>
    <m/>
    <m/>
    <m/>
    <m/>
    <m/>
    <m/>
    <m/>
    <m/>
    <m/>
    <m/>
    <m/>
    <m/>
    <s v="INFASCO"/>
    <m/>
    <n v="97.85"/>
  </r>
  <r>
    <x v="604"/>
    <x v="13"/>
    <x v="7"/>
    <n v="36"/>
    <n v="700"/>
    <n v="25200"/>
    <m/>
    <m/>
    <m/>
    <m/>
    <m/>
    <m/>
    <m/>
    <m/>
    <m/>
    <m/>
    <m/>
    <m/>
    <m/>
    <m/>
    <m/>
    <m/>
    <s v="INFASCO"/>
    <m/>
    <n v="97.85"/>
  </r>
  <r>
    <x v="604"/>
    <x v="14"/>
    <x v="7"/>
    <n v="36"/>
    <n v="700"/>
    <n v="25200"/>
    <m/>
    <m/>
    <m/>
    <m/>
    <m/>
    <m/>
    <m/>
    <m/>
    <m/>
    <m/>
    <m/>
    <m/>
    <m/>
    <m/>
    <m/>
    <m/>
    <s v="INFASCO"/>
    <m/>
    <n v="97.85"/>
  </r>
  <r>
    <x v="604"/>
    <x v="14"/>
    <x v="7"/>
    <n v="36"/>
    <n v="700"/>
    <n v="25200"/>
    <m/>
    <m/>
    <m/>
    <m/>
    <m/>
    <m/>
    <m/>
    <m/>
    <m/>
    <m/>
    <m/>
    <m/>
    <m/>
    <m/>
    <m/>
    <m/>
    <s v="INFASCO"/>
    <m/>
    <n v="97.85"/>
  </r>
  <r>
    <x v="604"/>
    <x v="6"/>
    <x v="7"/>
    <n v="36"/>
    <n v="700"/>
    <n v="25200"/>
    <m/>
    <m/>
    <m/>
    <m/>
    <m/>
    <m/>
    <m/>
    <m/>
    <m/>
    <m/>
    <m/>
    <m/>
    <m/>
    <m/>
    <m/>
    <m/>
    <s v="INFASCO"/>
    <m/>
    <n v="97.85"/>
  </r>
  <r>
    <x v="604"/>
    <x v="16"/>
    <x v="7"/>
    <n v="36"/>
    <n v="700"/>
    <n v="25200"/>
    <m/>
    <m/>
    <m/>
    <m/>
    <m/>
    <m/>
    <m/>
    <m/>
    <m/>
    <m/>
    <m/>
    <m/>
    <m/>
    <m/>
    <m/>
    <m/>
    <s v="INFASCO"/>
    <m/>
    <n v="97.85"/>
  </r>
  <r>
    <x v="604"/>
    <x v="12"/>
    <x v="7"/>
    <n v="34"/>
    <n v="700"/>
    <n v="23800"/>
    <m/>
    <m/>
    <m/>
    <m/>
    <m/>
    <m/>
    <m/>
    <m/>
    <m/>
    <m/>
    <m/>
    <m/>
    <m/>
    <m/>
    <m/>
    <m/>
    <s v="INFASCO"/>
    <m/>
    <n v="97.85"/>
  </r>
  <r>
    <x v="604"/>
    <x v="17"/>
    <x v="151"/>
    <n v="36"/>
    <n v="650"/>
    <n v="23400"/>
    <s v="162+327"/>
    <m/>
    <m/>
    <m/>
    <m/>
    <m/>
    <m/>
    <m/>
    <m/>
    <m/>
    <m/>
    <m/>
    <m/>
    <m/>
    <m/>
    <m/>
    <s v="INFASCO"/>
    <m/>
    <n v="97.85"/>
  </r>
  <r>
    <x v="604"/>
    <x v="17"/>
    <x v="151"/>
    <n v="32"/>
    <n v="650"/>
    <n v="20800"/>
    <m/>
    <m/>
    <m/>
    <m/>
    <m/>
    <m/>
    <m/>
    <m/>
    <m/>
    <m/>
    <m/>
    <m/>
    <m/>
    <m/>
    <m/>
    <m/>
    <s v="INFASCO"/>
    <m/>
    <n v="97.85"/>
  </r>
  <r>
    <x v="604"/>
    <x v="17"/>
    <x v="79"/>
    <n v="24"/>
    <n v="830"/>
    <n v="19920"/>
    <m/>
    <m/>
    <m/>
    <m/>
    <m/>
    <m/>
    <m/>
    <m/>
    <m/>
    <m/>
    <m/>
    <m/>
    <m/>
    <m/>
    <m/>
    <m/>
    <s v="INFASCO"/>
    <m/>
    <n v="97.85"/>
  </r>
  <r>
    <x v="604"/>
    <x v="17"/>
    <x v="151"/>
    <n v="29"/>
    <n v="650"/>
    <n v="18850"/>
    <m/>
    <m/>
    <m/>
    <m/>
    <m/>
    <m/>
    <m/>
    <m/>
    <m/>
    <m/>
    <m/>
    <m/>
    <m/>
    <m/>
    <m/>
    <m/>
    <s v="INFASCO"/>
    <m/>
    <n v="97.85"/>
  </r>
  <r>
    <x v="604"/>
    <x v="3"/>
    <x v="7"/>
    <n v="26"/>
    <n v="700"/>
    <n v="18200"/>
    <m/>
    <m/>
    <m/>
    <m/>
    <m/>
    <m/>
    <m/>
    <m/>
    <m/>
    <m/>
    <m/>
    <m/>
    <m/>
    <m/>
    <m/>
    <m/>
    <s v="INFASCO"/>
    <m/>
    <n v="97.85"/>
  </r>
  <r>
    <x v="604"/>
    <x v="11"/>
    <x v="7"/>
    <n v="25"/>
    <n v="700"/>
    <n v="17500"/>
    <m/>
    <m/>
    <m/>
    <m/>
    <m/>
    <m/>
    <m/>
    <m/>
    <m/>
    <m/>
    <m/>
    <m/>
    <m/>
    <m/>
    <m/>
    <m/>
    <s v="INFASCO"/>
    <m/>
    <n v="97.85"/>
  </r>
  <r>
    <x v="604"/>
    <x v="16"/>
    <x v="10"/>
    <n v="36"/>
    <n v="450"/>
    <n v="16200"/>
    <m/>
    <m/>
    <m/>
    <m/>
    <m/>
    <m/>
    <m/>
    <m/>
    <m/>
    <m/>
    <m/>
    <m/>
    <m/>
    <m/>
    <m/>
    <m/>
    <s v="INFASCO"/>
    <m/>
    <n v="97.85"/>
  </r>
  <r>
    <x v="604"/>
    <x v="26"/>
    <x v="7"/>
    <n v="20"/>
    <n v="700"/>
    <n v="14000"/>
    <m/>
    <m/>
    <m/>
    <m/>
    <m/>
    <m/>
    <m/>
    <m/>
    <m/>
    <m/>
    <m/>
    <m/>
    <m/>
    <m/>
    <m/>
    <m/>
    <s v="INFASCO"/>
    <m/>
    <n v="97.85"/>
  </r>
  <r>
    <x v="604"/>
    <x v="6"/>
    <x v="7"/>
    <n v="17"/>
    <n v="700"/>
    <n v="11900"/>
    <m/>
    <m/>
    <m/>
    <m/>
    <m/>
    <m/>
    <m/>
    <m/>
    <m/>
    <m/>
    <m/>
    <m/>
    <m/>
    <m/>
    <m/>
    <m/>
    <s v="INFASCO"/>
    <m/>
    <n v="97.85"/>
  </r>
  <r>
    <x v="604"/>
    <x v="17"/>
    <x v="176"/>
    <n v="6"/>
    <n v="1500"/>
    <n v="9000"/>
    <m/>
    <m/>
    <m/>
    <m/>
    <m/>
    <m/>
    <m/>
    <m/>
    <m/>
    <m/>
    <m/>
    <m/>
    <m/>
    <m/>
    <m/>
    <m/>
    <e v="#N/A"/>
    <m/>
    <n v="26.78"/>
  </r>
  <r>
    <x v="604"/>
    <x v="18"/>
    <x v="31"/>
    <n v="36"/>
    <n v="210"/>
    <n v="7560"/>
    <m/>
    <m/>
    <m/>
    <m/>
    <m/>
    <m/>
    <m/>
    <m/>
    <m/>
    <m/>
    <m/>
    <m/>
    <m/>
    <m/>
    <m/>
    <m/>
    <s v="INFASCO"/>
    <m/>
    <n v="97.85"/>
  </r>
  <r>
    <x v="604"/>
    <x v="17"/>
    <x v="31"/>
    <n v="36"/>
    <n v="210"/>
    <n v="7560"/>
    <m/>
    <m/>
    <m/>
    <m/>
    <m/>
    <m/>
    <m/>
    <m/>
    <m/>
    <m/>
    <m/>
    <m/>
    <m/>
    <m/>
    <m/>
    <m/>
    <s v="INFASCO"/>
    <m/>
    <n v="97.85"/>
  </r>
  <r>
    <x v="604"/>
    <x v="17"/>
    <x v="31"/>
    <n v="36"/>
    <n v="210"/>
    <n v="7560"/>
    <m/>
    <m/>
    <m/>
    <m/>
    <m/>
    <m/>
    <m/>
    <m/>
    <m/>
    <m/>
    <m/>
    <m/>
    <m/>
    <m/>
    <m/>
    <m/>
    <s v="INFASCO"/>
    <m/>
    <n v="97.85"/>
  </r>
  <r>
    <x v="604"/>
    <x v="17"/>
    <x v="31"/>
    <n v="28"/>
    <n v="210"/>
    <n v="5880"/>
    <m/>
    <m/>
    <m/>
    <m/>
    <m/>
    <m/>
    <m/>
    <m/>
    <m/>
    <m/>
    <m/>
    <m/>
    <m/>
    <m/>
    <m/>
    <m/>
    <s v="INFASCO"/>
    <m/>
    <n v="97.85"/>
  </r>
  <r>
    <x v="604"/>
    <x v="17"/>
    <x v="133"/>
    <n v="29"/>
    <n v="200"/>
    <n v="5800"/>
    <m/>
    <m/>
    <m/>
    <m/>
    <m/>
    <m/>
    <m/>
    <m/>
    <m/>
    <m/>
    <m/>
    <m/>
    <m/>
    <m/>
    <m/>
    <m/>
    <s v="INFASCO"/>
    <m/>
    <n v="123.6"/>
  </r>
  <r>
    <x v="604"/>
    <x v="17"/>
    <x v="33"/>
    <n v="31"/>
    <n v="145"/>
    <n v="4495"/>
    <m/>
    <m/>
    <m/>
    <m/>
    <m/>
    <m/>
    <m/>
    <m/>
    <m/>
    <m/>
    <m/>
    <m/>
    <m/>
    <m/>
    <m/>
    <m/>
    <s v="INFASCO"/>
    <m/>
    <n v="123.6"/>
  </r>
  <r>
    <x v="605"/>
    <x v="8"/>
    <x v="36"/>
    <n v="20"/>
    <n v="4000"/>
    <n v="80000"/>
    <s v="011+298"/>
    <s v="Yes"/>
    <m/>
    <s v="Yes"/>
    <m/>
    <s v="Yes"/>
    <m/>
    <s v="Yes"/>
    <m/>
    <s v="N/A"/>
    <m/>
    <s v="Yes"/>
    <m/>
    <s v="Yes"/>
    <m/>
    <s v="New"/>
    <s v="INFASCO"/>
    <n v="120"/>
    <n v="123.6"/>
  </r>
  <r>
    <x v="606"/>
    <x v="10"/>
    <x v="143"/>
    <n v="36"/>
    <n v="1000"/>
    <n v="36000"/>
    <s v="183+171"/>
    <s v="Yes"/>
    <m/>
    <s v="Yes"/>
    <m/>
    <s v="Yes"/>
    <m/>
    <s v="Yes"/>
    <m/>
    <s v="N/A"/>
    <m/>
    <s v="Yes"/>
    <m/>
    <s v="Yes"/>
    <m/>
    <s v="New"/>
    <s v="INFASCO"/>
    <n v="120"/>
    <n v="123.6"/>
  </r>
  <r>
    <x v="607"/>
    <x v="8"/>
    <x v="36"/>
    <n v="34"/>
    <n v="4000"/>
    <n v="136000"/>
    <s v="011+298"/>
    <s v="Yes"/>
    <m/>
    <s v="Yes"/>
    <m/>
    <s v="Yes"/>
    <m/>
    <s v="Yes"/>
    <m/>
    <s v="N/A"/>
    <m/>
    <s v="Yes"/>
    <m/>
    <s v="Yes"/>
    <m/>
    <s v="New"/>
    <s v="INFASCO"/>
    <n v="120"/>
    <n v="123.6"/>
  </r>
  <r>
    <x v="608"/>
    <x v="10"/>
    <x v="143"/>
    <n v="23"/>
    <n v="1000"/>
    <n v="23000"/>
    <s v="183+171"/>
    <s v="Yes"/>
    <m/>
    <s v="Yes"/>
    <m/>
    <s v="Yes"/>
    <m/>
    <s v="Yes"/>
    <m/>
    <s v="N/A"/>
    <m/>
    <s v="Yes"/>
    <m/>
    <s v="Yes"/>
    <m/>
    <s v="New"/>
    <s v="INFASCO"/>
    <n v="120"/>
    <n v="123.6"/>
  </r>
  <r>
    <x v="609"/>
    <x v="8"/>
    <x v="165"/>
    <n v="23"/>
    <n v="2000"/>
    <n v="46000"/>
    <s v="011+156"/>
    <s v="Yes"/>
    <m/>
    <s v="Yes"/>
    <m/>
    <s v="Yes"/>
    <m/>
    <s v="Yes"/>
    <m/>
    <s v="N/A"/>
    <m/>
    <s v="Yes"/>
    <m/>
    <s v="Yes"/>
    <m/>
    <s v="New"/>
    <s v="INFASCO"/>
    <n v="95"/>
    <n v="97.85"/>
  </r>
  <r>
    <x v="610"/>
    <x v="10"/>
    <x v="93"/>
    <n v="36"/>
    <n v="250"/>
    <n v="9000"/>
    <s v="183+171"/>
    <s v="Yes"/>
    <m/>
    <s v="Yes"/>
    <m/>
    <s v="Yes"/>
    <m/>
    <s v="Yes"/>
    <m/>
    <s v="N/A"/>
    <m/>
    <s v="Yes"/>
    <m/>
    <s v="Yes"/>
    <m/>
    <s v="New"/>
    <s v="INFASCO"/>
    <n v="120"/>
    <n v="123.6"/>
  </r>
  <r>
    <x v="611"/>
    <x v="10"/>
    <x v="93"/>
    <n v="14"/>
    <n v="250"/>
    <n v="3500"/>
    <s v="183+171"/>
    <s v="Yes"/>
    <m/>
    <s v="Yes"/>
    <m/>
    <s v="Yes"/>
    <m/>
    <s v="Yes"/>
    <m/>
    <s v="N/A"/>
    <m/>
    <s v="Yes"/>
    <m/>
    <s v="Yes"/>
    <m/>
    <s v="New"/>
    <s v="INFASCO"/>
    <n v="120"/>
    <n v="123.6"/>
  </r>
  <r>
    <x v="612"/>
    <x v="8"/>
    <x v="165"/>
    <n v="29"/>
    <n v="2000"/>
    <n v="58000"/>
    <s v="011+144"/>
    <s v="Yes"/>
    <m/>
    <s v="Yes"/>
    <m/>
    <s v="Yes"/>
    <m/>
    <s v="Yes"/>
    <m/>
    <s v="N/A"/>
    <m/>
    <s v="Yes"/>
    <m/>
    <s v="Yes"/>
    <m/>
    <s v="New"/>
    <s v="INFASCO"/>
    <n v="95"/>
    <n v="97.85"/>
  </r>
  <r>
    <x v="613"/>
    <x v="10"/>
    <x v="165"/>
    <n v="20"/>
    <n v="2000"/>
    <n v="40000"/>
    <s v="171+183"/>
    <s v="Yes"/>
    <m/>
    <s v="Yes"/>
    <m/>
    <s v="Yes"/>
    <m/>
    <s v="Yes"/>
    <m/>
    <s v="N/A"/>
    <m/>
    <s v="Yes"/>
    <m/>
    <s v="Yes"/>
    <m/>
    <s v="New"/>
    <s v="INFASCO"/>
    <n v="95"/>
    <n v="97.85"/>
  </r>
  <r>
    <x v="614"/>
    <x v="8"/>
    <x v="177"/>
    <n v="1"/>
    <n v="5140"/>
    <n v="5140"/>
    <n v="11"/>
    <s v="Yes"/>
    <m/>
    <s v="Yes"/>
    <m/>
    <s v="Yes"/>
    <m/>
    <s v="Yes"/>
    <m/>
    <s v="N/A"/>
    <m/>
    <s v="Yes"/>
    <m/>
    <s v="Yes"/>
    <m/>
    <s v="Re-certified"/>
    <s v="INFASCO"/>
    <n v="115"/>
    <n v="230"/>
  </r>
  <r>
    <x v="615"/>
    <x v="8"/>
    <x v="177"/>
    <n v="1"/>
    <n v="3311"/>
    <n v="3311"/>
    <n v="11"/>
    <s v="Yes"/>
    <m/>
    <s v="Yes"/>
    <m/>
    <s v="Yes"/>
    <m/>
    <s v="Yes"/>
    <m/>
    <s v="N/A"/>
    <m/>
    <s v="Yes"/>
    <m/>
    <s v="Yes"/>
    <m/>
    <s v="Re-certified"/>
    <s v="INFASCO"/>
    <n v="115"/>
    <n v="230"/>
  </r>
  <r>
    <x v="616"/>
    <x v="17"/>
    <x v="104"/>
    <n v="17"/>
    <n v="550"/>
    <n v="9350"/>
    <n v="156"/>
    <s v="Yes"/>
    <m/>
    <s v="Yes"/>
    <m/>
    <s v="Yes"/>
    <m/>
    <s v="Yes"/>
    <m/>
    <s v="N/A"/>
    <m/>
    <s v="Yes"/>
    <m/>
    <s v="Yes"/>
    <m/>
    <s v="New"/>
    <s v="INFASCO"/>
    <n v="120"/>
    <n v="123.6"/>
  </r>
  <r>
    <x v="617"/>
    <x v="18"/>
    <x v="76"/>
    <n v="36"/>
    <n v="4500"/>
    <n v="162000"/>
    <s v="184+185"/>
    <s v="Yes"/>
    <m/>
    <s v="Yes"/>
    <m/>
    <s v="Yes"/>
    <m/>
    <s v="Yes"/>
    <m/>
    <s v="N/A"/>
    <m/>
    <s v="Yes"/>
    <m/>
    <s v="Yes"/>
    <m/>
    <s v="New"/>
    <s v="INFASCO"/>
    <n v="95"/>
    <n v="97.85"/>
  </r>
  <r>
    <x v="618"/>
    <x v="17"/>
    <x v="178"/>
    <n v="36"/>
    <n v="300"/>
    <n v="10800"/>
    <n v="156"/>
    <s v="Yes"/>
    <m/>
    <s v="Yes"/>
    <m/>
    <s v="Yes"/>
    <m/>
    <s v="Yes"/>
    <m/>
    <s v="N/A"/>
    <m/>
    <s v="Yes"/>
    <m/>
    <s v="Yes"/>
    <m/>
    <s v="New"/>
    <s v="INFASCO"/>
    <n v="95"/>
    <n v="97.85"/>
  </r>
  <r>
    <x v="619"/>
    <x v="10"/>
    <x v="31"/>
    <n v="36"/>
    <n v="210"/>
    <n v="7560"/>
    <n v="325"/>
    <s v="Yes"/>
    <m/>
    <s v="Yes"/>
    <m/>
    <s v="Yes"/>
    <m/>
    <s v="Yes"/>
    <m/>
    <s v="N/A"/>
    <m/>
    <s v="Yes"/>
    <m/>
    <s v="Yes"/>
    <m/>
    <s v="New"/>
    <s v="INFASCO"/>
    <n v="95"/>
    <n v="97.85"/>
  </r>
  <r>
    <x v="620"/>
    <x v="8"/>
    <x v="177"/>
    <n v="1"/>
    <n v="4321"/>
    <n v="4321"/>
    <n v="11"/>
    <s v="Yes"/>
    <m/>
    <s v="Yes"/>
    <m/>
    <s v="Yes"/>
    <m/>
    <s v="Yes"/>
    <m/>
    <s v="N/A"/>
    <m/>
    <s v="Yes"/>
    <m/>
    <s v="Yes"/>
    <m/>
    <s v="Re-certified"/>
    <s v="INFASCO"/>
    <n v="115"/>
    <n v="230"/>
  </r>
  <r>
    <x v="621"/>
    <x v="18"/>
    <x v="76"/>
    <n v="36"/>
    <n v="4500"/>
    <n v="162000"/>
    <s v="184+185"/>
    <s v="Yes"/>
    <m/>
    <s v="Yes"/>
    <m/>
    <s v="Yes"/>
    <m/>
    <s v="Yes"/>
    <m/>
    <s v="N/A"/>
    <m/>
    <s v="Yes"/>
    <m/>
    <s v="Yes"/>
    <m/>
    <s v="New"/>
    <s v="INFASCO"/>
    <n v="95"/>
    <n v="97.85"/>
  </r>
  <r>
    <x v="622"/>
    <x v="2"/>
    <x v="2"/>
    <n v="36"/>
    <n v="2700"/>
    <n v="97200"/>
    <m/>
    <m/>
    <m/>
    <m/>
    <m/>
    <m/>
    <m/>
    <m/>
    <m/>
    <m/>
    <m/>
    <m/>
    <m/>
    <m/>
    <m/>
    <m/>
    <s v="INFASCO"/>
    <m/>
    <n v="97.85"/>
  </r>
  <r>
    <x v="622"/>
    <x v="6"/>
    <x v="0"/>
    <n v="36"/>
    <n v="2500"/>
    <n v="90000"/>
    <m/>
    <m/>
    <m/>
    <m/>
    <m/>
    <m/>
    <m/>
    <m/>
    <m/>
    <m/>
    <m/>
    <m/>
    <m/>
    <m/>
    <m/>
    <m/>
    <s v="INFASCO"/>
    <m/>
    <n v="97.85"/>
  </r>
  <r>
    <x v="622"/>
    <x v="4"/>
    <x v="0"/>
    <n v="30"/>
    <n v="2500"/>
    <n v="75000"/>
    <m/>
    <m/>
    <m/>
    <m/>
    <m/>
    <m/>
    <m/>
    <m/>
    <m/>
    <m/>
    <m/>
    <m/>
    <m/>
    <m/>
    <m/>
    <m/>
    <s v="INFASCO"/>
    <m/>
    <n v="97.85"/>
  </r>
  <r>
    <x v="622"/>
    <x v="7"/>
    <x v="87"/>
    <n v="36"/>
    <n v="1250"/>
    <n v="45000"/>
    <m/>
    <m/>
    <m/>
    <m/>
    <m/>
    <m/>
    <m/>
    <m/>
    <m/>
    <m/>
    <m/>
    <m/>
    <m/>
    <m/>
    <m/>
    <m/>
    <s v="INFASCO"/>
    <m/>
    <n v="97.85"/>
  </r>
  <r>
    <x v="622"/>
    <x v="4"/>
    <x v="119"/>
    <n v="36"/>
    <n v="1200"/>
    <n v="43200"/>
    <m/>
    <m/>
    <m/>
    <m/>
    <m/>
    <m/>
    <m/>
    <m/>
    <m/>
    <m/>
    <m/>
    <m/>
    <m/>
    <m/>
    <m/>
    <m/>
    <s v="INFASCO"/>
    <m/>
    <n v="97.85"/>
  </r>
  <r>
    <x v="622"/>
    <x v="6"/>
    <x v="119"/>
    <n v="36"/>
    <n v="1200"/>
    <n v="43200"/>
    <m/>
    <m/>
    <m/>
    <m/>
    <m/>
    <m/>
    <m/>
    <m/>
    <m/>
    <m/>
    <m/>
    <m/>
    <m/>
    <m/>
    <m/>
    <m/>
    <s v="INFASCO"/>
    <m/>
    <n v="97.85"/>
  </r>
  <r>
    <x v="622"/>
    <x v="6"/>
    <x v="119"/>
    <n v="36"/>
    <n v="1200"/>
    <n v="43200"/>
    <m/>
    <m/>
    <m/>
    <m/>
    <m/>
    <m/>
    <m/>
    <m/>
    <m/>
    <m/>
    <m/>
    <m/>
    <m/>
    <m/>
    <m/>
    <m/>
    <s v="INFASCO"/>
    <m/>
    <n v="97.85"/>
  </r>
  <r>
    <x v="622"/>
    <x v="16"/>
    <x v="94"/>
    <n v="31"/>
    <n v="1050"/>
    <n v="32550"/>
    <m/>
    <m/>
    <m/>
    <m/>
    <m/>
    <m/>
    <m/>
    <m/>
    <m/>
    <m/>
    <m/>
    <m/>
    <m/>
    <m/>
    <m/>
    <m/>
    <s v="INFASCO"/>
    <m/>
    <n v="97.85"/>
  </r>
  <r>
    <x v="622"/>
    <x v="17"/>
    <x v="178"/>
    <n v="36"/>
    <n v="300"/>
    <n v="10800"/>
    <n v="156"/>
    <s v="Yes"/>
    <m/>
    <s v="Yes"/>
    <m/>
    <s v="Yes"/>
    <m/>
    <s v="Yes"/>
    <m/>
    <s v="N/A"/>
    <m/>
    <s v="Yes"/>
    <m/>
    <s v="Yes"/>
    <m/>
    <s v="New"/>
    <s v="INFASCO"/>
    <n v="95"/>
    <n v="97.85"/>
  </r>
  <r>
    <x v="622"/>
    <x v="10"/>
    <x v="157"/>
    <n v="15"/>
    <n v="300"/>
    <n v="4500"/>
    <n v="327"/>
    <m/>
    <m/>
    <m/>
    <m/>
    <m/>
    <m/>
    <m/>
    <m/>
    <m/>
    <m/>
    <m/>
    <m/>
    <m/>
    <m/>
    <m/>
    <s v="INFASCO"/>
    <m/>
    <n v="97.85"/>
  </r>
  <r>
    <x v="623"/>
    <x v="15"/>
    <x v="0"/>
    <n v="36"/>
    <n v="2500"/>
    <n v="90000"/>
    <m/>
    <m/>
    <m/>
    <m/>
    <m/>
    <m/>
    <m/>
    <m/>
    <m/>
    <m/>
    <m/>
    <m/>
    <m/>
    <m/>
    <m/>
    <m/>
    <s v="INFASCO"/>
    <m/>
    <n v="97.85"/>
  </r>
  <r>
    <x v="623"/>
    <x v="5"/>
    <x v="2"/>
    <n v="33"/>
    <n v="2700"/>
    <n v="89100"/>
    <m/>
    <m/>
    <m/>
    <m/>
    <m/>
    <m/>
    <m/>
    <m/>
    <m/>
    <m/>
    <m/>
    <m/>
    <m/>
    <m/>
    <m/>
    <m/>
    <s v="INFASCO"/>
    <m/>
    <n v="97.85"/>
  </r>
  <r>
    <x v="623"/>
    <x v="1"/>
    <x v="46"/>
    <n v="36"/>
    <n v="2150"/>
    <n v="77400"/>
    <m/>
    <m/>
    <m/>
    <m/>
    <m/>
    <m/>
    <m/>
    <m/>
    <m/>
    <m/>
    <m/>
    <m/>
    <m/>
    <m/>
    <m/>
    <m/>
    <s v="INFASCO"/>
    <m/>
    <n v="97.85"/>
  </r>
  <r>
    <x v="623"/>
    <x v="5"/>
    <x v="2"/>
    <n v="26"/>
    <n v="2700"/>
    <n v="70200"/>
    <m/>
    <m/>
    <m/>
    <m/>
    <m/>
    <m/>
    <m/>
    <m/>
    <m/>
    <m/>
    <m/>
    <m/>
    <m/>
    <m/>
    <m/>
    <m/>
    <s v="INFASCO"/>
    <m/>
    <n v="97.85"/>
  </r>
  <r>
    <x v="623"/>
    <x v="12"/>
    <x v="37"/>
    <n v="23"/>
    <n v="2500"/>
    <n v="57500"/>
    <m/>
    <m/>
    <m/>
    <m/>
    <m/>
    <m/>
    <m/>
    <m/>
    <m/>
    <m/>
    <m/>
    <m/>
    <m/>
    <m/>
    <m/>
    <m/>
    <s v="INFASCO"/>
    <m/>
    <n v="97.85"/>
  </r>
  <r>
    <x v="623"/>
    <x v="5"/>
    <x v="2"/>
    <n v="20"/>
    <n v="2700"/>
    <n v="54000"/>
    <m/>
    <m/>
    <m/>
    <m/>
    <m/>
    <m/>
    <m/>
    <m/>
    <m/>
    <m/>
    <m/>
    <m/>
    <m/>
    <m/>
    <m/>
    <m/>
    <s v="INFASCO"/>
    <m/>
    <n v="97.85"/>
  </r>
  <r>
    <x v="623"/>
    <x v="3"/>
    <x v="69"/>
    <n v="26"/>
    <n v="1900"/>
    <n v="49400"/>
    <m/>
    <m/>
    <m/>
    <m/>
    <m/>
    <m/>
    <m/>
    <m/>
    <m/>
    <m/>
    <m/>
    <m/>
    <m/>
    <m/>
    <m/>
    <m/>
    <s v="INFASCO"/>
    <m/>
    <n v="97.85"/>
  </r>
  <r>
    <x v="623"/>
    <x v="11"/>
    <x v="119"/>
    <n v="34"/>
    <n v="1200"/>
    <n v="40800"/>
    <m/>
    <m/>
    <m/>
    <m/>
    <m/>
    <m/>
    <m/>
    <m/>
    <m/>
    <m/>
    <m/>
    <m/>
    <m/>
    <m/>
    <m/>
    <m/>
    <s v="INFASCO"/>
    <m/>
    <n v="97.85"/>
  </r>
  <r>
    <x v="623"/>
    <x v="26"/>
    <x v="87"/>
    <n v="32"/>
    <n v="1250"/>
    <n v="40000"/>
    <m/>
    <m/>
    <m/>
    <m/>
    <m/>
    <m/>
    <m/>
    <m/>
    <m/>
    <m/>
    <m/>
    <m/>
    <m/>
    <m/>
    <m/>
    <m/>
    <s v="INFASCO"/>
    <m/>
    <n v="97.85"/>
  </r>
  <r>
    <x v="623"/>
    <x v="14"/>
    <x v="165"/>
    <n v="15"/>
    <n v="2000"/>
    <n v="30000"/>
    <m/>
    <m/>
    <m/>
    <m/>
    <m/>
    <m/>
    <m/>
    <m/>
    <m/>
    <m/>
    <m/>
    <m/>
    <m/>
    <m/>
    <m/>
    <m/>
    <s v="INFASCO"/>
    <m/>
    <n v="190"/>
  </r>
  <r>
    <x v="623"/>
    <x v="26"/>
    <x v="81"/>
    <n v="36"/>
    <n v="700"/>
    <n v="25200"/>
    <m/>
    <m/>
    <m/>
    <m/>
    <m/>
    <m/>
    <m/>
    <m/>
    <m/>
    <m/>
    <m/>
    <m/>
    <m/>
    <m/>
    <m/>
    <m/>
    <s v="INFASCO"/>
    <m/>
    <n v="97.85"/>
  </r>
  <r>
    <x v="623"/>
    <x v="26"/>
    <x v="81"/>
    <n v="33"/>
    <n v="700"/>
    <n v="23100"/>
    <m/>
    <m/>
    <m/>
    <m/>
    <m/>
    <m/>
    <m/>
    <m/>
    <m/>
    <m/>
    <m/>
    <m/>
    <m/>
    <m/>
    <m/>
    <m/>
    <s v="INFASCO"/>
    <m/>
    <n v="97.85"/>
  </r>
  <r>
    <x v="623"/>
    <x v="14"/>
    <x v="7"/>
    <n v="15"/>
    <n v="700"/>
    <n v="10500"/>
    <m/>
    <m/>
    <m/>
    <m/>
    <m/>
    <m/>
    <m/>
    <m/>
    <m/>
    <m/>
    <m/>
    <m/>
    <m/>
    <m/>
    <m/>
    <m/>
    <s v="INFASCO"/>
    <m/>
    <n v="97.85"/>
  </r>
  <r>
    <x v="623"/>
    <x v="8"/>
    <x v="31"/>
    <n v="36"/>
    <n v="210"/>
    <n v="7560"/>
    <n v="11"/>
    <s v="Yes"/>
    <m/>
    <s v="Yes"/>
    <m/>
    <s v="Yes"/>
    <m/>
    <s v="Yes"/>
    <m/>
    <s v="N/A"/>
    <m/>
    <s v="Yes"/>
    <m/>
    <s v="Yes"/>
    <m/>
    <s v="New"/>
    <s v="INFASCO"/>
    <n v="95"/>
    <n v="97.85"/>
  </r>
  <r>
    <x v="624"/>
    <x v="8"/>
    <x v="147"/>
    <n v="33"/>
    <n v="3000"/>
    <n v="99000"/>
    <m/>
    <m/>
    <m/>
    <m/>
    <m/>
    <m/>
    <m/>
    <m/>
    <m/>
    <m/>
    <m/>
    <m/>
    <m/>
    <m/>
    <m/>
    <m/>
    <s v="INFASCO"/>
    <m/>
    <n v="123.6"/>
  </r>
  <r>
    <x v="624"/>
    <x v="2"/>
    <x v="2"/>
    <n v="36"/>
    <n v="2700"/>
    <n v="97200"/>
    <m/>
    <m/>
    <m/>
    <m/>
    <m/>
    <m/>
    <m/>
    <m/>
    <m/>
    <m/>
    <m/>
    <m/>
    <m/>
    <m/>
    <m/>
    <m/>
    <s v="INFASCO"/>
    <m/>
    <n v="97.85"/>
  </r>
  <r>
    <x v="624"/>
    <x v="6"/>
    <x v="0"/>
    <n v="36"/>
    <n v="2500"/>
    <n v="90000"/>
    <m/>
    <m/>
    <m/>
    <m/>
    <m/>
    <m/>
    <m/>
    <m/>
    <m/>
    <m/>
    <m/>
    <m/>
    <m/>
    <m/>
    <m/>
    <m/>
    <s v="INFASCO"/>
    <m/>
    <n v="97.85"/>
  </r>
  <r>
    <x v="624"/>
    <x v="6"/>
    <x v="0"/>
    <n v="36"/>
    <n v="2500"/>
    <n v="90000"/>
    <m/>
    <m/>
    <m/>
    <m/>
    <m/>
    <m/>
    <m/>
    <m/>
    <m/>
    <m/>
    <m/>
    <m/>
    <m/>
    <m/>
    <m/>
    <m/>
    <s v="INFASCO"/>
    <m/>
    <n v="97.85"/>
  </r>
  <r>
    <x v="624"/>
    <x v="4"/>
    <x v="0"/>
    <n v="36"/>
    <n v="2500"/>
    <n v="90000"/>
    <m/>
    <m/>
    <m/>
    <m/>
    <m/>
    <m/>
    <m/>
    <m/>
    <m/>
    <m/>
    <m/>
    <m/>
    <m/>
    <m/>
    <m/>
    <m/>
    <s v="INFASCO"/>
    <m/>
    <n v="97.85"/>
  </r>
  <r>
    <x v="624"/>
    <x v="4"/>
    <x v="0"/>
    <n v="36"/>
    <n v="2500"/>
    <n v="90000"/>
    <m/>
    <m/>
    <m/>
    <m/>
    <m/>
    <m/>
    <m/>
    <m/>
    <m/>
    <m/>
    <m/>
    <m/>
    <m/>
    <m/>
    <m/>
    <m/>
    <s v="INFASCO"/>
    <m/>
    <n v="97.85"/>
  </r>
  <r>
    <x v="624"/>
    <x v="4"/>
    <x v="0"/>
    <n v="36"/>
    <n v="2500"/>
    <n v="90000"/>
    <m/>
    <m/>
    <m/>
    <m/>
    <m/>
    <m/>
    <m/>
    <m/>
    <m/>
    <m/>
    <m/>
    <m/>
    <m/>
    <m/>
    <m/>
    <m/>
    <s v="INFASCO"/>
    <m/>
    <n v="97.85"/>
  </r>
  <r>
    <x v="624"/>
    <x v="0"/>
    <x v="0"/>
    <n v="36"/>
    <n v="2500"/>
    <n v="90000"/>
    <m/>
    <m/>
    <m/>
    <m/>
    <m/>
    <m/>
    <m/>
    <m/>
    <m/>
    <m/>
    <m/>
    <m/>
    <m/>
    <m/>
    <m/>
    <m/>
    <s v="INFASCO"/>
    <m/>
    <n v="97.85"/>
  </r>
  <r>
    <x v="624"/>
    <x v="5"/>
    <x v="2"/>
    <n v="31"/>
    <n v="2700"/>
    <n v="83700"/>
    <m/>
    <m/>
    <m/>
    <m/>
    <m/>
    <m/>
    <m/>
    <m/>
    <m/>
    <m/>
    <m/>
    <m/>
    <m/>
    <m/>
    <m/>
    <m/>
    <s v="INFASCO"/>
    <m/>
    <n v="97.85"/>
  </r>
  <r>
    <x v="624"/>
    <x v="9"/>
    <x v="0"/>
    <n v="33"/>
    <n v="2500"/>
    <n v="82500"/>
    <m/>
    <m/>
    <m/>
    <m/>
    <m/>
    <m/>
    <m/>
    <m/>
    <m/>
    <m/>
    <m/>
    <m/>
    <m/>
    <m/>
    <m/>
    <m/>
    <s v="INFASCO"/>
    <m/>
    <n v="97.85"/>
  </r>
  <r>
    <x v="624"/>
    <x v="1"/>
    <x v="46"/>
    <n v="36"/>
    <n v="2150"/>
    <n v="77400"/>
    <m/>
    <m/>
    <m/>
    <m/>
    <m/>
    <m/>
    <m/>
    <m/>
    <m/>
    <m/>
    <m/>
    <m/>
    <m/>
    <m/>
    <m/>
    <m/>
    <s v="INFASCO"/>
    <m/>
    <n v="97.85"/>
  </r>
  <r>
    <x v="624"/>
    <x v="1"/>
    <x v="46"/>
    <n v="36"/>
    <n v="2150"/>
    <n v="77400"/>
    <m/>
    <m/>
    <m/>
    <m/>
    <m/>
    <m/>
    <m/>
    <m/>
    <m/>
    <m/>
    <m/>
    <m/>
    <m/>
    <m/>
    <m/>
    <m/>
    <s v="INFASCO"/>
    <m/>
    <n v="97.85"/>
  </r>
  <r>
    <x v="624"/>
    <x v="28"/>
    <x v="0"/>
    <n v="30"/>
    <n v="2500"/>
    <n v="75000"/>
    <m/>
    <m/>
    <m/>
    <m/>
    <m/>
    <m/>
    <m/>
    <m/>
    <m/>
    <m/>
    <m/>
    <m/>
    <m/>
    <m/>
    <m/>
    <m/>
    <s v="INFASCO"/>
    <m/>
    <n v="97.85"/>
  </r>
  <r>
    <x v="624"/>
    <x v="3"/>
    <x v="69"/>
    <n v="36"/>
    <n v="1900"/>
    <n v="68400"/>
    <m/>
    <m/>
    <m/>
    <m/>
    <m/>
    <m/>
    <m/>
    <m/>
    <m/>
    <m/>
    <m/>
    <m/>
    <m/>
    <m/>
    <m/>
    <m/>
    <s v="INFASCO"/>
    <m/>
    <n v="97.85"/>
  </r>
  <r>
    <x v="624"/>
    <x v="8"/>
    <x v="48"/>
    <n v="1"/>
    <n v="67288"/>
    <n v="67288"/>
    <m/>
    <m/>
    <m/>
    <m/>
    <m/>
    <m/>
    <m/>
    <m/>
    <m/>
    <m/>
    <m/>
    <m/>
    <m/>
    <m/>
    <m/>
    <m/>
    <s v="INFASCO"/>
    <m/>
    <n v="118.45"/>
  </r>
  <r>
    <x v="624"/>
    <x v="3"/>
    <x v="69"/>
    <n v="30"/>
    <n v="1900"/>
    <n v="57000"/>
    <m/>
    <m/>
    <m/>
    <m/>
    <m/>
    <m/>
    <m/>
    <m/>
    <m/>
    <m/>
    <m/>
    <m/>
    <m/>
    <m/>
    <m/>
    <m/>
    <s v="INFASCO"/>
    <m/>
    <n v="97.85"/>
  </r>
  <r>
    <x v="624"/>
    <x v="7"/>
    <x v="87"/>
    <n v="36"/>
    <n v="1250"/>
    <n v="45000"/>
    <m/>
    <m/>
    <m/>
    <m/>
    <m/>
    <m/>
    <m/>
    <m/>
    <m/>
    <m/>
    <m/>
    <m/>
    <m/>
    <m/>
    <m/>
    <m/>
    <s v="INFASCO"/>
    <m/>
    <n v="97.85"/>
  </r>
  <r>
    <x v="624"/>
    <x v="14"/>
    <x v="165"/>
    <n v="22"/>
    <n v="2000"/>
    <n v="44000"/>
    <m/>
    <m/>
    <m/>
    <m/>
    <m/>
    <m/>
    <m/>
    <m/>
    <m/>
    <m/>
    <m/>
    <m/>
    <m/>
    <m/>
    <m/>
    <m/>
    <s v="INFASCO"/>
    <m/>
    <n v="97.85"/>
  </r>
  <r>
    <x v="624"/>
    <x v="16"/>
    <x v="94"/>
    <n v="36"/>
    <n v="1050"/>
    <n v="37800"/>
    <m/>
    <m/>
    <m/>
    <m/>
    <m/>
    <m/>
    <m/>
    <m/>
    <m/>
    <m/>
    <m/>
    <m/>
    <m/>
    <m/>
    <m/>
    <m/>
    <s v="INFASCO"/>
    <m/>
    <n v="97.85"/>
  </r>
  <r>
    <x v="624"/>
    <x v="13"/>
    <x v="119"/>
    <n v="22"/>
    <n v="1200"/>
    <n v="26400"/>
    <m/>
    <m/>
    <m/>
    <m/>
    <m/>
    <m/>
    <m/>
    <m/>
    <m/>
    <m/>
    <m/>
    <m/>
    <m/>
    <m/>
    <m/>
    <m/>
    <s v="INFASCO"/>
    <m/>
    <n v="97.85"/>
  </r>
  <r>
    <x v="624"/>
    <x v="10"/>
    <x v="84"/>
    <n v="36"/>
    <n v="650"/>
    <n v="23400"/>
    <m/>
    <m/>
    <m/>
    <m/>
    <m/>
    <m/>
    <m/>
    <m/>
    <m/>
    <m/>
    <m/>
    <m/>
    <m/>
    <m/>
    <m/>
    <m/>
    <s v="INFASCO"/>
    <m/>
    <n v="97.85"/>
  </r>
  <r>
    <x v="624"/>
    <x v="26"/>
    <x v="179"/>
    <n v="1"/>
    <n v="23000"/>
    <n v="23000"/>
    <m/>
    <m/>
    <m/>
    <m/>
    <m/>
    <m/>
    <m/>
    <m/>
    <m/>
    <m/>
    <m/>
    <m/>
    <m/>
    <m/>
    <m/>
    <m/>
    <s v="INFASCO"/>
    <m/>
    <n v="26"/>
  </r>
  <r>
    <x v="624"/>
    <x v="10"/>
    <x v="22"/>
    <n v="41"/>
    <n v="550"/>
    <n v="22550"/>
    <m/>
    <m/>
    <m/>
    <m/>
    <m/>
    <m/>
    <m/>
    <m/>
    <m/>
    <m/>
    <m/>
    <m/>
    <m/>
    <m/>
    <m/>
    <m/>
    <s v="INFASCO"/>
    <m/>
    <n v="123.6"/>
  </r>
  <r>
    <x v="624"/>
    <x v="10"/>
    <x v="22"/>
    <n v="40"/>
    <n v="550"/>
    <n v="22000"/>
    <m/>
    <m/>
    <m/>
    <m/>
    <m/>
    <m/>
    <m/>
    <m/>
    <m/>
    <m/>
    <m/>
    <m/>
    <m/>
    <m/>
    <m/>
    <m/>
    <s v="INFASCO"/>
    <m/>
    <n v="123.6"/>
  </r>
  <r>
    <x v="624"/>
    <x v="26"/>
    <x v="179"/>
    <n v="1"/>
    <n v="20000"/>
    <n v="20000"/>
    <m/>
    <m/>
    <m/>
    <m/>
    <m/>
    <m/>
    <m/>
    <m/>
    <m/>
    <m/>
    <m/>
    <m/>
    <m/>
    <m/>
    <m/>
    <m/>
    <s v="INFASCO"/>
    <m/>
    <n v="26"/>
  </r>
  <r>
    <x v="624"/>
    <x v="8"/>
    <x v="11"/>
    <n v="36"/>
    <n v="280"/>
    <n v="10080"/>
    <m/>
    <m/>
    <m/>
    <m/>
    <m/>
    <m/>
    <m/>
    <m/>
    <m/>
    <m/>
    <m/>
    <m/>
    <m/>
    <m/>
    <m/>
    <m/>
    <s v="INFASCO"/>
    <m/>
    <n v="97.85"/>
  </r>
  <r>
    <x v="624"/>
    <x v="8"/>
    <x v="11"/>
    <n v="36"/>
    <n v="280"/>
    <n v="10080"/>
    <m/>
    <m/>
    <m/>
    <m/>
    <m/>
    <m/>
    <m/>
    <m/>
    <m/>
    <m/>
    <m/>
    <m/>
    <m/>
    <m/>
    <m/>
    <m/>
    <s v="INFASCO"/>
    <m/>
    <n v="97.85"/>
  </r>
  <r>
    <x v="624"/>
    <x v="8"/>
    <x v="11"/>
    <n v="36"/>
    <n v="280"/>
    <n v="10080"/>
    <m/>
    <m/>
    <m/>
    <m/>
    <m/>
    <m/>
    <m/>
    <m/>
    <m/>
    <m/>
    <m/>
    <m/>
    <m/>
    <m/>
    <m/>
    <m/>
    <s v="INFASCO"/>
    <m/>
    <n v="97.85"/>
  </r>
  <r>
    <x v="624"/>
    <x v="8"/>
    <x v="11"/>
    <n v="36"/>
    <n v="280"/>
    <n v="10080"/>
    <m/>
    <m/>
    <m/>
    <m/>
    <m/>
    <m/>
    <m/>
    <m/>
    <m/>
    <m/>
    <m/>
    <m/>
    <m/>
    <m/>
    <m/>
    <m/>
    <s v="INFASCO"/>
    <m/>
    <n v="97.85"/>
  </r>
  <r>
    <x v="624"/>
    <x v="10"/>
    <x v="32"/>
    <n v="36"/>
    <n v="220"/>
    <n v="7920"/>
    <m/>
    <m/>
    <m/>
    <m/>
    <m/>
    <m/>
    <m/>
    <m/>
    <m/>
    <m/>
    <m/>
    <m/>
    <m/>
    <m/>
    <m/>
    <m/>
    <s v="INFASCO"/>
    <m/>
    <n v="97.85"/>
  </r>
  <r>
    <x v="624"/>
    <x v="10"/>
    <x v="32"/>
    <n v="36"/>
    <n v="220"/>
    <n v="7920"/>
    <m/>
    <m/>
    <m/>
    <m/>
    <m/>
    <m/>
    <m/>
    <m/>
    <m/>
    <m/>
    <m/>
    <m/>
    <m/>
    <m/>
    <m/>
    <m/>
    <s v="INFASCO"/>
    <m/>
    <n v="97.85"/>
  </r>
  <r>
    <x v="624"/>
    <x v="10"/>
    <x v="32"/>
    <n v="35"/>
    <n v="220"/>
    <n v="7700"/>
    <m/>
    <m/>
    <m/>
    <m/>
    <m/>
    <m/>
    <m/>
    <m/>
    <m/>
    <m/>
    <m/>
    <m/>
    <m/>
    <m/>
    <m/>
    <m/>
    <s v="INFASCO"/>
    <m/>
    <n v="97.85"/>
  </r>
  <r>
    <x v="624"/>
    <x v="8"/>
    <x v="31"/>
    <n v="36"/>
    <n v="210"/>
    <n v="7560"/>
    <m/>
    <m/>
    <m/>
    <m/>
    <m/>
    <m/>
    <m/>
    <m/>
    <m/>
    <m/>
    <m/>
    <m/>
    <m/>
    <m/>
    <m/>
    <m/>
    <s v="INFASCO"/>
    <m/>
    <n v="97.85"/>
  </r>
  <r>
    <x v="624"/>
    <x v="8"/>
    <x v="31"/>
    <n v="36"/>
    <n v="210"/>
    <n v="7560"/>
    <m/>
    <m/>
    <m/>
    <m/>
    <m/>
    <m/>
    <m/>
    <m/>
    <m/>
    <m/>
    <m/>
    <m/>
    <m/>
    <m/>
    <m/>
    <m/>
    <s v="INFASCO"/>
    <m/>
    <n v="97.85"/>
  </r>
  <r>
    <x v="624"/>
    <x v="8"/>
    <x v="31"/>
    <n v="36"/>
    <n v="210"/>
    <n v="7560"/>
    <m/>
    <m/>
    <m/>
    <m/>
    <m/>
    <m/>
    <m/>
    <m/>
    <m/>
    <m/>
    <m/>
    <m/>
    <m/>
    <m/>
    <m/>
    <m/>
    <s v="INFASCO"/>
    <m/>
    <n v="97.85"/>
  </r>
  <r>
    <x v="624"/>
    <x v="8"/>
    <x v="31"/>
    <n v="36"/>
    <n v="210"/>
    <n v="7560"/>
    <m/>
    <m/>
    <m/>
    <m/>
    <m/>
    <m/>
    <m/>
    <m/>
    <m/>
    <m/>
    <m/>
    <m/>
    <m/>
    <m/>
    <m/>
    <m/>
    <s v="INFASCO"/>
    <m/>
    <n v="97.85"/>
  </r>
  <r>
    <x v="624"/>
    <x v="10"/>
    <x v="31"/>
    <n v="36"/>
    <n v="210"/>
    <n v="7560"/>
    <m/>
    <m/>
    <m/>
    <m/>
    <m/>
    <m/>
    <m/>
    <m/>
    <m/>
    <m/>
    <m/>
    <m/>
    <m/>
    <m/>
    <m/>
    <m/>
    <s v="INFASCO"/>
    <m/>
    <n v="97.85"/>
  </r>
  <r>
    <x v="624"/>
    <x v="8"/>
    <x v="31"/>
    <n v="29"/>
    <n v="210"/>
    <n v="6090"/>
    <m/>
    <m/>
    <m/>
    <m/>
    <m/>
    <m/>
    <m/>
    <m/>
    <m/>
    <m/>
    <m/>
    <m/>
    <m/>
    <m/>
    <m/>
    <m/>
    <s v="INFASCO"/>
    <m/>
    <n v="97.85"/>
  </r>
  <r>
    <x v="624"/>
    <x v="10"/>
    <x v="32"/>
    <n v="27"/>
    <n v="220"/>
    <n v="5940"/>
    <s v="183+325"/>
    <s v="Yes"/>
    <m/>
    <s v="Yes"/>
    <m/>
    <s v="Yes"/>
    <m/>
    <s v="Yes"/>
    <m/>
    <s v="N/A"/>
    <m/>
    <s v="Yes"/>
    <m/>
    <s v="Yes"/>
    <m/>
    <s v="New"/>
    <s v="INFASCO"/>
    <n v="95"/>
    <n v="97.85"/>
  </r>
  <r>
    <x v="624"/>
    <x v="10"/>
    <x v="32"/>
    <n v="19"/>
    <n v="220"/>
    <n v="4180"/>
    <m/>
    <m/>
    <m/>
    <m/>
    <m/>
    <m/>
    <m/>
    <m/>
    <m/>
    <m/>
    <m/>
    <m/>
    <m/>
    <m/>
    <m/>
    <m/>
    <s v="INFASCO"/>
    <m/>
    <n v="97.85"/>
  </r>
  <r>
    <x v="624"/>
    <x v="10"/>
    <x v="32"/>
    <n v="17"/>
    <n v="220"/>
    <n v="3740"/>
    <m/>
    <m/>
    <m/>
    <m/>
    <m/>
    <m/>
    <m/>
    <m/>
    <m/>
    <m/>
    <m/>
    <m/>
    <m/>
    <m/>
    <m/>
    <m/>
    <s v="INFASCO"/>
    <m/>
    <n v="97.85"/>
  </r>
  <r>
    <x v="624"/>
    <x v="10"/>
    <x v="93"/>
    <n v="14"/>
    <n v="250"/>
    <n v="3500"/>
    <m/>
    <m/>
    <m/>
    <m/>
    <m/>
    <m/>
    <m/>
    <m/>
    <m/>
    <m/>
    <m/>
    <m/>
    <m/>
    <m/>
    <m/>
    <m/>
    <s v="INFASCO"/>
    <m/>
    <n v="123.6"/>
  </r>
  <r>
    <x v="625"/>
    <x v="8"/>
    <x v="31"/>
    <n v="36"/>
    <n v="210"/>
    <n v="7560"/>
    <n v="12.909090909090908"/>
    <s v="Yes"/>
    <m/>
    <s v="Yes"/>
    <m/>
    <s v="Yes"/>
    <m/>
    <s v="Yes"/>
    <m/>
    <s v="N/A"/>
    <m/>
    <s v="Yes"/>
    <m/>
    <s v="Yes"/>
    <m/>
    <s v="New"/>
    <s v="INFASCO"/>
    <n v="97.85"/>
    <n v="97.85"/>
  </r>
  <r>
    <x v="626"/>
    <x v="8"/>
    <x v="31"/>
    <n v="36"/>
    <n v="210"/>
    <n v="7560"/>
    <n v="12.909090909090908"/>
    <s v="Yes"/>
    <m/>
    <s v="Yes"/>
    <m/>
    <s v="Yes"/>
    <m/>
    <s v="Yes"/>
    <m/>
    <s v="N/A"/>
    <m/>
    <s v="Yes"/>
    <m/>
    <s v="Yes"/>
    <m/>
    <s v="New"/>
    <s v="INFASCO"/>
    <n v="97.85"/>
    <n v="97.85"/>
  </r>
  <r>
    <x v="627"/>
    <x v="8"/>
    <x v="31"/>
    <n v="36"/>
    <n v="210"/>
    <n v="7560"/>
    <n v="12.909090909090908"/>
    <s v="Yes"/>
    <m/>
    <s v="Yes"/>
    <m/>
    <s v="Yes"/>
    <m/>
    <s v="Yes"/>
    <m/>
    <s v="N/A"/>
    <m/>
    <s v="Yes"/>
    <m/>
    <s v="Yes"/>
    <m/>
    <s v="New"/>
    <s v="INFASCO"/>
    <n v="97.85"/>
    <n v="97.85"/>
  </r>
  <r>
    <x v="628"/>
    <x v="8"/>
    <x v="31"/>
    <n v="36"/>
    <n v="210"/>
    <n v="7560"/>
    <n v="12.909090909090908"/>
    <s v="Yes"/>
    <m/>
    <s v="Yes"/>
    <m/>
    <s v="Yes"/>
    <m/>
    <s v="Yes"/>
    <m/>
    <s v="N/A"/>
    <m/>
    <s v="Yes"/>
    <m/>
    <s v="Yes"/>
    <m/>
    <s v="New"/>
    <s v="INFASCO"/>
    <n v="97.85"/>
    <n v="97.85"/>
  </r>
  <r>
    <x v="629"/>
    <x v="18"/>
    <x v="86"/>
    <n v="36"/>
    <n v="2500"/>
    <n v="90000"/>
    <s v="325+p"/>
    <s v="Yes"/>
    <m/>
    <s v="Yes"/>
    <m/>
    <s v="Yes"/>
    <m/>
    <s v="Yes"/>
    <m/>
    <s v="N/A"/>
    <m/>
    <s v="Yes"/>
    <m/>
    <s v="Yes"/>
    <m/>
    <s v="Re-certified"/>
    <s v="INFASCO"/>
    <n v="97.85"/>
    <n v="97.85"/>
  </r>
  <r>
    <x v="630"/>
    <x v="18"/>
    <x v="86"/>
    <n v="36"/>
    <n v="2500"/>
    <n v="90000"/>
    <s v="325+p"/>
    <s v="Yes"/>
    <m/>
    <s v="Yes"/>
    <m/>
    <s v="Yes"/>
    <m/>
    <s v="Yes"/>
    <m/>
    <s v="N/A"/>
    <m/>
    <s v="Yes"/>
    <m/>
    <s v="Yes"/>
    <m/>
    <s v="Re-certified"/>
    <s v="INFASCO"/>
    <n v="97.85"/>
    <n v="97.85"/>
  </r>
  <r>
    <x v="631"/>
    <x v="8"/>
    <x v="180"/>
    <n v="29"/>
    <n v="1400"/>
    <n v="40600"/>
    <n v="12.909090909090908"/>
    <s v="Yes"/>
    <m/>
    <s v="Yes"/>
    <m/>
    <s v="Yes"/>
    <m/>
    <s v="Yes"/>
    <m/>
    <s v="N/A"/>
    <m/>
    <s v="Yes"/>
    <m/>
    <s v="Yes"/>
    <m/>
    <s v="New"/>
    <e v="#N/A"/>
    <s v="N/A"/>
    <n v="97.85"/>
  </r>
  <r>
    <x v="632"/>
    <x v="8"/>
    <x v="180"/>
    <n v="31"/>
    <n v="1400"/>
    <n v="43400"/>
    <s v="011+142"/>
    <s v="Yes"/>
    <m/>
    <s v="Yes"/>
    <m/>
    <s v="Yes"/>
    <m/>
    <s v="Yes"/>
    <m/>
    <s v="N/A"/>
    <m/>
    <s v="Yes"/>
    <m/>
    <s v="Yes"/>
    <m/>
    <s v="New"/>
    <e v="#N/A"/>
    <s v="N/A"/>
    <n v="97.85"/>
  </r>
  <r>
    <x v="633"/>
    <x v="18"/>
    <x v="113"/>
    <n v="36"/>
    <n v="2500"/>
    <n v="90000"/>
    <s v="325+P"/>
    <s v="Yes"/>
    <m/>
    <s v="Yes"/>
    <m/>
    <s v="Yes"/>
    <m/>
    <s v="Yes"/>
    <m/>
    <s v="N/A"/>
    <m/>
    <s v="Yes"/>
    <m/>
    <s v="Yes"/>
    <m/>
    <s v="Re-certified"/>
    <s v="INFASCO"/>
    <n v="97.85"/>
    <n v="97.85"/>
  </r>
  <r>
    <x v="634"/>
    <x v="8"/>
    <x v="101"/>
    <n v="1"/>
    <n v="46304"/>
    <n v="46304"/>
    <s v="011+142"/>
    <s v="Yes"/>
    <m/>
    <s v="Yes"/>
    <m/>
    <s v="Yes"/>
    <m/>
    <s v="Yes"/>
    <m/>
    <s v="N/A"/>
    <m/>
    <s v="Yes"/>
    <m/>
    <s v="Yes"/>
    <m/>
    <s v="New"/>
    <s v="INFASCO"/>
    <n v="118.45"/>
    <n v="118.45"/>
  </r>
  <r>
    <x v="635"/>
    <x v="17"/>
    <x v="177"/>
    <n v="1"/>
    <n v="4100"/>
    <n v="4100"/>
    <n v="168"/>
    <s v="Yes"/>
    <m/>
    <s v="Yes"/>
    <m/>
    <s v="Yes"/>
    <m/>
    <s v="Yes"/>
    <m/>
    <s v="N/A"/>
    <m/>
    <s v="Yes"/>
    <m/>
    <s v="Yes"/>
    <m/>
    <s v="New"/>
    <s v="INFASCO"/>
    <n v="118.45"/>
    <n v="118.45"/>
  </r>
  <r>
    <x v="636"/>
    <x v="2"/>
    <x v="0"/>
    <n v="36"/>
    <n v="2500"/>
    <n v="90000"/>
    <m/>
    <m/>
    <m/>
    <m/>
    <m/>
    <m/>
    <m/>
    <m/>
    <m/>
    <m/>
    <m/>
    <m/>
    <m/>
    <m/>
    <m/>
    <m/>
    <s v="INFASCO"/>
    <m/>
    <n v="97.85"/>
  </r>
  <r>
    <x v="636"/>
    <x v="6"/>
    <x v="0"/>
    <n v="36"/>
    <n v="2500"/>
    <n v="90000"/>
    <m/>
    <m/>
    <m/>
    <m/>
    <m/>
    <m/>
    <m/>
    <m/>
    <m/>
    <m/>
    <m/>
    <m/>
    <m/>
    <m/>
    <m/>
    <m/>
    <s v="INFASCO"/>
    <m/>
    <n v="97.85"/>
  </r>
  <r>
    <x v="636"/>
    <x v="6"/>
    <x v="86"/>
    <n v="36"/>
    <n v="2500"/>
    <n v="90000"/>
    <m/>
    <m/>
    <m/>
    <m/>
    <m/>
    <m/>
    <m/>
    <m/>
    <m/>
    <m/>
    <m/>
    <m/>
    <m/>
    <m/>
    <m/>
    <m/>
    <s v="INFASCO"/>
    <m/>
    <n v="97.85"/>
  </r>
  <r>
    <x v="636"/>
    <x v="4"/>
    <x v="0"/>
    <n v="36"/>
    <n v="2500"/>
    <n v="90000"/>
    <m/>
    <m/>
    <m/>
    <m/>
    <m/>
    <m/>
    <m/>
    <m/>
    <m/>
    <m/>
    <m/>
    <m/>
    <m/>
    <m/>
    <m/>
    <m/>
    <s v="INFASCO"/>
    <m/>
    <n v="97.85"/>
  </r>
  <r>
    <x v="636"/>
    <x v="18"/>
    <x v="86"/>
    <n v="36"/>
    <n v="2500"/>
    <n v="90000"/>
    <m/>
    <m/>
    <m/>
    <m/>
    <m/>
    <m/>
    <m/>
    <m/>
    <m/>
    <m/>
    <m/>
    <m/>
    <m/>
    <m/>
    <m/>
    <m/>
    <s v="INFASCO"/>
    <m/>
    <n v="97.85"/>
  </r>
  <r>
    <x v="636"/>
    <x v="4"/>
    <x v="46"/>
    <n v="36"/>
    <n v="2150"/>
    <n v="77400"/>
    <m/>
    <m/>
    <m/>
    <m/>
    <m/>
    <m/>
    <m/>
    <m/>
    <m/>
    <m/>
    <m/>
    <m/>
    <m/>
    <m/>
    <m/>
    <m/>
    <s v="INFASCO"/>
    <m/>
    <n v="97.85"/>
  </r>
  <r>
    <x v="636"/>
    <x v="3"/>
    <x v="69"/>
    <n v="36"/>
    <n v="1900"/>
    <n v="68400"/>
    <m/>
    <m/>
    <m/>
    <m/>
    <m/>
    <m/>
    <m/>
    <m/>
    <m/>
    <m/>
    <m/>
    <m/>
    <m/>
    <m/>
    <m/>
    <m/>
    <s v="INFASCO"/>
    <m/>
    <n v="97.85"/>
  </r>
  <r>
    <x v="636"/>
    <x v="13"/>
    <x v="119"/>
    <n v="36"/>
    <n v="1200"/>
    <n v="43200"/>
    <m/>
    <m/>
    <m/>
    <m/>
    <m/>
    <m/>
    <m/>
    <m/>
    <m/>
    <m/>
    <m/>
    <m/>
    <m/>
    <m/>
    <m/>
    <m/>
    <s v="INFASCO"/>
    <m/>
    <n v="97.85"/>
  </r>
  <r>
    <x v="636"/>
    <x v="16"/>
    <x v="94"/>
    <n v="36"/>
    <n v="1050"/>
    <n v="37800"/>
    <m/>
    <m/>
    <m/>
    <m/>
    <m/>
    <m/>
    <m/>
    <m/>
    <m/>
    <m/>
    <m/>
    <m/>
    <m/>
    <m/>
    <m/>
    <m/>
    <s v="INFASCO"/>
    <m/>
    <n v="97.85"/>
  </r>
  <r>
    <x v="636"/>
    <x v="9"/>
    <x v="0"/>
    <n v="15"/>
    <n v="2500"/>
    <n v="37500"/>
    <m/>
    <m/>
    <m/>
    <m/>
    <m/>
    <m/>
    <m/>
    <m/>
    <m/>
    <m/>
    <m/>
    <m/>
    <m/>
    <m/>
    <m/>
    <m/>
    <s v="INFASCO"/>
    <m/>
    <n v="97.85"/>
  </r>
  <r>
    <x v="636"/>
    <x v="16"/>
    <x v="151"/>
    <n v="22"/>
    <n v="650"/>
    <n v="14300"/>
    <m/>
    <m/>
    <m/>
    <m/>
    <m/>
    <m/>
    <m/>
    <m/>
    <m/>
    <m/>
    <m/>
    <m/>
    <m/>
    <m/>
    <m/>
    <m/>
    <s v="INFASCO"/>
    <m/>
    <n v="97.85"/>
  </r>
  <r>
    <x v="636"/>
    <x v="26"/>
    <x v="11"/>
    <n v="36"/>
    <n v="280"/>
    <n v="10080"/>
    <m/>
    <m/>
    <m/>
    <m/>
    <m/>
    <m/>
    <m/>
    <m/>
    <m/>
    <m/>
    <m/>
    <m/>
    <m/>
    <m/>
    <m/>
    <m/>
    <s v="INFASCO"/>
    <m/>
    <n v="97.85"/>
  </r>
  <r>
    <x v="636"/>
    <x v="17"/>
    <x v="177"/>
    <n v="1"/>
    <n v="1855"/>
    <n v="1855"/>
    <n v="168"/>
    <s v="Yes"/>
    <m/>
    <s v="Yes"/>
    <m/>
    <s v="Yes"/>
    <m/>
    <s v="Yes"/>
    <m/>
    <s v="N/A"/>
    <m/>
    <s v="Yes"/>
    <m/>
    <s v="Yes"/>
    <m/>
    <s v="New"/>
    <s v="INFASCO"/>
    <n v="118.45"/>
    <n v="118.45"/>
  </r>
  <r>
    <x v="637"/>
    <x v="10"/>
    <x v="84"/>
    <n v="36"/>
    <n v="650"/>
    <n v="23400"/>
    <s v="156+183"/>
    <s v="Yes"/>
    <m/>
    <s v="Yes"/>
    <m/>
    <s v="Yes"/>
    <m/>
    <s v="Yes"/>
    <m/>
    <s v="N/A"/>
    <m/>
    <s v="Yes"/>
    <m/>
    <s v="Yes"/>
    <m/>
    <s v="New"/>
    <s v="INFASCO"/>
    <n v="97.85"/>
    <n v="97.85"/>
  </r>
  <r>
    <x v="638"/>
    <x v="10"/>
    <x v="31"/>
    <n v="36"/>
    <n v="210"/>
    <n v="7560"/>
    <s v="156+185"/>
    <s v="Yes"/>
    <m/>
    <s v="Yes"/>
    <m/>
    <s v="Yes"/>
    <m/>
    <s v="Yes"/>
    <m/>
    <s v="N/A"/>
    <m/>
    <s v="Yes"/>
    <m/>
    <s v="Yes"/>
    <m/>
    <s v="New"/>
    <s v="INFASCO"/>
    <n v="97.85"/>
    <n v="97.85"/>
  </r>
  <r>
    <x v="639"/>
    <x v="10"/>
    <x v="31"/>
    <n v="36"/>
    <n v="210"/>
    <n v="7560"/>
    <s v="156+185"/>
    <s v="Yes"/>
    <m/>
    <s v="Yes"/>
    <m/>
    <s v="Yes"/>
    <m/>
    <s v="Yes"/>
    <m/>
    <s v="N/A"/>
    <m/>
    <s v="Yes"/>
    <m/>
    <s v="Yes"/>
    <m/>
    <s v="New"/>
    <s v="INFASCO"/>
    <n v="97.85"/>
    <n v="97.85"/>
  </r>
  <r>
    <x v="640"/>
    <x v="10"/>
    <x v="31"/>
    <n v="27"/>
    <n v="210"/>
    <n v="5670"/>
    <s v="156+185"/>
    <s v="Yes"/>
    <m/>
    <s v="Yes"/>
    <m/>
    <s v="Yes"/>
    <m/>
    <s v="Yes"/>
    <m/>
    <s v="N/A"/>
    <m/>
    <s v="Yes"/>
    <m/>
    <s v="Yes"/>
    <m/>
    <s v="New"/>
    <s v="INFASCO"/>
    <n v="97.85"/>
    <n v="97.85"/>
  </r>
  <r>
    <x v="641"/>
    <x v="10"/>
    <x v="13"/>
    <n v="1"/>
    <n v="10000"/>
    <n v="10000"/>
    <s v="156+185"/>
    <s v="Yes"/>
    <m/>
    <s v="Yes"/>
    <m/>
    <s v="Yes"/>
    <m/>
    <s v="Yes"/>
    <m/>
    <s v="N/A"/>
    <m/>
    <s v="Yes"/>
    <m/>
    <s v="Yes"/>
    <m/>
    <s v="New"/>
    <s v="INFASCO"/>
    <n v="118.45"/>
    <n v="118.45"/>
  </r>
  <r>
    <x v="642"/>
    <x v="10"/>
    <x v="13"/>
    <n v="1"/>
    <n v="9931"/>
    <n v="9931"/>
    <s v="156+185"/>
    <s v="Yes"/>
    <m/>
    <s v="Yes"/>
    <m/>
    <s v="Yes"/>
    <m/>
    <s v="Yes"/>
    <m/>
    <s v="N/A"/>
    <m/>
    <s v="Yes"/>
    <m/>
    <s v="Yes"/>
    <m/>
    <s v="New"/>
    <s v="INFASCO"/>
    <n v="118.45"/>
    <n v="118.45"/>
  </r>
  <r>
    <x v="643"/>
    <x v="10"/>
    <x v="13"/>
    <n v="1"/>
    <n v="8971"/>
    <n v="8971"/>
    <s v="156+185"/>
    <s v="Yes"/>
    <m/>
    <s v="Yes"/>
    <m/>
    <s v="Yes"/>
    <m/>
    <s v="Yes"/>
    <m/>
    <s v="N/A"/>
    <m/>
    <s v="Yes"/>
    <m/>
    <s v="Yes"/>
    <m/>
    <s v="New"/>
    <s v="INFASCO"/>
    <n v="118.45"/>
    <n v="118.45"/>
  </r>
  <r>
    <x v="644"/>
    <x v="10"/>
    <x v="101"/>
    <n v="1"/>
    <n v="35000"/>
    <n v="35000"/>
    <s v="156+185"/>
    <s v="Yes"/>
    <m/>
    <s v="Yes"/>
    <m/>
    <s v="Yes"/>
    <m/>
    <s v="Yes"/>
    <m/>
    <s v="N/A"/>
    <m/>
    <s v="Yes"/>
    <m/>
    <s v="Yes"/>
    <m/>
    <s v="New"/>
    <s v="INFASCO"/>
    <n v="118.45"/>
    <n v="118.45"/>
  </r>
  <r>
    <x v="645"/>
    <x v="10"/>
    <x v="116"/>
    <n v="26"/>
    <n v="300"/>
    <n v="7800"/>
    <s v="156+185"/>
    <s v="Yes"/>
    <m/>
    <s v="Yes"/>
    <m/>
    <s v="Yes"/>
    <m/>
    <s v="Yes"/>
    <m/>
    <s v="N/A"/>
    <m/>
    <s v="Yes"/>
    <m/>
    <s v="Yes"/>
    <m/>
    <s v="New"/>
    <s v="INFASCO"/>
    <n v="97.85"/>
    <n v="97.85"/>
  </r>
  <r>
    <x v="646"/>
    <x v="10"/>
    <x v="116"/>
    <n v="33"/>
    <n v="300"/>
    <n v="9900"/>
    <s v="156+185"/>
    <s v="Yes"/>
    <m/>
    <s v="Yes"/>
    <m/>
    <s v="Yes"/>
    <m/>
    <s v="Yes"/>
    <m/>
    <s v="N/A"/>
    <m/>
    <s v="Yes"/>
    <m/>
    <s v="Yes"/>
    <m/>
    <s v="New"/>
    <s v="INFASCO"/>
    <n v="97.85"/>
    <n v="97.85"/>
  </r>
  <r>
    <x v="647"/>
    <x v="10"/>
    <x v="31"/>
    <n v="39"/>
    <n v="210"/>
    <n v="8190"/>
    <s v="156+171"/>
    <s v="Yes"/>
    <m/>
    <s v="Yes"/>
    <m/>
    <s v="Yes"/>
    <m/>
    <s v="Yes"/>
    <m/>
    <s v="N/A"/>
    <m/>
    <s v="Yes"/>
    <m/>
    <s v="Yes"/>
    <m/>
    <s v="New"/>
    <s v="INFASCO"/>
    <n v="97.85"/>
    <n v="97.85"/>
  </r>
  <r>
    <x v="648"/>
    <x v="18"/>
    <x v="76"/>
    <n v="25"/>
    <n v="4500"/>
    <n v="112500"/>
    <s v="184+P"/>
    <s v="Yes"/>
    <m/>
    <s v="Yes"/>
    <m/>
    <s v="Yes"/>
    <m/>
    <s v="Yes"/>
    <m/>
    <s v="N/A"/>
    <m/>
    <s v="Yes"/>
    <m/>
    <s v="Yes"/>
    <m/>
    <s v="New"/>
    <s v="INFASCO"/>
    <s v="N/A"/>
    <n v="97.85"/>
  </r>
  <r>
    <x v="649"/>
    <x v="10"/>
    <x v="8"/>
    <n v="36"/>
    <n v="600"/>
    <n v="21600"/>
    <s v="156+171"/>
    <s v="Yes"/>
    <m/>
    <s v="Yes"/>
    <m/>
    <s v="Yes"/>
    <m/>
    <s v="Yes"/>
    <m/>
    <s v="N/A"/>
    <m/>
    <s v="Yes"/>
    <m/>
    <s v="Yes"/>
    <m/>
    <s v="New"/>
    <s v="INFASCO"/>
    <n v="123.6"/>
    <n v="123.6"/>
  </r>
  <r>
    <x v="650"/>
    <x v="10"/>
    <x v="8"/>
    <n v="14"/>
    <n v="600"/>
    <n v="8400"/>
    <s v="156+171"/>
    <s v="Yes"/>
    <m/>
    <s v="Yes"/>
    <m/>
    <s v="Yes"/>
    <m/>
    <s v="Yes"/>
    <m/>
    <s v="N/A"/>
    <m/>
    <s v="Yes"/>
    <m/>
    <s v="Yes"/>
    <m/>
    <s v="New"/>
    <s v="INFASCO"/>
    <n v="123.6"/>
    <n v="123.6"/>
  </r>
  <r>
    <x v="651"/>
    <x v="18"/>
    <x v="0"/>
    <n v="35"/>
    <n v="2500"/>
    <n v="87500"/>
    <s v="184+P"/>
    <s v="Yes"/>
    <m/>
    <s v="Yes"/>
    <m/>
    <s v="Yes"/>
    <m/>
    <s v="Yes"/>
    <m/>
    <s v="N/A"/>
    <m/>
    <s v="Yes"/>
    <m/>
    <s v="Yes"/>
    <m/>
    <s v="New"/>
    <s v="INFASCO"/>
    <s v="N/A"/>
    <n v="97.85"/>
  </r>
  <r>
    <x v="652"/>
    <x v="18"/>
    <x v="86"/>
    <n v="36"/>
    <n v="2500"/>
    <n v="90000"/>
    <s v="184+P"/>
    <s v="Yes"/>
    <m/>
    <s v="Yes"/>
    <m/>
    <s v="Yes"/>
    <m/>
    <s v="Yes"/>
    <m/>
    <s v="N/A"/>
    <m/>
    <s v="Yes"/>
    <m/>
    <s v="Yes"/>
    <m/>
    <s v="New"/>
    <s v="INFASCO"/>
    <n v="97.85"/>
    <n v="97.85"/>
  </r>
  <r>
    <x v="653"/>
    <x v="8"/>
    <x v="33"/>
    <n v="36"/>
    <n v="145"/>
    <n v="5220"/>
    <s v="011+186"/>
    <s v="Yes"/>
    <m/>
    <s v="Yes"/>
    <m/>
    <s v="Yes"/>
    <m/>
    <s v="Yes"/>
    <m/>
    <s v="N/A"/>
    <m/>
    <s v="Yes"/>
    <m/>
    <s v="Yes"/>
    <m/>
    <s v="New"/>
    <s v="INFASCO"/>
    <n v="123.6"/>
    <n v="123.6"/>
  </r>
  <r>
    <x v="654"/>
    <x v="8"/>
    <x v="33"/>
    <n v="21"/>
    <n v="145"/>
    <n v="3045"/>
    <s v="011+186"/>
    <s v="Yes"/>
    <m/>
    <s v="Yes"/>
    <m/>
    <s v="Yes"/>
    <m/>
    <s v="Yes"/>
    <m/>
    <s v="N/A"/>
    <m/>
    <s v="Yes"/>
    <m/>
    <s v="Yes"/>
    <m/>
    <s v="New"/>
    <s v="INFASCO"/>
    <n v="123.6"/>
    <n v="123.6"/>
  </r>
  <r>
    <x v="655"/>
    <x v="8"/>
    <x v="181"/>
    <n v="1"/>
    <n v="2740"/>
    <n v="2740"/>
    <s v="011+186"/>
    <s v="Yes"/>
    <m/>
    <s v="Yes"/>
    <m/>
    <s v="Yes"/>
    <m/>
    <s v="Yes"/>
    <m/>
    <s v="N/A"/>
    <m/>
    <s v="Yes"/>
    <m/>
    <s v="Yes"/>
    <m/>
    <s v="New"/>
    <e v="#N/A"/>
    <s v="N/A"/>
    <n v="67.959999999999994"/>
  </r>
  <r>
    <x v="656"/>
    <x v="8"/>
    <x v="181"/>
    <n v="1"/>
    <n v="4134"/>
    <n v="4134"/>
    <s v="011+186"/>
    <s v="Yes"/>
    <m/>
    <s v="Yes"/>
    <m/>
    <s v="Yes"/>
    <m/>
    <s v="Yes"/>
    <m/>
    <s v="N/A"/>
    <m/>
    <s v="Yes"/>
    <m/>
    <s v="Yes"/>
    <m/>
    <s v="New"/>
    <e v="#N/A"/>
    <s v="N/A"/>
    <n v="67.959999999999994"/>
  </r>
  <r>
    <x v="657"/>
    <x v="18"/>
    <x v="86"/>
    <n v="36"/>
    <n v="2500"/>
    <n v="90000"/>
    <s v="184+P"/>
    <s v="Yes"/>
    <m/>
    <s v="Yes"/>
    <m/>
    <s v="Yes"/>
    <m/>
    <s v="Yes"/>
    <m/>
    <s v="N/A"/>
    <m/>
    <s v="Yes"/>
    <m/>
    <s v="Yes"/>
    <m/>
    <s v="New"/>
    <s v="INFASCO"/>
    <n v="97.85"/>
    <n v="97.85"/>
  </r>
  <r>
    <x v="658"/>
    <x v="10"/>
    <x v="182"/>
    <n v="36"/>
    <n v="275"/>
    <n v="9900"/>
    <s v="156+171"/>
    <s v="Yes"/>
    <m/>
    <s v="Yes"/>
    <m/>
    <s v="Yes"/>
    <m/>
    <s v="Yes"/>
    <m/>
    <s v="N/A"/>
    <m/>
    <s v="Yes"/>
    <m/>
    <s v="Yes"/>
    <m/>
    <s v="New"/>
    <s v="INFASCO"/>
    <n v="123.6"/>
    <n v="123.6"/>
  </r>
  <r>
    <x v="659"/>
    <x v="10"/>
    <x v="182"/>
    <n v="3"/>
    <n v="275"/>
    <n v="825"/>
    <s v="156+171"/>
    <s v="Yes"/>
    <m/>
    <s v="Yes"/>
    <m/>
    <s v="Yes"/>
    <m/>
    <s v="Yes"/>
    <m/>
    <s v="N/A"/>
    <m/>
    <s v="Yes"/>
    <m/>
    <s v="Yes"/>
    <m/>
    <s v="New"/>
    <s v="INFASCO"/>
    <n v="123.6"/>
    <n v="123.6"/>
  </r>
  <r>
    <x v="660"/>
    <x v="8"/>
    <x v="181"/>
    <n v="1"/>
    <n v="3800"/>
    <n v="3800"/>
    <s v="11+186"/>
    <s v="Yes"/>
    <m/>
    <s v="Yes"/>
    <m/>
    <s v="Yes"/>
    <m/>
    <s v="Yes"/>
    <m/>
    <s v="N/A"/>
    <m/>
    <s v="Yes"/>
    <m/>
    <s v="Yes"/>
    <m/>
    <s v="New"/>
    <e v="#N/A"/>
    <s v="N/A"/>
    <n v="67.959999999999994"/>
  </r>
  <r>
    <x v="661"/>
    <x v="8"/>
    <x v="181"/>
    <n v="1"/>
    <n v="1800"/>
    <n v="1800"/>
    <s v="11+186"/>
    <s v="Yes"/>
    <m/>
    <s v="Yes"/>
    <m/>
    <s v="Yes"/>
    <m/>
    <s v="Yes"/>
    <m/>
    <s v="N/A"/>
    <m/>
    <s v="Yes"/>
    <m/>
    <s v="Yes"/>
    <m/>
    <s v="New"/>
    <e v="#N/A"/>
    <s v="N/A"/>
    <n v="67.959999999999994"/>
  </r>
  <r>
    <x v="662"/>
    <x v="8"/>
    <x v="181"/>
    <n v="1"/>
    <n v="1800"/>
    <n v="1800"/>
    <s v="11+186"/>
    <s v="Yes"/>
    <m/>
    <s v="Yes"/>
    <m/>
    <s v="Yes"/>
    <m/>
    <s v="Yes"/>
    <m/>
    <s v="N/A"/>
    <m/>
    <s v="Yes"/>
    <m/>
    <s v="Yes"/>
    <m/>
    <s v="New"/>
    <e v="#N/A"/>
    <s v="N/A"/>
    <n v="67.959999999999994"/>
  </r>
  <r>
    <x v="663"/>
    <x v="10"/>
    <x v="113"/>
    <n v="31"/>
    <n v="1600"/>
    <n v="49600"/>
    <s v="156+171"/>
    <s v="Yes"/>
    <m/>
    <s v="Yes"/>
    <m/>
    <s v="Yes"/>
    <m/>
    <s v="Yes"/>
    <m/>
    <s v="N/A"/>
    <m/>
    <s v="Yes"/>
    <m/>
    <s v="Yes"/>
    <m/>
    <s v="New"/>
    <s v="INFASCO"/>
    <n v="97.85"/>
    <n v="97.85"/>
  </r>
  <r>
    <x v="664"/>
    <x v="5"/>
    <x v="86"/>
    <n v="36"/>
    <n v="2500"/>
    <n v="90000"/>
    <m/>
    <m/>
    <m/>
    <m/>
    <m/>
    <m/>
    <m/>
    <m/>
    <m/>
    <m/>
    <m/>
    <m/>
    <m/>
    <m/>
    <m/>
    <m/>
    <s v="INFASCO"/>
    <m/>
    <n v="97.85"/>
  </r>
  <r>
    <x v="664"/>
    <x v="1"/>
    <x v="0"/>
    <n v="36"/>
    <n v="2500"/>
    <n v="90000"/>
    <m/>
    <m/>
    <m/>
    <m/>
    <m/>
    <m/>
    <m/>
    <m/>
    <m/>
    <m/>
    <m/>
    <m/>
    <m/>
    <m/>
    <m/>
    <m/>
    <s v="INFASCO"/>
    <m/>
    <n v="97.85"/>
  </r>
  <r>
    <x v="664"/>
    <x v="18"/>
    <x v="86"/>
    <n v="34"/>
    <n v="2500"/>
    <n v="85000"/>
    <s v="184+P"/>
    <s v="Yes"/>
    <m/>
    <s v="Yes"/>
    <m/>
    <s v="Yes"/>
    <m/>
    <s v="Yes"/>
    <m/>
    <s v="N/A"/>
    <m/>
    <s v="Yes"/>
    <m/>
    <s v="Yes"/>
    <m/>
    <s v="New"/>
    <s v="INFASCO"/>
    <s v="N/A"/>
    <n v="97.85"/>
  </r>
  <r>
    <x v="664"/>
    <x v="11"/>
    <x v="46"/>
    <n v="36"/>
    <n v="2150"/>
    <n v="77400"/>
    <m/>
    <m/>
    <m/>
    <m/>
    <m/>
    <m/>
    <m/>
    <m/>
    <m/>
    <m/>
    <m/>
    <m/>
    <m/>
    <m/>
    <m/>
    <m/>
    <s v="INFASCO"/>
    <m/>
    <n v="97.85"/>
  </r>
  <r>
    <x v="664"/>
    <x v="5"/>
    <x v="86"/>
    <n v="30"/>
    <n v="2500"/>
    <n v="75000"/>
    <m/>
    <m/>
    <m/>
    <m/>
    <m/>
    <m/>
    <m/>
    <m/>
    <m/>
    <m/>
    <m/>
    <m/>
    <m/>
    <m/>
    <m/>
    <m/>
    <s v="INFASCO"/>
    <m/>
    <n v="97.85"/>
  </r>
  <r>
    <x v="664"/>
    <x v="12"/>
    <x v="0"/>
    <n v="30"/>
    <n v="2500"/>
    <n v="75000"/>
    <m/>
    <m/>
    <m/>
    <m/>
    <m/>
    <m/>
    <m/>
    <m/>
    <m/>
    <m/>
    <m/>
    <m/>
    <m/>
    <m/>
    <m/>
    <m/>
    <s v="INFASCO"/>
    <m/>
    <n v="97.85"/>
  </r>
  <r>
    <x v="664"/>
    <x v="3"/>
    <x v="69"/>
    <n v="36"/>
    <n v="1900"/>
    <n v="68400"/>
    <m/>
    <m/>
    <m/>
    <m/>
    <m/>
    <m/>
    <m/>
    <m/>
    <m/>
    <m/>
    <m/>
    <m/>
    <m/>
    <m/>
    <m/>
    <m/>
    <s v="INFASCO"/>
    <m/>
    <n v="97.85"/>
  </r>
  <r>
    <x v="664"/>
    <x v="11"/>
    <x v="71"/>
    <n v="44"/>
    <n v="1500"/>
    <n v="66000"/>
    <m/>
    <s v="PALLETS:10+34"/>
    <m/>
    <m/>
    <m/>
    <m/>
    <m/>
    <m/>
    <m/>
    <m/>
    <m/>
    <m/>
    <m/>
    <m/>
    <m/>
    <m/>
    <s v="INFASCO"/>
    <m/>
    <n v="97.85"/>
  </r>
  <r>
    <x v="664"/>
    <x v="9"/>
    <x v="0"/>
    <n v="23"/>
    <n v="2500"/>
    <n v="57500"/>
    <m/>
    <m/>
    <m/>
    <m/>
    <m/>
    <m/>
    <m/>
    <m/>
    <m/>
    <m/>
    <m/>
    <m/>
    <m/>
    <m/>
    <m/>
    <m/>
    <s v="INFASCO"/>
    <m/>
    <n v="97.85"/>
  </r>
  <r>
    <x v="664"/>
    <x v="11"/>
    <x v="71"/>
    <n v="36"/>
    <n v="1500"/>
    <n v="54000"/>
    <m/>
    <m/>
    <m/>
    <m/>
    <m/>
    <m/>
    <m/>
    <m/>
    <m/>
    <m/>
    <m/>
    <m/>
    <m/>
    <m/>
    <m/>
    <m/>
    <s v="INFASCO"/>
    <m/>
    <n v="97.85"/>
  </r>
  <r>
    <x v="664"/>
    <x v="11"/>
    <x v="71"/>
    <n v="36"/>
    <n v="1500"/>
    <n v="54000"/>
    <m/>
    <m/>
    <m/>
    <m/>
    <m/>
    <m/>
    <m/>
    <m/>
    <m/>
    <m/>
    <m/>
    <m/>
    <m/>
    <m/>
    <m/>
    <m/>
    <s v="INFASCO"/>
    <m/>
    <n v="97.85"/>
  </r>
  <r>
    <x v="664"/>
    <x v="1"/>
    <x v="46"/>
    <n v="20"/>
    <n v="2150"/>
    <n v="43000"/>
    <m/>
    <m/>
    <m/>
    <m/>
    <m/>
    <m/>
    <m/>
    <m/>
    <m/>
    <m/>
    <m/>
    <m/>
    <m/>
    <m/>
    <m/>
    <m/>
    <s v="INFASCO"/>
    <m/>
    <n v="97.85"/>
  </r>
  <r>
    <x v="664"/>
    <x v="14"/>
    <x v="109"/>
    <n v="36"/>
    <n v="660"/>
    <n v="23760"/>
    <m/>
    <m/>
    <m/>
    <m/>
    <m/>
    <m/>
    <m/>
    <m/>
    <m/>
    <m/>
    <m/>
    <m/>
    <m/>
    <m/>
    <m/>
    <m/>
    <s v="INFASCO"/>
    <m/>
    <n v="97.85"/>
  </r>
  <r>
    <x v="664"/>
    <x v="18"/>
    <x v="90"/>
    <n v="33"/>
    <n v="700"/>
    <n v="23100"/>
    <m/>
    <m/>
    <m/>
    <m/>
    <m/>
    <m/>
    <m/>
    <m/>
    <m/>
    <m/>
    <m/>
    <m/>
    <m/>
    <m/>
    <m/>
    <m/>
    <s v="INFASCO"/>
    <m/>
    <n v="97.85"/>
  </r>
  <r>
    <x v="664"/>
    <x v="13"/>
    <x v="109"/>
    <n v="30"/>
    <n v="660"/>
    <n v="19800"/>
    <m/>
    <m/>
    <m/>
    <m/>
    <m/>
    <m/>
    <m/>
    <m/>
    <m/>
    <m/>
    <m/>
    <m/>
    <m/>
    <m/>
    <m/>
    <m/>
    <s v="INFASCO"/>
    <m/>
    <n v="97.85"/>
  </r>
  <r>
    <x v="664"/>
    <x v="26"/>
    <x v="11"/>
    <n v="43"/>
    <n v="280"/>
    <n v="12040"/>
    <m/>
    <m/>
    <m/>
    <m/>
    <m/>
    <m/>
    <m/>
    <m/>
    <m/>
    <m/>
    <m/>
    <m/>
    <m/>
    <m/>
    <m/>
    <m/>
    <s v="INFASCO"/>
    <m/>
    <n v="97.85"/>
  </r>
  <r>
    <x v="664"/>
    <x v="26"/>
    <x v="11"/>
    <n v="36"/>
    <n v="280"/>
    <n v="10080"/>
    <m/>
    <m/>
    <m/>
    <m/>
    <m/>
    <m/>
    <m/>
    <m/>
    <m/>
    <m/>
    <m/>
    <m/>
    <m/>
    <m/>
    <m/>
    <m/>
    <s v="INFASCO"/>
    <m/>
    <n v="97.85"/>
  </r>
  <r>
    <x v="664"/>
    <x v="26"/>
    <x v="11"/>
    <n v="36"/>
    <n v="280"/>
    <n v="10080"/>
    <m/>
    <m/>
    <m/>
    <m/>
    <m/>
    <m/>
    <m/>
    <m/>
    <m/>
    <m/>
    <m/>
    <m/>
    <m/>
    <m/>
    <m/>
    <m/>
    <s v="INFASCO"/>
    <m/>
    <n v="97.85"/>
  </r>
  <r>
    <x v="664"/>
    <x v="26"/>
    <x v="11"/>
    <n v="29"/>
    <n v="280"/>
    <n v="8120"/>
    <m/>
    <m/>
    <m/>
    <m/>
    <m/>
    <m/>
    <m/>
    <m/>
    <m/>
    <m/>
    <m/>
    <m/>
    <m/>
    <m/>
    <m/>
    <m/>
    <s v="INFASCO"/>
    <m/>
    <n v="97.85"/>
  </r>
  <r>
    <x v="664"/>
    <x v="10"/>
    <x v="181"/>
    <n v="1"/>
    <n v="3800"/>
    <n v="3800"/>
    <m/>
    <m/>
    <m/>
    <m/>
    <m/>
    <m/>
    <m/>
    <m/>
    <m/>
    <m/>
    <m/>
    <m/>
    <m/>
    <m/>
    <m/>
    <m/>
    <s v="INFASCO"/>
    <m/>
    <n v="67.98"/>
  </r>
  <r>
    <x v="664"/>
    <x v="10"/>
    <x v="181"/>
    <n v="1"/>
    <n v="3288"/>
    <n v="3288"/>
    <m/>
    <m/>
    <m/>
    <m/>
    <m/>
    <m/>
    <m/>
    <m/>
    <m/>
    <m/>
    <m/>
    <m/>
    <m/>
    <m/>
    <m/>
    <m/>
    <s v="INFASCO"/>
    <m/>
    <n v="67.98"/>
  </r>
  <r>
    <x v="665"/>
    <x v="8"/>
    <x v="181"/>
    <n v="1"/>
    <n v="4483"/>
    <n v="4483"/>
    <s v="11+186"/>
    <s v="Yes"/>
    <m/>
    <s v="Yes"/>
    <m/>
    <s v="Yes"/>
    <m/>
    <s v="Yes"/>
    <m/>
    <s v="N/A"/>
    <m/>
    <s v="Yes"/>
    <m/>
    <s v="Yes"/>
    <m/>
    <s v="New"/>
    <e v="#N/A"/>
    <s v="N/A"/>
    <n v="67.959999999999994"/>
  </r>
  <r>
    <x v="666"/>
    <x v="10"/>
    <x v="90"/>
    <n v="33"/>
    <n v="700"/>
    <n v="23100"/>
    <s v="184+P"/>
    <s v="Yes"/>
    <m/>
    <s v="Yes"/>
    <m/>
    <s v="Yes"/>
    <m/>
    <s v="Yes"/>
    <m/>
    <s v="N/A"/>
    <m/>
    <s v="Yes"/>
    <m/>
    <s v="Yes"/>
    <m/>
    <s v="New"/>
    <s v="INFASCO"/>
    <s v="N/A"/>
    <n v="97.85"/>
  </r>
  <r>
    <x v="667"/>
    <x v="2"/>
    <x v="0"/>
    <n v="36"/>
    <n v="2500"/>
    <n v="90000"/>
    <m/>
    <m/>
    <m/>
    <m/>
    <m/>
    <m/>
    <m/>
    <m/>
    <m/>
    <m/>
    <m/>
    <m/>
    <m/>
    <m/>
    <m/>
    <m/>
    <s v="INFASCO"/>
    <m/>
    <n v="97.85"/>
  </r>
  <r>
    <x v="667"/>
    <x v="4"/>
    <x v="46"/>
    <n v="36"/>
    <n v="2150"/>
    <n v="77400"/>
    <m/>
    <m/>
    <m/>
    <m/>
    <m/>
    <m/>
    <m/>
    <m/>
    <m/>
    <m/>
    <m/>
    <m/>
    <m/>
    <m/>
    <m/>
    <m/>
    <s v="INFASCO"/>
    <m/>
    <n v="97.85"/>
  </r>
  <r>
    <x v="667"/>
    <x v="4"/>
    <x v="46"/>
    <n v="26"/>
    <n v="2150"/>
    <n v="55900"/>
    <m/>
    <m/>
    <m/>
    <m/>
    <m/>
    <m/>
    <m/>
    <m/>
    <m/>
    <m/>
    <m/>
    <m/>
    <m/>
    <m/>
    <m/>
    <m/>
    <s v="INFASCO"/>
    <m/>
    <n v="97.85"/>
  </r>
  <r>
    <x v="668"/>
    <x v="8"/>
    <x v="33"/>
    <n v="27"/>
    <n v="145"/>
    <n v="3915"/>
    <s v="327+171"/>
    <s v="Yes"/>
    <m/>
    <s v="Yes"/>
    <m/>
    <s v="Yes"/>
    <m/>
    <s v="Yes"/>
    <m/>
    <s v="N/A"/>
    <m/>
    <s v="Yes"/>
    <m/>
    <s v="Yes"/>
    <m/>
    <s v="New"/>
    <s v="INFASCO"/>
    <n v="123.6"/>
    <n v="123.6"/>
  </r>
  <r>
    <x v="669"/>
    <x v="18"/>
    <x v="183"/>
    <n v="36"/>
    <n v="160"/>
    <n v="5760"/>
    <s v="156+298"/>
    <s v="Yes"/>
    <m/>
    <s v="Yes"/>
    <m/>
    <s v="Yes"/>
    <m/>
    <s v="Yes"/>
    <m/>
    <s v="N/A"/>
    <m/>
    <s v="Yes"/>
    <m/>
    <s v="Yes"/>
    <m/>
    <s v="New"/>
    <s v="INFASCO"/>
    <n v="97.85"/>
    <n v="97.85"/>
  </r>
  <r>
    <x v="670"/>
    <x v="8"/>
    <x v="183"/>
    <n v="36"/>
    <n v="160"/>
    <n v="5760"/>
    <s v="327+171"/>
    <s v="Yes"/>
    <m/>
    <s v="Yes"/>
    <m/>
    <s v="Yes"/>
    <m/>
    <s v="Yes"/>
    <m/>
    <s v="N/A"/>
    <m/>
    <s v="Yes"/>
    <m/>
    <s v="Yes"/>
    <m/>
    <s v="New"/>
    <s v="INFASCO"/>
    <n v="97.85"/>
    <n v="97.85"/>
  </r>
  <r>
    <x v="671"/>
    <x v="18"/>
    <x v="183"/>
    <n v="36"/>
    <n v="160"/>
    <n v="5760"/>
    <s v="156+298"/>
    <s v="Yes"/>
    <m/>
    <s v="Yes"/>
    <m/>
    <s v="Yes"/>
    <m/>
    <s v="Yes"/>
    <m/>
    <s v="N/A"/>
    <m/>
    <s v="Yes"/>
    <m/>
    <s v="Yes"/>
    <m/>
    <s v="New"/>
    <s v="INFASCO"/>
    <n v="97.85"/>
    <n v="97.85"/>
  </r>
  <r>
    <x v="672"/>
    <x v="18"/>
    <x v="183"/>
    <n v="13"/>
    <n v="160"/>
    <n v="2080"/>
    <s v="156+298"/>
    <s v="Yes"/>
    <m/>
    <s v="Yes"/>
    <m/>
    <s v="Yes"/>
    <m/>
    <s v="Yes"/>
    <m/>
    <s v="N/A"/>
    <m/>
    <s v="Yes"/>
    <m/>
    <s v="Yes"/>
    <m/>
    <s v="New"/>
    <s v="INFASCO"/>
    <n v="97.85"/>
    <n v="97.85"/>
  </r>
  <r>
    <x v="673"/>
    <x v="10"/>
    <x v="33"/>
    <n v="36"/>
    <n v="145"/>
    <n v="5220"/>
    <s v="184+187"/>
    <s v="Yes"/>
    <m/>
    <s v="Yes"/>
    <m/>
    <s v="Yes"/>
    <m/>
    <s v="Yes"/>
    <m/>
    <s v="N/A"/>
    <m/>
    <s v="Yes"/>
    <m/>
    <s v="Yes"/>
    <m/>
    <s v="New"/>
    <s v="INFASCO"/>
    <n v="123.6"/>
    <n v="123.6"/>
  </r>
  <r>
    <x v="674"/>
    <x v="8"/>
    <x v="184"/>
    <n v="34"/>
    <n v="2200"/>
    <n v="74800"/>
    <s v="011+186"/>
    <s v="Yes"/>
    <m/>
    <s v="Yes"/>
    <m/>
    <s v="Yes"/>
    <m/>
    <s v="Yes"/>
    <m/>
    <s v="N/A"/>
    <m/>
    <s v="Yes"/>
    <m/>
    <s v="Yes"/>
    <m/>
    <s v="New"/>
    <s v="INFASCO"/>
    <n v="97.85"/>
    <n v="97.85"/>
  </r>
  <r>
    <x v="675"/>
    <x v="8"/>
    <x v="36"/>
    <n v="36"/>
    <n v="4000"/>
    <n v="144000"/>
    <s v="011+186"/>
    <s v="Yes"/>
    <m/>
    <s v="Yes"/>
    <m/>
    <s v="Yes"/>
    <m/>
    <s v="Yes"/>
    <m/>
    <s v="N/A"/>
    <m/>
    <s v="Yes"/>
    <m/>
    <s v="Yes"/>
    <m/>
    <s v="New"/>
    <s v="INFASCO"/>
    <n v="123.6"/>
    <n v="123.6"/>
  </r>
  <r>
    <x v="676"/>
    <x v="10"/>
    <x v="183"/>
    <n v="36"/>
    <n v="160"/>
    <n v="5760"/>
    <s v="327+171"/>
    <s v="Yes"/>
    <m/>
    <s v="Yes"/>
    <m/>
    <s v="Yes"/>
    <m/>
    <s v="Yes"/>
    <m/>
    <s v="N/A"/>
    <m/>
    <s v="Yes"/>
    <m/>
    <s v="Yes"/>
    <m/>
    <s v="New"/>
    <s v="INFASCO"/>
    <n v="97.85"/>
    <n v="97.85"/>
  </r>
  <r>
    <x v="677"/>
    <x v="10"/>
    <x v="183"/>
    <n v="10"/>
    <n v="160"/>
    <n v="1600"/>
    <s v="327+171"/>
    <s v="Yes"/>
    <m/>
    <s v="Yes"/>
    <m/>
    <s v="Yes"/>
    <m/>
    <s v="Yes"/>
    <m/>
    <s v="N/A"/>
    <m/>
    <s v="Yes"/>
    <m/>
    <s v="Yes"/>
    <m/>
    <s v="New"/>
    <s v="INFASCO"/>
    <n v="97.85"/>
    <n v="97.85"/>
  </r>
  <r>
    <x v="678"/>
    <x v="18"/>
    <x v="49"/>
    <n v="28"/>
    <n v="1400"/>
    <n v="39200"/>
    <s v="156+298"/>
    <s v="Yes"/>
    <m/>
    <s v="Yes"/>
    <m/>
    <s v="Yes"/>
    <m/>
    <s v="Yes"/>
    <m/>
    <s v="N/A"/>
    <m/>
    <s v="Yes"/>
    <m/>
    <s v="Yes"/>
    <m/>
    <s v="New"/>
    <s v="INFASCO"/>
    <n v="97.85"/>
    <n v="97.85"/>
  </r>
  <r>
    <x v="679"/>
    <x v="18"/>
    <x v="49"/>
    <n v="36"/>
    <n v="1400"/>
    <n v="50400"/>
    <s v="156+298"/>
    <s v="Yes"/>
    <m/>
    <s v="Yes"/>
    <m/>
    <s v="Yes"/>
    <m/>
    <s v="Yes"/>
    <m/>
    <s v="N/A"/>
    <m/>
    <s v="Yes"/>
    <m/>
    <s v="Yes"/>
    <m/>
    <s v="New"/>
    <s v="INFASCO"/>
    <n v="97.85"/>
    <n v="97.85"/>
  </r>
  <r>
    <x v="680"/>
    <x v="18"/>
    <x v="43"/>
    <n v="28"/>
    <n v="200"/>
    <n v="5600"/>
    <s v="156+298"/>
    <s v="Yes"/>
    <m/>
    <s v="Yes"/>
    <m/>
    <s v="Yes"/>
    <m/>
    <s v="Yes"/>
    <m/>
    <s v="N/A"/>
    <m/>
    <s v="Yes"/>
    <m/>
    <s v="Yes"/>
    <m/>
    <s v="New"/>
    <s v="INFASCO"/>
    <n v="97.85"/>
    <n v="97.85"/>
  </r>
  <r>
    <x v="681"/>
    <x v="10"/>
    <x v="36"/>
    <n v="36"/>
    <n v="4000"/>
    <n v="144000"/>
    <s v="327+171"/>
    <s v="Yes"/>
    <m/>
    <s v="Yes"/>
    <m/>
    <s v="Yes"/>
    <m/>
    <s v="Yes"/>
    <m/>
    <s v="N/A"/>
    <m/>
    <s v="Yes"/>
    <m/>
    <s v="Yes"/>
    <m/>
    <s v="New"/>
    <s v="INFASCO"/>
    <n v="123.6"/>
    <n v="123.6"/>
  </r>
  <r>
    <x v="682"/>
    <x v="18"/>
    <x v="36"/>
    <n v="33"/>
    <n v="4000"/>
    <n v="132000"/>
    <s v="156+298"/>
    <s v="Yes"/>
    <m/>
    <s v="Yes"/>
    <m/>
    <s v="Yes"/>
    <m/>
    <s v="Yes"/>
    <m/>
    <s v="N/A"/>
    <m/>
    <s v="Yes"/>
    <m/>
    <s v="Yes"/>
    <m/>
    <s v="New"/>
    <s v="INFASCO"/>
    <n v="123.6"/>
    <n v="123.6"/>
  </r>
  <r>
    <x v="683"/>
    <x v="10"/>
    <x v="36"/>
    <n v="30"/>
    <n v="4000"/>
    <n v="120000"/>
    <s v="327+171"/>
    <s v="Yes"/>
    <m/>
    <s v="Yes"/>
    <m/>
    <s v="Yes"/>
    <m/>
    <s v="Yes"/>
    <m/>
    <s v="N/A"/>
    <m/>
    <s v="Yes"/>
    <m/>
    <s v="Yes"/>
    <m/>
    <s v="New"/>
    <s v="INFASCO"/>
    <n v="123.6"/>
    <n v="123.6"/>
  </r>
  <r>
    <x v="684"/>
    <x v="8"/>
    <x v="36"/>
    <n v="27"/>
    <n v="4000"/>
    <n v="108000"/>
    <s v="011+186"/>
    <s v="Yes"/>
    <m/>
    <s v="Yes"/>
    <m/>
    <s v="Yes"/>
    <m/>
    <s v="Yes"/>
    <m/>
    <s v="N/A"/>
    <m/>
    <s v="Yes"/>
    <m/>
    <s v="Yes"/>
    <m/>
    <s v="New"/>
    <s v="INFASCO"/>
    <n v="123.6"/>
    <n v="123.6"/>
  </r>
  <r>
    <x v="685"/>
    <x v="8"/>
    <x v="36"/>
    <n v="33"/>
    <n v="4000"/>
    <n v="132000"/>
    <s v="011+186"/>
    <s v="Yes"/>
    <m/>
    <s v="Yes"/>
    <m/>
    <s v="Yes"/>
    <m/>
    <s v="Yes"/>
    <m/>
    <s v="N/A"/>
    <m/>
    <s v="Yes"/>
    <m/>
    <s v="Yes"/>
    <m/>
    <s v="New"/>
    <s v="INFASCO"/>
    <n v="123.6"/>
    <n v="123.6"/>
  </r>
  <r>
    <x v="686"/>
    <x v="10"/>
    <x v="33"/>
    <n v="28"/>
    <n v="145"/>
    <n v="4060"/>
    <s v="327+171"/>
    <s v="Yes"/>
    <m/>
    <s v="Yes"/>
    <m/>
    <s v="Yes"/>
    <m/>
    <s v="Yes"/>
    <m/>
    <s v="N/A"/>
    <m/>
    <s v="Yes"/>
    <m/>
    <s v="Yes"/>
    <m/>
    <s v="New"/>
    <s v="INFASCO"/>
    <n v="123.6"/>
    <n v="123.6"/>
  </r>
  <r>
    <x v="687"/>
    <x v="18"/>
    <x v="33"/>
    <n v="27"/>
    <n v="145"/>
    <n v="3915"/>
    <s v="156+298"/>
    <s v="Yes"/>
    <m/>
    <s v="Yes"/>
    <m/>
    <s v="Yes"/>
    <m/>
    <s v="Yes"/>
    <m/>
    <s v="N/A"/>
    <m/>
    <s v="Yes"/>
    <m/>
    <s v="Yes"/>
    <m/>
    <s v="New"/>
    <s v="INFASCO"/>
    <n v="123.6"/>
    <n v="123.6"/>
  </r>
  <r>
    <x v="688"/>
    <x v="10"/>
    <x v="33"/>
    <n v="36"/>
    <n v="145"/>
    <n v="5220"/>
    <s v="144+171"/>
    <s v="Yes"/>
    <m/>
    <s v="Yes"/>
    <m/>
    <s v="Yes"/>
    <m/>
    <s v="Yes"/>
    <m/>
    <s v="N/A"/>
    <m/>
    <s v="Yes"/>
    <m/>
    <s v="Yes"/>
    <m/>
    <s v="New"/>
    <s v="INFASCO"/>
    <n v="123.6"/>
    <n v="123.6"/>
  </r>
  <r>
    <x v="689"/>
    <x v="8"/>
    <x v="45"/>
    <n v="1"/>
    <n v="1850"/>
    <n v="1850"/>
    <s v="011+186"/>
    <s v="Yes"/>
    <m/>
    <s v="Yes"/>
    <m/>
    <s v="Yes"/>
    <m/>
    <s v="Yes"/>
    <m/>
    <s v="N/A"/>
    <m/>
    <s v="Yes"/>
    <m/>
    <s v="Yes"/>
    <m/>
    <s v="New"/>
    <s v="INFASCO"/>
    <n v="226.6"/>
    <n v="71.069999999999993"/>
  </r>
  <r>
    <x v="690"/>
    <x v="8"/>
    <x v="33"/>
    <n v="27"/>
    <n v="145"/>
    <n v="3915"/>
    <s v="011+186"/>
    <s v="Yes"/>
    <m/>
    <s v="Yes"/>
    <m/>
    <s v="Yes"/>
    <m/>
    <s v="Yes"/>
    <m/>
    <s v="N/A"/>
    <m/>
    <s v="Yes"/>
    <m/>
    <s v="Yes"/>
    <m/>
    <s v="New"/>
    <s v="INFASCO"/>
    <n v="123.6"/>
    <n v="123.6"/>
  </r>
  <r>
    <x v="691"/>
    <x v="8"/>
    <x v="33"/>
    <n v="22"/>
    <n v="145"/>
    <n v="3190"/>
    <s v="011+186"/>
    <s v="Yes"/>
    <m/>
    <s v="Yes"/>
    <m/>
    <s v="Yes"/>
    <m/>
    <s v="Yes"/>
    <m/>
    <s v="N/A"/>
    <m/>
    <s v="Yes"/>
    <m/>
    <s v="Yes"/>
    <m/>
    <s v="New"/>
    <s v="INFASCO"/>
    <n v="123.6"/>
    <n v="123.6"/>
  </r>
  <r>
    <x v="692"/>
    <x v="17"/>
    <x v="36"/>
    <n v="32"/>
    <n v="4000"/>
    <n v="128000"/>
    <m/>
    <m/>
    <m/>
    <m/>
    <m/>
    <m/>
    <m/>
    <m/>
    <m/>
    <m/>
    <m/>
    <m/>
    <m/>
    <m/>
    <m/>
    <m/>
    <s v="INFASCO"/>
    <m/>
    <n v="123.6"/>
  </r>
  <r>
    <x v="692"/>
    <x v="6"/>
    <x v="86"/>
    <n v="36"/>
    <n v="2500"/>
    <n v="90000"/>
    <m/>
    <m/>
    <m/>
    <m/>
    <m/>
    <m/>
    <m/>
    <m/>
    <m/>
    <m/>
    <m/>
    <m/>
    <m/>
    <m/>
    <m/>
    <m/>
    <s v="INFASCO"/>
    <m/>
    <n v="97.85"/>
  </r>
  <r>
    <x v="692"/>
    <x v="2"/>
    <x v="0"/>
    <n v="36"/>
    <n v="2500"/>
    <n v="90000"/>
    <m/>
    <m/>
    <m/>
    <m/>
    <m/>
    <m/>
    <m/>
    <m/>
    <m/>
    <m/>
    <m/>
    <m/>
    <m/>
    <m/>
    <m/>
    <m/>
    <s v="INFASCO"/>
    <m/>
    <n v="97.85"/>
  </r>
  <r>
    <x v="692"/>
    <x v="15"/>
    <x v="0"/>
    <n v="36"/>
    <n v="2500"/>
    <n v="90000"/>
    <m/>
    <m/>
    <m/>
    <m/>
    <m/>
    <m/>
    <m/>
    <m/>
    <m/>
    <m/>
    <m/>
    <m/>
    <m/>
    <m/>
    <m/>
    <m/>
    <s v="INFASCO"/>
    <m/>
    <n v="97.85"/>
  </r>
  <r>
    <x v="692"/>
    <x v="5"/>
    <x v="86"/>
    <n v="36"/>
    <n v="2500"/>
    <n v="90000"/>
    <m/>
    <m/>
    <m/>
    <m/>
    <m/>
    <m/>
    <m/>
    <m/>
    <m/>
    <m/>
    <m/>
    <m/>
    <m/>
    <m/>
    <m/>
    <m/>
    <s v="INFASCO"/>
    <m/>
    <n v="97.85"/>
  </r>
  <r>
    <x v="692"/>
    <x v="12"/>
    <x v="0"/>
    <n v="36"/>
    <n v="2500"/>
    <n v="90000"/>
    <m/>
    <m/>
    <m/>
    <m/>
    <m/>
    <m/>
    <m/>
    <m/>
    <m/>
    <m/>
    <m/>
    <m/>
    <m/>
    <m/>
    <m/>
    <m/>
    <s v="INFASCO"/>
    <m/>
    <n v="97.85"/>
  </r>
  <r>
    <x v="692"/>
    <x v="9"/>
    <x v="0"/>
    <n v="31"/>
    <n v="2500"/>
    <n v="77500"/>
    <m/>
    <m/>
    <m/>
    <m/>
    <m/>
    <m/>
    <m/>
    <m/>
    <m/>
    <m/>
    <m/>
    <m/>
    <m/>
    <m/>
    <m/>
    <m/>
    <s v="INFASCO"/>
    <m/>
    <n v="97.85"/>
  </r>
  <r>
    <x v="692"/>
    <x v="4"/>
    <x v="46"/>
    <n v="36"/>
    <n v="2150"/>
    <n v="77400"/>
    <m/>
    <m/>
    <m/>
    <m/>
    <m/>
    <m/>
    <m/>
    <m/>
    <m/>
    <m/>
    <m/>
    <m/>
    <m/>
    <m/>
    <m/>
    <m/>
    <s v="INFASCO"/>
    <m/>
    <n v="97.85"/>
  </r>
  <r>
    <x v="692"/>
    <x v="3"/>
    <x v="69"/>
    <n v="36"/>
    <n v="1900"/>
    <n v="68400"/>
    <m/>
    <m/>
    <m/>
    <m/>
    <m/>
    <m/>
    <m/>
    <m/>
    <m/>
    <m/>
    <m/>
    <m/>
    <m/>
    <m/>
    <m/>
    <m/>
    <s v="INFASCO"/>
    <m/>
    <n v="97.85"/>
  </r>
  <r>
    <x v="692"/>
    <x v="1"/>
    <x v="46"/>
    <n v="29"/>
    <n v="2150"/>
    <n v="62350"/>
    <m/>
    <m/>
    <m/>
    <m/>
    <m/>
    <m/>
    <m/>
    <m/>
    <m/>
    <m/>
    <m/>
    <m/>
    <m/>
    <m/>
    <m/>
    <m/>
    <s v="INFASCO"/>
    <m/>
    <n v="97.85"/>
  </r>
  <r>
    <x v="692"/>
    <x v="3"/>
    <x v="69"/>
    <n v="24"/>
    <n v="1900"/>
    <n v="45600"/>
    <m/>
    <m/>
    <m/>
    <m/>
    <m/>
    <m/>
    <m/>
    <m/>
    <m/>
    <m/>
    <m/>
    <m/>
    <m/>
    <m/>
    <m/>
    <m/>
    <s v="INFASCO"/>
    <m/>
    <n v="97.85"/>
  </r>
  <r>
    <x v="692"/>
    <x v="6"/>
    <x v="109"/>
    <n v="36"/>
    <n v="660"/>
    <n v="23760"/>
    <m/>
    <m/>
    <m/>
    <m/>
    <m/>
    <m/>
    <m/>
    <m/>
    <m/>
    <m/>
    <m/>
    <m/>
    <m/>
    <m/>
    <m/>
    <m/>
    <s v="INFASCO"/>
    <m/>
    <n v="97.85"/>
  </r>
  <r>
    <x v="692"/>
    <x v="7"/>
    <x v="109"/>
    <n v="36"/>
    <n v="660"/>
    <n v="23760"/>
    <m/>
    <m/>
    <m/>
    <m/>
    <m/>
    <m/>
    <m/>
    <m/>
    <m/>
    <m/>
    <m/>
    <m/>
    <m/>
    <m/>
    <m/>
    <m/>
    <s v="INFASCO"/>
    <m/>
    <n v="97.85"/>
  </r>
  <r>
    <x v="692"/>
    <x v="11"/>
    <x v="109"/>
    <n v="36"/>
    <n v="660"/>
    <n v="23760"/>
    <m/>
    <m/>
    <m/>
    <m/>
    <m/>
    <m/>
    <m/>
    <m/>
    <m/>
    <m/>
    <m/>
    <m/>
    <m/>
    <m/>
    <m/>
    <m/>
    <s v="INFASCO"/>
    <m/>
    <n v="97.85"/>
  </r>
  <r>
    <x v="692"/>
    <x v="13"/>
    <x v="109"/>
    <n v="36"/>
    <n v="660"/>
    <n v="23760"/>
    <m/>
    <m/>
    <m/>
    <m/>
    <m/>
    <m/>
    <m/>
    <m/>
    <m/>
    <m/>
    <m/>
    <m/>
    <m/>
    <m/>
    <m/>
    <m/>
    <s v="INFASCO"/>
    <m/>
    <n v="97.85"/>
  </r>
  <r>
    <x v="692"/>
    <x v="14"/>
    <x v="109"/>
    <n v="36"/>
    <n v="660"/>
    <n v="23760"/>
    <m/>
    <m/>
    <m/>
    <m/>
    <m/>
    <m/>
    <m/>
    <m/>
    <m/>
    <m/>
    <m/>
    <m/>
    <m/>
    <m/>
    <m/>
    <m/>
    <s v="INFASCO"/>
    <m/>
    <n v="97.85"/>
  </r>
  <r>
    <x v="692"/>
    <x v="16"/>
    <x v="151"/>
    <n v="36"/>
    <n v="650"/>
    <n v="23400"/>
    <m/>
    <m/>
    <m/>
    <m/>
    <m/>
    <m/>
    <m/>
    <m/>
    <m/>
    <m/>
    <m/>
    <m/>
    <m/>
    <m/>
    <m/>
    <m/>
    <s v="INFASCO"/>
    <m/>
    <n v="97.85"/>
  </r>
  <r>
    <x v="692"/>
    <x v="4"/>
    <x v="151"/>
    <n v="36"/>
    <n v="650"/>
    <n v="23400"/>
    <m/>
    <m/>
    <m/>
    <m/>
    <m/>
    <m/>
    <m/>
    <m/>
    <m/>
    <m/>
    <m/>
    <m/>
    <m/>
    <m/>
    <m/>
    <m/>
    <s v="INFASCO"/>
    <m/>
    <n v="97.85"/>
  </r>
  <r>
    <x v="692"/>
    <x v="4"/>
    <x v="151"/>
    <n v="36"/>
    <n v="650"/>
    <n v="23400"/>
    <m/>
    <m/>
    <m/>
    <m/>
    <m/>
    <m/>
    <m/>
    <m/>
    <m/>
    <m/>
    <m/>
    <m/>
    <m/>
    <m/>
    <m/>
    <m/>
    <s v="INFASCO"/>
    <m/>
    <n v="97.85"/>
  </r>
  <r>
    <x v="692"/>
    <x v="7"/>
    <x v="109"/>
    <n v="31"/>
    <n v="660"/>
    <n v="20460"/>
    <m/>
    <m/>
    <m/>
    <m/>
    <m/>
    <m/>
    <m/>
    <m/>
    <m/>
    <m/>
    <m/>
    <m/>
    <m/>
    <m/>
    <m/>
    <m/>
    <s v="INFASCO"/>
    <m/>
    <n v="97.85"/>
  </r>
  <r>
    <x v="692"/>
    <x v="13"/>
    <x v="109"/>
    <n v="28"/>
    <n v="660"/>
    <n v="18480"/>
    <m/>
    <m/>
    <m/>
    <m/>
    <m/>
    <m/>
    <m/>
    <m/>
    <m/>
    <m/>
    <m/>
    <m/>
    <m/>
    <m/>
    <m/>
    <m/>
    <s v="INFASCO"/>
    <m/>
    <n v="97.85"/>
  </r>
  <r>
    <x v="692"/>
    <x v="17"/>
    <x v="42"/>
    <n v="35"/>
    <n v="450"/>
    <n v="15750"/>
    <m/>
    <m/>
    <m/>
    <m/>
    <m/>
    <m/>
    <m/>
    <m/>
    <m/>
    <m/>
    <m/>
    <m/>
    <m/>
    <m/>
    <m/>
    <m/>
    <s v="INFASCO"/>
    <m/>
    <n v="97.85"/>
  </r>
  <r>
    <x v="692"/>
    <x v="26"/>
    <x v="55"/>
    <n v="39"/>
    <n v="400"/>
    <n v="15600"/>
    <m/>
    <m/>
    <m/>
    <m/>
    <m/>
    <m/>
    <m/>
    <m/>
    <m/>
    <m/>
    <m/>
    <m/>
    <m/>
    <m/>
    <m/>
    <m/>
    <s v="INFASCO"/>
    <m/>
    <n v="97.85"/>
  </r>
  <r>
    <x v="692"/>
    <x v="26"/>
    <x v="55"/>
    <n v="39"/>
    <n v="400"/>
    <n v="15600"/>
    <m/>
    <m/>
    <m/>
    <m/>
    <m/>
    <m/>
    <m/>
    <m/>
    <m/>
    <m/>
    <m/>
    <m/>
    <m/>
    <m/>
    <m/>
    <m/>
    <s v="INFASCO"/>
    <m/>
    <n v="97.85"/>
  </r>
  <r>
    <x v="692"/>
    <x v="26"/>
    <x v="11"/>
    <n v="34"/>
    <n v="280"/>
    <n v="9520"/>
    <m/>
    <m/>
    <m/>
    <m/>
    <m/>
    <m/>
    <m/>
    <m/>
    <m/>
    <m/>
    <m/>
    <m/>
    <m/>
    <m/>
    <m/>
    <m/>
    <s v="INFASCO"/>
    <m/>
    <n v="97.85"/>
  </r>
  <r>
    <x v="692"/>
    <x v="17"/>
    <x v="43"/>
    <n v="30"/>
    <n v="200"/>
    <n v="6000"/>
    <m/>
    <m/>
    <m/>
    <m/>
    <m/>
    <m/>
    <m/>
    <m/>
    <m/>
    <m/>
    <m/>
    <m/>
    <m/>
    <m/>
    <m/>
    <m/>
    <s v="INFASCO"/>
    <m/>
    <n v="97.85"/>
  </r>
  <r>
    <x v="692"/>
    <x v="17"/>
    <x v="33"/>
    <n v="36"/>
    <n v="145"/>
    <n v="5220"/>
    <m/>
    <m/>
    <m/>
    <m/>
    <m/>
    <m/>
    <m/>
    <m/>
    <m/>
    <m/>
    <m/>
    <m/>
    <m/>
    <m/>
    <m/>
    <m/>
    <s v="INFASCO"/>
    <m/>
    <n v="123.6"/>
  </r>
  <r>
    <x v="692"/>
    <x v="17"/>
    <x v="33"/>
    <n v="26"/>
    <n v="145"/>
    <n v="3770"/>
    <m/>
    <m/>
    <m/>
    <m/>
    <m/>
    <m/>
    <m/>
    <m/>
    <m/>
    <m/>
    <m/>
    <m/>
    <m/>
    <m/>
    <m/>
    <m/>
    <s v="INFASCO"/>
    <m/>
    <n v="123.6"/>
  </r>
  <r>
    <x v="692"/>
    <x v="18"/>
    <x v="33"/>
    <n v="22"/>
    <n v="145"/>
    <n v="3190"/>
    <s v="156+298"/>
    <s v="Yes"/>
    <m/>
    <s v="Yes"/>
    <m/>
    <s v="Yes"/>
    <m/>
    <s v="Yes"/>
    <m/>
    <s v="N/A"/>
    <m/>
    <s v="Yes"/>
    <m/>
    <s v="Yes"/>
    <m/>
    <s v="New"/>
    <s v="INFASCO"/>
    <n v="123.6"/>
    <n v="123.6"/>
  </r>
  <r>
    <x v="693"/>
    <x v="10"/>
    <x v="33"/>
    <n v="27"/>
    <n v="145"/>
    <n v="3915"/>
    <s v="156+171"/>
    <s v="Yes"/>
    <m/>
    <s v="Yes"/>
    <m/>
    <s v="Yes"/>
    <m/>
    <s v="Yes"/>
    <m/>
    <s v="N/A"/>
    <m/>
    <s v="Yes"/>
    <m/>
    <s v="Yes"/>
    <m/>
    <s v="New"/>
    <s v="INFASCO"/>
    <n v="123.6"/>
    <n v="123.6"/>
  </r>
  <r>
    <x v="694"/>
    <x v="18"/>
    <x v="42"/>
    <n v="30"/>
    <n v="450"/>
    <n v="13500"/>
    <s v="156+298"/>
    <s v="Yes"/>
    <m/>
    <s v="Yes"/>
    <m/>
    <s v="Yes"/>
    <m/>
    <s v="Yes"/>
    <m/>
    <s v="N/A"/>
    <m/>
    <s v="Yes"/>
    <m/>
    <s v="Yes"/>
    <m/>
    <s v="New"/>
    <s v="INFASCO"/>
    <n v="97.85"/>
    <n v="97.85"/>
  </r>
  <r>
    <x v="695"/>
    <x v="10"/>
    <x v="32"/>
    <n v="36"/>
    <n v="220"/>
    <n v="7920"/>
    <s v="156+171"/>
    <s v="Yes"/>
    <m/>
    <s v="Yes"/>
    <m/>
    <s v="Yes"/>
    <m/>
    <s v="Yes"/>
    <m/>
    <s v="N/A"/>
    <m/>
    <s v="Yes"/>
    <m/>
    <s v="Yes"/>
    <m/>
    <s v="New"/>
    <s v="INFASCO"/>
    <n v="97.85"/>
    <n v="97.85"/>
  </r>
  <r>
    <x v="696"/>
    <x v="18"/>
    <x v="90"/>
    <n v="36"/>
    <n v="700"/>
    <n v="25200"/>
    <s v="184+187"/>
    <s v="Yes"/>
    <m/>
    <s v="Yes"/>
    <m/>
    <s v="Yes"/>
    <m/>
    <s v="Yes"/>
    <m/>
    <s v="N/A"/>
    <m/>
    <s v="Yes"/>
    <m/>
    <s v="Yes"/>
    <m/>
    <s v="New"/>
    <s v="INFASCO"/>
    <s v="N/A"/>
    <n v="97.85"/>
  </r>
  <r>
    <x v="697"/>
    <x v="18"/>
    <x v="42"/>
    <n v="29"/>
    <n v="450"/>
    <n v="13050"/>
    <s v="156+298"/>
    <s v="Yes"/>
    <m/>
    <s v="Yes"/>
    <m/>
    <s v="Yes"/>
    <m/>
    <s v="Yes"/>
    <m/>
    <s v="N/A"/>
    <m/>
    <s v="Yes"/>
    <m/>
    <s v="Yes"/>
    <m/>
    <s v="New"/>
    <s v="INFASCO"/>
    <n v="97.85"/>
    <n v="97.85"/>
  </r>
  <r>
    <x v="698"/>
    <x v="8"/>
    <x v="42"/>
    <n v="33"/>
    <n v="450"/>
    <n v="14850"/>
    <s v="011+196"/>
    <s v="Yes"/>
    <m/>
    <s v="Yes"/>
    <m/>
    <s v="Yes"/>
    <m/>
    <s v="Yes"/>
    <m/>
    <s v="N/A"/>
    <m/>
    <s v="Yes"/>
    <m/>
    <s v="Yes"/>
    <m/>
    <s v="New"/>
    <s v="INFASCO"/>
    <n v="97.85"/>
    <n v="97.85"/>
  </r>
  <r>
    <x v="699"/>
    <x v="8"/>
    <x v="42"/>
    <n v="33"/>
    <n v="450"/>
    <n v="14850"/>
    <n v="11196"/>
    <s v="Yes"/>
    <m/>
    <s v="Yes"/>
    <m/>
    <s v="Yes"/>
    <m/>
    <s v="Yes"/>
    <m/>
    <s v="N/A"/>
    <m/>
    <s v="Yes"/>
    <m/>
    <s v="Yes"/>
    <m/>
    <s v="New"/>
    <s v="INFASCO"/>
    <n v="97.85"/>
    <n v="97.85"/>
  </r>
  <r>
    <x v="700"/>
    <x v="18"/>
    <x v="92"/>
    <n v="36"/>
    <n v="250"/>
    <n v="9000"/>
    <s v="156+298"/>
    <s v="Yes"/>
    <m/>
    <s v="Yes"/>
    <m/>
    <s v="Yes"/>
    <m/>
    <s v="Yes"/>
    <m/>
    <s v="N/A"/>
    <m/>
    <s v="Yes"/>
    <m/>
    <s v="Yes"/>
    <m/>
    <s v="New"/>
    <s v="INFASCO"/>
    <n v="97.85"/>
    <n v="97.85"/>
  </r>
  <r>
    <x v="701"/>
    <x v="18"/>
    <x v="92"/>
    <n v="4"/>
    <n v="250"/>
    <n v="1000"/>
    <s v="156+298"/>
    <s v="Yes"/>
    <m/>
    <s v="Yes"/>
    <m/>
    <s v="Yes"/>
    <m/>
    <s v="Yes"/>
    <m/>
    <s v="N/A"/>
    <m/>
    <s v="Yes"/>
    <m/>
    <s v="Yes"/>
    <m/>
    <s v="New"/>
    <s v="INFASCO"/>
    <n v="97.85"/>
    <n v="97.85"/>
  </r>
  <r>
    <x v="702"/>
    <x v="18"/>
    <x v="112"/>
    <n v="30"/>
    <n v="170"/>
    <n v="5100"/>
    <s v="156+298"/>
    <s v="Yes"/>
    <m/>
    <s v="Yes"/>
    <m/>
    <s v="Yes"/>
    <m/>
    <s v="Yes"/>
    <m/>
    <s v="N/A"/>
    <m/>
    <s v="Yes"/>
    <m/>
    <s v="Yes"/>
    <m/>
    <s v="New"/>
    <s v="INFASCO"/>
    <n v="123.6"/>
    <n v="123.6"/>
  </r>
  <r>
    <x v="703"/>
    <x v="8"/>
    <x v="92"/>
    <n v="27"/>
    <n v="250"/>
    <n v="6750"/>
    <s v="011+186"/>
    <s v="Yes"/>
    <m/>
    <s v="Yes"/>
    <m/>
    <s v="Yes"/>
    <m/>
    <s v="Yes"/>
    <m/>
    <s v="N/A"/>
    <m/>
    <s v="Yes"/>
    <m/>
    <s v="Yes"/>
    <m/>
    <s v="New"/>
    <s v="INFASCO"/>
    <n v="97.85"/>
    <n v="97.85"/>
  </r>
  <r>
    <x v="704"/>
    <x v="10"/>
    <x v="32"/>
    <n v="26"/>
    <n v="220"/>
    <n v="5720"/>
    <n v="171"/>
    <s v="Yes"/>
    <m/>
    <s v="Yes"/>
    <m/>
    <s v="Yes"/>
    <m/>
    <s v="Yes"/>
    <m/>
    <s v="N/A"/>
    <m/>
    <s v="Yes"/>
    <m/>
    <s v="Yes"/>
    <m/>
    <s v="New"/>
    <s v="INFASCO"/>
    <n v="97.85"/>
    <n v="97.85"/>
  </r>
  <r>
    <x v="705"/>
    <x v="18"/>
    <x v="112"/>
    <n v="28"/>
    <n v="170"/>
    <n v="4760"/>
    <s v="156+298"/>
    <s v="Yes"/>
    <m/>
    <s v="Yes"/>
    <m/>
    <s v="Yes"/>
    <m/>
    <s v="Yes"/>
    <m/>
    <s v="N/A"/>
    <m/>
    <s v="Yes"/>
    <m/>
    <s v="Yes"/>
    <m/>
    <s v="New"/>
    <s v="INFASCO"/>
    <n v="123.6"/>
    <n v="123.6"/>
  </r>
  <r>
    <x v="706"/>
    <x v="17"/>
    <x v="36"/>
    <n v="33"/>
    <n v="4000"/>
    <n v="132000"/>
    <m/>
    <m/>
    <m/>
    <m/>
    <m/>
    <m/>
    <m/>
    <m/>
    <m/>
    <m/>
    <m/>
    <m/>
    <m/>
    <m/>
    <m/>
    <m/>
    <s v="INFASCO"/>
    <m/>
    <n v="123.6"/>
  </r>
  <r>
    <x v="706"/>
    <x v="5"/>
    <x v="2"/>
    <n v="26"/>
    <n v="2700"/>
    <n v="70200"/>
    <m/>
    <m/>
    <m/>
    <m/>
    <m/>
    <m/>
    <m/>
    <m/>
    <m/>
    <m/>
    <m/>
    <m/>
    <m/>
    <m/>
    <m/>
    <m/>
    <s v="INFASCO"/>
    <m/>
    <n v="97.85"/>
  </r>
  <r>
    <x v="706"/>
    <x v="2"/>
    <x v="0"/>
    <n v="27"/>
    <n v="2500"/>
    <n v="67500"/>
    <m/>
    <m/>
    <m/>
    <m/>
    <m/>
    <m/>
    <m/>
    <m/>
    <m/>
    <m/>
    <m/>
    <m/>
    <m/>
    <m/>
    <m/>
    <m/>
    <s v="INFASCO"/>
    <m/>
    <n v="97.85"/>
  </r>
  <r>
    <x v="706"/>
    <x v="3"/>
    <x v="69"/>
    <n v="32"/>
    <n v="1900"/>
    <n v="60800"/>
    <m/>
    <m/>
    <m/>
    <m/>
    <m/>
    <m/>
    <m/>
    <m/>
    <m/>
    <m/>
    <m/>
    <m/>
    <m/>
    <m/>
    <m/>
    <m/>
    <s v="INFASCO"/>
    <m/>
    <n v="97.85"/>
  </r>
  <r>
    <x v="706"/>
    <x v="17"/>
    <x v="49"/>
    <n v="36"/>
    <n v="1400"/>
    <n v="50400"/>
    <m/>
    <m/>
    <m/>
    <m/>
    <m/>
    <m/>
    <m/>
    <m/>
    <m/>
    <m/>
    <m/>
    <m/>
    <m/>
    <m/>
    <m/>
    <m/>
    <s v="INFASCO"/>
    <m/>
    <n v="97.85"/>
  </r>
  <r>
    <x v="706"/>
    <x v="17"/>
    <x v="49"/>
    <n v="28"/>
    <n v="1400"/>
    <n v="39200"/>
    <m/>
    <m/>
    <m/>
    <m/>
    <m/>
    <m/>
    <m/>
    <m/>
    <m/>
    <m/>
    <m/>
    <m/>
    <m/>
    <m/>
    <m/>
    <m/>
    <s v="INFASCO"/>
    <m/>
    <n v="97.85"/>
  </r>
  <r>
    <x v="706"/>
    <x v="11"/>
    <x v="7"/>
    <n v="54"/>
    <n v="700"/>
    <n v="37800"/>
    <m/>
    <m/>
    <m/>
    <m/>
    <m/>
    <m/>
    <m/>
    <m/>
    <m/>
    <m/>
    <m/>
    <m/>
    <m/>
    <m/>
    <m/>
    <m/>
    <s v="INFASCO"/>
    <m/>
    <n v="97.85"/>
  </r>
  <r>
    <x v="706"/>
    <x v="12"/>
    <x v="7"/>
    <n v="36"/>
    <n v="700"/>
    <n v="25200"/>
    <m/>
    <m/>
    <m/>
    <m/>
    <m/>
    <m/>
    <m/>
    <m/>
    <m/>
    <m/>
    <m/>
    <m/>
    <m/>
    <m/>
    <m/>
    <m/>
    <s v="INFASCO"/>
    <m/>
    <n v="97.85"/>
  </r>
  <r>
    <x v="706"/>
    <x v="26"/>
    <x v="7"/>
    <n v="36"/>
    <n v="700"/>
    <n v="25200"/>
    <m/>
    <m/>
    <m/>
    <m/>
    <m/>
    <m/>
    <m/>
    <m/>
    <m/>
    <m/>
    <m/>
    <m/>
    <m/>
    <m/>
    <m/>
    <m/>
    <s v="INFASCO"/>
    <m/>
    <n v="97.85"/>
  </r>
  <r>
    <x v="706"/>
    <x v="14"/>
    <x v="7"/>
    <n v="36"/>
    <n v="700"/>
    <n v="25200"/>
    <m/>
    <m/>
    <m/>
    <m/>
    <m/>
    <m/>
    <m/>
    <m/>
    <m/>
    <m/>
    <m/>
    <m/>
    <m/>
    <m/>
    <m/>
    <m/>
    <s v="INFASCO"/>
    <m/>
    <n v="97.85"/>
  </r>
  <r>
    <x v="706"/>
    <x v="11"/>
    <x v="7"/>
    <n v="36"/>
    <n v="700"/>
    <n v="25200"/>
    <m/>
    <m/>
    <m/>
    <m/>
    <m/>
    <m/>
    <m/>
    <m/>
    <m/>
    <m/>
    <m/>
    <m/>
    <m/>
    <m/>
    <m/>
    <m/>
    <s v="INFASCO"/>
    <m/>
    <n v="97.85"/>
  </r>
  <r>
    <x v="706"/>
    <x v="11"/>
    <x v="7"/>
    <n v="36"/>
    <n v="700"/>
    <n v="25200"/>
    <m/>
    <m/>
    <m/>
    <m/>
    <m/>
    <m/>
    <m/>
    <m/>
    <m/>
    <m/>
    <m/>
    <m/>
    <m/>
    <m/>
    <m/>
    <m/>
    <s v="INFASCO"/>
    <m/>
    <n v="97.85"/>
  </r>
  <r>
    <x v="706"/>
    <x v="6"/>
    <x v="7"/>
    <n v="36"/>
    <n v="700"/>
    <n v="25200"/>
    <m/>
    <m/>
    <m/>
    <m/>
    <m/>
    <m/>
    <m/>
    <m/>
    <m/>
    <m/>
    <m/>
    <m/>
    <m/>
    <m/>
    <m/>
    <m/>
    <s v="INFASCO"/>
    <m/>
    <n v="97.85"/>
  </r>
  <r>
    <x v="706"/>
    <x v="6"/>
    <x v="7"/>
    <n v="36"/>
    <n v="700"/>
    <n v="25200"/>
    <m/>
    <m/>
    <m/>
    <m/>
    <m/>
    <m/>
    <m/>
    <m/>
    <m/>
    <m/>
    <m/>
    <m/>
    <m/>
    <m/>
    <m/>
    <m/>
    <s v="INFASCO"/>
    <m/>
    <n v="97.85"/>
  </r>
  <r>
    <x v="706"/>
    <x v="6"/>
    <x v="7"/>
    <n v="36"/>
    <n v="700"/>
    <n v="25200"/>
    <m/>
    <m/>
    <m/>
    <m/>
    <m/>
    <m/>
    <m/>
    <m/>
    <m/>
    <m/>
    <m/>
    <m/>
    <m/>
    <m/>
    <m/>
    <m/>
    <s v="INFASCO"/>
    <m/>
    <n v="97.85"/>
  </r>
  <r>
    <x v="706"/>
    <x v="4"/>
    <x v="7"/>
    <n v="36"/>
    <n v="700"/>
    <n v="25200"/>
    <m/>
    <m/>
    <m/>
    <m/>
    <m/>
    <m/>
    <m/>
    <m/>
    <m/>
    <m/>
    <m/>
    <m/>
    <m/>
    <m/>
    <m/>
    <m/>
    <s v="INFASCO"/>
    <m/>
    <n v="97.85"/>
  </r>
  <r>
    <x v="706"/>
    <x v="13"/>
    <x v="109"/>
    <n v="36"/>
    <n v="660"/>
    <n v="23760"/>
    <m/>
    <m/>
    <m/>
    <m/>
    <m/>
    <m/>
    <m/>
    <m/>
    <m/>
    <m/>
    <m/>
    <m/>
    <m/>
    <m/>
    <m/>
    <m/>
    <s v="INFASCO"/>
    <m/>
    <n v="97.85"/>
  </r>
  <r>
    <x v="706"/>
    <x v="7"/>
    <x v="109"/>
    <n v="36"/>
    <n v="660"/>
    <n v="23760"/>
    <m/>
    <m/>
    <m/>
    <m/>
    <m/>
    <m/>
    <m/>
    <m/>
    <m/>
    <m/>
    <m/>
    <m/>
    <m/>
    <m/>
    <m/>
    <m/>
    <s v="INFASCO"/>
    <m/>
    <n v="97.85"/>
  </r>
  <r>
    <x v="706"/>
    <x v="18"/>
    <x v="185"/>
    <n v="27"/>
    <n v="800"/>
    <n v="21600"/>
    <s v="184+187"/>
    <s v="Yes"/>
    <m/>
    <s v="Yes"/>
    <m/>
    <s v="Yes"/>
    <m/>
    <s v="Yes"/>
    <m/>
    <s v="N/A"/>
    <m/>
    <s v="Yes"/>
    <m/>
    <s v="Yes"/>
    <m/>
    <s v="Re-certified"/>
    <e v="#N/A"/>
    <n v="195.7"/>
    <n v="195.7"/>
  </r>
  <r>
    <x v="706"/>
    <x v="3"/>
    <x v="7"/>
    <n v="30"/>
    <n v="700"/>
    <n v="21000"/>
    <m/>
    <m/>
    <m/>
    <m/>
    <m/>
    <m/>
    <m/>
    <m/>
    <m/>
    <m/>
    <m/>
    <m/>
    <m/>
    <m/>
    <m/>
    <m/>
    <s v="INFASCO"/>
    <m/>
    <n v="97.85"/>
  </r>
  <r>
    <x v="706"/>
    <x v="26"/>
    <x v="10"/>
    <n v="36"/>
    <n v="450"/>
    <n v="16200"/>
    <m/>
    <m/>
    <m/>
    <m/>
    <m/>
    <m/>
    <m/>
    <m/>
    <m/>
    <m/>
    <m/>
    <m/>
    <m/>
    <m/>
    <m/>
    <m/>
    <s v="INFASCO"/>
    <m/>
    <n v="97.85"/>
  </r>
  <r>
    <x v="706"/>
    <x v="26"/>
    <x v="10"/>
    <n v="36"/>
    <n v="450"/>
    <n v="16200"/>
    <m/>
    <m/>
    <m/>
    <m/>
    <m/>
    <m/>
    <m/>
    <m/>
    <m/>
    <m/>
    <m/>
    <m/>
    <m/>
    <m/>
    <m/>
    <m/>
    <s v="INFASCO"/>
    <m/>
    <n v="97.85"/>
  </r>
  <r>
    <x v="706"/>
    <x v="16"/>
    <x v="10"/>
    <n v="36"/>
    <n v="450"/>
    <n v="16200"/>
    <m/>
    <m/>
    <m/>
    <m/>
    <m/>
    <m/>
    <m/>
    <m/>
    <m/>
    <m/>
    <m/>
    <m/>
    <m/>
    <m/>
    <m/>
    <m/>
    <s v="INFASCO"/>
    <m/>
    <n v="97.85"/>
  </r>
  <r>
    <x v="706"/>
    <x v="4"/>
    <x v="10"/>
    <n v="36"/>
    <n v="450"/>
    <n v="16200"/>
    <m/>
    <m/>
    <m/>
    <m/>
    <m/>
    <m/>
    <m/>
    <m/>
    <m/>
    <m/>
    <m/>
    <m/>
    <m/>
    <m/>
    <m/>
    <m/>
    <s v="INFASCO"/>
    <m/>
    <n v="97.85"/>
  </r>
  <r>
    <x v="706"/>
    <x v="4"/>
    <x v="10"/>
    <n v="36"/>
    <n v="450"/>
    <n v="16200"/>
    <m/>
    <m/>
    <m/>
    <m/>
    <m/>
    <m/>
    <m/>
    <m/>
    <m/>
    <m/>
    <m/>
    <m/>
    <m/>
    <m/>
    <m/>
    <m/>
    <s v="INFASCO"/>
    <m/>
    <n v="97.85"/>
  </r>
  <r>
    <x v="706"/>
    <x v="4"/>
    <x v="10"/>
    <n v="36"/>
    <n v="450"/>
    <n v="16200"/>
    <m/>
    <m/>
    <m/>
    <m/>
    <m/>
    <m/>
    <m/>
    <m/>
    <m/>
    <m/>
    <m/>
    <m/>
    <m/>
    <m/>
    <m/>
    <m/>
    <s v="INFASCO"/>
    <m/>
    <n v="97.85"/>
  </r>
  <r>
    <x v="706"/>
    <x v="17"/>
    <x v="42"/>
    <n v="30"/>
    <n v="450"/>
    <n v="13500"/>
    <m/>
    <m/>
    <m/>
    <m/>
    <m/>
    <m/>
    <m/>
    <m/>
    <m/>
    <m/>
    <m/>
    <m/>
    <m/>
    <m/>
    <m/>
    <m/>
    <s v="INFASCO"/>
    <m/>
    <n v="97.85"/>
  </r>
  <r>
    <x v="706"/>
    <x v="17"/>
    <x v="42"/>
    <n v="29"/>
    <n v="450"/>
    <n v="13050"/>
    <m/>
    <m/>
    <m/>
    <m/>
    <m/>
    <m/>
    <m/>
    <m/>
    <m/>
    <m/>
    <m/>
    <m/>
    <m/>
    <m/>
    <m/>
    <m/>
    <s v="INFASCO"/>
    <m/>
    <n v="97.85"/>
  </r>
  <r>
    <x v="706"/>
    <x v="17"/>
    <x v="92"/>
    <n v="40"/>
    <n v="250"/>
    <n v="10000"/>
    <m/>
    <m/>
    <m/>
    <m/>
    <m/>
    <m/>
    <m/>
    <m/>
    <m/>
    <m/>
    <m/>
    <m/>
    <m/>
    <m/>
    <m/>
    <m/>
    <s v="INFASCO"/>
    <m/>
    <n v="97.85"/>
  </r>
  <r>
    <x v="706"/>
    <x v="18"/>
    <x v="92"/>
    <n v="36"/>
    <n v="250"/>
    <n v="9000"/>
    <m/>
    <m/>
    <m/>
    <m/>
    <m/>
    <m/>
    <m/>
    <m/>
    <m/>
    <m/>
    <m/>
    <m/>
    <m/>
    <m/>
    <m/>
    <m/>
    <s v="INFASCO"/>
    <m/>
    <n v="97.85"/>
  </r>
  <r>
    <x v="706"/>
    <x v="17"/>
    <x v="183"/>
    <n v="49"/>
    <n v="160"/>
    <n v="7840"/>
    <m/>
    <m/>
    <m/>
    <m/>
    <m/>
    <m/>
    <m/>
    <m/>
    <m/>
    <m/>
    <m/>
    <m/>
    <m/>
    <m/>
    <m/>
    <m/>
    <s v="INFASCO"/>
    <m/>
    <n v="97.85"/>
  </r>
  <r>
    <x v="706"/>
    <x v="17"/>
    <x v="183"/>
    <n v="46"/>
    <n v="160"/>
    <n v="7360"/>
    <m/>
    <m/>
    <m/>
    <m/>
    <m/>
    <m/>
    <m/>
    <m/>
    <m/>
    <m/>
    <m/>
    <m/>
    <m/>
    <m/>
    <m/>
    <m/>
    <s v="INFASCO"/>
    <m/>
    <n v="97.85"/>
  </r>
  <r>
    <x v="706"/>
    <x v="17"/>
    <x v="43"/>
    <n v="28"/>
    <n v="200"/>
    <n v="5600"/>
    <m/>
    <m/>
    <m/>
    <m/>
    <m/>
    <m/>
    <m/>
    <m/>
    <m/>
    <m/>
    <m/>
    <m/>
    <m/>
    <m/>
    <m/>
    <m/>
    <s v="INFASCO"/>
    <m/>
    <n v="97.85"/>
  </r>
  <r>
    <x v="706"/>
    <x v="17"/>
    <x v="112"/>
    <n v="30"/>
    <n v="170"/>
    <n v="5100"/>
    <m/>
    <m/>
    <m/>
    <m/>
    <m/>
    <m/>
    <m/>
    <m/>
    <m/>
    <m/>
    <m/>
    <m/>
    <m/>
    <m/>
    <m/>
    <m/>
    <s v="INFASCO"/>
    <m/>
    <n v="123.6"/>
  </r>
  <r>
    <x v="706"/>
    <x v="18"/>
    <x v="34"/>
    <n v="36"/>
    <n v="135"/>
    <n v="4860"/>
    <m/>
    <m/>
    <m/>
    <m/>
    <m/>
    <m/>
    <m/>
    <m/>
    <m/>
    <m/>
    <m/>
    <m/>
    <m/>
    <m/>
    <m/>
    <m/>
    <s v="INFASCO"/>
    <m/>
    <n v="97.85"/>
  </r>
  <r>
    <x v="706"/>
    <x v="18"/>
    <x v="34"/>
    <n v="36"/>
    <n v="135"/>
    <n v="4860"/>
    <m/>
    <m/>
    <m/>
    <m/>
    <m/>
    <m/>
    <m/>
    <m/>
    <m/>
    <m/>
    <m/>
    <m/>
    <m/>
    <m/>
    <m/>
    <m/>
    <s v="INFASCO"/>
    <m/>
    <n v="97.85"/>
  </r>
  <r>
    <x v="706"/>
    <x v="18"/>
    <x v="34"/>
    <n v="36"/>
    <n v="135"/>
    <n v="4860"/>
    <m/>
    <m/>
    <m/>
    <m/>
    <m/>
    <m/>
    <m/>
    <m/>
    <m/>
    <m/>
    <m/>
    <m/>
    <m/>
    <m/>
    <m/>
    <m/>
    <s v="INFASCO"/>
    <m/>
    <n v="97.85"/>
  </r>
  <r>
    <x v="706"/>
    <x v="17"/>
    <x v="33"/>
    <n v="27"/>
    <n v="145"/>
    <n v="3915"/>
    <m/>
    <m/>
    <m/>
    <m/>
    <m/>
    <m/>
    <m/>
    <m/>
    <m/>
    <m/>
    <m/>
    <m/>
    <m/>
    <m/>
    <m/>
    <m/>
    <s v="INFASCO"/>
    <m/>
    <n v="123.6"/>
  </r>
  <r>
    <x v="706"/>
    <x v="17"/>
    <x v="33"/>
    <n v="22"/>
    <n v="145"/>
    <n v="3190"/>
    <m/>
    <m/>
    <m/>
    <m/>
    <m/>
    <m/>
    <m/>
    <m/>
    <m/>
    <m/>
    <m/>
    <m/>
    <m/>
    <m/>
    <m/>
    <m/>
    <s v="INFASCO"/>
    <m/>
    <n v="123.6"/>
  </r>
  <r>
    <x v="706"/>
    <x v="19"/>
    <x v="112"/>
    <n v="28"/>
    <n v="70"/>
    <n v="1960"/>
    <m/>
    <m/>
    <m/>
    <m/>
    <m/>
    <m/>
    <m/>
    <m/>
    <m/>
    <m/>
    <m/>
    <m/>
    <m/>
    <m/>
    <m/>
    <m/>
    <s v="INFASCO"/>
    <m/>
    <n v="123.6"/>
  </r>
  <r>
    <x v="707"/>
    <x v="8"/>
    <x v="112"/>
    <n v="33"/>
    <n v="170"/>
    <n v="5610"/>
    <s v="011+186"/>
    <s v="Yes"/>
    <m/>
    <s v="Yes"/>
    <m/>
    <s v="Yes"/>
    <m/>
    <s v="Yes"/>
    <m/>
    <s v="N/A"/>
    <m/>
    <s v="Yes"/>
    <m/>
    <s v="Yes"/>
    <m/>
    <s v="New"/>
    <s v="INFASCO"/>
    <n v="123.6"/>
    <n v="123.6"/>
  </r>
  <r>
    <x v="708"/>
    <x v="10"/>
    <x v="112"/>
    <n v="26"/>
    <n v="170"/>
    <n v="4420"/>
    <n v="171"/>
    <s v="Yes"/>
    <m/>
    <s v="Yes"/>
    <m/>
    <s v="Yes"/>
    <m/>
    <s v="Yes"/>
    <m/>
    <s v="N/A"/>
    <m/>
    <s v="Yes"/>
    <m/>
    <s v="Yes"/>
    <m/>
    <s v="New"/>
    <s v="INFASCO"/>
    <n v="123.6"/>
    <n v="123.6"/>
  </r>
  <r>
    <x v="709"/>
    <x v="8"/>
    <x v="112"/>
    <n v="25"/>
    <n v="170"/>
    <n v="4250"/>
    <s v="11+186"/>
    <s v="Yes"/>
    <m/>
    <s v="Yes"/>
    <m/>
    <s v="Yes"/>
    <m/>
    <s v="Yes"/>
    <m/>
    <s v="N/A"/>
    <m/>
    <s v="Yes"/>
    <m/>
    <s v="Yes"/>
    <m/>
    <s v="New"/>
    <s v="INFASCO"/>
    <n v="123.6"/>
    <n v="123.6"/>
  </r>
  <r>
    <x v="710"/>
    <x v="8"/>
    <x v="151"/>
    <n v="35"/>
    <n v="650"/>
    <n v="22750"/>
    <s v="11+186"/>
    <s v="Yes"/>
    <m/>
    <s v="Yes"/>
    <m/>
    <s v="Yes"/>
    <m/>
    <s v="Yes"/>
    <m/>
    <s v="N/A"/>
    <m/>
    <s v="Yes"/>
    <m/>
    <s v="Yes"/>
    <m/>
    <s v="New"/>
    <s v="INFASCO"/>
    <n v="97.85"/>
    <n v="97.85"/>
  </r>
  <r>
    <x v="711"/>
    <x v="15"/>
    <x v="0"/>
    <n v="33"/>
    <n v="2500"/>
    <n v="82500"/>
    <m/>
    <m/>
    <m/>
    <m/>
    <m/>
    <m/>
    <m/>
    <m/>
    <m/>
    <m/>
    <m/>
    <m/>
    <m/>
    <m/>
    <m/>
    <m/>
    <s v="INFASCO"/>
    <m/>
    <n v="97.85"/>
  </r>
  <r>
    <x v="711"/>
    <x v="5"/>
    <x v="2"/>
    <n v="28"/>
    <n v="2700"/>
    <n v="75600"/>
    <m/>
    <m/>
    <m/>
    <m/>
    <m/>
    <m/>
    <m/>
    <m/>
    <m/>
    <m/>
    <m/>
    <m/>
    <m/>
    <m/>
    <m/>
    <m/>
    <s v="INFASCO"/>
    <m/>
    <n v="97.85"/>
  </r>
  <r>
    <x v="711"/>
    <x v="12"/>
    <x v="48"/>
    <n v="1"/>
    <n v="64000"/>
    <n v="64000"/>
    <m/>
    <m/>
    <m/>
    <m/>
    <m/>
    <m/>
    <m/>
    <m/>
    <m/>
    <m/>
    <m/>
    <m/>
    <m/>
    <m/>
    <m/>
    <m/>
    <s v="INFASCO"/>
    <m/>
    <n v="118.45"/>
  </r>
  <r>
    <x v="711"/>
    <x v="11"/>
    <x v="48"/>
    <n v="1"/>
    <n v="64000"/>
    <n v="64000"/>
    <m/>
    <m/>
    <m/>
    <m/>
    <m/>
    <m/>
    <m/>
    <m/>
    <m/>
    <m/>
    <m/>
    <m/>
    <m/>
    <m/>
    <m/>
    <m/>
    <s v="INFASCO"/>
    <m/>
    <n v="118.45"/>
  </r>
  <r>
    <x v="711"/>
    <x v="1"/>
    <x v="87"/>
    <n v="36"/>
    <n v="1250"/>
    <n v="45000"/>
    <m/>
    <m/>
    <m/>
    <m/>
    <m/>
    <m/>
    <m/>
    <m/>
    <m/>
    <m/>
    <m/>
    <m/>
    <m/>
    <m/>
    <m/>
    <m/>
    <s v="INFASCO"/>
    <m/>
    <n v="97.85"/>
  </r>
  <r>
    <x v="711"/>
    <x v="3"/>
    <x v="87"/>
    <n v="36"/>
    <n v="1250"/>
    <n v="45000"/>
    <m/>
    <m/>
    <m/>
    <m/>
    <m/>
    <m/>
    <m/>
    <m/>
    <m/>
    <m/>
    <m/>
    <m/>
    <m/>
    <m/>
    <m/>
    <m/>
    <s v="INFASCO"/>
    <m/>
    <n v="97.85"/>
  </r>
  <r>
    <x v="711"/>
    <x v="11"/>
    <x v="7"/>
    <n v="40"/>
    <n v="700"/>
    <n v="28000"/>
    <m/>
    <m/>
    <m/>
    <m/>
    <m/>
    <m/>
    <m/>
    <m/>
    <m/>
    <m/>
    <m/>
    <m/>
    <m/>
    <m/>
    <m/>
    <m/>
    <s v="INFASCO"/>
    <m/>
    <n v="97.85"/>
  </r>
  <r>
    <x v="711"/>
    <x v="12"/>
    <x v="7"/>
    <n v="36"/>
    <n v="700"/>
    <n v="25200"/>
    <m/>
    <m/>
    <m/>
    <m/>
    <m/>
    <m/>
    <m/>
    <m/>
    <m/>
    <m/>
    <m/>
    <m/>
    <m/>
    <m/>
    <m/>
    <m/>
    <s v="INFASCO"/>
    <m/>
    <n v="97.85"/>
  </r>
  <r>
    <x v="711"/>
    <x v="3"/>
    <x v="7"/>
    <n v="36"/>
    <n v="700"/>
    <n v="25200"/>
    <m/>
    <m/>
    <m/>
    <m/>
    <m/>
    <m/>
    <m/>
    <m/>
    <m/>
    <m/>
    <m/>
    <m/>
    <m/>
    <m/>
    <m/>
    <m/>
    <s v="INFASCO"/>
    <m/>
    <n v="97.85"/>
  </r>
  <r>
    <x v="711"/>
    <x v="26"/>
    <x v="7"/>
    <n v="36"/>
    <n v="700"/>
    <n v="25200"/>
    <m/>
    <m/>
    <m/>
    <m/>
    <m/>
    <m/>
    <m/>
    <m/>
    <m/>
    <m/>
    <m/>
    <m/>
    <m/>
    <m/>
    <m/>
    <m/>
    <s v="INFASCO"/>
    <m/>
    <n v="97.85"/>
  </r>
  <r>
    <x v="711"/>
    <x v="13"/>
    <x v="7"/>
    <n v="36"/>
    <n v="700"/>
    <n v="25200"/>
    <m/>
    <m/>
    <m/>
    <m/>
    <m/>
    <m/>
    <m/>
    <m/>
    <m/>
    <m/>
    <m/>
    <m/>
    <m/>
    <m/>
    <m/>
    <m/>
    <s v="INFASCO"/>
    <m/>
    <n v="97.85"/>
  </r>
  <r>
    <x v="711"/>
    <x v="14"/>
    <x v="7"/>
    <n v="36"/>
    <n v="700"/>
    <n v="25200"/>
    <m/>
    <m/>
    <m/>
    <m/>
    <m/>
    <m/>
    <m/>
    <m/>
    <m/>
    <m/>
    <m/>
    <m/>
    <m/>
    <m/>
    <m/>
    <m/>
    <s v="INFASCO"/>
    <m/>
    <n v="97.85"/>
  </r>
  <r>
    <x v="711"/>
    <x v="11"/>
    <x v="7"/>
    <n v="36"/>
    <n v="700"/>
    <n v="25200"/>
    <m/>
    <m/>
    <m/>
    <m/>
    <m/>
    <m/>
    <m/>
    <m/>
    <m/>
    <m/>
    <m/>
    <m/>
    <m/>
    <m/>
    <m/>
    <m/>
    <s v="INFASCO"/>
    <m/>
    <n v="97.85"/>
  </r>
  <r>
    <x v="711"/>
    <x v="11"/>
    <x v="7"/>
    <n v="36"/>
    <n v="700"/>
    <n v="25200"/>
    <m/>
    <m/>
    <m/>
    <m/>
    <m/>
    <m/>
    <m/>
    <m/>
    <m/>
    <m/>
    <m/>
    <m/>
    <m/>
    <m/>
    <m/>
    <m/>
    <s v="INFASCO"/>
    <m/>
    <n v="97.85"/>
  </r>
  <r>
    <x v="711"/>
    <x v="8"/>
    <x v="55"/>
    <n v="36"/>
    <n v="400"/>
    <n v="14400"/>
    <s v="11-186"/>
    <m/>
    <m/>
    <m/>
    <m/>
    <m/>
    <m/>
    <m/>
    <m/>
    <m/>
    <m/>
    <m/>
    <m/>
    <m/>
    <m/>
    <m/>
    <s v="INFASCO"/>
    <m/>
    <n v="97.85"/>
  </r>
  <r>
    <x v="711"/>
    <x v="26"/>
    <x v="11"/>
    <n v="36"/>
    <n v="280"/>
    <n v="10080"/>
    <m/>
    <m/>
    <m/>
    <m/>
    <m/>
    <m/>
    <m/>
    <m/>
    <m/>
    <m/>
    <m/>
    <m/>
    <m/>
    <m/>
    <m/>
    <m/>
    <s v="INFASCO"/>
    <m/>
    <n v="97.85"/>
  </r>
  <r>
    <x v="711"/>
    <x v="26"/>
    <x v="11"/>
    <n v="36"/>
    <n v="280"/>
    <n v="10080"/>
    <m/>
    <m/>
    <m/>
    <m/>
    <m/>
    <m/>
    <m/>
    <m/>
    <m/>
    <m/>
    <m/>
    <m/>
    <m/>
    <m/>
    <m/>
    <m/>
    <s v="INFASCO"/>
    <m/>
    <n v="97.85"/>
  </r>
  <r>
    <x v="711"/>
    <x v="26"/>
    <x v="11"/>
    <n v="32"/>
    <n v="280"/>
    <n v="8960"/>
    <m/>
    <m/>
    <m/>
    <m/>
    <m/>
    <m/>
    <m/>
    <m/>
    <m/>
    <m/>
    <m/>
    <m/>
    <m/>
    <m/>
    <m/>
    <m/>
    <s v="INFASCO"/>
    <m/>
    <n v="97.85"/>
  </r>
  <r>
    <x v="712"/>
    <x v="18"/>
    <x v="151"/>
    <n v="34"/>
    <n v="650"/>
    <n v="22100"/>
    <s v="184+298"/>
    <s v="Yes"/>
    <m/>
    <s v="Yes"/>
    <m/>
    <s v="Yes"/>
    <m/>
    <s v="Yes"/>
    <m/>
    <s v="N/A"/>
    <m/>
    <s v="Yes"/>
    <m/>
    <s v="Yes"/>
    <m/>
    <s v="Re-certified"/>
    <s v="INFASCO"/>
    <n v="97.85"/>
    <n v="195.7"/>
  </r>
  <r>
    <x v="713"/>
    <x v="10"/>
    <x v="151"/>
    <n v="36"/>
    <n v="650"/>
    <n v="23400"/>
    <s v="327+185"/>
    <s v="Yes"/>
    <m/>
    <s v="Yes"/>
    <m/>
    <s v="Yes"/>
    <m/>
    <s v="Yes"/>
    <m/>
    <s v="N/A"/>
    <m/>
    <s v="Yes"/>
    <m/>
    <s v="Yes"/>
    <m/>
    <s v="Re-certified"/>
    <s v="INFASCO"/>
    <n v="195.7"/>
    <n v="195.7"/>
  </r>
  <r>
    <x v="714"/>
    <x v="18"/>
    <x v="55"/>
    <n v="36"/>
    <n v="400"/>
    <n v="14400"/>
    <s v="184+298"/>
    <s v="Yes"/>
    <m/>
    <s v="Yes"/>
    <m/>
    <s v="Yes"/>
    <m/>
    <s v="Yes"/>
    <m/>
    <s v="N/A"/>
    <m/>
    <s v="Yes"/>
    <m/>
    <s v="Yes"/>
    <m/>
    <s v="New"/>
    <s v="INFASCO"/>
    <n v="97.85"/>
    <n v="97.85"/>
  </r>
  <r>
    <x v="715"/>
    <x v="10"/>
    <x v="34"/>
    <n v="36"/>
    <n v="135"/>
    <n v="4860"/>
    <s v="327+185"/>
    <s v="Yes"/>
    <m/>
    <s v="Yes"/>
    <m/>
    <s v="Yes"/>
    <m/>
    <s v="Yes"/>
    <m/>
    <s v="N/A"/>
    <m/>
    <s v="Yes"/>
    <m/>
    <s v="Yes"/>
    <m/>
    <s v="New"/>
    <s v="INFASCO"/>
    <s v="N/A"/>
    <n v="97.85"/>
  </r>
  <r>
    <x v="716"/>
    <x v="18"/>
    <x v="34"/>
    <n v="36"/>
    <n v="135"/>
    <n v="4860"/>
    <s v="184+298"/>
    <s v="Yes"/>
    <m/>
    <s v="Yes"/>
    <m/>
    <s v="Yes"/>
    <m/>
    <s v="Yes"/>
    <m/>
    <s v="N/A"/>
    <m/>
    <s v="Yes"/>
    <m/>
    <s v="Yes"/>
    <m/>
    <s v="New"/>
    <s v="INFASCO"/>
    <n v="97.85"/>
    <n v="97.85"/>
  </r>
  <r>
    <x v="717"/>
    <x v="10"/>
    <x v="34"/>
    <n v="36"/>
    <n v="135"/>
    <n v="4860"/>
    <s v="327+185"/>
    <s v="Yes"/>
    <m/>
    <s v="Yes"/>
    <m/>
    <s v="Yes"/>
    <m/>
    <s v="Yes"/>
    <m/>
    <s v="N/A"/>
    <m/>
    <s v="Yes"/>
    <m/>
    <s v="Yes"/>
    <m/>
    <s v="New"/>
    <s v="INFASCO"/>
    <n v="97.85"/>
    <n v="97.85"/>
  </r>
  <r>
    <x v="718"/>
    <x v="10"/>
    <x v="151"/>
    <n v="36"/>
    <n v="135"/>
    <n v="4860"/>
    <s v="327+185"/>
    <s v="Yes"/>
    <m/>
    <s v="Yes"/>
    <m/>
    <s v="Yes"/>
    <m/>
    <s v="Yes"/>
    <m/>
    <s v="N/A"/>
    <m/>
    <s v="Yes"/>
    <m/>
    <s v="Yes"/>
    <m/>
    <s v="New"/>
    <s v="INFASCO"/>
    <n v="97.85"/>
    <n v="97.85"/>
  </r>
  <r>
    <x v="719"/>
    <x v="18"/>
    <x v="87"/>
    <n v="33"/>
    <n v="1250"/>
    <n v="41250"/>
    <s v="184+298"/>
    <s v="Yes"/>
    <m/>
    <s v="Yes"/>
    <m/>
    <s v="Yes"/>
    <m/>
    <s v="Yes"/>
    <m/>
    <s v="N/A"/>
    <m/>
    <s v="Yes"/>
    <m/>
    <s v="Yes"/>
    <m/>
    <s v="New"/>
    <s v="INFASCO"/>
    <s v="N/A"/>
    <n v="97.85"/>
  </r>
  <r>
    <x v="720"/>
    <x v="18"/>
    <x v="34"/>
    <n v="34"/>
    <n v="135"/>
    <n v="4590"/>
    <s v="184+298"/>
    <s v="Yes"/>
    <m/>
    <s v="Yes"/>
    <m/>
    <s v="Yes"/>
    <m/>
    <s v="Yes"/>
    <m/>
    <s v="N/A"/>
    <m/>
    <s v="Yes"/>
    <m/>
    <s v="Yes"/>
    <m/>
    <s v="New"/>
    <s v="INFASCO"/>
    <n v="97.85"/>
    <n v="97.85"/>
  </r>
  <r>
    <x v="721"/>
    <x v="10"/>
    <x v="34"/>
    <n v="36"/>
    <n v="135"/>
    <n v="4860"/>
    <s v="327+185"/>
    <s v="Yes"/>
    <m/>
    <s v="Yes"/>
    <m/>
    <s v="Yes"/>
    <m/>
    <s v="Yes"/>
    <m/>
    <s v="N/A"/>
    <m/>
    <s v="Yes"/>
    <m/>
    <s v="Yes"/>
    <m/>
    <s v="New"/>
    <s v="INFASCO"/>
    <n v="97.85"/>
    <n v="97.85"/>
  </r>
  <r>
    <x v="722"/>
    <x v="18"/>
    <x v="34"/>
    <n v="36"/>
    <n v="135"/>
    <n v="4860"/>
    <s v="184+298"/>
    <s v="Yes"/>
    <m/>
    <s v="Yes"/>
    <m/>
    <s v="Yes"/>
    <m/>
    <s v="Yes"/>
    <m/>
    <s v="N/A"/>
    <m/>
    <s v="Yes"/>
    <m/>
    <s v="Yes"/>
    <m/>
    <s v="New"/>
    <s v="INFASCO"/>
    <n v="97.85"/>
    <n v="97.85"/>
  </r>
  <r>
    <x v="723"/>
    <x v="10"/>
    <x v="34"/>
    <n v="36"/>
    <n v="135"/>
    <n v="4860"/>
    <s v="327+185"/>
    <s v="Yes"/>
    <m/>
    <s v="Yes"/>
    <m/>
    <s v="Yes"/>
    <m/>
    <s v="Yes"/>
    <m/>
    <s v="N/A"/>
    <m/>
    <s v="Yes"/>
    <m/>
    <s v="Yes"/>
    <m/>
    <s v="New"/>
    <s v="INFASCO"/>
    <n v="97.85"/>
    <n v="97.85"/>
  </r>
  <r>
    <x v="724"/>
    <x v="10"/>
    <x v="34"/>
    <n v="36"/>
    <n v="135"/>
    <n v="4860"/>
    <s v="327+185"/>
    <s v="Yes"/>
    <m/>
    <s v="Yes"/>
    <m/>
    <s v="Yes"/>
    <m/>
    <s v="Yes"/>
    <m/>
    <s v="N/A"/>
    <m/>
    <s v="Yes"/>
    <m/>
    <s v="Yes"/>
    <m/>
    <s v="New"/>
    <s v="INFASCO"/>
    <n v="97.85"/>
    <n v="97.85"/>
  </r>
  <r>
    <x v="725"/>
    <x v="18"/>
    <x v="34"/>
    <n v="36"/>
    <n v="135"/>
    <n v="4860"/>
    <s v="184+298"/>
    <s v="Yes"/>
    <m/>
    <s v="Yes"/>
    <m/>
    <s v="Yes"/>
    <m/>
    <s v="Yes"/>
    <m/>
    <s v="N/A"/>
    <m/>
    <s v="Yes"/>
    <m/>
    <s v="Yes"/>
    <m/>
    <s v="New"/>
    <s v="INFASCO"/>
    <n v="97.85"/>
    <n v="97.85"/>
  </r>
  <r>
    <x v="726"/>
    <x v="2"/>
    <x v="0"/>
    <n v="36"/>
    <n v="2500"/>
    <n v="90000"/>
    <m/>
    <m/>
    <m/>
    <m/>
    <m/>
    <m/>
    <m/>
    <m/>
    <m/>
    <m/>
    <m/>
    <m/>
    <m/>
    <m/>
    <m/>
    <m/>
    <s v="INFASCO"/>
    <m/>
    <n v="97.85"/>
  </r>
  <r>
    <x v="726"/>
    <x v="4"/>
    <x v="0"/>
    <n v="25"/>
    <n v="2500"/>
    <n v="62500"/>
    <m/>
    <m/>
    <m/>
    <m/>
    <m/>
    <m/>
    <m/>
    <m/>
    <m/>
    <m/>
    <m/>
    <m/>
    <m/>
    <m/>
    <m/>
    <m/>
    <s v="INFASCO"/>
    <m/>
    <n v="97.85"/>
  </r>
  <r>
    <x v="726"/>
    <x v="4"/>
    <x v="48"/>
    <n v="1"/>
    <n v="58000"/>
    <n v="58000"/>
    <m/>
    <m/>
    <m/>
    <m/>
    <m/>
    <m/>
    <m/>
    <m/>
    <m/>
    <m/>
    <m/>
    <m/>
    <m/>
    <m/>
    <m/>
    <m/>
    <s v="INFASCO"/>
    <m/>
    <n v="118.45"/>
  </r>
  <r>
    <x v="726"/>
    <x v="4"/>
    <x v="7"/>
    <n v="36"/>
    <n v="700"/>
    <n v="25200"/>
    <m/>
    <m/>
    <m/>
    <m/>
    <m/>
    <m/>
    <m/>
    <m/>
    <m/>
    <m/>
    <m/>
    <m/>
    <m/>
    <m/>
    <m/>
    <m/>
    <s v="INFASCO"/>
    <m/>
    <n v="97.85"/>
  </r>
  <r>
    <x v="726"/>
    <x v="7"/>
    <x v="7"/>
    <n v="36"/>
    <n v="700"/>
    <n v="25200"/>
    <m/>
    <m/>
    <m/>
    <m/>
    <m/>
    <m/>
    <m/>
    <m/>
    <m/>
    <m/>
    <m/>
    <m/>
    <m/>
    <m/>
    <m/>
    <m/>
    <s v="INFASCO"/>
    <m/>
    <n v="97.85"/>
  </r>
  <r>
    <x v="726"/>
    <x v="6"/>
    <x v="7"/>
    <n v="36"/>
    <n v="700"/>
    <n v="25200"/>
    <m/>
    <m/>
    <m/>
    <m/>
    <m/>
    <m/>
    <m/>
    <m/>
    <m/>
    <m/>
    <m/>
    <m/>
    <m/>
    <m/>
    <m/>
    <m/>
    <s v="INFASCO"/>
    <m/>
    <n v="97.85"/>
  </r>
  <r>
    <x v="726"/>
    <x v="16"/>
    <x v="10"/>
    <n v="36"/>
    <n v="450"/>
    <n v="16200"/>
    <m/>
    <m/>
    <m/>
    <m/>
    <m/>
    <m/>
    <m/>
    <m/>
    <m/>
    <m/>
    <m/>
    <m/>
    <m/>
    <m/>
    <m/>
    <m/>
    <s v="INFASCO"/>
    <m/>
    <n v="97.85"/>
  </r>
  <r>
    <x v="726"/>
    <x v="17"/>
    <x v="104"/>
    <n v="28"/>
    <n v="550"/>
    <n v="15400"/>
    <s v="156+187"/>
    <s v="Yes"/>
    <m/>
    <s v="Yes"/>
    <m/>
    <s v="Yes"/>
    <m/>
    <s v="Yes"/>
    <m/>
    <s v="N/A"/>
    <m/>
    <s v="Yes"/>
    <m/>
    <s v="Yes"/>
    <m/>
    <s v="Re-certified"/>
    <s v="INFASCO"/>
    <n v="123.6"/>
    <n v="247.2"/>
  </r>
  <r>
    <x v="726"/>
    <x v="7"/>
    <x v="55"/>
    <n v="36"/>
    <n v="400"/>
    <n v="14400"/>
    <m/>
    <m/>
    <m/>
    <m/>
    <m/>
    <m/>
    <m/>
    <m/>
    <m/>
    <m/>
    <m/>
    <m/>
    <m/>
    <m/>
    <m/>
    <m/>
    <s v="INFASCO"/>
    <m/>
    <n v="97.85"/>
  </r>
  <r>
    <x v="726"/>
    <x v="6"/>
    <x v="55"/>
    <n v="36"/>
    <n v="400"/>
    <n v="14400"/>
    <m/>
    <m/>
    <m/>
    <m/>
    <m/>
    <m/>
    <m/>
    <m/>
    <m/>
    <m/>
    <m/>
    <m/>
    <m/>
    <m/>
    <m/>
    <m/>
    <s v="INFASCO"/>
    <m/>
    <n v="97.85"/>
  </r>
  <r>
    <x v="726"/>
    <x v="6"/>
    <x v="55"/>
    <n v="36"/>
    <n v="400"/>
    <n v="14400"/>
    <m/>
    <m/>
    <m/>
    <m/>
    <m/>
    <m/>
    <m/>
    <m/>
    <m/>
    <m/>
    <m/>
    <m/>
    <m/>
    <m/>
    <m/>
    <m/>
    <s v="INFASCO"/>
    <m/>
    <n v="97.85"/>
  </r>
  <r>
    <x v="727"/>
    <x v="10"/>
    <x v="34"/>
    <n v="36"/>
    <n v="135"/>
    <n v="4860"/>
    <s v="327+185"/>
    <s v="Yes"/>
    <m/>
    <s v="Yes"/>
    <m/>
    <s v="Yes"/>
    <m/>
    <s v="Yes"/>
    <m/>
    <s v="N/A"/>
    <m/>
    <s v="Yes"/>
    <m/>
    <s v="Yes"/>
    <m/>
    <s v="New"/>
    <s v="INFASCO"/>
    <n v="97.85"/>
    <n v="97.85"/>
  </r>
  <r>
    <x v="728"/>
    <x v="18"/>
    <x v="34"/>
    <n v="36"/>
    <n v="135"/>
    <n v="4860"/>
    <s v="184+298"/>
    <s v="Yes"/>
    <m/>
    <s v="Yes"/>
    <m/>
    <s v="Yes"/>
    <m/>
    <s v="Yes"/>
    <m/>
    <s v="N/A"/>
    <m/>
    <s v="Yes"/>
    <m/>
    <s v="Yes"/>
    <m/>
    <s v="New"/>
    <s v="INFASCO"/>
    <n v="97.85"/>
    <n v="97.85"/>
  </r>
  <r>
    <x v="729"/>
    <x v="10"/>
    <x v="34"/>
    <n v="36"/>
    <n v="135"/>
    <n v="4860"/>
    <s v="327+185"/>
    <s v="Yes"/>
    <m/>
    <s v="Yes"/>
    <m/>
    <s v="Yes"/>
    <m/>
    <s v="Yes"/>
    <m/>
    <s v="N/A"/>
    <m/>
    <s v="Yes"/>
    <m/>
    <s v="Yes"/>
    <m/>
    <s v="New"/>
    <s v="INFASCO"/>
    <n v="97.85"/>
    <n v="97.85"/>
  </r>
  <r>
    <x v="730"/>
    <x v="8"/>
    <x v="55"/>
    <n v="36"/>
    <n v="400"/>
    <n v="14400"/>
    <s v="011+186"/>
    <s v="Yes"/>
    <m/>
    <s v="Yes"/>
    <m/>
    <s v="Yes"/>
    <m/>
    <s v="Yes"/>
    <m/>
    <s v="N/A"/>
    <m/>
    <s v="Yes"/>
    <m/>
    <s v="Yes"/>
    <m/>
    <s v="New"/>
    <s v="INFASCO"/>
    <n v="97.85"/>
    <n v="97.85"/>
  </r>
  <r>
    <x v="731"/>
    <x v="8"/>
    <x v="45"/>
    <n v="1"/>
    <n v="1850"/>
    <n v="1850"/>
    <s v="011+186"/>
    <s v="Yes"/>
    <m/>
    <s v="Yes"/>
    <m/>
    <s v="Yes"/>
    <m/>
    <s v="Yes"/>
    <m/>
    <s v="N/A"/>
    <m/>
    <s v="Yes"/>
    <m/>
    <s v="Yes"/>
    <m/>
    <s v="New"/>
    <s v="INFASCO"/>
    <n v="71.069999999999993"/>
    <n v="71.069999999999993"/>
  </r>
  <r>
    <x v="732"/>
    <x v="18"/>
    <x v="92"/>
    <n v="36"/>
    <n v="250"/>
    <n v="9000"/>
    <s v="184+298"/>
    <s v="Yes"/>
    <m/>
    <s v="Yes"/>
    <m/>
    <s v="Yes"/>
    <m/>
    <s v="Yes"/>
    <m/>
    <s v="N/A"/>
    <m/>
    <s v="Yes"/>
    <m/>
    <s v="Yes"/>
    <m/>
    <s v="New"/>
    <s v="INFASCO"/>
    <n v="97.85"/>
    <n v="97.85"/>
  </r>
  <r>
    <x v="733"/>
    <x v="10"/>
    <x v="92"/>
    <n v="36"/>
    <n v="250"/>
    <n v="9000"/>
    <s v="327+185"/>
    <s v="Yes"/>
    <m/>
    <s v="Yes"/>
    <m/>
    <s v="Yes"/>
    <m/>
    <s v="Yes"/>
    <m/>
    <s v="N/A"/>
    <m/>
    <s v="Yes"/>
    <m/>
    <s v="Yes"/>
    <m/>
    <s v="New"/>
    <s v="INFASCO"/>
    <s v="N/A"/>
    <n v="97.85"/>
  </r>
  <r>
    <x v="734"/>
    <x v="10"/>
    <x v="92"/>
    <n v="36"/>
    <n v="250"/>
    <n v="9000"/>
    <s v="156+182"/>
    <s v="Yes"/>
    <m/>
    <s v="Yes"/>
    <m/>
    <s v="Yes"/>
    <m/>
    <s v="Yes"/>
    <m/>
    <s v="N/A"/>
    <m/>
    <s v="Yes"/>
    <m/>
    <s v="Yes"/>
    <m/>
    <s v="New"/>
    <s v="INFASCO"/>
    <n v="97.85"/>
    <n v="97.85"/>
  </r>
  <r>
    <x v="735"/>
    <x v="18"/>
    <x v="32"/>
    <n v="33"/>
    <n v="220"/>
    <n v="7260"/>
    <s v="184+298"/>
    <s v="Yes"/>
    <m/>
    <s v="Yes"/>
    <m/>
    <s v="Yes"/>
    <m/>
    <s v="Yes"/>
    <m/>
    <s v="N/A"/>
    <m/>
    <s v="Yes"/>
    <m/>
    <s v="Yes"/>
    <m/>
    <s v="New"/>
    <s v="INFASCO"/>
    <n v="97.85"/>
    <n v="97.85"/>
  </r>
  <r>
    <x v="736"/>
    <x v="18"/>
    <x v="92"/>
    <n v="23"/>
    <n v="250"/>
    <n v="5750"/>
    <s v="184+298"/>
    <s v="Yes"/>
    <m/>
    <s v="Yes"/>
    <m/>
    <s v="Yes"/>
    <m/>
    <s v="Yes"/>
    <m/>
    <s v="N/A"/>
    <m/>
    <s v="Yes"/>
    <m/>
    <s v="Yes"/>
    <m/>
    <s v="New"/>
    <s v="INFASCO"/>
    <n v="97.85"/>
    <n v="97.85"/>
  </r>
  <r>
    <x v="737"/>
    <x v="18"/>
    <x v="65"/>
    <n v="23"/>
    <n v="300"/>
    <n v="6900"/>
    <s v="184+298"/>
    <s v="Yes"/>
    <m/>
    <s v="Yes"/>
    <m/>
    <s v="Yes"/>
    <m/>
    <s v="Yes"/>
    <m/>
    <s v="N/A"/>
    <m/>
    <s v="Yes"/>
    <m/>
    <s v="Yes"/>
    <m/>
    <s v="New"/>
    <s v="INFASCO"/>
    <n v="123.6"/>
    <n v="123.6"/>
  </r>
  <r>
    <x v="738"/>
    <x v="18"/>
    <x v="65"/>
    <n v="27"/>
    <n v="300"/>
    <n v="8100"/>
    <s v="184+298"/>
    <s v="Yes"/>
    <m/>
    <s v="Yes"/>
    <m/>
    <s v="Yes"/>
    <m/>
    <s v="Yes"/>
    <m/>
    <s v="N/A"/>
    <m/>
    <s v="Yes"/>
    <m/>
    <s v="Yes"/>
    <m/>
    <s v="New"/>
    <s v="INFASCO"/>
    <n v="123.6"/>
    <n v="123.6"/>
  </r>
  <r>
    <x v="739"/>
    <x v="18"/>
    <x v="35"/>
    <n v="26"/>
    <n v="120"/>
    <n v="3120"/>
    <s v="184+298"/>
    <s v="Yes"/>
    <m/>
    <s v="Yes"/>
    <m/>
    <s v="Yes"/>
    <m/>
    <s v="Yes"/>
    <m/>
    <s v="N/A"/>
    <m/>
    <s v="Yes"/>
    <m/>
    <s v="Yes"/>
    <m/>
    <s v="New"/>
    <s v="INFASCO"/>
    <n v="97.85"/>
    <n v="97.85"/>
  </r>
  <r>
    <x v="740"/>
    <x v="4"/>
    <x v="0"/>
    <n v="36"/>
    <n v="2500"/>
    <n v="90000"/>
    <n v="38"/>
    <m/>
    <m/>
    <m/>
    <m/>
    <m/>
    <m/>
    <m/>
    <m/>
    <m/>
    <m/>
    <m/>
    <m/>
    <m/>
    <m/>
    <m/>
    <s v="INFASCO"/>
    <m/>
    <n v="97.85"/>
  </r>
  <r>
    <x v="740"/>
    <x v="4"/>
    <x v="0"/>
    <n v="36"/>
    <n v="2500"/>
    <n v="90000"/>
    <n v="38"/>
    <m/>
    <m/>
    <m/>
    <m/>
    <m/>
    <m/>
    <m/>
    <m/>
    <m/>
    <m/>
    <m/>
    <m/>
    <m/>
    <m/>
    <m/>
    <s v="INFASCO"/>
    <m/>
    <n v="97.85"/>
  </r>
  <r>
    <x v="740"/>
    <x v="6"/>
    <x v="127"/>
    <n v="36"/>
    <n v="2500"/>
    <n v="90000"/>
    <n v="38"/>
    <m/>
    <m/>
    <m/>
    <m/>
    <m/>
    <m/>
    <m/>
    <m/>
    <m/>
    <m/>
    <m/>
    <m/>
    <m/>
    <m/>
    <m/>
    <s v="INFASCO"/>
    <m/>
    <n v="97.85"/>
  </r>
  <r>
    <x v="740"/>
    <x v="2"/>
    <x v="0"/>
    <n v="36"/>
    <n v="2500"/>
    <n v="90000"/>
    <n v="38"/>
    <m/>
    <m/>
    <m/>
    <m/>
    <m/>
    <m/>
    <m/>
    <m/>
    <m/>
    <m/>
    <m/>
    <m/>
    <m/>
    <m/>
    <m/>
    <s v="INFASCO"/>
    <m/>
    <n v="97.85"/>
  </r>
  <r>
    <x v="740"/>
    <x v="11"/>
    <x v="37"/>
    <n v="36"/>
    <n v="2500"/>
    <n v="90000"/>
    <n v="136"/>
    <m/>
    <m/>
    <m/>
    <m/>
    <m/>
    <m/>
    <m/>
    <m/>
    <m/>
    <m/>
    <m/>
    <m/>
    <m/>
    <m/>
    <m/>
    <s v="INFASCO"/>
    <m/>
    <n v="97.85"/>
  </r>
  <r>
    <x v="740"/>
    <x v="11"/>
    <x v="37"/>
    <n v="36"/>
    <n v="2500"/>
    <n v="90000"/>
    <n v="136"/>
    <m/>
    <m/>
    <m/>
    <m/>
    <m/>
    <m/>
    <m/>
    <m/>
    <m/>
    <m/>
    <m/>
    <m/>
    <m/>
    <m/>
    <m/>
    <s v="INFASCO"/>
    <m/>
    <n v="97.85"/>
  </r>
  <r>
    <x v="740"/>
    <x v="5"/>
    <x v="0"/>
    <n v="36"/>
    <n v="2500"/>
    <n v="90000"/>
    <n v="136"/>
    <m/>
    <m/>
    <m/>
    <m/>
    <m/>
    <m/>
    <m/>
    <m/>
    <m/>
    <m/>
    <m/>
    <m/>
    <m/>
    <m/>
    <m/>
    <s v="INFASCO"/>
    <m/>
    <n v="97.85"/>
  </r>
  <r>
    <x v="740"/>
    <x v="5"/>
    <x v="0"/>
    <n v="36"/>
    <n v="2500"/>
    <n v="90000"/>
    <n v="44"/>
    <m/>
    <m/>
    <m/>
    <m/>
    <m/>
    <m/>
    <m/>
    <m/>
    <m/>
    <m/>
    <m/>
    <m/>
    <m/>
    <m/>
    <m/>
    <s v="INFASCO"/>
    <m/>
    <n v="97.85"/>
  </r>
  <r>
    <x v="740"/>
    <x v="12"/>
    <x v="0"/>
    <n v="36"/>
    <n v="2500"/>
    <n v="90000"/>
    <n v="136"/>
    <m/>
    <m/>
    <m/>
    <m/>
    <m/>
    <m/>
    <m/>
    <m/>
    <m/>
    <m/>
    <m/>
    <m/>
    <m/>
    <m/>
    <m/>
    <s v="INFASCO"/>
    <m/>
    <n v="97.85"/>
  </r>
  <r>
    <x v="740"/>
    <x v="6"/>
    <x v="86"/>
    <n v="36"/>
    <n v="2500"/>
    <n v="90000"/>
    <m/>
    <m/>
    <m/>
    <m/>
    <m/>
    <m/>
    <m/>
    <m/>
    <m/>
    <m/>
    <m/>
    <m/>
    <m/>
    <m/>
    <m/>
    <m/>
    <s v="INFASCO"/>
    <m/>
    <n v="97.85"/>
  </r>
  <r>
    <x v="740"/>
    <x v="6"/>
    <x v="86"/>
    <n v="36"/>
    <n v="2500"/>
    <n v="90000"/>
    <m/>
    <m/>
    <m/>
    <m/>
    <m/>
    <m/>
    <m/>
    <m/>
    <m/>
    <m/>
    <m/>
    <m/>
    <m/>
    <m/>
    <m/>
    <m/>
    <s v="INFASCO"/>
    <m/>
    <n v="97.85"/>
  </r>
  <r>
    <x v="740"/>
    <x v="11"/>
    <x v="0"/>
    <n v="34"/>
    <n v="2500"/>
    <n v="85000"/>
    <n v="136"/>
    <m/>
    <m/>
    <m/>
    <m/>
    <m/>
    <m/>
    <m/>
    <m/>
    <m/>
    <m/>
    <m/>
    <m/>
    <m/>
    <m/>
    <m/>
    <s v="INFASCO"/>
    <m/>
    <n v="97.85"/>
  </r>
  <r>
    <x v="740"/>
    <x v="0"/>
    <x v="127"/>
    <n v="32"/>
    <n v="2500"/>
    <n v="80000"/>
    <n v="136"/>
    <m/>
    <m/>
    <m/>
    <m/>
    <m/>
    <m/>
    <m/>
    <m/>
    <m/>
    <m/>
    <m/>
    <m/>
    <m/>
    <m/>
    <m/>
    <s v="INFASCO"/>
    <m/>
    <n v="97.85"/>
  </r>
  <r>
    <x v="740"/>
    <x v="3"/>
    <x v="37"/>
    <n v="30"/>
    <n v="2500"/>
    <n v="75000"/>
    <n v="44"/>
    <m/>
    <m/>
    <m/>
    <m/>
    <m/>
    <m/>
    <m/>
    <m/>
    <m/>
    <m/>
    <m/>
    <m/>
    <m/>
    <m/>
    <m/>
    <s v="INFASCO"/>
    <m/>
    <n v="97.85"/>
  </r>
  <r>
    <x v="740"/>
    <x v="6"/>
    <x v="37"/>
    <n v="26"/>
    <n v="2500"/>
    <n v="65000"/>
    <n v="38"/>
    <m/>
    <m/>
    <m/>
    <m/>
    <m/>
    <m/>
    <m/>
    <m/>
    <m/>
    <m/>
    <m/>
    <m/>
    <m/>
    <m/>
    <m/>
    <s v="INFASCO"/>
    <m/>
    <n v="97.85"/>
  </r>
  <r>
    <x v="740"/>
    <x v="9"/>
    <x v="0"/>
    <n v="25"/>
    <n v="2500"/>
    <n v="62500"/>
    <n v="44"/>
    <m/>
    <m/>
    <m/>
    <m/>
    <m/>
    <m/>
    <m/>
    <m/>
    <m/>
    <m/>
    <m/>
    <m/>
    <m/>
    <m/>
    <m/>
    <s v="INFASCO"/>
    <m/>
    <n v="97.85"/>
  </r>
  <r>
    <x v="740"/>
    <x v="10"/>
    <x v="186"/>
    <n v="36"/>
    <n v="1500"/>
    <n v="54000"/>
    <s v="182+185"/>
    <m/>
    <m/>
    <m/>
    <m/>
    <m/>
    <m/>
    <m/>
    <m/>
    <m/>
    <m/>
    <m/>
    <m/>
    <m/>
    <m/>
    <m/>
    <s v="INFASCO"/>
    <m/>
    <n v="123.6"/>
  </r>
  <r>
    <x v="740"/>
    <x v="6"/>
    <x v="175"/>
    <n v="36"/>
    <n v="1300"/>
    <n v="46800"/>
    <n v="38"/>
    <m/>
    <m/>
    <m/>
    <m/>
    <m/>
    <m/>
    <m/>
    <m/>
    <m/>
    <m/>
    <m/>
    <m/>
    <m/>
    <m/>
    <m/>
    <s v="INFASCO"/>
    <m/>
    <n v="97.85"/>
  </r>
  <r>
    <x v="740"/>
    <x v="7"/>
    <x v="119"/>
    <n v="36"/>
    <n v="1200"/>
    <n v="43200"/>
    <m/>
    <m/>
    <m/>
    <m/>
    <m/>
    <m/>
    <m/>
    <m/>
    <m/>
    <m/>
    <m/>
    <m/>
    <m/>
    <m/>
    <m/>
    <m/>
    <s v="INFASCO"/>
    <m/>
    <n v="97.85"/>
  </r>
  <r>
    <x v="740"/>
    <x v="1"/>
    <x v="87"/>
    <n v="33"/>
    <n v="1250"/>
    <n v="41250"/>
    <n v="136"/>
    <m/>
    <m/>
    <m/>
    <m/>
    <m/>
    <m/>
    <m/>
    <m/>
    <m/>
    <m/>
    <m/>
    <m/>
    <m/>
    <m/>
    <m/>
    <s v="INFASCO"/>
    <m/>
    <n v="97.85"/>
  </r>
  <r>
    <x v="740"/>
    <x v="3"/>
    <x v="87"/>
    <n v="33"/>
    <n v="1250"/>
    <n v="41250"/>
    <n v="44"/>
    <m/>
    <m/>
    <m/>
    <m/>
    <m/>
    <m/>
    <m/>
    <m/>
    <m/>
    <m/>
    <m/>
    <m/>
    <m/>
    <m/>
    <m/>
    <s v="INFASCO"/>
    <m/>
    <n v="97.85"/>
  </r>
  <r>
    <x v="740"/>
    <x v="18"/>
    <x v="186"/>
    <n v="26"/>
    <n v="1500"/>
    <n v="39000"/>
    <s v="298-184"/>
    <m/>
    <m/>
    <m/>
    <m/>
    <m/>
    <m/>
    <m/>
    <m/>
    <m/>
    <m/>
    <m/>
    <m/>
    <m/>
    <m/>
    <m/>
    <s v="INFASCO"/>
    <m/>
    <n v="123.6"/>
  </r>
  <r>
    <x v="740"/>
    <x v="10"/>
    <x v="186"/>
    <n v="24"/>
    <n v="1500"/>
    <n v="36000"/>
    <s v="182+185"/>
    <m/>
    <m/>
    <m/>
    <m/>
    <m/>
    <m/>
    <m/>
    <m/>
    <m/>
    <m/>
    <m/>
    <m/>
    <m/>
    <m/>
    <m/>
    <s v="INFASCO"/>
    <m/>
    <n v="123.6"/>
  </r>
  <r>
    <x v="740"/>
    <x v="7"/>
    <x v="119"/>
    <n v="29"/>
    <n v="1200"/>
    <n v="34800"/>
    <m/>
    <m/>
    <m/>
    <m/>
    <m/>
    <m/>
    <m/>
    <m/>
    <m/>
    <m/>
    <m/>
    <m/>
    <m/>
    <m/>
    <m/>
    <m/>
    <s v="INFASCO"/>
    <m/>
    <n v="97.85"/>
  </r>
  <r>
    <x v="740"/>
    <x v="10"/>
    <x v="40"/>
    <n v="36"/>
    <n v="850"/>
    <n v="30600"/>
    <s v="182+185"/>
    <m/>
    <m/>
    <m/>
    <m/>
    <m/>
    <m/>
    <m/>
    <m/>
    <m/>
    <m/>
    <m/>
    <m/>
    <m/>
    <m/>
    <m/>
    <s v="INFASCO"/>
    <m/>
    <n v="123.6"/>
  </r>
  <r>
    <x v="740"/>
    <x v="13"/>
    <x v="7"/>
    <n v="34"/>
    <n v="700"/>
    <n v="23800"/>
    <n v="44"/>
    <m/>
    <m/>
    <m/>
    <m/>
    <m/>
    <m/>
    <m/>
    <m/>
    <m/>
    <m/>
    <m/>
    <m/>
    <m/>
    <m/>
    <m/>
    <s v="INFASCO"/>
    <m/>
    <n v="97.85"/>
  </r>
  <r>
    <x v="740"/>
    <x v="16"/>
    <x v="151"/>
    <n v="36"/>
    <n v="650"/>
    <n v="23400"/>
    <m/>
    <m/>
    <m/>
    <m/>
    <m/>
    <m/>
    <m/>
    <m/>
    <m/>
    <m/>
    <m/>
    <m/>
    <m/>
    <m/>
    <m/>
    <m/>
    <s v="INFASCO"/>
    <m/>
    <n v="97.85"/>
  </r>
  <r>
    <x v="740"/>
    <x v="16"/>
    <x v="10"/>
    <n v="36"/>
    <n v="450"/>
    <n v="16200"/>
    <n v="38"/>
    <m/>
    <m/>
    <m/>
    <m/>
    <m/>
    <m/>
    <m/>
    <m/>
    <m/>
    <m/>
    <m/>
    <m/>
    <m/>
    <m/>
    <m/>
    <s v="INFASCO"/>
    <m/>
    <n v="97.85"/>
  </r>
  <r>
    <x v="740"/>
    <x v="4"/>
    <x v="63"/>
    <n v="36"/>
    <n v="450"/>
    <n v="16200"/>
    <n v="38"/>
    <m/>
    <m/>
    <m/>
    <m/>
    <m/>
    <m/>
    <m/>
    <m/>
    <m/>
    <m/>
    <m/>
    <m/>
    <m/>
    <m/>
    <m/>
    <s v="INFASCO"/>
    <m/>
    <n v="97.85"/>
  </r>
  <r>
    <x v="740"/>
    <x v="10"/>
    <x v="186"/>
    <n v="10"/>
    <n v="1500"/>
    <n v="15000"/>
    <s v="182+185"/>
    <m/>
    <m/>
    <m/>
    <m/>
    <m/>
    <m/>
    <m/>
    <m/>
    <m/>
    <m/>
    <m/>
    <m/>
    <m/>
    <m/>
    <m/>
    <s v="INFASCO"/>
    <m/>
    <n v="123.6"/>
  </r>
  <r>
    <x v="740"/>
    <x v="7"/>
    <x v="55"/>
    <n v="36"/>
    <n v="400"/>
    <n v="14400"/>
    <n v="38"/>
    <m/>
    <m/>
    <m/>
    <m/>
    <m/>
    <m/>
    <m/>
    <m/>
    <m/>
    <m/>
    <m/>
    <m/>
    <m/>
    <m/>
    <m/>
    <s v="INFASCO"/>
    <m/>
    <n v="97.85"/>
  </r>
  <r>
    <x v="740"/>
    <x v="26"/>
    <x v="55"/>
    <n v="36"/>
    <n v="400"/>
    <n v="14400"/>
    <n v="44"/>
    <m/>
    <m/>
    <m/>
    <m/>
    <m/>
    <m/>
    <m/>
    <m/>
    <m/>
    <m/>
    <m/>
    <m/>
    <m/>
    <m/>
    <m/>
    <s v="INFASCO"/>
    <m/>
    <n v="97.85"/>
  </r>
  <r>
    <x v="740"/>
    <x v="26"/>
    <x v="55"/>
    <n v="36"/>
    <n v="400"/>
    <n v="14400"/>
    <n v="44"/>
    <m/>
    <m/>
    <m/>
    <m/>
    <m/>
    <m/>
    <m/>
    <m/>
    <m/>
    <m/>
    <m/>
    <m/>
    <m/>
    <m/>
    <m/>
    <s v="INFASCO"/>
    <m/>
    <n v="97.85"/>
  </r>
  <r>
    <x v="740"/>
    <x v="10"/>
    <x v="40"/>
    <n v="16"/>
    <n v="850"/>
    <n v="13600"/>
    <s v="182+185"/>
    <m/>
    <m/>
    <m/>
    <m/>
    <m/>
    <m/>
    <m/>
    <m/>
    <m/>
    <m/>
    <m/>
    <m/>
    <m/>
    <m/>
    <m/>
    <s v="INFASCO"/>
    <m/>
    <n v="123.6"/>
  </r>
  <r>
    <x v="740"/>
    <x v="16"/>
    <x v="10"/>
    <n v="26"/>
    <n v="450"/>
    <n v="11700"/>
    <n v="38"/>
    <m/>
    <m/>
    <m/>
    <m/>
    <m/>
    <m/>
    <m/>
    <m/>
    <m/>
    <m/>
    <m/>
    <m/>
    <m/>
    <m/>
    <m/>
    <s v="INFASCO"/>
    <m/>
    <n v="97.85"/>
  </r>
  <r>
    <x v="740"/>
    <x v="18"/>
    <x v="92"/>
    <n v="36"/>
    <n v="250"/>
    <n v="9000"/>
    <s v="298-184"/>
    <m/>
    <m/>
    <m/>
    <m/>
    <m/>
    <m/>
    <m/>
    <m/>
    <m/>
    <m/>
    <m/>
    <m/>
    <m/>
    <m/>
    <m/>
    <s v="INFASCO"/>
    <m/>
    <n v="97.85"/>
  </r>
  <r>
    <x v="740"/>
    <x v="26"/>
    <x v="11"/>
    <n v="32"/>
    <n v="280"/>
    <n v="8960"/>
    <n v="44"/>
    <m/>
    <m/>
    <m/>
    <m/>
    <m/>
    <m/>
    <m/>
    <m/>
    <m/>
    <m/>
    <m/>
    <m/>
    <m/>
    <m/>
    <m/>
    <s v="INFASCO"/>
    <m/>
    <n v="97.85"/>
  </r>
  <r>
    <x v="740"/>
    <x v="10"/>
    <x v="65"/>
    <n v="29"/>
    <n v="300"/>
    <n v="8700"/>
    <s v="182+185"/>
    <m/>
    <m/>
    <m/>
    <m/>
    <m/>
    <m/>
    <m/>
    <m/>
    <m/>
    <m/>
    <m/>
    <m/>
    <m/>
    <m/>
    <m/>
    <s v="INFASCO"/>
    <m/>
    <n v="123.6"/>
  </r>
  <r>
    <x v="740"/>
    <x v="10"/>
    <x v="65"/>
    <n v="23"/>
    <n v="300"/>
    <n v="6900"/>
    <s v="182+185"/>
    <m/>
    <m/>
    <m/>
    <m/>
    <m/>
    <m/>
    <m/>
    <m/>
    <m/>
    <m/>
    <m/>
    <m/>
    <m/>
    <m/>
    <m/>
    <s v="INFASCO"/>
    <m/>
    <n v="123.6"/>
  </r>
  <r>
    <x v="740"/>
    <x v="18"/>
    <x v="35"/>
    <n v="33"/>
    <n v="120"/>
    <n v="3960"/>
    <s v="184+298"/>
    <s v="Yes"/>
    <m/>
    <s v="Yes"/>
    <m/>
    <s v="Yes"/>
    <m/>
    <s v="Yes"/>
    <m/>
    <s v="N/A"/>
    <m/>
    <s v="Yes"/>
    <m/>
    <s v="Yes"/>
    <m/>
    <s v="New"/>
    <s v="INFASCO"/>
    <n v="97.85"/>
    <n v="97.85"/>
  </r>
  <r>
    <x v="740"/>
    <x v="10"/>
    <x v="32"/>
    <n v="17"/>
    <n v="220"/>
    <n v="3740"/>
    <s v="182+185"/>
    <m/>
    <m/>
    <m/>
    <m/>
    <m/>
    <m/>
    <m/>
    <m/>
    <m/>
    <m/>
    <m/>
    <m/>
    <m/>
    <m/>
    <m/>
    <s v="INFASCO"/>
    <m/>
    <n v="97.85"/>
  </r>
  <r>
    <x v="741"/>
    <x v="6"/>
    <x v="37"/>
    <n v="36"/>
    <n v="2500"/>
    <n v="90000"/>
    <m/>
    <m/>
    <m/>
    <m/>
    <m/>
    <m/>
    <m/>
    <m/>
    <m/>
    <m/>
    <m/>
    <m/>
    <m/>
    <m/>
    <m/>
    <m/>
    <s v="INFASCO"/>
    <m/>
    <n v="97.85"/>
  </r>
  <r>
    <x v="741"/>
    <x v="9"/>
    <x v="0"/>
    <n v="35"/>
    <n v="2500"/>
    <n v="87500"/>
    <m/>
    <m/>
    <m/>
    <m/>
    <m/>
    <m/>
    <m/>
    <m/>
    <m/>
    <m/>
    <m/>
    <m/>
    <m/>
    <m/>
    <m/>
    <m/>
    <s v="INFASCO"/>
    <m/>
    <n v="97.85"/>
  </r>
  <r>
    <x v="741"/>
    <x v="3"/>
    <x v="98"/>
    <n v="36"/>
    <n v="2000"/>
    <n v="72000"/>
    <m/>
    <m/>
    <m/>
    <m/>
    <m/>
    <m/>
    <m/>
    <m/>
    <m/>
    <m/>
    <m/>
    <m/>
    <m/>
    <m/>
    <m/>
    <m/>
    <s v="INFASCO"/>
    <m/>
    <n v="97.85"/>
  </r>
  <r>
    <x v="741"/>
    <x v="10"/>
    <x v="88"/>
    <n v="36"/>
    <n v="1900"/>
    <n v="68400"/>
    <s v="298-155"/>
    <m/>
    <m/>
    <m/>
    <m/>
    <m/>
    <m/>
    <m/>
    <m/>
    <m/>
    <m/>
    <m/>
    <m/>
    <m/>
    <m/>
    <m/>
    <s v="INFASCO"/>
    <m/>
    <n v="123.6"/>
  </r>
  <r>
    <x v="741"/>
    <x v="4"/>
    <x v="18"/>
    <n v="36"/>
    <n v="1200"/>
    <n v="43200"/>
    <m/>
    <m/>
    <m/>
    <m/>
    <m/>
    <m/>
    <m/>
    <m/>
    <m/>
    <m/>
    <m/>
    <m/>
    <m/>
    <m/>
    <m/>
    <m/>
    <s v="INFASCO"/>
    <m/>
    <n v="97.85"/>
  </r>
  <r>
    <x v="741"/>
    <x v="10"/>
    <x v="174"/>
    <n v="36"/>
    <n v="1125"/>
    <n v="40500"/>
    <s v="298-155"/>
    <m/>
    <m/>
    <m/>
    <m/>
    <m/>
    <m/>
    <m/>
    <m/>
    <m/>
    <m/>
    <m/>
    <m/>
    <m/>
    <m/>
    <m/>
    <s v="INFASCO"/>
    <m/>
    <n v="123.6"/>
  </r>
  <r>
    <x v="741"/>
    <x v="13"/>
    <x v="19"/>
    <n v="30"/>
    <n v="1200"/>
    <n v="36000"/>
    <m/>
    <m/>
    <m/>
    <m/>
    <m/>
    <m/>
    <m/>
    <m/>
    <m/>
    <m/>
    <m/>
    <m/>
    <m/>
    <m/>
    <m/>
    <m/>
    <s v="INFASCO"/>
    <m/>
    <n v="97.85"/>
  </r>
  <r>
    <x v="741"/>
    <x v="26"/>
    <x v="187"/>
    <n v="36"/>
    <n v="700"/>
    <n v="25200"/>
    <m/>
    <m/>
    <m/>
    <m/>
    <m/>
    <m/>
    <m/>
    <m/>
    <m/>
    <m/>
    <m/>
    <m/>
    <m/>
    <m/>
    <m/>
    <m/>
    <s v="INFASCO"/>
    <m/>
    <n v="97.85"/>
  </r>
  <r>
    <x v="741"/>
    <x v="10"/>
    <x v="174"/>
    <n v="21"/>
    <n v="1125"/>
    <n v="23625"/>
    <s v="298-155"/>
    <m/>
    <m/>
    <m/>
    <m/>
    <m/>
    <m/>
    <m/>
    <m/>
    <m/>
    <m/>
    <m/>
    <m/>
    <m/>
    <m/>
    <m/>
    <s v="INFASCO"/>
    <m/>
    <n v="123.6"/>
  </r>
  <r>
    <x v="741"/>
    <x v="26"/>
    <x v="55"/>
    <n v="47"/>
    <n v="400"/>
    <n v="18800"/>
    <m/>
    <m/>
    <m/>
    <m/>
    <m/>
    <m/>
    <m/>
    <m/>
    <m/>
    <m/>
    <m/>
    <m/>
    <m/>
    <m/>
    <m/>
    <m/>
    <s v="INFASCO"/>
    <m/>
    <n v="97.85"/>
  </r>
  <r>
    <x v="741"/>
    <x v="4"/>
    <x v="63"/>
    <n v="36"/>
    <n v="450"/>
    <n v="16200"/>
    <m/>
    <m/>
    <m/>
    <m/>
    <m/>
    <m/>
    <m/>
    <m/>
    <m/>
    <m/>
    <m/>
    <m/>
    <m/>
    <m/>
    <m/>
    <m/>
    <s v="INFASCO"/>
    <m/>
    <n v="97.85"/>
  </r>
  <r>
    <x v="741"/>
    <x v="7"/>
    <x v="63"/>
    <n v="36"/>
    <n v="450"/>
    <n v="16200"/>
    <m/>
    <m/>
    <m/>
    <m/>
    <m/>
    <m/>
    <m/>
    <m/>
    <m/>
    <m/>
    <m/>
    <m/>
    <m/>
    <m/>
    <m/>
    <m/>
    <s v="INFASCO"/>
    <m/>
    <n v="97.85"/>
  </r>
  <r>
    <x v="741"/>
    <x v="16"/>
    <x v="10"/>
    <n v="36"/>
    <n v="450"/>
    <n v="16200"/>
    <m/>
    <m/>
    <m/>
    <m/>
    <m/>
    <m/>
    <m/>
    <m/>
    <m/>
    <m/>
    <m/>
    <m/>
    <m/>
    <m/>
    <m/>
    <m/>
    <s v="INFASCO"/>
    <m/>
    <n v="97.85"/>
  </r>
  <r>
    <x v="741"/>
    <x v="10"/>
    <x v="60"/>
    <n v="28"/>
    <n v="550"/>
    <n v="15400"/>
    <s v="298-155"/>
    <m/>
    <m/>
    <m/>
    <m/>
    <m/>
    <m/>
    <m/>
    <m/>
    <m/>
    <m/>
    <m/>
    <m/>
    <m/>
    <m/>
    <m/>
    <s v="INFASCO"/>
    <m/>
    <n v="123.6"/>
  </r>
  <r>
    <x v="741"/>
    <x v="4"/>
    <x v="55"/>
    <n v="36"/>
    <n v="400"/>
    <n v="14400"/>
    <m/>
    <m/>
    <m/>
    <m/>
    <m/>
    <m/>
    <m/>
    <m/>
    <m/>
    <m/>
    <m/>
    <m/>
    <m/>
    <m/>
    <m/>
    <m/>
    <s v="INFASCO"/>
    <m/>
    <n v="97.85"/>
  </r>
  <r>
    <x v="741"/>
    <x v="6"/>
    <x v="55"/>
    <n v="36"/>
    <n v="400"/>
    <n v="14400"/>
    <m/>
    <m/>
    <m/>
    <m/>
    <m/>
    <m/>
    <m/>
    <m/>
    <m/>
    <m/>
    <m/>
    <m/>
    <m/>
    <m/>
    <m/>
    <m/>
    <s v="INFASCO"/>
    <m/>
    <n v="97.85"/>
  </r>
  <r>
    <x v="741"/>
    <x v="6"/>
    <x v="55"/>
    <n v="36"/>
    <n v="400"/>
    <n v="14400"/>
    <m/>
    <m/>
    <m/>
    <m/>
    <m/>
    <m/>
    <m/>
    <m/>
    <m/>
    <m/>
    <m/>
    <m/>
    <m/>
    <m/>
    <m/>
    <m/>
    <s v="INFASCO"/>
    <m/>
    <n v="97.85"/>
  </r>
  <r>
    <x v="741"/>
    <x v="8"/>
    <x v="60"/>
    <n v="26"/>
    <n v="550"/>
    <n v="14300"/>
    <s v="11-142"/>
    <m/>
    <m/>
    <m/>
    <m/>
    <m/>
    <m/>
    <m/>
    <m/>
    <m/>
    <m/>
    <m/>
    <m/>
    <m/>
    <m/>
    <m/>
    <s v="INFASCO"/>
    <m/>
    <n v="123.6"/>
  </r>
  <r>
    <x v="741"/>
    <x v="8"/>
    <x v="60"/>
    <n v="24"/>
    <n v="550"/>
    <n v="13200"/>
    <s v="11-142"/>
    <m/>
    <m/>
    <m/>
    <m/>
    <m/>
    <m/>
    <m/>
    <m/>
    <m/>
    <m/>
    <m/>
    <m/>
    <m/>
    <m/>
    <m/>
    <s v="INFASCO"/>
    <m/>
    <n v="123.6"/>
  </r>
  <r>
    <x v="741"/>
    <x v="8"/>
    <x v="60"/>
    <n v="22"/>
    <n v="550"/>
    <n v="12100"/>
    <s v="11-142"/>
    <m/>
    <m/>
    <m/>
    <m/>
    <m/>
    <m/>
    <m/>
    <m/>
    <m/>
    <m/>
    <m/>
    <m/>
    <m/>
    <m/>
    <m/>
    <s v="INFASCO"/>
    <m/>
    <n v="123.6"/>
  </r>
  <r>
    <x v="741"/>
    <x v="8"/>
    <x v="35"/>
    <n v="40"/>
    <n v="120"/>
    <n v="4800"/>
    <s v="11-142"/>
    <m/>
    <m/>
    <m/>
    <m/>
    <m/>
    <m/>
    <m/>
    <m/>
    <m/>
    <m/>
    <m/>
    <m/>
    <m/>
    <m/>
    <m/>
    <s v="INFASCO"/>
    <m/>
    <n v="97.85"/>
  </r>
  <r>
    <x v="741"/>
    <x v="10"/>
    <x v="188"/>
    <n v="36"/>
    <n v="130"/>
    <n v="4680"/>
    <s v="298-155"/>
    <m/>
    <m/>
    <m/>
    <m/>
    <m/>
    <m/>
    <m/>
    <m/>
    <m/>
    <m/>
    <m/>
    <m/>
    <m/>
    <m/>
    <m/>
    <s v="INFASCO"/>
    <m/>
    <n v="123.6"/>
  </r>
  <r>
    <x v="741"/>
    <x v="10"/>
    <x v="188"/>
    <n v="36"/>
    <n v="130"/>
    <n v="4680"/>
    <s v="298-155"/>
    <m/>
    <m/>
    <m/>
    <m/>
    <m/>
    <m/>
    <m/>
    <m/>
    <m/>
    <m/>
    <m/>
    <m/>
    <m/>
    <m/>
    <m/>
    <s v="INFASCO"/>
    <m/>
    <n v="123.6"/>
  </r>
  <r>
    <x v="741"/>
    <x v="8"/>
    <x v="35"/>
    <n v="36"/>
    <n v="120"/>
    <n v="4320"/>
    <s v="11-142"/>
    <m/>
    <m/>
    <m/>
    <m/>
    <m/>
    <m/>
    <m/>
    <m/>
    <m/>
    <m/>
    <m/>
    <m/>
    <m/>
    <m/>
    <m/>
    <s v="INFASCO"/>
    <m/>
    <n v="97.85"/>
  </r>
  <r>
    <x v="741"/>
    <x v="8"/>
    <x v="35"/>
    <n v="36"/>
    <n v="120"/>
    <n v="4320"/>
    <s v="11-142"/>
    <m/>
    <m/>
    <m/>
    <m/>
    <m/>
    <m/>
    <m/>
    <m/>
    <m/>
    <m/>
    <m/>
    <m/>
    <m/>
    <m/>
    <m/>
    <s v="INFASCO"/>
    <m/>
    <n v="97.85"/>
  </r>
  <r>
    <x v="741"/>
    <x v="8"/>
    <x v="35"/>
    <n v="36"/>
    <n v="120"/>
    <n v="4320"/>
    <s v="11-142"/>
    <m/>
    <m/>
    <m/>
    <m/>
    <m/>
    <m/>
    <m/>
    <m/>
    <m/>
    <m/>
    <m/>
    <m/>
    <m/>
    <m/>
    <m/>
    <s v="INFASCO"/>
    <m/>
    <n v="97.85"/>
  </r>
  <r>
    <x v="741"/>
    <x v="8"/>
    <x v="35"/>
    <n v="32"/>
    <n v="120"/>
    <n v="3840"/>
    <s v="11-142"/>
    <m/>
    <m/>
    <m/>
    <m/>
    <m/>
    <m/>
    <m/>
    <m/>
    <m/>
    <m/>
    <m/>
    <m/>
    <m/>
    <m/>
    <m/>
    <s v="INFASCO"/>
    <m/>
    <n v="97.85"/>
  </r>
  <r>
    <x v="741"/>
    <x v="10"/>
    <x v="44"/>
    <n v="36"/>
    <n v="100"/>
    <n v="3600"/>
    <s v="298-155"/>
    <m/>
    <m/>
    <m/>
    <m/>
    <m/>
    <m/>
    <m/>
    <m/>
    <m/>
    <m/>
    <m/>
    <m/>
    <m/>
    <m/>
    <m/>
    <s v="INFASCO"/>
    <m/>
    <n v="51"/>
  </r>
  <r>
    <x v="741"/>
    <x v="10"/>
    <x v="44"/>
    <n v="13"/>
    <n v="100"/>
    <n v="1300"/>
    <s v="298-155"/>
    <m/>
    <m/>
    <m/>
    <m/>
    <m/>
    <m/>
    <m/>
    <m/>
    <m/>
    <m/>
    <m/>
    <m/>
    <m/>
    <m/>
    <m/>
    <s v="INFASCO"/>
    <m/>
    <n v="51"/>
  </r>
  <r>
    <x v="741"/>
    <x v="8"/>
    <x v="45"/>
    <n v="1"/>
    <n v="0"/>
    <n v="0"/>
    <s v="11-186"/>
    <m/>
    <m/>
    <m/>
    <m/>
    <m/>
    <m/>
    <m/>
    <m/>
    <m/>
    <m/>
    <m/>
    <m/>
    <m/>
    <m/>
    <m/>
    <s v="INFASCO"/>
    <m/>
    <n v="0"/>
  </r>
  <r>
    <x v="742"/>
    <x v="2"/>
    <x v="61"/>
    <n v="36"/>
    <n v="4000"/>
    <n v="144000"/>
    <m/>
    <m/>
    <m/>
    <m/>
    <m/>
    <m/>
    <m/>
    <m/>
    <m/>
    <m/>
    <m/>
    <m/>
    <m/>
    <m/>
    <m/>
    <m/>
    <s v="INFASCO"/>
    <m/>
    <n v="97.85"/>
  </r>
  <r>
    <x v="742"/>
    <x v="5"/>
    <x v="61"/>
    <n v="27"/>
    <n v="4000"/>
    <n v="108000"/>
    <m/>
    <m/>
    <m/>
    <m/>
    <m/>
    <m/>
    <m/>
    <m/>
    <m/>
    <m/>
    <m/>
    <m/>
    <m/>
    <m/>
    <m/>
    <m/>
    <s v="INFASCO"/>
    <m/>
    <n v="97.85"/>
  </r>
  <r>
    <x v="742"/>
    <x v="0"/>
    <x v="0"/>
    <n v="36"/>
    <n v="2500"/>
    <n v="90000"/>
    <m/>
    <m/>
    <m/>
    <m/>
    <m/>
    <m/>
    <m/>
    <m/>
    <m/>
    <m/>
    <m/>
    <m/>
    <m/>
    <m/>
    <m/>
    <m/>
    <s v="INFASCO"/>
    <m/>
    <n v="97.85"/>
  </r>
  <r>
    <x v="742"/>
    <x v="5"/>
    <x v="86"/>
    <n v="36"/>
    <n v="2500"/>
    <n v="90000"/>
    <m/>
    <m/>
    <m/>
    <m/>
    <m/>
    <m/>
    <m/>
    <m/>
    <m/>
    <m/>
    <m/>
    <m/>
    <m/>
    <m/>
    <m/>
    <m/>
    <s v="INFASCO"/>
    <m/>
    <n v="97.85"/>
  </r>
  <r>
    <x v="742"/>
    <x v="29"/>
    <x v="60"/>
    <n v="15"/>
    <n v="5500"/>
    <n v="82500"/>
    <m/>
    <m/>
    <m/>
    <m/>
    <m/>
    <m/>
    <m/>
    <m/>
    <m/>
    <m/>
    <m/>
    <m/>
    <m/>
    <m/>
    <m/>
    <m/>
    <s v="INFASCO"/>
    <m/>
    <n v="123.6"/>
  </r>
  <r>
    <x v="742"/>
    <x v="5"/>
    <x v="86"/>
    <n v="30"/>
    <n v="2500"/>
    <n v="75000"/>
    <m/>
    <m/>
    <m/>
    <m/>
    <m/>
    <m/>
    <m/>
    <m/>
    <m/>
    <m/>
    <m/>
    <m/>
    <m/>
    <m/>
    <m/>
    <m/>
    <s v="INFASCO"/>
    <m/>
    <n v="97.85"/>
  </r>
  <r>
    <x v="742"/>
    <x v="4"/>
    <x v="18"/>
    <n v="36"/>
    <n v="1200"/>
    <n v="43200"/>
    <m/>
    <m/>
    <m/>
    <m/>
    <m/>
    <m/>
    <m/>
    <m/>
    <m/>
    <m/>
    <m/>
    <m/>
    <m/>
    <m/>
    <m/>
    <m/>
    <s v="INFASCO"/>
    <m/>
    <n v="97.85"/>
  </r>
  <r>
    <x v="742"/>
    <x v="4"/>
    <x v="18"/>
    <n v="36"/>
    <n v="1200"/>
    <n v="43200"/>
    <m/>
    <m/>
    <m/>
    <m/>
    <m/>
    <m/>
    <m/>
    <m/>
    <m/>
    <m/>
    <m/>
    <m/>
    <m/>
    <m/>
    <m/>
    <m/>
    <s v="INFASCO"/>
    <m/>
    <n v="97.85"/>
  </r>
  <r>
    <x v="742"/>
    <x v="1"/>
    <x v="19"/>
    <n v="36"/>
    <n v="1200"/>
    <n v="43200"/>
    <m/>
    <m/>
    <m/>
    <m/>
    <m/>
    <m/>
    <m/>
    <m/>
    <m/>
    <m/>
    <m/>
    <m/>
    <m/>
    <m/>
    <m/>
    <m/>
    <s v="INFASCO"/>
    <m/>
    <n v="97.85"/>
  </r>
  <r>
    <x v="742"/>
    <x v="12"/>
    <x v="18"/>
    <n v="36"/>
    <n v="1200"/>
    <n v="43200"/>
    <m/>
    <m/>
    <m/>
    <m/>
    <m/>
    <m/>
    <m/>
    <m/>
    <m/>
    <m/>
    <m/>
    <m/>
    <m/>
    <m/>
    <m/>
    <m/>
    <s v="INFASCO"/>
    <m/>
    <n v="97.85"/>
  </r>
  <r>
    <x v="742"/>
    <x v="12"/>
    <x v="18"/>
    <n v="36"/>
    <n v="1200"/>
    <n v="43200"/>
    <m/>
    <m/>
    <m/>
    <m/>
    <m/>
    <m/>
    <m/>
    <m/>
    <m/>
    <m/>
    <m/>
    <m/>
    <m/>
    <m/>
    <m/>
    <m/>
    <s v="INFASCO"/>
    <m/>
    <n v="97.85"/>
  </r>
  <r>
    <x v="742"/>
    <x v="11"/>
    <x v="102"/>
    <n v="36"/>
    <n v="1050"/>
    <n v="37800"/>
    <m/>
    <m/>
    <m/>
    <m/>
    <m/>
    <m/>
    <m/>
    <m/>
    <m/>
    <m/>
    <m/>
    <m/>
    <m/>
    <m/>
    <m/>
    <m/>
    <s v="INFASCO"/>
    <m/>
    <n v="97.85"/>
  </r>
  <r>
    <x v="742"/>
    <x v="11"/>
    <x v="109"/>
    <n v="36"/>
    <n v="1000"/>
    <n v="36000"/>
    <m/>
    <m/>
    <m/>
    <m/>
    <m/>
    <m/>
    <m/>
    <m/>
    <m/>
    <m/>
    <m/>
    <m/>
    <m/>
    <m/>
    <m/>
    <m/>
    <s v="INFASCO"/>
    <m/>
    <n v="97.85"/>
  </r>
  <r>
    <x v="742"/>
    <x v="17"/>
    <x v="134"/>
    <n v="36"/>
    <n v="750"/>
    <n v="27000"/>
    <m/>
    <m/>
    <m/>
    <m/>
    <m/>
    <m/>
    <m/>
    <m/>
    <m/>
    <m/>
    <m/>
    <m/>
    <m/>
    <m/>
    <m/>
    <m/>
    <s v="INFASCO"/>
    <m/>
    <n v="123.6"/>
  </r>
  <r>
    <x v="742"/>
    <x v="4"/>
    <x v="18"/>
    <n v="19"/>
    <n v="1200"/>
    <n v="22800"/>
    <m/>
    <m/>
    <m/>
    <m/>
    <m/>
    <m/>
    <m/>
    <m/>
    <m/>
    <m/>
    <m/>
    <m/>
    <m/>
    <m/>
    <m/>
    <m/>
    <s v="INFASCO"/>
    <m/>
    <n v="97.85"/>
  </r>
  <r>
    <x v="742"/>
    <x v="17"/>
    <x v="104"/>
    <n v="36"/>
    <n v="550"/>
    <n v="19800"/>
    <m/>
    <m/>
    <m/>
    <m/>
    <m/>
    <m/>
    <m/>
    <m/>
    <m/>
    <m/>
    <m/>
    <m/>
    <m/>
    <m/>
    <m/>
    <m/>
    <s v="INFASCO"/>
    <m/>
    <n v="123.6"/>
  </r>
  <r>
    <x v="742"/>
    <x v="17"/>
    <x v="104"/>
    <n v="36"/>
    <n v="550"/>
    <n v="19800"/>
    <m/>
    <m/>
    <m/>
    <m/>
    <m/>
    <m/>
    <m/>
    <m/>
    <m/>
    <m/>
    <m/>
    <m/>
    <m/>
    <m/>
    <m/>
    <m/>
    <s v="INFASCO"/>
    <m/>
    <n v="123.6"/>
  </r>
  <r>
    <x v="742"/>
    <x v="10"/>
    <x v="85"/>
    <n v="36"/>
    <n v="485"/>
    <n v="17460"/>
    <m/>
    <m/>
    <m/>
    <m/>
    <m/>
    <m/>
    <m/>
    <m/>
    <m/>
    <m/>
    <m/>
    <m/>
    <m/>
    <m/>
    <m/>
    <m/>
    <s v="INFASCO"/>
    <m/>
    <n v="97.85"/>
  </r>
  <r>
    <x v="742"/>
    <x v="7"/>
    <x v="63"/>
    <n v="36"/>
    <n v="450"/>
    <n v="16200"/>
    <m/>
    <m/>
    <m/>
    <m/>
    <m/>
    <m/>
    <m/>
    <m/>
    <m/>
    <m/>
    <m/>
    <m/>
    <m/>
    <m/>
    <m/>
    <m/>
    <s v="INFASCO"/>
    <m/>
    <n v="97.85"/>
  </r>
  <r>
    <x v="742"/>
    <x v="16"/>
    <x v="55"/>
    <n v="36"/>
    <n v="400"/>
    <n v="14400"/>
    <m/>
    <m/>
    <m/>
    <m/>
    <m/>
    <m/>
    <m/>
    <m/>
    <m/>
    <m/>
    <m/>
    <m/>
    <m/>
    <m/>
    <m/>
    <m/>
    <s v="INFASCO"/>
    <m/>
    <n v="97.85"/>
  </r>
  <r>
    <x v="742"/>
    <x v="6"/>
    <x v="55"/>
    <n v="36"/>
    <n v="400"/>
    <n v="14400"/>
    <m/>
    <m/>
    <m/>
    <m/>
    <m/>
    <m/>
    <m/>
    <m/>
    <m/>
    <m/>
    <m/>
    <m/>
    <m/>
    <m/>
    <m/>
    <m/>
    <s v="INFASCO"/>
    <m/>
    <n v="97.85"/>
  </r>
  <r>
    <x v="742"/>
    <x v="6"/>
    <x v="55"/>
    <n v="36"/>
    <n v="400"/>
    <n v="14400"/>
    <m/>
    <m/>
    <m/>
    <m/>
    <m/>
    <m/>
    <m/>
    <m/>
    <m/>
    <m/>
    <m/>
    <m/>
    <m/>
    <m/>
    <m/>
    <m/>
    <s v="INFASCO"/>
    <m/>
    <n v="97.85"/>
  </r>
  <r>
    <x v="742"/>
    <x v="6"/>
    <x v="55"/>
    <n v="36"/>
    <n v="400"/>
    <n v="14400"/>
    <m/>
    <m/>
    <m/>
    <m/>
    <m/>
    <m/>
    <m/>
    <m/>
    <m/>
    <m/>
    <m/>
    <m/>
    <m/>
    <m/>
    <m/>
    <m/>
    <s v="INFASCO"/>
    <m/>
    <n v="97.85"/>
  </r>
  <r>
    <x v="742"/>
    <x v="6"/>
    <x v="55"/>
    <n v="26"/>
    <n v="400"/>
    <n v="10400"/>
    <m/>
    <m/>
    <m/>
    <m/>
    <m/>
    <m/>
    <m/>
    <m/>
    <m/>
    <m/>
    <m/>
    <m/>
    <m/>
    <m/>
    <m/>
    <m/>
    <s v="INFASCO"/>
    <m/>
    <n v="97.85"/>
  </r>
  <r>
    <x v="742"/>
    <x v="16"/>
    <x v="55"/>
    <n v="23"/>
    <n v="400"/>
    <n v="9200"/>
    <m/>
    <m/>
    <m/>
    <m/>
    <m/>
    <m/>
    <m/>
    <m/>
    <m/>
    <m/>
    <m/>
    <m/>
    <m/>
    <m/>
    <m/>
    <m/>
    <s v="INFASCO"/>
    <m/>
    <n v="97.85"/>
  </r>
  <r>
    <x v="742"/>
    <x v="29"/>
    <x v="66"/>
    <n v="36"/>
    <n v="250"/>
    <n v="9000"/>
    <m/>
    <m/>
    <m/>
    <m/>
    <m/>
    <m/>
    <m/>
    <m/>
    <m/>
    <m/>
    <m/>
    <m/>
    <m/>
    <m/>
    <m/>
    <m/>
    <s v="INFASCO"/>
    <m/>
    <n v="123.6"/>
  </r>
  <r>
    <x v="742"/>
    <x v="29"/>
    <x v="66"/>
    <n v="36"/>
    <n v="250"/>
    <n v="9000"/>
    <m/>
    <m/>
    <m/>
    <m/>
    <m/>
    <m/>
    <m/>
    <m/>
    <m/>
    <m/>
    <m/>
    <m/>
    <m/>
    <m/>
    <m/>
    <m/>
    <s v="INFASCO"/>
    <m/>
    <n v="123.6"/>
  </r>
  <r>
    <x v="742"/>
    <x v="10"/>
    <x v="92"/>
    <n v="36"/>
    <n v="250"/>
    <n v="9000"/>
    <m/>
    <m/>
    <m/>
    <m/>
    <m/>
    <m/>
    <m/>
    <m/>
    <m/>
    <m/>
    <m/>
    <m/>
    <m/>
    <m/>
    <m/>
    <m/>
    <s v="INFASCO"/>
    <m/>
    <n v="97.85"/>
  </r>
  <r>
    <x v="742"/>
    <x v="10"/>
    <x v="66"/>
    <n v="36"/>
    <n v="250"/>
    <n v="9000"/>
    <m/>
    <m/>
    <m/>
    <m/>
    <m/>
    <m/>
    <m/>
    <m/>
    <m/>
    <m/>
    <m/>
    <m/>
    <m/>
    <m/>
    <m/>
    <m/>
    <s v="INFASCO"/>
    <m/>
    <n v="123.6"/>
  </r>
  <r>
    <x v="742"/>
    <x v="10"/>
    <x v="66"/>
    <n v="36"/>
    <n v="250"/>
    <n v="9000"/>
    <m/>
    <m/>
    <m/>
    <m/>
    <m/>
    <m/>
    <m/>
    <m/>
    <m/>
    <m/>
    <m/>
    <m/>
    <m/>
    <m/>
    <m/>
    <m/>
    <s v="INFASCO"/>
    <m/>
    <n v="123.6"/>
  </r>
  <r>
    <x v="742"/>
    <x v="30"/>
    <x v="32"/>
    <n v="36"/>
    <n v="220"/>
    <n v="7920"/>
    <m/>
    <m/>
    <m/>
    <m/>
    <m/>
    <m/>
    <m/>
    <m/>
    <m/>
    <m/>
    <m/>
    <m/>
    <m/>
    <m/>
    <m/>
    <m/>
    <s v="INFASCO"/>
    <m/>
    <n v="97.85"/>
  </r>
  <r>
    <x v="742"/>
    <x v="29"/>
    <x v="32"/>
    <n v="36"/>
    <n v="220"/>
    <n v="7920"/>
    <m/>
    <m/>
    <m/>
    <m/>
    <m/>
    <m/>
    <m/>
    <m/>
    <m/>
    <m/>
    <m/>
    <m/>
    <m/>
    <m/>
    <m/>
    <m/>
    <s v="INFASCO"/>
    <m/>
    <n v="97.85"/>
  </r>
  <r>
    <x v="742"/>
    <x v="10"/>
    <x v="32"/>
    <n v="34"/>
    <n v="220"/>
    <n v="7480"/>
    <m/>
    <m/>
    <m/>
    <m/>
    <m/>
    <m/>
    <m/>
    <m/>
    <m/>
    <m/>
    <m/>
    <m/>
    <m/>
    <m/>
    <m/>
    <m/>
    <s v="INFASCO"/>
    <m/>
    <n v="97.85"/>
  </r>
  <r>
    <x v="742"/>
    <x v="29"/>
    <x v="32"/>
    <n v="33"/>
    <n v="220"/>
    <n v="7260"/>
    <m/>
    <m/>
    <m/>
    <m/>
    <m/>
    <m/>
    <m/>
    <m/>
    <m/>
    <m/>
    <m/>
    <m/>
    <m/>
    <m/>
    <m/>
    <m/>
    <s v="INFASCO"/>
    <m/>
    <n v="97.85"/>
  </r>
  <r>
    <x v="742"/>
    <x v="18"/>
    <x v="32"/>
    <n v="33"/>
    <n v="220"/>
    <n v="7260"/>
    <m/>
    <m/>
    <m/>
    <m/>
    <m/>
    <m/>
    <m/>
    <m/>
    <m/>
    <m/>
    <m/>
    <m/>
    <m/>
    <m/>
    <m/>
    <m/>
    <s v="INFASCO"/>
    <m/>
    <n v="97.85"/>
  </r>
  <r>
    <x v="742"/>
    <x v="30"/>
    <x v="66"/>
    <n v="29"/>
    <n v="250"/>
    <n v="7250"/>
    <m/>
    <m/>
    <m/>
    <m/>
    <m/>
    <m/>
    <m/>
    <m/>
    <m/>
    <m/>
    <m/>
    <m/>
    <m/>
    <m/>
    <m/>
    <m/>
    <s v="INFASCO"/>
    <m/>
    <n v="123.6"/>
  </r>
  <r>
    <x v="742"/>
    <x v="10"/>
    <x v="66"/>
    <n v="25"/>
    <n v="250"/>
    <n v="6250"/>
    <m/>
    <m/>
    <m/>
    <m/>
    <m/>
    <m/>
    <m/>
    <m/>
    <m/>
    <m/>
    <m/>
    <m/>
    <m/>
    <m/>
    <m/>
    <m/>
    <s v="INFASCO"/>
    <m/>
    <n v="123.6"/>
  </r>
  <r>
    <x v="742"/>
    <x v="10"/>
    <x v="66"/>
    <n v="23"/>
    <n v="250"/>
    <n v="5750"/>
    <m/>
    <m/>
    <m/>
    <m/>
    <m/>
    <m/>
    <m/>
    <m/>
    <m/>
    <m/>
    <m/>
    <m/>
    <m/>
    <m/>
    <m/>
    <m/>
    <s v="INFASCO"/>
    <m/>
    <n v="123.6"/>
  </r>
  <r>
    <x v="742"/>
    <x v="29"/>
    <x v="66"/>
    <n v="18"/>
    <n v="250"/>
    <n v="4500"/>
    <m/>
    <m/>
    <m/>
    <m/>
    <m/>
    <m/>
    <m/>
    <m/>
    <m/>
    <m/>
    <m/>
    <m/>
    <m/>
    <m/>
    <m/>
    <m/>
    <s v="INFASCO"/>
    <m/>
    <n v="123.6"/>
  </r>
  <r>
    <x v="742"/>
    <x v="18"/>
    <x v="32"/>
    <n v="10"/>
    <n v="22"/>
    <n v="220"/>
    <m/>
    <m/>
    <m/>
    <m/>
    <m/>
    <m/>
    <m/>
    <m/>
    <m/>
    <m/>
    <m/>
    <m/>
    <m/>
    <m/>
    <m/>
    <m/>
    <s v="INFASCO"/>
    <m/>
    <n v="97.85"/>
  </r>
  <r>
    <x v="743"/>
    <x v="15"/>
    <x v="61"/>
    <n v="36"/>
    <n v="4000"/>
    <n v="144000"/>
    <m/>
    <m/>
    <m/>
    <m/>
    <m/>
    <m/>
    <m/>
    <m/>
    <m/>
    <m/>
    <m/>
    <m/>
    <m/>
    <m/>
    <m/>
    <m/>
    <s v="INFASCO"/>
    <m/>
    <n v="97.85"/>
  </r>
  <r>
    <x v="743"/>
    <x v="2"/>
    <x v="61"/>
    <n v="36"/>
    <n v="4000"/>
    <n v="144000"/>
    <m/>
    <m/>
    <m/>
    <m/>
    <m/>
    <m/>
    <m/>
    <m/>
    <m/>
    <m/>
    <m/>
    <m/>
    <m/>
    <m/>
    <m/>
    <m/>
    <s v="INFASCO"/>
    <m/>
    <n v="97.85"/>
  </r>
  <r>
    <x v="743"/>
    <x v="8"/>
    <x v="45"/>
    <n v="36"/>
    <n v="1850"/>
    <n v="66600"/>
    <m/>
    <m/>
    <m/>
    <m/>
    <m/>
    <m/>
    <m/>
    <m/>
    <m/>
    <m/>
    <m/>
    <m/>
    <m/>
    <m/>
    <m/>
    <m/>
    <s v="INFASCO"/>
    <m/>
    <n v="226.6"/>
  </r>
  <r>
    <x v="743"/>
    <x v="8"/>
    <x v="45"/>
    <n v="36"/>
    <n v="1850"/>
    <n v="66600"/>
    <m/>
    <m/>
    <m/>
    <m/>
    <m/>
    <m/>
    <m/>
    <m/>
    <m/>
    <m/>
    <m/>
    <m/>
    <m/>
    <m/>
    <m/>
    <m/>
    <s v="INFASCO"/>
    <m/>
    <n v="226.6"/>
  </r>
  <r>
    <x v="743"/>
    <x v="7"/>
    <x v="83"/>
    <n v="26"/>
    <n v="1800"/>
    <n v="46800"/>
    <m/>
    <m/>
    <m/>
    <m/>
    <m/>
    <m/>
    <m/>
    <m/>
    <m/>
    <m/>
    <m/>
    <m/>
    <m/>
    <m/>
    <m/>
    <m/>
    <s v="INFASCO"/>
    <m/>
    <n v="123.6"/>
  </r>
  <r>
    <x v="743"/>
    <x v="4"/>
    <x v="18"/>
    <n v="36"/>
    <n v="1200"/>
    <n v="43200"/>
    <m/>
    <m/>
    <m/>
    <m/>
    <m/>
    <m/>
    <m/>
    <m/>
    <m/>
    <m/>
    <m/>
    <m/>
    <m/>
    <m/>
    <m/>
    <m/>
    <s v="INFASCO"/>
    <m/>
    <n v="97.85"/>
  </r>
  <r>
    <x v="743"/>
    <x v="4"/>
    <x v="18"/>
    <n v="36"/>
    <n v="1200"/>
    <n v="43200"/>
    <m/>
    <m/>
    <m/>
    <m/>
    <m/>
    <m/>
    <m/>
    <m/>
    <m/>
    <m/>
    <m/>
    <m/>
    <m/>
    <m/>
    <m/>
    <m/>
    <s v="INFASCO"/>
    <m/>
    <n v="97.85"/>
  </r>
  <r>
    <x v="743"/>
    <x v="26"/>
    <x v="119"/>
    <n v="36"/>
    <n v="1200"/>
    <n v="43200"/>
    <m/>
    <m/>
    <m/>
    <m/>
    <m/>
    <m/>
    <m/>
    <m/>
    <m/>
    <m/>
    <m/>
    <m/>
    <m/>
    <m/>
    <m/>
    <m/>
    <s v="INFASCO"/>
    <m/>
    <n v="97.85"/>
  </r>
  <r>
    <x v="743"/>
    <x v="11"/>
    <x v="5"/>
    <n v="36"/>
    <n v="1000"/>
    <n v="36000"/>
    <m/>
    <m/>
    <m/>
    <m/>
    <m/>
    <m/>
    <m/>
    <m/>
    <m/>
    <m/>
    <m/>
    <m/>
    <m/>
    <m/>
    <m/>
    <m/>
    <s v="INFASCO"/>
    <m/>
    <n v="97.85"/>
  </r>
  <r>
    <x v="743"/>
    <x v="11"/>
    <x v="5"/>
    <n v="36"/>
    <n v="1000"/>
    <n v="36000"/>
    <m/>
    <m/>
    <m/>
    <m/>
    <m/>
    <m/>
    <m/>
    <m/>
    <m/>
    <m/>
    <m/>
    <m/>
    <m/>
    <m/>
    <m/>
    <m/>
    <s v="INFASCO"/>
    <m/>
    <n v="97.85"/>
  </r>
  <r>
    <x v="743"/>
    <x v="3"/>
    <x v="5"/>
    <n v="36"/>
    <n v="1000"/>
    <n v="36000"/>
    <m/>
    <m/>
    <m/>
    <m/>
    <m/>
    <m/>
    <m/>
    <m/>
    <m/>
    <m/>
    <m/>
    <m/>
    <m/>
    <m/>
    <m/>
    <m/>
    <s v="INFASCO"/>
    <m/>
    <n v="97.85"/>
  </r>
  <r>
    <x v="743"/>
    <x v="3"/>
    <x v="5"/>
    <n v="36"/>
    <n v="1000"/>
    <n v="36000"/>
    <m/>
    <m/>
    <m/>
    <m/>
    <m/>
    <m/>
    <m/>
    <m/>
    <m/>
    <m/>
    <m/>
    <m/>
    <m/>
    <m/>
    <m/>
    <m/>
    <s v="INFASCO"/>
    <m/>
    <n v="97.85"/>
  </r>
  <r>
    <x v="743"/>
    <x v="26"/>
    <x v="119"/>
    <n v="30"/>
    <n v="1200"/>
    <n v="36000"/>
    <m/>
    <m/>
    <m/>
    <m/>
    <m/>
    <m/>
    <m/>
    <m/>
    <m/>
    <m/>
    <m/>
    <m/>
    <m/>
    <m/>
    <m/>
    <m/>
    <s v="INFASCO"/>
    <m/>
    <n v="97.85"/>
  </r>
  <r>
    <x v="743"/>
    <x v="9"/>
    <x v="5"/>
    <n v="36"/>
    <n v="1000"/>
    <n v="36000"/>
    <m/>
    <m/>
    <m/>
    <m/>
    <m/>
    <m/>
    <m/>
    <m/>
    <m/>
    <m/>
    <m/>
    <m/>
    <m/>
    <m/>
    <m/>
    <m/>
    <s v="INFASCO"/>
    <m/>
    <n v="97.85"/>
  </r>
  <r>
    <x v="743"/>
    <x v="14"/>
    <x v="5"/>
    <n v="36"/>
    <n v="1000"/>
    <n v="36000"/>
    <m/>
    <m/>
    <m/>
    <m/>
    <m/>
    <m/>
    <m/>
    <m/>
    <m/>
    <m/>
    <m/>
    <m/>
    <m/>
    <m/>
    <m/>
    <m/>
    <s v="INFASCO"/>
    <m/>
    <n v="97.85"/>
  </r>
  <r>
    <x v="743"/>
    <x v="13"/>
    <x v="19"/>
    <n v="25"/>
    <n v="1200"/>
    <n v="30000"/>
    <m/>
    <m/>
    <m/>
    <m/>
    <m/>
    <m/>
    <m/>
    <m/>
    <m/>
    <m/>
    <m/>
    <m/>
    <m/>
    <m/>
    <m/>
    <m/>
    <s v="INFASCO"/>
    <m/>
    <n v="97.85"/>
  </r>
  <r>
    <x v="743"/>
    <x v="10"/>
    <x v="134"/>
    <n v="36"/>
    <n v="750"/>
    <n v="27000"/>
    <m/>
    <m/>
    <m/>
    <m/>
    <m/>
    <m/>
    <m/>
    <m/>
    <m/>
    <m/>
    <m/>
    <m/>
    <m/>
    <m/>
    <m/>
    <m/>
    <s v="INFASCO"/>
    <m/>
    <n v="123.6"/>
  </r>
  <r>
    <x v="743"/>
    <x v="10"/>
    <x v="134"/>
    <n v="31"/>
    <n v="750"/>
    <n v="23250"/>
    <m/>
    <m/>
    <m/>
    <m/>
    <m/>
    <m/>
    <m/>
    <m/>
    <m/>
    <m/>
    <m/>
    <m/>
    <m/>
    <m/>
    <m/>
    <m/>
    <s v="INFASCO"/>
    <m/>
    <n v="123.6"/>
  </r>
  <r>
    <x v="743"/>
    <x v="10"/>
    <x v="85"/>
    <n v="36"/>
    <n v="485"/>
    <n v="17460"/>
    <m/>
    <m/>
    <m/>
    <m/>
    <m/>
    <m/>
    <m/>
    <m/>
    <m/>
    <m/>
    <m/>
    <m/>
    <m/>
    <m/>
    <m/>
    <m/>
    <s v="INFASCO"/>
    <m/>
    <n v="97.85"/>
  </r>
  <r>
    <x v="743"/>
    <x v="6"/>
    <x v="10"/>
    <n v="36"/>
    <n v="450"/>
    <n v="16200"/>
    <m/>
    <m/>
    <m/>
    <m/>
    <m/>
    <m/>
    <m/>
    <m/>
    <m/>
    <m/>
    <m/>
    <m/>
    <m/>
    <m/>
    <m/>
    <m/>
    <s v="INFASCO"/>
    <m/>
    <n v="97.85"/>
  </r>
  <r>
    <x v="743"/>
    <x v="6"/>
    <x v="10"/>
    <n v="36"/>
    <n v="450"/>
    <n v="16200"/>
    <m/>
    <m/>
    <m/>
    <m/>
    <m/>
    <m/>
    <m/>
    <m/>
    <m/>
    <m/>
    <m/>
    <m/>
    <m/>
    <m/>
    <m/>
    <m/>
    <s v="INFASCO"/>
    <m/>
    <n v="97.85"/>
  </r>
  <r>
    <x v="743"/>
    <x v="7"/>
    <x v="63"/>
    <n v="36"/>
    <n v="450"/>
    <n v="16200"/>
    <m/>
    <m/>
    <m/>
    <m/>
    <m/>
    <m/>
    <m/>
    <m/>
    <m/>
    <m/>
    <m/>
    <m/>
    <m/>
    <m/>
    <m/>
    <m/>
    <s v="INFASCO"/>
    <m/>
    <n v="97.85"/>
  </r>
  <r>
    <x v="743"/>
    <x v="7"/>
    <x v="63"/>
    <n v="36"/>
    <n v="450"/>
    <n v="16200"/>
    <m/>
    <m/>
    <m/>
    <m/>
    <m/>
    <m/>
    <m/>
    <m/>
    <m/>
    <m/>
    <m/>
    <m/>
    <m/>
    <m/>
    <m/>
    <m/>
    <s v="INFASCO"/>
    <m/>
    <n v="97.85"/>
  </r>
  <r>
    <x v="743"/>
    <x v="10"/>
    <x v="9"/>
    <n v="36"/>
    <n v="450"/>
    <n v="16200"/>
    <m/>
    <m/>
    <m/>
    <m/>
    <m/>
    <m/>
    <m/>
    <m/>
    <m/>
    <m/>
    <m/>
    <m/>
    <m/>
    <m/>
    <m/>
    <m/>
    <s v="INFASCO"/>
    <m/>
    <n v="97.85"/>
  </r>
  <r>
    <x v="743"/>
    <x v="10"/>
    <x v="9"/>
    <n v="36"/>
    <n v="450"/>
    <n v="16200"/>
    <m/>
    <m/>
    <m/>
    <m/>
    <m/>
    <m/>
    <m/>
    <m/>
    <m/>
    <m/>
    <m/>
    <m/>
    <m/>
    <m/>
    <m/>
    <m/>
    <s v="INFASCO"/>
    <m/>
    <n v="97.85"/>
  </r>
  <r>
    <x v="743"/>
    <x v="10"/>
    <x v="9"/>
    <n v="36"/>
    <n v="450"/>
    <n v="16200"/>
    <m/>
    <m/>
    <m/>
    <m/>
    <m/>
    <m/>
    <m/>
    <m/>
    <m/>
    <m/>
    <m/>
    <m/>
    <m/>
    <m/>
    <m/>
    <m/>
    <s v="INFASCO"/>
    <m/>
    <n v="97.85"/>
  </r>
  <r>
    <x v="743"/>
    <x v="10"/>
    <x v="85"/>
    <n v="32"/>
    <n v="485"/>
    <n v="15520"/>
    <m/>
    <m/>
    <m/>
    <m/>
    <m/>
    <m/>
    <m/>
    <m/>
    <m/>
    <m/>
    <m/>
    <m/>
    <m/>
    <m/>
    <m/>
    <m/>
    <s v="INFASCO"/>
    <m/>
    <n v="97.85"/>
  </r>
  <r>
    <x v="743"/>
    <x v="10"/>
    <x v="9"/>
    <n v="34"/>
    <n v="450"/>
    <n v="15300"/>
    <m/>
    <m/>
    <m/>
    <m/>
    <m/>
    <m/>
    <m/>
    <m/>
    <m/>
    <m/>
    <m/>
    <m/>
    <m/>
    <m/>
    <m/>
    <m/>
    <s v="INFASCO"/>
    <m/>
    <n v="97.85"/>
  </r>
  <r>
    <x v="743"/>
    <x v="6"/>
    <x v="55"/>
    <n v="36"/>
    <n v="400"/>
    <n v="14400"/>
    <m/>
    <m/>
    <m/>
    <m/>
    <m/>
    <m/>
    <m/>
    <m/>
    <m/>
    <m/>
    <m/>
    <m/>
    <m/>
    <m/>
    <m/>
    <m/>
    <s v="INFASCO"/>
    <m/>
    <n v="97.85"/>
  </r>
  <r>
    <x v="743"/>
    <x v="8"/>
    <x v="9"/>
    <n v="32"/>
    <n v="450"/>
    <n v="14400"/>
    <m/>
    <m/>
    <m/>
    <m/>
    <m/>
    <m/>
    <m/>
    <m/>
    <m/>
    <m/>
    <m/>
    <m/>
    <m/>
    <m/>
    <m/>
    <m/>
    <s v="INFASCO"/>
    <m/>
    <n v="97.85"/>
  </r>
  <r>
    <x v="743"/>
    <x v="17"/>
    <x v="9"/>
    <n v="28"/>
    <n v="450"/>
    <n v="12600"/>
    <m/>
    <m/>
    <m/>
    <m/>
    <m/>
    <m/>
    <m/>
    <m/>
    <m/>
    <m/>
    <m/>
    <m/>
    <m/>
    <m/>
    <m/>
    <m/>
    <s v="INFASCO"/>
    <m/>
    <n v="97.85"/>
  </r>
  <r>
    <x v="743"/>
    <x v="8"/>
    <x v="9"/>
    <n v="27"/>
    <n v="450"/>
    <n v="12150"/>
    <m/>
    <m/>
    <m/>
    <m/>
    <m/>
    <m/>
    <m/>
    <m/>
    <m/>
    <m/>
    <m/>
    <m/>
    <m/>
    <m/>
    <m/>
    <m/>
    <s v="INFASCO"/>
    <m/>
    <n v="97.85"/>
  </r>
  <r>
    <x v="743"/>
    <x v="8"/>
    <x v="9"/>
    <n v="27"/>
    <n v="450"/>
    <n v="12150"/>
    <m/>
    <m/>
    <m/>
    <m/>
    <m/>
    <m/>
    <m/>
    <m/>
    <m/>
    <m/>
    <m/>
    <m/>
    <m/>
    <m/>
    <m/>
    <m/>
    <s v="INFASCO"/>
    <m/>
    <n v="97.85"/>
  </r>
  <r>
    <x v="743"/>
    <x v="17"/>
    <x v="9"/>
    <n v="27"/>
    <n v="450"/>
    <n v="12150"/>
    <m/>
    <m/>
    <m/>
    <m/>
    <m/>
    <m/>
    <m/>
    <m/>
    <m/>
    <m/>
    <m/>
    <m/>
    <m/>
    <m/>
    <m/>
    <m/>
    <s v="INFASCO"/>
    <m/>
    <n v="97.85"/>
  </r>
  <r>
    <x v="743"/>
    <x v="17"/>
    <x v="9"/>
    <n v="26"/>
    <n v="450"/>
    <n v="11700"/>
    <m/>
    <m/>
    <m/>
    <m/>
    <m/>
    <m/>
    <m/>
    <m/>
    <m/>
    <m/>
    <m/>
    <m/>
    <m/>
    <m/>
    <m/>
    <m/>
    <s v="INFASCO"/>
    <m/>
    <n v="97.85"/>
  </r>
  <r>
    <x v="743"/>
    <x v="17"/>
    <x v="9"/>
    <n v="25"/>
    <n v="450"/>
    <n v="11250"/>
    <m/>
    <m/>
    <m/>
    <m/>
    <m/>
    <m/>
    <m/>
    <m/>
    <m/>
    <m/>
    <m/>
    <m/>
    <m/>
    <m/>
    <m/>
    <m/>
    <s v="INFASCO"/>
    <m/>
    <n v="97.85"/>
  </r>
  <r>
    <x v="743"/>
    <x v="8"/>
    <x v="116"/>
    <n v="36"/>
    <n v="300"/>
    <n v="10800"/>
    <m/>
    <m/>
    <m/>
    <m/>
    <m/>
    <m/>
    <m/>
    <m/>
    <m/>
    <m/>
    <m/>
    <m/>
    <m/>
    <m/>
    <m/>
    <m/>
    <s v="INFASCO"/>
    <m/>
    <n v="97.85"/>
  </r>
  <r>
    <x v="743"/>
    <x v="8"/>
    <x v="116"/>
    <n v="36"/>
    <n v="300"/>
    <n v="10800"/>
    <m/>
    <m/>
    <m/>
    <m/>
    <m/>
    <m/>
    <m/>
    <m/>
    <m/>
    <m/>
    <m/>
    <m/>
    <m/>
    <m/>
    <m/>
    <m/>
    <s v="INFASCO"/>
    <m/>
    <n v="97.85"/>
  </r>
  <r>
    <x v="743"/>
    <x v="10"/>
    <x v="57"/>
    <n v="36"/>
    <n v="270"/>
    <n v="9720"/>
    <m/>
    <m/>
    <m/>
    <m/>
    <m/>
    <m/>
    <m/>
    <m/>
    <m/>
    <m/>
    <m/>
    <m/>
    <m/>
    <m/>
    <m/>
    <m/>
    <s v="INFASCO"/>
    <m/>
    <n v="97.85"/>
  </r>
  <r>
    <x v="743"/>
    <x v="17"/>
    <x v="116"/>
    <n v="31"/>
    <n v="300"/>
    <n v="9300"/>
    <m/>
    <m/>
    <m/>
    <m/>
    <m/>
    <m/>
    <m/>
    <m/>
    <m/>
    <m/>
    <m/>
    <m/>
    <m/>
    <m/>
    <m/>
    <m/>
    <s v="INFASCO"/>
    <m/>
    <n v="97.85"/>
  </r>
  <r>
    <x v="743"/>
    <x v="17"/>
    <x v="116"/>
    <n v="31"/>
    <n v="300"/>
    <n v="9300"/>
    <m/>
    <m/>
    <m/>
    <m/>
    <m/>
    <m/>
    <m/>
    <m/>
    <m/>
    <m/>
    <m/>
    <m/>
    <m/>
    <m/>
    <m/>
    <m/>
    <s v="INFASCO"/>
    <m/>
    <n v="97.85"/>
  </r>
  <r>
    <x v="743"/>
    <x v="8"/>
    <x v="9"/>
    <n v="18"/>
    <n v="450"/>
    <n v="8100"/>
    <m/>
    <m/>
    <m/>
    <m/>
    <m/>
    <m/>
    <m/>
    <m/>
    <m/>
    <m/>
    <m/>
    <m/>
    <m/>
    <m/>
    <m/>
    <m/>
    <s v="INFASCO"/>
    <m/>
    <n v="97.85"/>
  </r>
  <r>
    <x v="743"/>
    <x v="8"/>
    <x v="116"/>
    <n v="27"/>
    <n v="300"/>
    <n v="8100"/>
    <m/>
    <m/>
    <m/>
    <m/>
    <m/>
    <m/>
    <m/>
    <m/>
    <m/>
    <m/>
    <m/>
    <m/>
    <m/>
    <m/>
    <m/>
    <m/>
    <s v="INFASCO"/>
    <m/>
    <n v="97.85"/>
  </r>
  <r>
    <x v="743"/>
    <x v="17"/>
    <x v="116"/>
    <n v="25"/>
    <n v="300"/>
    <n v="7500"/>
    <m/>
    <m/>
    <m/>
    <m/>
    <m/>
    <m/>
    <m/>
    <m/>
    <m/>
    <m/>
    <m/>
    <m/>
    <m/>
    <m/>
    <m/>
    <m/>
    <s v="INFASCO"/>
    <m/>
    <n v="97.85"/>
  </r>
  <r>
    <x v="743"/>
    <x v="17"/>
    <x v="105"/>
    <n v="36"/>
    <n v="150"/>
    <n v="5400"/>
    <m/>
    <m/>
    <m/>
    <m/>
    <m/>
    <m/>
    <m/>
    <m/>
    <m/>
    <m/>
    <m/>
    <m/>
    <m/>
    <m/>
    <m/>
    <m/>
    <s v="INFASCO"/>
    <m/>
    <n v="97.85"/>
  </r>
  <r>
    <x v="743"/>
    <x v="10"/>
    <x v="67"/>
    <n v="36"/>
    <n v="150"/>
    <n v="5400"/>
    <m/>
    <m/>
    <m/>
    <m/>
    <m/>
    <m/>
    <m/>
    <m/>
    <m/>
    <m/>
    <m/>
    <m/>
    <m/>
    <m/>
    <m/>
    <m/>
    <s v="INFASCO"/>
    <m/>
    <n v="97.85"/>
  </r>
  <r>
    <x v="743"/>
    <x v="17"/>
    <x v="67"/>
    <n v="35"/>
    <n v="150"/>
    <n v="5250"/>
    <m/>
    <m/>
    <m/>
    <m/>
    <m/>
    <m/>
    <m/>
    <m/>
    <m/>
    <m/>
    <m/>
    <m/>
    <m/>
    <m/>
    <m/>
    <m/>
    <s v="INFASCO"/>
    <m/>
    <n v="97.85"/>
  </r>
  <r>
    <x v="743"/>
    <x v="17"/>
    <x v="105"/>
    <n v="26"/>
    <n v="150"/>
    <n v="3900"/>
    <m/>
    <m/>
    <m/>
    <m/>
    <m/>
    <m/>
    <m/>
    <m/>
    <m/>
    <m/>
    <m/>
    <m/>
    <m/>
    <m/>
    <m/>
    <m/>
    <s v="INFASCO"/>
    <m/>
    <n v="97.85"/>
  </r>
  <r>
    <x v="744"/>
    <x v="8"/>
    <x v="10"/>
    <n v="36"/>
    <n v="450"/>
    <n v="16200"/>
    <s v="011+186"/>
    <s v="Yes"/>
    <m/>
    <s v="Yes"/>
    <m/>
    <s v="Yes"/>
    <m/>
    <s v="Yes"/>
    <m/>
    <s v="N/A"/>
    <m/>
    <s v="Yes"/>
    <m/>
    <s v="Yes"/>
    <m/>
    <s v="New"/>
    <s v="INFASCO"/>
    <n v="97.85"/>
    <n v="97.85"/>
  </r>
  <r>
    <x v="745"/>
    <x v="10"/>
    <x v="10"/>
    <n v="36"/>
    <n v="450"/>
    <n v="16200"/>
    <s v="184+298"/>
    <s v="Yes"/>
    <m/>
    <s v="Yes"/>
    <m/>
    <s v="Yes"/>
    <m/>
    <s v="Yes"/>
    <m/>
    <s v="N/A"/>
    <m/>
    <s v="Yes"/>
    <m/>
    <s v="Yes"/>
    <m/>
    <s v="New"/>
    <s v="INFASCO"/>
    <n v="97.85"/>
    <n v="97.85"/>
  </r>
  <r>
    <x v="746"/>
    <x v="18"/>
    <x v="76"/>
    <n v="28"/>
    <n v="4500"/>
    <n v="126000"/>
    <s v="069+156"/>
    <s v="Yes"/>
    <m/>
    <s v="Yes"/>
    <m/>
    <s v="Yes"/>
    <m/>
    <s v="Yes"/>
    <m/>
    <s v="N/A"/>
    <m/>
    <s v="Yes"/>
    <m/>
    <s v="Yes"/>
    <m/>
    <s v="New"/>
    <s v="INFASCO"/>
    <n v="97.85"/>
    <n v="97.85"/>
  </r>
  <r>
    <x v="747"/>
    <x v="17"/>
    <x v="116"/>
    <n v="28"/>
    <n v="300"/>
    <n v="8400"/>
    <s v="187+171"/>
    <s v="Yes"/>
    <m/>
    <s v="Yes"/>
    <m/>
    <s v="Yes"/>
    <m/>
    <s v="Yes"/>
    <m/>
    <s v="N/A"/>
    <m/>
    <s v="Yes"/>
    <m/>
    <s v="Yes"/>
    <m/>
    <s v="New"/>
    <s v="INFASCO"/>
    <n v="97.85"/>
    <n v="97.85"/>
  </r>
  <r>
    <x v="748"/>
    <x v="17"/>
    <x v="143"/>
    <n v="36"/>
    <n v="1000"/>
    <n v="36000"/>
    <s v="187+171"/>
    <s v="Yes"/>
    <m/>
    <s v="Yes"/>
    <m/>
    <s v="Yes"/>
    <m/>
    <s v="Yes"/>
    <m/>
    <s v="N/A"/>
    <m/>
    <s v="Yes"/>
    <m/>
    <s v="Yes"/>
    <m/>
    <s v="New"/>
    <s v="INFASCO"/>
    <n v="123.6"/>
    <n v="123.6"/>
  </r>
  <r>
    <x v="749"/>
    <x v="17"/>
    <x v="143"/>
    <n v="13"/>
    <n v="1000"/>
    <n v="13000"/>
    <s v="187+171"/>
    <s v="Yes"/>
    <m/>
    <s v="Yes"/>
    <m/>
    <s v="Yes"/>
    <m/>
    <s v="Yes"/>
    <m/>
    <s v="N/A"/>
    <m/>
    <s v="Yes"/>
    <m/>
    <s v="Yes"/>
    <m/>
    <s v="New"/>
    <s v="INFASCO"/>
    <n v="123.6"/>
    <n v="123.6"/>
  </r>
  <r>
    <x v="750"/>
    <x v="8"/>
    <x v="77"/>
    <n v="27"/>
    <n v="1550"/>
    <n v="41850"/>
    <s v="011+186"/>
    <s v="Yes"/>
    <m/>
    <s v="Yes"/>
    <m/>
    <s v="Yes"/>
    <m/>
    <s v="Yes"/>
    <m/>
    <s v="N/A"/>
    <m/>
    <s v="Yes"/>
    <m/>
    <s v="Yes"/>
    <m/>
    <s v="New"/>
    <s v="INFASCO"/>
    <n v="123.6"/>
    <n v="123.6"/>
  </r>
  <r>
    <x v="751"/>
    <x v="10"/>
    <x v="77"/>
    <n v="36"/>
    <n v="1550"/>
    <n v="55800"/>
    <s v="184+298"/>
    <s v="Yes"/>
    <m/>
    <s v="Yes"/>
    <m/>
    <s v="Yes"/>
    <m/>
    <s v="Yes"/>
    <m/>
    <s v="N/A"/>
    <m/>
    <s v="Yes"/>
    <m/>
    <s v="Yes"/>
    <m/>
    <s v="New"/>
    <s v="INFASCO"/>
    <n v="123.6"/>
    <n v="123.6"/>
  </r>
  <r>
    <x v="752"/>
    <x v="8"/>
    <x v="77"/>
    <n v="29"/>
    <n v="1550"/>
    <n v="44950"/>
    <s v="011+186"/>
    <s v="Yes"/>
    <m/>
    <s v="Yes"/>
    <m/>
    <s v="Yes"/>
    <m/>
    <s v="Yes"/>
    <m/>
    <s v="N/A"/>
    <m/>
    <s v="Yes"/>
    <m/>
    <s v="Yes"/>
    <m/>
    <s v="New"/>
    <s v="INFASCO"/>
    <n v="123.6"/>
    <n v="123.6"/>
  </r>
  <r>
    <x v="753"/>
    <x v="17"/>
    <x v="77"/>
    <n v="36"/>
    <n v="1550"/>
    <n v="55800"/>
    <s v="187+171"/>
    <s v="Yes"/>
    <m/>
    <s v="Yes"/>
    <m/>
    <s v="Yes"/>
    <m/>
    <s v="Yes"/>
    <m/>
    <s v="N/A"/>
    <m/>
    <s v="Yes"/>
    <m/>
    <s v="Yes"/>
    <m/>
    <s v="New"/>
    <s v="INFASCO"/>
    <n v="123.6"/>
    <n v="123.6"/>
  </r>
  <r>
    <x v="754"/>
    <x v="10"/>
    <x v="77"/>
    <n v="36"/>
    <n v="1550"/>
    <n v="55800"/>
    <s v="184+298"/>
    <s v="Yes"/>
    <m/>
    <s v="Yes"/>
    <m/>
    <s v="Yes"/>
    <m/>
    <s v="Yes"/>
    <m/>
    <s v="N/A"/>
    <m/>
    <s v="Yes"/>
    <m/>
    <s v="Yes"/>
    <m/>
    <s v="New"/>
    <s v="INFASCO"/>
    <n v="123.6"/>
    <n v="123.6"/>
  </r>
  <r>
    <x v="755"/>
    <x v="8"/>
    <x v="77"/>
    <n v="34"/>
    <n v="1550"/>
    <n v="52700"/>
    <s v="011+186"/>
    <s v="Yes"/>
    <m/>
    <s v="Yes"/>
    <m/>
    <s v="Yes"/>
    <m/>
    <s v="Yes"/>
    <m/>
    <s v="N/A"/>
    <m/>
    <s v="Yes"/>
    <m/>
    <s v="Yes"/>
    <m/>
    <s v="New"/>
    <s v="INFASCO"/>
    <n v="123.6"/>
    <n v="123.6"/>
  </r>
  <r>
    <x v="756"/>
    <x v="8"/>
    <x v="77"/>
    <n v="29"/>
    <n v="1550"/>
    <n v="44950"/>
    <s v="011+186"/>
    <s v="Yes"/>
    <m/>
    <s v="Yes"/>
    <m/>
    <s v="Yes"/>
    <m/>
    <s v="Yes"/>
    <m/>
    <s v="N/A"/>
    <m/>
    <s v="Yes"/>
    <m/>
    <s v="Yes"/>
    <m/>
    <s v="New"/>
    <s v="INFASCO"/>
    <n v="123.6"/>
    <n v="123.6"/>
  </r>
  <r>
    <x v="757"/>
    <x v="10"/>
    <x v="77"/>
    <n v="36"/>
    <n v="1550"/>
    <n v="55800"/>
    <s v="184+298"/>
    <s v="Yes"/>
    <m/>
    <s v="Yes"/>
    <m/>
    <s v="Yes"/>
    <m/>
    <s v="Yes"/>
    <m/>
    <s v="N/A"/>
    <m/>
    <s v="Yes"/>
    <m/>
    <s v="Yes"/>
    <m/>
    <s v="New"/>
    <s v="INFASCO"/>
    <n v="123.6"/>
    <n v="123.6"/>
  </r>
  <r>
    <x v="758"/>
    <x v="18"/>
    <x v="76"/>
    <n v="31"/>
    <n v="4500"/>
    <n v="139500"/>
    <s v="069+156"/>
    <s v="Yes"/>
    <m/>
    <s v="Yes"/>
    <m/>
    <s v="Yes"/>
    <m/>
    <s v="Yes"/>
    <m/>
    <s v="N/A"/>
    <m/>
    <s v="Yes"/>
    <m/>
    <s v="Yes"/>
    <m/>
    <s v="New"/>
    <s v="INFASCO"/>
    <n v="97.85"/>
    <n v="97.85"/>
  </r>
  <r>
    <x v="759"/>
    <x v="10"/>
    <x v="77"/>
    <n v="36"/>
    <n v="1550"/>
    <n v="55800"/>
    <s v="184+298"/>
    <s v="Yes"/>
    <m/>
    <s v="Yes"/>
    <m/>
    <s v="Yes"/>
    <m/>
    <s v="Yes"/>
    <m/>
    <s v="N/A"/>
    <m/>
    <s v="Yes"/>
    <m/>
    <s v="Yes"/>
    <m/>
    <s v="New"/>
    <s v="INFASCO"/>
    <n v="123.6"/>
    <n v="123.6"/>
  </r>
  <r>
    <x v="760"/>
    <x v="17"/>
    <x v="189"/>
    <n v="36"/>
    <n v="175"/>
    <n v="6300"/>
    <s v="171+003"/>
    <s v="Yes"/>
    <m/>
    <s v="Yes"/>
    <m/>
    <s v="Yes"/>
    <m/>
    <s v="Yes"/>
    <m/>
    <s v="N/A"/>
    <m/>
    <s v="Yes"/>
    <m/>
    <s v="Yes"/>
    <m/>
    <s v="New"/>
    <s v="INFASCO"/>
    <n v="97.85"/>
    <n v="97.85"/>
  </r>
  <r>
    <x v="761"/>
    <x v="10"/>
    <x v="77"/>
    <n v="36"/>
    <n v="1550"/>
    <n v="55800"/>
    <s v="184+298"/>
    <s v="Yes"/>
    <m/>
    <s v="Yes"/>
    <m/>
    <s v="Yes"/>
    <m/>
    <s v="Yes"/>
    <m/>
    <s v="N/A"/>
    <m/>
    <s v="Yes"/>
    <m/>
    <s v="Yes"/>
    <m/>
    <s v="New"/>
    <s v="INFASCO"/>
    <n v="123.6"/>
    <n v="123.6"/>
  </r>
  <r>
    <x v="762"/>
    <x v="17"/>
    <x v="77"/>
    <n v="36"/>
    <n v="1550"/>
    <n v="55800"/>
    <s v="187+171"/>
    <s v="Yes"/>
    <m/>
    <s v="Yes"/>
    <m/>
    <s v="Yes"/>
    <m/>
    <s v="Yes"/>
    <m/>
    <s v="N/A"/>
    <m/>
    <s v="Yes"/>
    <m/>
    <s v="Yes"/>
    <m/>
    <s v="New"/>
    <s v="INFASCO"/>
    <n v="123.6"/>
    <n v="123.6"/>
  </r>
  <r>
    <x v="763"/>
    <x v="10"/>
    <x v="77"/>
    <n v="24"/>
    <n v="1550"/>
    <n v="37200"/>
    <s v="184+298"/>
    <s v="Yes"/>
    <m/>
    <s v="Yes"/>
    <m/>
    <s v="Yes"/>
    <m/>
    <s v="Yes"/>
    <m/>
    <s v="N/A"/>
    <m/>
    <s v="Yes"/>
    <m/>
    <s v="Yes"/>
    <m/>
    <s v="New"/>
    <s v="INFASCO"/>
    <n v="123.6"/>
    <n v="123.6"/>
  </r>
  <r>
    <x v="764"/>
    <x v="8"/>
    <x v="77"/>
    <n v="18"/>
    <n v="1550"/>
    <n v="27900"/>
    <s v="11+186"/>
    <s v="Yes"/>
    <m/>
    <s v="Yes"/>
    <m/>
    <s v="Yes"/>
    <m/>
    <s v="Yes"/>
    <m/>
    <s v="N/A"/>
    <m/>
    <s v="Yes"/>
    <m/>
    <s v="Yes"/>
    <m/>
    <s v="New"/>
    <s v="INFASCO"/>
    <n v="123.6"/>
    <n v="123.6"/>
  </r>
  <r>
    <x v="765"/>
    <x v="8"/>
    <x v="77"/>
    <n v="33"/>
    <n v="1550"/>
    <n v="51150"/>
    <s v="11+186"/>
    <s v="Yes"/>
    <m/>
    <s v="Yes"/>
    <m/>
    <s v="Yes"/>
    <m/>
    <s v="Yes"/>
    <m/>
    <s v="N/A"/>
    <m/>
    <s v="Yes"/>
    <m/>
    <s v="Yes"/>
    <m/>
    <s v="New"/>
    <s v="INFASCO"/>
    <n v="123.6"/>
    <n v="123.6"/>
  </r>
  <r>
    <x v="766"/>
    <x v="8"/>
    <x v="77"/>
    <n v="36"/>
    <n v="1550"/>
    <n v="55800"/>
    <s v="11+186"/>
    <s v="Yes"/>
    <m/>
    <s v="Yes"/>
    <m/>
    <s v="Yes"/>
    <m/>
    <s v="Yes"/>
    <m/>
    <s v="N/A"/>
    <m/>
    <s v="Yes"/>
    <m/>
    <s v="Yes"/>
    <m/>
    <s v="New"/>
    <s v="INFASCO"/>
    <n v="123.6"/>
    <n v="123.6"/>
  </r>
  <r>
    <x v="767"/>
    <x v="17"/>
    <x v="77"/>
    <n v="28"/>
    <n v="1550"/>
    <n v="43400"/>
    <s v="187+171"/>
    <s v="Yes"/>
    <m/>
    <s v="Yes"/>
    <m/>
    <s v="Yes"/>
    <m/>
    <s v="Yes"/>
    <m/>
    <s v="N/A"/>
    <m/>
    <s v="Yes"/>
    <m/>
    <s v="Yes"/>
    <m/>
    <s v="New"/>
    <s v="INFASCO"/>
    <n v="123.6"/>
    <n v="123.6"/>
  </r>
  <r>
    <x v="768"/>
    <x v="10"/>
    <x v="105"/>
    <n v="36"/>
    <n v="150"/>
    <n v="5400"/>
    <s v="184+298"/>
    <s v="Yes"/>
    <m/>
    <s v="Yes"/>
    <m/>
    <s v="Yes"/>
    <m/>
    <s v="Yes"/>
    <m/>
    <s v="N/A"/>
    <m/>
    <s v="Yes"/>
    <m/>
    <s v="Yes"/>
    <m/>
    <s v="New"/>
    <s v="INFASCO"/>
    <n v="97.85"/>
    <n v="97.85"/>
  </r>
  <r>
    <x v="769"/>
    <x v="5"/>
    <x v="76"/>
    <n v="22"/>
    <n v="4500"/>
    <n v="99000"/>
    <m/>
    <m/>
    <m/>
    <m/>
    <m/>
    <m/>
    <m/>
    <m/>
    <m/>
    <m/>
    <m/>
    <m/>
    <m/>
    <m/>
    <m/>
    <m/>
    <s v="INFASCO"/>
    <m/>
    <n v="97.85"/>
  </r>
  <r>
    <x v="769"/>
    <x v="2"/>
    <x v="86"/>
    <n v="36"/>
    <n v="2500"/>
    <n v="90000"/>
    <m/>
    <m/>
    <m/>
    <m/>
    <m/>
    <m/>
    <m/>
    <m/>
    <m/>
    <m/>
    <m/>
    <m/>
    <m/>
    <m/>
    <m/>
    <m/>
    <s v="INFASCO"/>
    <m/>
    <n v="97.85"/>
  </r>
  <r>
    <x v="769"/>
    <x v="12"/>
    <x v="48"/>
    <n v="1"/>
    <n v="64000"/>
    <n v="64000"/>
    <m/>
    <m/>
    <m/>
    <m/>
    <m/>
    <m/>
    <m/>
    <m/>
    <m/>
    <m/>
    <m/>
    <m/>
    <m/>
    <m/>
    <m/>
    <m/>
    <s v="INFASCO"/>
    <m/>
    <n v="118.45"/>
  </r>
  <r>
    <x v="769"/>
    <x v="17"/>
    <x v="77"/>
    <n v="36"/>
    <n v="1550"/>
    <n v="55800"/>
    <s v="187+171"/>
    <s v="Yes"/>
    <m/>
    <s v="Yes"/>
    <m/>
    <s v="Yes"/>
    <m/>
    <s v="Yes"/>
    <m/>
    <s v="N/A"/>
    <m/>
    <s v="Yes"/>
    <m/>
    <s v="Yes"/>
    <m/>
    <s v="New"/>
    <s v="INFASCO"/>
    <n v="123.6"/>
    <n v="123.6"/>
  </r>
  <r>
    <x v="769"/>
    <x v="17"/>
    <x v="77"/>
    <n v="36"/>
    <n v="1550"/>
    <n v="55800"/>
    <m/>
    <m/>
    <m/>
    <m/>
    <m/>
    <m/>
    <m/>
    <m/>
    <m/>
    <m/>
    <m/>
    <m/>
    <m/>
    <m/>
    <m/>
    <m/>
    <s v="INFASCO"/>
    <m/>
    <n v="123.6"/>
  </r>
  <r>
    <x v="769"/>
    <x v="17"/>
    <x v="77"/>
    <n v="28"/>
    <n v="1550"/>
    <n v="43400"/>
    <m/>
    <m/>
    <m/>
    <m/>
    <m/>
    <m/>
    <m/>
    <m/>
    <m/>
    <m/>
    <m/>
    <m/>
    <m/>
    <m/>
    <m/>
    <m/>
    <s v="INFASCO"/>
    <m/>
    <n v="123.6"/>
  </r>
  <r>
    <x v="769"/>
    <x v="12"/>
    <x v="18"/>
    <n v="36"/>
    <n v="1200"/>
    <n v="43200"/>
    <m/>
    <m/>
    <m/>
    <m/>
    <m/>
    <m/>
    <m/>
    <m/>
    <m/>
    <m/>
    <m/>
    <m/>
    <m/>
    <m/>
    <m/>
    <m/>
    <s v="INFASCO"/>
    <m/>
    <n v="97.85"/>
  </r>
  <r>
    <x v="769"/>
    <x v="1"/>
    <x v="119"/>
    <n v="36"/>
    <n v="1200"/>
    <n v="43200"/>
    <m/>
    <m/>
    <m/>
    <m/>
    <m/>
    <m/>
    <m/>
    <m/>
    <m/>
    <m/>
    <m/>
    <m/>
    <m/>
    <m/>
    <m/>
    <m/>
    <s v="INFASCO"/>
    <m/>
    <n v="97.85"/>
  </r>
  <r>
    <x v="769"/>
    <x v="26"/>
    <x v="119"/>
    <n v="36"/>
    <n v="1200"/>
    <n v="43200"/>
    <m/>
    <m/>
    <m/>
    <m/>
    <m/>
    <m/>
    <m/>
    <m/>
    <m/>
    <m/>
    <m/>
    <m/>
    <m/>
    <m/>
    <m/>
    <m/>
    <s v="INFASCO"/>
    <m/>
    <n v="97.85"/>
  </r>
  <r>
    <x v="769"/>
    <x v="26"/>
    <x v="119"/>
    <n v="36"/>
    <n v="1200"/>
    <n v="43200"/>
    <m/>
    <m/>
    <m/>
    <m/>
    <m/>
    <m/>
    <m/>
    <m/>
    <m/>
    <m/>
    <m/>
    <m/>
    <m/>
    <m/>
    <m/>
    <m/>
    <s v="INFASCO"/>
    <m/>
    <n v="97.85"/>
  </r>
  <r>
    <x v="769"/>
    <x v="13"/>
    <x v="19"/>
    <n v="34"/>
    <n v="1200"/>
    <n v="40800"/>
    <m/>
    <m/>
    <m/>
    <m/>
    <m/>
    <m/>
    <m/>
    <m/>
    <m/>
    <m/>
    <m/>
    <m/>
    <m/>
    <m/>
    <m/>
    <m/>
    <s v="INFASCO"/>
    <m/>
    <n v="97.85"/>
  </r>
  <r>
    <x v="769"/>
    <x v="19"/>
    <x v="83"/>
    <n v="20"/>
    <n v="1800"/>
    <n v="36000"/>
    <m/>
    <m/>
    <m/>
    <m/>
    <m/>
    <m/>
    <m/>
    <m/>
    <m/>
    <m/>
    <m/>
    <m/>
    <m/>
    <m/>
    <m/>
    <m/>
    <s v="INFASCO"/>
    <m/>
    <n v="123.6"/>
  </r>
  <r>
    <x v="769"/>
    <x v="11"/>
    <x v="5"/>
    <n v="36"/>
    <n v="1000"/>
    <n v="36000"/>
    <m/>
    <m/>
    <m/>
    <m/>
    <m/>
    <m/>
    <m/>
    <m/>
    <m/>
    <m/>
    <m/>
    <m/>
    <m/>
    <m/>
    <m/>
    <m/>
    <s v="INFASCO"/>
    <m/>
    <n v="97.85"/>
  </r>
  <r>
    <x v="769"/>
    <x v="11"/>
    <x v="5"/>
    <n v="36"/>
    <n v="1000"/>
    <n v="36000"/>
    <m/>
    <m/>
    <m/>
    <m/>
    <m/>
    <m/>
    <m/>
    <m/>
    <m/>
    <m/>
    <m/>
    <m/>
    <m/>
    <m/>
    <m/>
    <m/>
    <s v="INFASCO"/>
    <m/>
    <n v="97.85"/>
  </r>
  <r>
    <x v="769"/>
    <x v="3"/>
    <x v="5"/>
    <n v="36"/>
    <n v="1000"/>
    <n v="36000"/>
    <m/>
    <m/>
    <m/>
    <m/>
    <m/>
    <m/>
    <m/>
    <m/>
    <m/>
    <m/>
    <m/>
    <m/>
    <m/>
    <m/>
    <m/>
    <m/>
    <s v="INFASCO"/>
    <m/>
    <n v="97.85"/>
  </r>
  <r>
    <x v="769"/>
    <x v="14"/>
    <x v="5"/>
    <n v="36"/>
    <n v="1000"/>
    <n v="36000"/>
    <m/>
    <m/>
    <m/>
    <m/>
    <m/>
    <m/>
    <m/>
    <m/>
    <m/>
    <m/>
    <m/>
    <m/>
    <m/>
    <m/>
    <m/>
    <m/>
    <s v="INFASCO"/>
    <m/>
    <n v="97.85"/>
  </r>
  <r>
    <x v="769"/>
    <x v="9"/>
    <x v="5"/>
    <n v="36"/>
    <n v="1000"/>
    <n v="36000"/>
    <m/>
    <m/>
    <m/>
    <m/>
    <m/>
    <m/>
    <m/>
    <m/>
    <m/>
    <m/>
    <m/>
    <m/>
    <m/>
    <m/>
    <m/>
    <m/>
    <s v="INFASCO"/>
    <m/>
    <n v="97.85"/>
  </r>
  <r>
    <x v="769"/>
    <x v="26"/>
    <x v="119"/>
    <n v="19"/>
    <n v="1200"/>
    <n v="22800"/>
    <m/>
    <m/>
    <m/>
    <m/>
    <m/>
    <m/>
    <m/>
    <m/>
    <m/>
    <m/>
    <m/>
    <m/>
    <m/>
    <m/>
    <m/>
    <m/>
    <s v="INFASCO"/>
    <m/>
    <n v="97.85"/>
  </r>
  <r>
    <x v="769"/>
    <x v="3"/>
    <x v="5"/>
    <n v="22"/>
    <n v="1000"/>
    <n v="22000"/>
    <m/>
    <m/>
    <m/>
    <m/>
    <m/>
    <m/>
    <m/>
    <m/>
    <m/>
    <m/>
    <m/>
    <m/>
    <m/>
    <m/>
    <m/>
    <m/>
    <s v="INFASCO"/>
    <m/>
    <n v="97.85"/>
  </r>
  <r>
    <x v="769"/>
    <x v="7"/>
    <x v="10"/>
    <n v="36"/>
    <n v="450"/>
    <n v="16200"/>
    <m/>
    <m/>
    <m/>
    <m/>
    <m/>
    <m/>
    <m/>
    <m/>
    <m/>
    <m/>
    <m/>
    <m/>
    <m/>
    <m/>
    <m/>
    <m/>
    <s v="INFASCO"/>
    <m/>
    <n v="97.85"/>
  </r>
  <r>
    <x v="769"/>
    <x v="16"/>
    <x v="10"/>
    <n v="36"/>
    <n v="450"/>
    <n v="16200"/>
    <m/>
    <m/>
    <m/>
    <m/>
    <m/>
    <m/>
    <m/>
    <m/>
    <m/>
    <m/>
    <m/>
    <m/>
    <m/>
    <m/>
    <m/>
    <m/>
    <s v="INFASCO"/>
    <m/>
    <n v="97.85"/>
  </r>
  <r>
    <x v="769"/>
    <x v="6"/>
    <x v="10"/>
    <n v="36"/>
    <n v="450"/>
    <n v="16200"/>
    <m/>
    <m/>
    <m/>
    <m/>
    <m/>
    <m/>
    <m/>
    <m/>
    <m/>
    <m/>
    <m/>
    <m/>
    <m/>
    <m/>
    <m/>
    <m/>
    <s v="INFASCO"/>
    <m/>
    <n v="97.85"/>
  </r>
  <r>
    <x v="769"/>
    <x v="6"/>
    <x v="10"/>
    <n v="36"/>
    <n v="450"/>
    <n v="16200"/>
    <m/>
    <m/>
    <m/>
    <m/>
    <m/>
    <m/>
    <m/>
    <m/>
    <m/>
    <m/>
    <m/>
    <m/>
    <m/>
    <m/>
    <m/>
    <m/>
    <s v="INFASCO"/>
    <m/>
    <n v="97.85"/>
  </r>
  <r>
    <x v="769"/>
    <x v="6"/>
    <x v="10"/>
    <n v="36"/>
    <n v="450"/>
    <n v="16200"/>
    <m/>
    <m/>
    <m/>
    <m/>
    <m/>
    <m/>
    <m/>
    <m/>
    <m/>
    <m/>
    <m/>
    <m/>
    <m/>
    <m/>
    <m/>
    <m/>
    <s v="INFASCO"/>
    <m/>
    <n v="97.85"/>
  </r>
  <r>
    <x v="770"/>
    <x v="8"/>
    <x v="77"/>
    <n v="34"/>
    <n v="1550"/>
    <n v="52700"/>
    <s v="11+186"/>
    <s v="Yes"/>
    <m/>
    <s v="Yes"/>
    <m/>
    <s v="Yes"/>
    <m/>
    <s v="Yes"/>
    <m/>
    <s v="N/A"/>
    <m/>
    <s v="Yes"/>
    <m/>
    <s v="Yes"/>
    <m/>
    <s v="New"/>
    <s v="INFASCO"/>
    <n v="123.6"/>
    <n v="123.6"/>
  </r>
  <r>
    <x v="771"/>
    <x v="10"/>
    <x v="105"/>
    <n v="34"/>
    <n v="150"/>
    <n v="5100"/>
    <s v="184+298"/>
    <s v="Yes"/>
    <m/>
    <s v="Yes"/>
    <m/>
    <s v="Yes"/>
    <m/>
    <s v="Yes"/>
    <m/>
    <s v="N/A"/>
    <m/>
    <s v="Yes"/>
    <m/>
    <s v="Yes"/>
    <m/>
    <s v="New"/>
    <s v="INFASCO"/>
    <n v="97.85"/>
    <n v="97.85"/>
  </r>
  <r>
    <x v="772"/>
    <x v="17"/>
    <x v="77"/>
    <n v="29"/>
    <n v="1550"/>
    <n v="44950"/>
    <s v="184+187"/>
    <s v="Yes"/>
    <m/>
    <s v="Yes"/>
    <m/>
    <s v="Yes"/>
    <m/>
    <s v="Yes"/>
    <m/>
    <s v="N/A"/>
    <m/>
    <s v="Yes"/>
    <m/>
    <s v="Yes"/>
    <m/>
    <s v="New"/>
    <s v="INFASCO"/>
    <n v="123.6"/>
    <n v="123.6"/>
  </r>
  <r>
    <x v="773"/>
    <x v="8"/>
    <x v="36"/>
    <n v="36"/>
    <n v="4000"/>
    <n v="144000"/>
    <s v="011+186"/>
    <s v="Yes"/>
    <m/>
    <s v="Yes"/>
    <m/>
    <s v="Yes"/>
    <m/>
    <s v="Yes"/>
    <m/>
    <s v="N/A"/>
    <m/>
    <s v="Yes"/>
    <m/>
    <s v="Yes"/>
    <m/>
    <s v="New"/>
    <s v="INFASCO"/>
    <n v="123.6"/>
    <n v="123.6"/>
  </r>
  <r>
    <x v="774"/>
    <x v="17"/>
    <x v="36"/>
    <n v="28"/>
    <n v="4000"/>
    <n v="112000"/>
    <s v="184+187"/>
    <s v="Yes"/>
    <m/>
    <s v="Yes"/>
    <m/>
    <s v="Yes"/>
    <m/>
    <s v="Yes"/>
    <m/>
    <s v="N/A"/>
    <m/>
    <s v="Yes"/>
    <m/>
    <s v="Yes"/>
    <m/>
    <s v="New"/>
    <s v="INFASCO"/>
    <n v="123.6"/>
    <n v="123.6"/>
  </r>
  <r>
    <x v="775"/>
    <x v="10"/>
    <x v="36"/>
    <n v="36"/>
    <n v="4000"/>
    <n v="144000"/>
    <s v="185+298"/>
    <s v="Yes"/>
    <m/>
    <s v="Yes"/>
    <m/>
    <s v="Yes"/>
    <m/>
    <s v="Yes"/>
    <m/>
    <s v="N/A"/>
    <m/>
    <s v="Yes"/>
    <m/>
    <s v="Yes"/>
    <m/>
    <s v="New"/>
    <s v="INFASCO"/>
    <n v="123.6"/>
    <n v="123.6"/>
  </r>
  <r>
    <x v="776"/>
    <x v="10"/>
    <x v="36"/>
    <n v="23"/>
    <n v="4000"/>
    <n v="92000"/>
    <s v="185+298"/>
    <s v="Yes"/>
    <m/>
    <s v="Yes"/>
    <m/>
    <s v="Yes"/>
    <m/>
    <s v="Yes"/>
    <m/>
    <s v="N/A"/>
    <m/>
    <s v="Yes"/>
    <m/>
    <s v="Yes"/>
    <m/>
    <s v="New"/>
    <s v="INFASCO"/>
    <n v="123.6"/>
    <n v="123.6"/>
  </r>
  <r>
    <x v="777"/>
    <x v="8"/>
    <x v="36"/>
    <n v="29"/>
    <n v="4000"/>
    <n v="116000"/>
    <s v="011+186"/>
    <s v="Yes"/>
    <m/>
    <s v="Yes"/>
    <m/>
    <s v="Yes"/>
    <m/>
    <s v="Yes"/>
    <m/>
    <s v="N/A"/>
    <m/>
    <s v="Yes"/>
    <m/>
    <s v="Yes"/>
    <m/>
    <s v="New"/>
    <s v="INFASCO"/>
    <n v="123.6"/>
    <n v="123.6"/>
  </r>
  <r>
    <x v="778"/>
    <x v="10"/>
    <x v="45"/>
    <n v="1"/>
    <n v="75000"/>
    <n v="75000"/>
    <s v="185+298"/>
    <s v="Yes"/>
    <m/>
    <s v="Yes"/>
    <m/>
    <s v="Yes"/>
    <m/>
    <s v="Yes"/>
    <m/>
    <s v="N/A"/>
    <m/>
    <s v="Yes"/>
    <m/>
    <s v="Yes"/>
    <m/>
    <s v="New"/>
    <s v="INFASCO"/>
    <m/>
    <n v="71.069999999999993"/>
  </r>
  <r>
    <x v="779"/>
    <x v="17"/>
    <x v="190"/>
    <n v="36"/>
    <n v="900"/>
    <n v="32400"/>
    <s v="184+187"/>
    <s v="Yes"/>
    <m/>
    <s v="Yes"/>
    <m/>
    <s v="Yes"/>
    <m/>
    <s v="Yes"/>
    <m/>
    <s v="N/A"/>
    <m/>
    <s v="Yes"/>
    <m/>
    <s v="Yes"/>
    <m/>
    <s v="New"/>
    <s v="INFASCO"/>
    <n v="97.85"/>
    <n v="97.85"/>
  </r>
  <r>
    <x v="780"/>
    <x v="10"/>
    <x v="45"/>
    <n v="1"/>
    <n v="70000"/>
    <n v="70000"/>
    <s v="185+298"/>
    <s v="Yes"/>
    <m/>
    <s v="Yes"/>
    <m/>
    <s v="Yes"/>
    <m/>
    <s v="Yes"/>
    <m/>
    <s v="N/A"/>
    <m/>
    <s v="Yes"/>
    <m/>
    <s v="Yes"/>
    <m/>
    <s v="New"/>
    <s v="INFASCO"/>
    <m/>
    <n v="71.069999999999993"/>
  </r>
  <r>
    <x v="781"/>
    <x v="8"/>
    <x v="15"/>
    <n v="14"/>
    <n v="1800"/>
    <n v="25200"/>
    <s v="011+186"/>
    <s v="Yes"/>
    <m/>
    <s v="Yes"/>
    <m/>
    <s v="Yes"/>
    <m/>
    <s v="Yes"/>
    <m/>
    <s v="N/A"/>
    <m/>
    <s v="Yes"/>
    <m/>
    <s v="Yes"/>
    <m/>
    <s v="New"/>
    <s v="INFASCO"/>
    <n v="123.6"/>
    <n v="123.6"/>
  </r>
  <r>
    <x v="782"/>
    <x v="8"/>
    <x v="15"/>
    <n v="33"/>
    <n v="1800"/>
    <n v="59400"/>
    <s v="011+186"/>
    <s v="Yes"/>
    <m/>
    <s v="Yes"/>
    <m/>
    <s v="Yes"/>
    <m/>
    <s v="Yes"/>
    <m/>
    <s v="N/A"/>
    <m/>
    <s v="Yes"/>
    <m/>
    <s v="Yes"/>
    <m/>
    <s v="New"/>
    <s v="INFASCO"/>
    <n v="123.6"/>
    <n v="123.6"/>
  </r>
  <r>
    <x v="783"/>
    <x v="17"/>
    <x v="78"/>
    <n v="1"/>
    <n v="35000"/>
    <n v="35000"/>
    <s v="184+187"/>
    <s v="Yes"/>
    <m/>
    <s v="Yes"/>
    <m/>
    <s v="Yes"/>
    <m/>
    <s v="Yes"/>
    <m/>
    <s v="N/A"/>
    <m/>
    <s v="Yes"/>
    <m/>
    <s v="Yes"/>
    <m/>
    <s v="New"/>
    <s v="INFASCO"/>
    <n v="118.45"/>
    <n v="118.45"/>
  </r>
  <r>
    <x v="784"/>
    <x v="8"/>
    <x v="191"/>
    <n v="18"/>
    <n v="1350"/>
    <n v="24300"/>
    <s v="011+186"/>
    <s v="Yes"/>
    <m/>
    <s v="Yes"/>
    <m/>
    <s v="Yes"/>
    <m/>
    <s v="Yes"/>
    <m/>
    <s v="N/A"/>
    <m/>
    <s v="Yes"/>
    <m/>
    <s v="Yes"/>
    <m/>
    <s v="New"/>
    <s v="INFASCO"/>
    <n v="97.85"/>
    <n v="97.85"/>
  </r>
  <r>
    <x v="785"/>
    <x v="18"/>
    <x v="45"/>
    <n v="15"/>
    <n v="1850"/>
    <n v="27750"/>
    <n v="156"/>
    <s v="Yes"/>
    <m/>
    <s v="Yes"/>
    <m/>
    <s v="Yes"/>
    <m/>
    <s v="Yes"/>
    <m/>
    <s v="N/A"/>
    <m/>
    <s v="Yes"/>
    <m/>
    <s v="Yes"/>
    <m/>
    <s v="Re-certified"/>
    <s v="INFASCO"/>
    <n v="226.6"/>
    <n v="226.6"/>
  </r>
  <r>
    <x v="786"/>
    <x v="10"/>
    <x v="190"/>
    <n v="36"/>
    <n v="900"/>
    <n v="32400"/>
    <s v="185+298"/>
    <s v="Yes"/>
    <m/>
    <s v="Yes"/>
    <m/>
    <s v="Yes"/>
    <m/>
    <s v="Yes"/>
    <m/>
    <s v="N/A"/>
    <m/>
    <s v="Yes"/>
    <m/>
    <s v="Yes"/>
    <m/>
    <s v="New"/>
    <s v="INFASCO"/>
    <n v="97.85"/>
    <n v="97.85"/>
  </r>
  <r>
    <x v="787"/>
    <x v="17"/>
    <x v="73"/>
    <n v="36"/>
    <n v="350"/>
    <n v="12600"/>
    <s v="184+187"/>
    <s v="Yes"/>
    <m/>
    <s v="Yes"/>
    <m/>
    <s v="Yes"/>
    <m/>
    <s v="Yes"/>
    <m/>
    <s v="N/A"/>
    <m/>
    <s v="Yes"/>
    <m/>
    <s v="Yes"/>
    <m/>
    <s v="New"/>
    <s v="INFASCO"/>
    <n v="97.85"/>
    <n v="97.85"/>
  </r>
  <r>
    <x v="788"/>
    <x v="8"/>
    <x v="73"/>
    <n v="36"/>
    <n v="350"/>
    <n v="12600"/>
    <s v="011+186"/>
    <s v="Yes"/>
    <m/>
    <s v="Yes"/>
    <m/>
    <s v="Yes"/>
    <m/>
    <s v="Yes"/>
    <m/>
    <s v="N/A"/>
    <m/>
    <s v="Yes"/>
    <m/>
    <s v="Yes"/>
    <m/>
    <s v="New"/>
    <s v="INFASCO"/>
    <n v="97.85"/>
    <n v="97.85"/>
  </r>
  <r>
    <x v="789"/>
    <x v="8"/>
    <x v="73"/>
    <n v="36"/>
    <n v="350"/>
    <n v="12600"/>
    <s v="011+186"/>
    <s v="Yes"/>
    <m/>
    <s v="Yes"/>
    <m/>
    <s v="Yes"/>
    <m/>
    <s v="Yes"/>
    <m/>
    <s v="N/A"/>
    <m/>
    <s v="Yes"/>
    <m/>
    <s v="Yes"/>
    <m/>
    <s v="New"/>
    <s v="INFASCO"/>
    <n v="97.85"/>
    <n v="97.85"/>
  </r>
  <r>
    <x v="790"/>
    <x v="10"/>
    <x v="83"/>
    <n v="36"/>
    <n v="1800"/>
    <n v="64800"/>
    <s v="185+298"/>
    <s v="Yes"/>
    <m/>
    <s v="Yes"/>
    <m/>
    <s v="Yes"/>
    <m/>
    <s v="Yes"/>
    <m/>
    <s v="N/A"/>
    <m/>
    <s v="Yes"/>
    <m/>
    <s v="Yes"/>
    <m/>
    <s v="New"/>
    <s v="INFASCO"/>
    <n v="123.6"/>
    <n v="123.6"/>
  </r>
  <r>
    <x v="791"/>
    <x v="17"/>
    <x v="73"/>
    <n v="36"/>
    <n v="350"/>
    <n v="12600"/>
    <s v="184+187"/>
    <s v="Yes"/>
    <m/>
    <s v="Yes"/>
    <m/>
    <s v="Yes"/>
    <m/>
    <s v="Yes"/>
    <m/>
    <s v="N/A"/>
    <m/>
    <s v="Yes"/>
    <m/>
    <s v="Yes"/>
    <m/>
    <s v="New"/>
    <s v="INFASCO"/>
    <n v="97.85"/>
    <n v="97.85"/>
  </r>
  <r>
    <x v="792"/>
    <x v="18"/>
    <x v="190"/>
    <n v="36"/>
    <n v="900"/>
    <n v="32400"/>
    <n v="156"/>
    <s v="Yes"/>
    <m/>
    <s v="Yes"/>
    <m/>
    <s v="Yes"/>
    <m/>
    <s v="Yes"/>
    <m/>
    <s v="N/A"/>
    <m/>
    <s v="Yes"/>
    <m/>
    <s v="Yes"/>
    <m/>
    <s v="New"/>
    <s v="INFASCO"/>
    <n v="97.85"/>
    <n v="97.85"/>
  </r>
  <r>
    <x v="793"/>
    <x v="10"/>
    <x v="83"/>
    <n v="19"/>
    <n v="1800"/>
    <n v="34200"/>
    <s v="185+298"/>
    <s v="Yes"/>
    <m/>
    <s v="Yes"/>
    <m/>
    <s v="Yes"/>
    <m/>
    <s v="Yes"/>
    <m/>
    <s v="N/A"/>
    <m/>
    <s v="Yes"/>
    <m/>
    <s v="Yes"/>
    <m/>
    <s v="New"/>
    <s v="INFASCO"/>
    <n v="123.6"/>
    <n v="123.6"/>
  </r>
  <r>
    <x v="794"/>
    <x v="17"/>
    <x v="73"/>
    <n v="36"/>
    <n v="350"/>
    <n v="12600"/>
    <s v="184+187"/>
    <s v="Yes"/>
    <m/>
    <s v="Yes"/>
    <m/>
    <s v="Yes"/>
    <m/>
    <s v="Yes"/>
    <m/>
    <s v="N/A"/>
    <m/>
    <s v="Yes"/>
    <m/>
    <s v="Yes"/>
    <m/>
    <s v="New"/>
    <s v="INFASCO"/>
    <n v="97.85"/>
    <n v="97.85"/>
  </r>
  <r>
    <x v="795"/>
    <x v="8"/>
    <x v="73"/>
    <n v="36"/>
    <n v="350"/>
    <n v="12600"/>
    <s v="011+186"/>
    <s v="Yes"/>
    <m/>
    <s v="Yes"/>
    <m/>
    <s v="Yes"/>
    <m/>
    <s v="Yes"/>
    <m/>
    <s v="N/A"/>
    <m/>
    <s v="Yes"/>
    <m/>
    <s v="Yes"/>
    <m/>
    <s v="New"/>
    <s v="INFASCO"/>
    <n v="97.85"/>
    <n v="97.85"/>
  </r>
  <r>
    <x v="796"/>
    <x v="17"/>
    <x v="73"/>
    <n v="36"/>
    <n v="350"/>
    <n v="12600"/>
    <s v="184+187"/>
    <s v="Yes"/>
    <m/>
    <s v="Yes"/>
    <m/>
    <s v="Yes"/>
    <m/>
    <s v="Yes"/>
    <m/>
    <s v="N/A"/>
    <m/>
    <s v="Yes"/>
    <m/>
    <s v="Yes"/>
    <m/>
    <s v="New"/>
    <s v="INFASCO"/>
    <n v="97.85"/>
    <n v="97.85"/>
  </r>
  <r>
    <x v="797"/>
    <x v="10"/>
    <x v="73"/>
    <n v="36"/>
    <n v="350"/>
    <n v="12600"/>
    <s v="185+298"/>
    <s v="Yes"/>
    <m/>
    <s v="Yes"/>
    <m/>
    <s v="Yes"/>
    <m/>
    <s v="Yes"/>
    <m/>
    <s v="N/A"/>
    <m/>
    <s v="Yes"/>
    <m/>
    <s v="Yes"/>
    <m/>
    <s v="New"/>
    <s v="INFASCO"/>
    <n v="97.85"/>
    <n v="97.85"/>
  </r>
  <r>
    <x v="798"/>
    <x v="8"/>
    <x v="73"/>
    <n v="20"/>
    <n v="350"/>
    <n v="7000"/>
    <s v="011+186"/>
    <s v="Yes"/>
    <m/>
    <s v="Yes"/>
    <m/>
    <s v="Yes"/>
    <m/>
    <s v="Yes"/>
    <m/>
    <s v="N/A"/>
    <m/>
    <s v="Yes"/>
    <m/>
    <s v="Yes"/>
    <m/>
    <s v="New"/>
    <s v="INFASCO"/>
    <n v="97.85"/>
    <n v="97.85"/>
  </r>
  <r>
    <x v="799"/>
    <x v="15"/>
    <x v="61"/>
    <n v="36"/>
    <n v="4000"/>
    <n v="144000"/>
    <m/>
    <m/>
    <m/>
    <m/>
    <m/>
    <m/>
    <m/>
    <m/>
    <m/>
    <m/>
    <m/>
    <m/>
    <m/>
    <m/>
    <m/>
    <m/>
    <s v="INFASCO"/>
    <m/>
    <n v="97.85"/>
  </r>
  <r>
    <x v="799"/>
    <x v="5"/>
    <x v="76"/>
    <n v="27"/>
    <n v="4500"/>
    <n v="121500"/>
    <m/>
    <m/>
    <m/>
    <m/>
    <m/>
    <m/>
    <m/>
    <m/>
    <m/>
    <m/>
    <m/>
    <m/>
    <m/>
    <m/>
    <m/>
    <m/>
    <s v="INFASCO"/>
    <m/>
    <n v="97.85"/>
  </r>
  <r>
    <x v="799"/>
    <x v="2"/>
    <x v="86"/>
    <n v="36"/>
    <n v="2500"/>
    <n v="90000"/>
    <m/>
    <m/>
    <m/>
    <m/>
    <m/>
    <m/>
    <m/>
    <m/>
    <m/>
    <m/>
    <m/>
    <m/>
    <m/>
    <m/>
    <m/>
    <m/>
    <s v="INFASCO"/>
    <m/>
    <n v="97.85"/>
  </r>
  <r>
    <x v="799"/>
    <x v="11"/>
    <x v="37"/>
    <n v="36"/>
    <n v="2500"/>
    <n v="90000"/>
    <m/>
    <m/>
    <m/>
    <m/>
    <m/>
    <m/>
    <m/>
    <m/>
    <m/>
    <m/>
    <m/>
    <m/>
    <m/>
    <m/>
    <m/>
    <m/>
    <s v="INFASCO"/>
    <m/>
    <n v="97.85"/>
  </r>
  <r>
    <x v="799"/>
    <x v="11"/>
    <x v="37"/>
    <n v="36"/>
    <n v="2500"/>
    <n v="90000"/>
    <m/>
    <m/>
    <m/>
    <m/>
    <m/>
    <m/>
    <m/>
    <m/>
    <m/>
    <m/>
    <m/>
    <m/>
    <m/>
    <m/>
    <m/>
    <m/>
    <s v="INFASCO"/>
    <m/>
    <n v="97.85"/>
  </r>
  <r>
    <x v="799"/>
    <x v="12"/>
    <x v="69"/>
    <n v="42"/>
    <n v="1900"/>
    <n v="79800"/>
    <m/>
    <m/>
    <m/>
    <m/>
    <m/>
    <m/>
    <m/>
    <m/>
    <m/>
    <m/>
    <m/>
    <m/>
    <m/>
    <m/>
    <m/>
    <m/>
    <s v="INFASCO"/>
    <m/>
    <n v="97.85"/>
  </r>
  <r>
    <x v="799"/>
    <x v="12"/>
    <x v="69"/>
    <n v="36"/>
    <n v="1900"/>
    <n v="68400"/>
    <m/>
    <m/>
    <m/>
    <m/>
    <m/>
    <m/>
    <m/>
    <m/>
    <m/>
    <m/>
    <m/>
    <m/>
    <m/>
    <m/>
    <m/>
    <m/>
    <s v="INFASCO"/>
    <m/>
    <n v="97.85"/>
  </r>
  <r>
    <x v="799"/>
    <x v="17"/>
    <x v="83"/>
    <n v="36"/>
    <n v="1800"/>
    <n v="64800"/>
    <s v="184+187"/>
    <s v="Yes"/>
    <m/>
    <s v="Yes"/>
    <m/>
    <s v="Yes"/>
    <m/>
    <s v="Yes"/>
    <m/>
    <s v="N/A"/>
    <m/>
    <s v="Yes"/>
    <m/>
    <s v="Yes"/>
    <m/>
    <s v="New"/>
    <s v="INFASCO"/>
    <n v="123.6"/>
    <n v="123.6"/>
  </r>
  <r>
    <x v="799"/>
    <x v="2"/>
    <x v="18"/>
    <n v="36"/>
    <n v="1200"/>
    <n v="43200"/>
    <m/>
    <m/>
    <m/>
    <m/>
    <m/>
    <m/>
    <m/>
    <m/>
    <m/>
    <m/>
    <m/>
    <m/>
    <m/>
    <m/>
    <m/>
    <m/>
    <s v="INFASCO"/>
    <m/>
    <n v="97.85"/>
  </r>
  <r>
    <x v="799"/>
    <x v="2"/>
    <x v="18"/>
    <n v="36"/>
    <n v="1200"/>
    <n v="43200"/>
    <m/>
    <m/>
    <m/>
    <m/>
    <m/>
    <m/>
    <m/>
    <m/>
    <m/>
    <m/>
    <m/>
    <m/>
    <m/>
    <m/>
    <m/>
    <m/>
    <s v="INFASCO"/>
    <m/>
    <n v="97.85"/>
  </r>
  <r>
    <x v="799"/>
    <x v="1"/>
    <x v="119"/>
    <n v="36"/>
    <n v="1200"/>
    <n v="43200"/>
    <m/>
    <m/>
    <m/>
    <m/>
    <m/>
    <m/>
    <m/>
    <m/>
    <m/>
    <m/>
    <m/>
    <m/>
    <m/>
    <m/>
    <m/>
    <m/>
    <s v="INFASCO"/>
    <m/>
    <n v="97.85"/>
  </r>
  <r>
    <x v="799"/>
    <x v="4"/>
    <x v="78"/>
    <n v="1"/>
    <n v="40330"/>
    <n v="40330"/>
    <m/>
    <m/>
    <m/>
    <m/>
    <m/>
    <m/>
    <m/>
    <m/>
    <m/>
    <m/>
    <m/>
    <m/>
    <m/>
    <m/>
    <m/>
    <m/>
    <s v="INFASCO"/>
    <m/>
    <n v="118.45"/>
  </r>
  <r>
    <x v="799"/>
    <x v="9"/>
    <x v="5"/>
    <n v="36"/>
    <n v="1000"/>
    <n v="36000"/>
    <m/>
    <m/>
    <m/>
    <m/>
    <m/>
    <m/>
    <m/>
    <m/>
    <m/>
    <m/>
    <m/>
    <m/>
    <m/>
    <m/>
    <m/>
    <m/>
    <s v="INFASCO"/>
    <m/>
    <n v="97.85"/>
  </r>
  <r>
    <x v="799"/>
    <x v="14"/>
    <x v="5"/>
    <n v="36"/>
    <n v="1000"/>
    <n v="36000"/>
    <m/>
    <m/>
    <m/>
    <m/>
    <m/>
    <m/>
    <m/>
    <m/>
    <m/>
    <m/>
    <m/>
    <m/>
    <m/>
    <m/>
    <m/>
    <m/>
    <s v="INFASCO"/>
    <m/>
    <n v="97.85"/>
  </r>
  <r>
    <x v="799"/>
    <x v="13"/>
    <x v="5"/>
    <n v="36"/>
    <n v="1000"/>
    <n v="36000"/>
    <m/>
    <m/>
    <m/>
    <m/>
    <m/>
    <m/>
    <m/>
    <m/>
    <m/>
    <m/>
    <m/>
    <m/>
    <m/>
    <m/>
    <m/>
    <m/>
    <s v="INFASCO"/>
    <m/>
    <n v="97.85"/>
  </r>
  <r>
    <x v="799"/>
    <x v="19"/>
    <x v="83"/>
    <n v="19"/>
    <n v="1800"/>
    <n v="34200"/>
    <m/>
    <m/>
    <m/>
    <m/>
    <m/>
    <m/>
    <m/>
    <m/>
    <m/>
    <m/>
    <m/>
    <m/>
    <m/>
    <m/>
    <m/>
    <m/>
    <s v="INFASCO"/>
    <m/>
    <n v="123.6"/>
  </r>
  <r>
    <x v="799"/>
    <x v="17"/>
    <x v="190"/>
    <n v="36"/>
    <n v="900"/>
    <n v="32400"/>
    <m/>
    <m/>
    <m/>
    <m/>
    <m/>
    <m/>
    <m/>
    <m/>
    <m/>
    <m/>
    <m/>
    <m/>
    <m/>
    <m/>
    <m/>
    <m/>
    <s v="INFASCO"/>
    <m/>
    <n v="97.85"/>
  </r>
  <r>
    <x v="799"/>
    <x v="3"/>
    <x v="78"/>
    <n v="32"/>
    <n v="1000"/>
    <n v="32000"/>
    <m/>
    <m/>
    <m/>
    <m/>
    <m/>
    <m/>
    <m/>
    <m/>
    <m/>
    <m/>
    <m/>
    <m/>
    <m/>
    <m/>
    <m/>
    <m/>
    <s v="INFASCO"/>
    <m/>
    <n v="118.45"/>
  </r>
  <r>
    <x v="799"/>
    <x v="7"/>
    <x v="63"/>
    <n v="36"/>
    <n v="450"/>
    <n v="16200"/>
    <m/>
    <m/>
    <m/>
    <m/>
    <m/>
    <m/>
    <m/>
    <m/>
    <m/>
    <m/>
    <m/>
    <m/>
    <m/>
    <m/>
    <m/>
    <m/>
    <s v="INFASCO"/>
    <m/>
    <n v="97.85"/>
  </r>
  <r>
    <x v="799"/>
    <x v="6"/>
    <x v="10"/>
    <n v="36"/>
    <n v="450"/>
    <n v="16200"/>
    <m/>
    <m/>
    <m/>
    <m/>
    <m/>
    <m/>
    <m/>
    <m/>
    <m/>
    <m/>
    <m/>
    <m/>
    <m/>
    <m/>
    <m/>
    <m/>
    <s v="INFASCO"/>
    <m/>
    <n v="97.85"/>
  </r>
  <r>
    <x v="799"/>
    <x v="6"/>
    <x v="10"/>
    <n v="36"/>
    <n v="450"/>
    <n v="16200"/>
    <m/>
    <m/>
    <m/>
    <m/>
    <m/>
    <m/>
    <m/>
    <m/>
    <m/>
    <m/>
    <m/>
    <m/>
    <m/>
    <m/>
    <m/>
    <m/>
    <s v="INFASCO"/>
    <m/>
    <n v="97.85"/>
  </r>
  <r>
    <x v="799"/>
    <x v="6"/>
    <x v="10"/>
    <n v="36"/>
    <n v="450"/>
    <n v="16200"/>
    <m/>
    <m/>
    <m/>
    <m/>
    <m/>
    <m/>
    <m/>
    <m/>
    <m/>
    <m/>
    <m/>
    <m/>
    <m/>
    <m/>
    <m/>
    <m/>
    <s v="INFASCO"/>
    <m/>
    <n v="97.85"/>
  </r>
  <r>
    <x v="799"/>
    <x v="26"/>
    <x v="10"/>
    <n v="36"/>
    <n v="450"/>
    <n v="16200"/>
    <m/>
    <m/>
    <m/>
    <m/>
    <m/>
    <m/>
    <m/>
    <m/>
    <m/>
    <m/>
    <m/>
    <m/>
    <m/>
    <m/>
    <m/>
    <m/>
    <s v="INFASCO"/>
    <m/>
    <n v="97.85"/>
  </r>
  <r>
    <x v="799"/>
    <x v="26"/>
    <x v="10"/>
    <n v="36"/>
    <n v="450"/>
    <n v="16200"/>
    <m/>
    <m/>
    <m/>
    <m/>
    <m/>
    <m/>
    <m/>
    <m/>
    <m/>
    <m/>
    <m/>
    <m/>
    <m/>
    <m/>
    <m/>
    <m/>
    <s v="INFASCO"/>
    <m/>
    <n v="97.85"/>
  </r>
  <r>
    <x v="799"/>
    <x v="26"/>
    <x v="10"/>
    <n v="36"/>
    <n v="450"/>
    <n v="16200"/>
    <m/>
    <m/>
    <m/>
    <m/>
    <m/>
    <m/>
    <m/>
    <m/>
    <m/>
    <m/>
    <m/>
    <m/>
    <m/>
    <m/>
    <m/>
    <m/>
    <s v="INFASCO"/>
    <m/>
    <n v="97.85"/>
  </r>
  <r>
    <x v="799"/>
    <x v="4"/>
    <x v="55"/>
    <n v="36"/>
    <n v="400"/>
    <n v="14400"/>
    <m/>
    <m/>
    <m/>
    <m/>
    <m/>
    <m/>
    <m/>
    <m/>
    <m/>
    <m/>
    <m/>
    <m/>
    <m/>
    <m/>
    <m/>
    <m/>
    <s v="INFASCO"/>
    <m/>
    <n v="97.85"/>
  </r>
  <r>
    <x v="799"/>
    <x v="4"/>
    <x v="55"/>
    <n v="36"/>
    <n v="400"/>
    <n v="14400"/>
    <m/>
    <m/>
    <m/>
    <m/>
    <m/>
    <m/>
    <m/>
    <m/>
    <m/>
    <m/>
    <m/>
    <m/>
    <m/>
    <m/>
    <m/>
    <m/>
    <s v="INFASCO"/>
    <m/>
    <n v="97.85"/>
  </r>
  <r>
    <x v="799"/>
    <x v="4"/>
    <x v="55"/>
    <n v="36"/>
    <n v="400"/>
    <n v="14400"/>
    <m/>
    <m/>
    <m/>
    <m/>
    <m/>
    <m/>
    <m/>
    <m/>
    <m/>
    <m/>
    <m/>
    <m/>
    <m/>
    <m/>
    <m/>
    <m/>
    <s v="INFASCO"/>
    <m/>
    <n v="97.85"/>
  </r>
  <r>
    <x v="799"/>
    <x v="3"/>
    <x v="55"/>
    <n v="36"/>
    <n v="400"/>
    <n v="14400"/>
    <m/>
    <m/>
    <m/>
    <m/>
    <m/>
    <m/>
    <m/>
    <m/>
    <m/>
    <m/>
    <m/>
    <m/>
    <m/>
    <m/>
    <m/>
    <m/>
    <s v="INFASCO"/>
    <m/>
    <n v="97.85"/>
  </r>
  <r>
    <x v="799"/>
    <x v="17"/>
    <x v="73"/>
    <n v="30"/>
    <n v="350"/>
    <n v="10500"/>
    <s v="184+187"/>
    <s v="Yes"/>
    <m/>
    <s v="Yes"/>
    <m/>
    <s v="Yes"/>
    <m/>
    <s v="Yes"/>
    <m/>
    <s v="N/A"/>
    <m/>
    <s v="Yes"/>
    <m/>
    <s v="Yes"/>
    <m/>
    <s v="New"/>
    <s v="INFASCO"/>
    <n v="97.85"/>
    <n v="97.85"/>
  </r>
  <r>
    <x v="799"/>
    <x v="10"/>
    <x v="32"/>
    <n v="31"/>
    <n v="220"/>
    <n v="6820"/>
    <m/>
    <m/>
    <m/>
    <m/>
    <m/>
    <m/>
    <m/>
    <m/>
    <m/>
    <m/>
    <m/>
    <m/>
    <m/>
    <m/>
    <m/>
    <m/>
    <s v="INFASCO"/>
    <m/>
    <n v="97.85"/>
  </r>
  <r>
    <x v="799"/>
    <x v="11"/>
    <x v="5"/>
    <n v="6"/>
    <n v="1000"/>
    <n v="6000"/>
    <m/>
    <m/>
    <m/>
    <m/>
    <m/>
    <m/>
    <m/>
    <m/>
    <m/>
    <m/>
    <m/>
    <m/>
    <m/>
    <m/>
    <m/>
    <m/>
    <s v="INFASCO"/>
    <m/>
    <n v="97.85"/>
  </r>
  <r>
    <x v="800"/>
    <x v="8"/>
    <x v="32"/>
    <n v="36"/>
    <n v="220"/>
    <n v="7920"/>
    <s v="011+186"/>
    <s v="Yes"/>
    <m/>
    <s v="Yes"/>
    <m/>
    <s v="Yes"/>
    <m/>
    <s v="Yes"/>
    <m/>
    <s v="N/A"/>
    <m/>
    <s v="Yes"/>
    <m/>
    <s v="Yes"/>
    <m/>
    <s v="New"/>
    <s v="INFASCO"/>
    <n v="97.85"/>
    <n v="97.85"/>
  </r>
  <r>
    <x v="801"/>
    <x v="10"/>
    <x v="32"/>
    <n v="36"/>
    <n v="220"/>
    <n v="7920"/>
    <s v="184+298"/>
    <s v="Yes"/>
    <m/>
    <s v="Yes"/>
    <m/>
    <s v="Yes"/>
    <m/>
    <s v="Yes"/>
    <m/>
    <s v="N/A"/>
    <m/>
    <s v="Yes"/>
    <m/>
    <s v="Yes"/>
    <m/>
    <s v="New"/>
    <s v="INFASCO"/>
    <n v="97.85"/>
    <n v="97.85"/>
  </r>
  <r>
    <x v="802"/>
    <x v="17"/>
    <x v="83"/>
    <n v="36"/>
    <n v="1800"/>
    <n v="64800"/>
    <s v="185+187"/>
    <s v="Yes"/>
    <m/>
    <s v="Yes"/>
    <m/>
    <s v="Yes"/>
    <m/>
    <s v="Yes"/>
    <m/>
    <s v="N/A"/>
    <m/>
    <s v="Yes"/>
    <m/>
    <s v="Yes"/>
    <m/>
    <s v="New"/>
    <s v="INFASCO"/>
    <n v="123.6"/>
    <n v="123.6"/>
  </r>
  <r>
    <x v="803"/>
    <x v="17"/>
    <x v="83"/>
    <n v="10"/>
    <n v="1800"/>
    <n v="18000"/>
    <s v="185+187"/>
    <s v="Yes"/>
    <m/>
    <s v="Yes"/>
    <m/>
    <s v="Yes"/>
    <m/>
    <s v="Yes"/>
    <m/>
    <s v="N/A"/>
    <m/>
    <s v="Yes"/>
    <m/>
    <s v="Yes"/>
    <m/>
    <s v="New"/>
    <s v="INFASCO"/>
    <n v="123.6"/>
    <n v="123.6"/>
  </r>
  <r>
    <x v="804"/>
    <x v="10"/>
    <x v="101"/>
    <n v="1"/>
    <n v="35000"/>
    <n v="35000"/>
    <s v="184+298"/>
    <s v="Yes"/>
    <m/>
    <s v="Yes"/>
    <m/>
    <s v="Yes"/>
    <m/>
    <s v="Yes"/>
    <m/>
    <s v="N/A"/>
    <m/>
    <s v="Yes"/>
    <m/>
    <s v="Yes"/>
    <m/>
    <s v="New"/>
    <s v="INFASCO"/>
    <n v="118.45"/>
    <n v="118.45"/>
  </r>
  <r>
    <x v="805"/>
    <x v="18"/>
    <x v="83"/>
    <n v="25"/>
    <n v="1800"/>
    <n v="45000"/>
    <n v="168"/>
    <s v="Yes"/>
    <m/>
    <s v="Yes"/>
    <m/>
    <s v="Yes"/>
    <m/>
    <s v="Yes"/>
    <m/>
    <s v="N/A"/>
    <m/>
    <s v="Yes"/>
    <m/>
    <s v="Yes"/>
    <m/>
    <s v="New"/>
    <s v="INFASCO"/>
    <n v="123.6"/>
    <n v="123.6"/>
  </r>
  <r>
    <x v="806"/>
    <x v="8"/>
    <x v="32"/>
    <n v="30"/>
    <n v="220"/>
    <n v="6600"/>
    <s v="011+186"/>
    <s v="Yes"/>
    <m/>
    <s v="Yes"/>
    <m/>
    <s v="Yes"/>
    <m/>
    <s v="Yes"/>
    <m/>
    <s v="N/A"/>
    <m/>
    <s v="Yes"/>
    <m/>
    <s v="Yes"/>
    <m/>
    <s v="New"/>
    <s v="INFASCO"/>
    <n v="97.85"/>
    <n v="97.85"/>
  </r>
  <r>
    <x v="807"/>
    <x v="8"/>
    <x v="48"/>
    <n v="1"/>
    <n v="58130"/>
    <n v="58130"/>
    <s v="011+186"/>
    <s v="Yes"/>
    <m/>
    <s v="Yes"/>
    <m/>
    <s v="Yes"/>
    <m/>
    <s v="Yes"/>
    <m/>
    <s v="N/A"/>
    <m/>
    <s v="Yes"/>
    <m/>
    <s v="Yes"/>
    <m/>
    <s v="New"/>
    <s v="INFASCO"/>
    <n v="118.45"/>
    <n v="118.45"/>
  </r>
  <r>
    <x v="808"/>
    <x v="17"/>
    <x v="186"/>
    <n v="36"/>
    <n v="1500"/>
    <n v="54000"/>
    <s v="185+187"/>
    <s v="Yes"/>
    <m/>
    <s v="Yes"/>
    <m/>
    <s v="Yes"/>
    <m/>
    <s v="Yes"/>
    <m/>
    <s v="N/A"/>
    <m/>
    <s v="Yes"/>
    <m/>
    <s v="Yes"/>
    <m/>
    <s v="New"/>
    <s v="INFASCO"/>
    <s v="N/A"/>
    <n v="123.6"/>
  </r>
  <r>
    <x v="809"/>
    <x v="10"/>
    <x v="101"/>
    <n v="1"/>
    <n v="35000"/>
    <n v="35000"/>
    <s v="184+298"/>
    <s v="Yes"/>
    <m/>
    <s v="Yes"/>
    <m/>
    <s v="Yes"/>
    <m/>
    <s v="Yes"/>
    <m/>
    <s v="N/A"/>
    <m/>
    <s v="Yes"/>
    <m/>
    <s v="Yes"/>
    <m/>
    <s v="New"/>
    <s v="INFASCO"/>
    <n v="118.45"/>
    <n v="118.45"/>
  </r>
  <r>
    <x v="810"/>
    <x v="17"/>
    <x v="44"/>
    <n v="28"/>
    <n v="100"/>
    <n v="2800"/>
    <s v="184+298"/>
    <s v="Yes"/>
    <m/>
    <s v="Yes"/>
    <m/>
    <s v="Yes"/>
    <m/>
    <s v="Yes"/>
    <m/>
    <s v="N/A"/>
    <m/>
    <s v="Yes"/>
    <m/>
    <s v="Yes"/>
    <m/>
    <s v="New"/>
    <s v="INFASCO"/>
    <n v="51"/>
    <n v="51"/>
  </r>
  <r>
    <x v="811"/>
    <x v="8"/>
    <x v="78"/>
    <n v="1"/>
    <n v="35000"/>
    <n v="35000"/>
    <s v="011+186"/>
    <s v="Yes"/>
    <m/>
    <s v="Yes"/>
    <m/>
    <s v="Yes"/>
    <m/>
    <s v="Yes"/>
    <m/>
    <s v="N/A"/>
    <m/>
    <s v="Yes"/>
    <m/>
    <s v="Yes"/>
    <m/>
    <s v="New"/>
    <s v="INFASCO"/>
    <n v="118.45"/>
    <n v="118.45"/>
  </r>
  <r>
    <x v="812"/>
    <x v="8"/>
    <x v="78"/>
    <n v="1"/>
    <n v="44000"/>
    <n v="44000"/>
    <s v="011+186"/>
    <s v="Yes"/>
    <m/>
    <s v="Yes"/>
    <m/>
    <s v="Yes"/>
    <m/>
    <s v="Yes"/>
    <m/>
    <s v="N/A"/>
    <m/>
    <s v="Yes"/>
    <m/>
    <s v="Yes"/>
    <m/>
    <s v="New"/>
    <s v="INFASCO"/>
    <n v="118.45"/>
    <n v="118.45"/>
  </r>
  <r>
    <x v="813"/>
    <x v="17"/>
    <x v="186"/>
    <n v="24"/>
    <n v="1500"/>
    <n v="36000"/>
    <s v="185+187"/>
    <s v="Yes"/>
    <m/>
    <s v="Yes"/>
    <m/>
    <s v="Yes"/>
    <m/>
    <s v="Yes"/>
    <m/>
    <s v="N/A"/>
    <m/>
    <s v="Yes"/>
    <m/>
    <s v="Yes"/>
    <m/>
    <s v="New"/>
    <s v="INFASCO"/>
    <n v="123.6"/>
    <n v="123.6"/>
  </r>
  <r>
    <x v="814"/>
    <x v="10"/>
    <x v="24"/>
    <n v="13"/>
    <n v="3000"/>
    <n v="39000"/>
    <s v="184+298"/>
    <s v="Yes"/>
    <m/>
    <s v="Yes"/>
    <m/>
    <s v="Yes"/>
    <m/>
    <s v="Yes"/>
    <m/>
    <s v="N/A"/>
    <m/>
    <s v="Yes"/>
    <m/>
    <s v="Yes"/>
    <m/>
    <s v="New"/>
    <s v="INFASCO"/>
    <n v="97.85"/>
    <n v="97.85"/>
  </r>
  <r>
    <x v="815"/>
    <x v="8"/>
    <x v="189"/>
    <n v="36"/>
    <n v="175"/>
    <n v="6300"/>
    <s v="011+186"/>
    <s v="Yes"/>
    <m/>
    <s v="Yes"/>
    <m/>
    <s v="Yes"/>
    <m/>
    <s v="Yes"/>
    <m/>
    <s v="N/A"/>
    <m/>
    <s v="Yes"/>
    <m/>
    <s v="Yes"/>
    <m/>
    <s v="New"/>
    <s v="INFASCO"/>
    <n v="97.85"/>
    <n v="97.85"/>
  </r>
  <r>
    <x v="816"/>
    <x v="10"/>
    <x v="44"/>
    <n v="22"/>
    <n v="100"/>
    <n v="2200"/>
    <s v="184+298"/>
    <s v="Yes"/>
    <m/>
    <s v="Yes"/>
    <m/>
    <s v="Yes"/>
    <m/>
    <s v="Yes"/>
    <m/>
    <s v="N/A"/>
    <m/>
    <s v="Yes"/>
    <m/>
    <s v="Yes"/>
    <m/>
    <s v="New"/>
    <s v="INFASCO"/>
    <n v="51"/>
    <n v="51"/>
  </r>
  <r>
    <x v="817"/>
    <x v="17"/>
    <x v="44"/>
    <n v="36"/>
    <n v="100"/>
    <n v="3600"/>
    <s v="185+187"/>
    <s v="Yes"/>
    <m/>
    <s v="Yes"/>
    <m/>
    <s v="Yes"/>
    <m/>
    <s v="Yes"/>
    <m/>
    <s v="N/A"/>
    <m/>
    <s v="Yes"/>
    <m/>
    <s v="Yes"/>
    <m/>
    <s v="New"/>
    <s v="INFASCO"/>
    <n v="51"/>
    <n v="51"/>
  </r>
  <r>
    <x v="818"/>
    <x v="17"/>
    <x v="44"/>
    <n v="17"/>
    <n v="100"/>
    <n v="1700"/>
    <s v="185+187"/>
    <s v="Yes"/>
    <m/>
    <s v="Yes"/>
    <m/>
    <s v="Yes"/>
    <m/>
    <s v="Yes"/>
    <m/>
    <s v="N/A"/>
    <m/>
    <s v="Yes"/>
    <m/>
    <s v="Yes"/>
    <m/>
    <s v="New"/>
    <s v="INFASCO"/>
    <s v="N/A"/>
    <n v="51"/>
  </r>
  <r>
    <x v="819"/>
    <x v="10"/>
    <x v="189"/>
    <n v="33"/>
    <n v="175"/>
    <n v="5775"/>
    <s v="184+298"/>
    <s v="Yes"/>
    <m/>
    <s v="Yes"/>
    <m/>
    <s v="Yes"/>
    <m/>
    <s v="Yes"/>
    <m/>
    <s v="N/A"/>
    <m/>
    <s v="Yes"/>
    <m/>
    <s v="Yes"/>
    <m/>
    <s v="New"/>
    <s v="INFASCO"/>
    <n v="97.85"/>
    <n v="97.85"/>
  </r>
  <r>
    <x v="820"/>
    <x v="8"/>
    <x v="189"/>
    <n v="27"/>
    <n v="175"/>
    <n v="4725"/>
    <s v="011+186"/>
    <s v="Yes"/>
    <m/>
    <s v="Yes"/>
    <m/>
    <s v="Yes"/>
    <m/>
    <s v="Yes"/>
    <m/>
    <s v="N/A"/>
    <m/>
    <s v="Yes"/>
    <m/>
    <s v="Yes"/>
    <m/>
    <s v="New"/>
    <s v="INFASCO"/>
    <n v="97.85"/>
    <n v="97.85"/>
  </r>
  <r>
    <x v="821"/>
    <x v="8"/>
    <x v="189"/>
    <n v="22"/>
    <n v="175"/>
    <n v="3850"/>
    <s v="011+186"/>
    <s v="Yes"/>
    <m/>
    <s v="Yes"/>
    <m/>
    <s v="Yes"/>
    <m/>
    <s v="Yes"/>
    <m/>
    <s v="N/A"/>
    <m/>
    <s v="Yes"/>
    <m/>
    <s v="Yes"/>
    <m/>
    <s v="New"/>
    <s v="INFASCO"/>
    <n v="97.85"/>
    <n v="97.85"/>
  </r>
  <r>
    <x v="822"/>
    <x v="8"/>
    <x v="44"/>
    <n v="23"/>
    <n v="100"/>
    <n v="2300"/>
    <s v="011+186"/>
    <s v="Yes"/>
    <m/>
    <s v="Yes"/>
    <m/>
    <s v="Yes"/>
    <m/>
    <s v="Yes"/>
    <m/>
    <s v="N/A"/>
    <m/>
    <s v="Yes"/>
    <m/>
    <s v="Yes"/>
    <m/>
    <s v="New"/>
    <s v="INFASCO"/>
    <n v="51"/>
    <n v="51"/>
  </r>
  <r>
    <x v="823"/>
    <x v="10"/>
    <x v="44"/>
    <n v="36"/>
    <n v="100"/>
    <n v="3600"/>
    <s v="184+298"/>
    <s v="Yes"/>
    <m/>
    <s v="Yes"/>
    <m/>
    <s v="Yes"/>
    <m/>
    <s v="Yes"/>
    <m/>
    <s v="N/A"/>
    <m/>
    <s v="Yes"/>
    <m/>
    <s v="Yes"/>
    <m/>
    <s v="New"/>
    <s v="INFASCO"/>
    <n v="51"/>
    <n v="51"/>
  </r>
  <r>
    <x v="824"/>
    <x v="17"/>
    <x v="30"/>
    <n v="36"/>
    <n v="425"/>
    <n v="15300"/>
    <s v="185+187"/>
    <s v="Yes"/>
    <m/>
    <s v="Yes"/>
    <m/>
    <s v="Yes"/>
    <m/>
    <s v="Yes"/>
    <m/>
    <s v="N/A"/>
    <m/>
    <s v="Yes"/>
    <m/>
    <s v="Yes"/>
    <m/>
    <s v="New"/>
    <s v="INFASCO"/>
    <n v="97.85"/>
    <n v="97.85"/>
  </r>
  <r>
    <x v="825"/>
    <x v="10"/>
    <x v="44"/>
    <n v="36"/>
    <n v="100"/>
    <n v="3600"/>
    <s v="184+298"/>
    <s v="Yes"/>
    <m/>
    <s v="Yes"/>
    <m/>
    <s v="Yes"/>
    <m/>
    <s v="Yes"/>
    <m/>
    <s v="N/A"/>
    <m/>
    <s v="Yes"/>
    <m/>
    <s v="Yes"/>
    <m/>
    <s v="New"/>
    <s v="INFASCO"/>
    <n v="51"/>
    <n v="51"/>
  </r>
  <r>
    <x v="826"/>
    <x v="10"/>
    <x v="44"/>
    <n v="4"/>
    <n v="100"/>
    <n v="400"/>
    <s v="184+298"/>
    <s v="Yes"/>
    <m/>
    <s v="Yes"/>
    <m/>
    <s v="Yes"/>
    <m/>
    <s v="Yes"/>
    <m/>
    <s v="N/A"/>
    <m/>
    <s v="Yes"/>
    <m/>
    <s v="Yes"/>
    <m/>
    <s v="New"/>
    <s v="INFASCO"/>
    <n v="51"/>
    <n v="51"/>
  </r>
  <r>
    <x v="827"/>
    <x v="15"/>
    <x v="61"/>
    <n v="43"/>
    <n v="4000"/>
    <n v="172000"/>
    <m/>
    <m/>
    <m/>
    <m/>
    <m/>
    <m/>
    <m/>
    <m/>
    <m/>
    <m/>
    <m/>
    <m/>
    <m/>
    <m/>
    <m/>
    <m/>
    <s v="INFASCO"/>
    <m/>
    <n v="97.85"/>
  </r>
  <r>
    <x v="827"/>
    <x v="1"/>
    <x v="76"/>
    <n v="36"/>
    <n v="4500"/>
    <n v="162000"/>
    <m/>
    <m/>
    <m/>
    <m/>
    <m/>
    <m/>
    <m/>
    <m/>
    <m/>
    <m/>
    <m/>
    <m/>
    <m/>
    <m/>
    <m/>
    <m/>
    <s v="INFASCO"/>
    <m/>
    <n v="97.85"/>
  </r>
  <r>
    <x v="827"/>
    <x v="2"/>
    <x v="61"/>
    <n v="36"/>
    <n v="4000"/>
    <n v="144000"/>
    <m/>
    <m/>
    <m/>
    <m/>
    <m/>
    <m/>
    <m/>
    <m/>
    <m/>
    <m/>
    <m/>
    <m/>
    <m/>
    <m/>
    <m/>
    <m/>
    <s v="INFASCO"/>
    <m/>
    <n v="97.85"/>
  </r>
  <r>
    <x v="827"/>
    <x v="5"/>
    <x v="69"/>
    <n v="61"/>
    <n v="1900"/>
    <n v="115900"/>
    <m/>
    <m/>
    <m/>
    <m/>
    <m/>
    <m/>
    <m/>
    <m/>
    <m/>
    <m/>
    <m/>
    <m/>
    <m/>
    <m/>
    <m/>
    <m/>
    <s v="INFASCO"/>
    <m/>
    <n v="97.85"/>
  </r>
  <r>
    <x v="827"/>
    <x v="4"/>
    <x v="37"/>
    <n v="36"/>
    <n v="2500"/>
    <n v="90000"/>
    <m/>
    <m/>
    <m/>
    <m/>
    <m/>
    <m/>
    <m/>
    <m/>
    <m/>
    <m/>
    <m/>
    <m/>
    <m/>
    <m/>
    <m/>
    <m/>
    <s v="INFASCO"/>
    <m/>
    <n v="97.85"/>
  </r>
  <r>
    <x v="827"/>
    <x v="0"/>
    <x v="86"/>
    <n v="36"/>
    <n v="2500"/>
    <n v="90000"/>
    <m/>
    <m/>
    <m/>
    <m/>
    <m/>
    <m/>
    <m/>
    <m/>
    <m/>
    <m/>
    <m/>
    <m/>
    <m/>
    <m/>
    <m/>
    <m/>
    <s v="INFASCO"/>
    <m/>
    <n v="97.85"/>
  </r>
  <r>
    <x v="827"/>
    <x v="11"/>
    <x v="37"/>
    <n v="36"/>
    <n v="2500"/>
    <n v="90000"/>
    <m/>
    <m/>
    <m/>
    <m/>
    <m/>
    <m/>
    <m/>
    <m/>
    <m/>
    <m/>
    <m/>
    <m/>
    <m/>
    <m/>
    <m/>
    <m/>
    <s v="INFASCO"/>
    <m/>
    <n v="97.85"/>
  </r>
  <r>
    <x v="827"/>
    <x v="11"/>
    <x v="37"/>
    <n v="36"/>
    <n v="2500"/>
    <n v="90000"/>
    <m/>
    <m/>
    <m/>
    <m/>
    <m/>
    <m/>
    <m/>
    <m/>
    <m/>
    <m/>
    <m/>
    <m/>
    <m/>
    <m/>
    <m/>
    <m/>
    <s v="INFASCO"/>
    <m/>
    <n v="97.85"/>
  </r>
  <r>
    <x v="827"/>
    <x v="11"/>
    <x v="157"/>
    <n v="36"/>
    <n v="2300"/>
    <n v="82800"/>
    <m/>
    <m/>
    <m/>
    <m/>
    <m/>
    <m/>
    <m/>
    <m/>
    <m/>
    <m/>
    <m/>
    <m/>
    <m/>
    <m/>
    <m/>
    <m/>
    <s v="INFASCO"/>
    <m/>
    <n v="97.85"/>
  </r>
  <r>
    <x v="827"/>
    <x v="19"/>
    <x v="83"/>
    <n v="36"/>
    <n v="1800"/>
    <n v="64800"/>
    <m/>
    <m/>
    <m/>
    <m/>
    <m/>
    <m/>
    <m/>
    <m/>
    <m/>
    <m/>
    <m/>
    <m/>
    <m/>
    <m/>
    <m/>
    <m/>
    <s v="INFASCO"/>
    <m/>
    <n v="123.6"/>
  </r>
  <r>
    <x v="827"/>
    <x v="4"/>
    <x v="37"/>
    <n v="21"/>
    <n v="2500"/>
    <n v="52500"/>
    <m/>
    <m/>
    <m/>
    <m/>
    <m/>
    <m/>
    <m/>
    <m/>
    <m/>
    <m/>
    <m/>
    <m/>
    <m/>
    <m/>
    <m/>
    <m/>
    <s v="INFASCO"/>
    <m/>
    <n v="97.85"/>
  </r>
  <r>
    <x v="827"/>
    <x v="18"/>
    <x v="192"/>
    <n v="27"/>
    <n v="1500"/>
    <n v="40500"/>
    <m/>
    <m/>
    <m/>
    <m/>
    <m/>
    <m/>
    <m/>
    <m/>
    <m/>
    <m/>
    <m/>
    <m/>
    <m/>
    <m/>
    <m/>
    <m/>
    <e v="#N/A"/>
    <m/>
    <n v="97.85"/>
  </r>
  <r>
    <x v="827"/>
    <x v="12"/>
    <x v="69"/>
    <n v="20"/>
    <n v="1900"/>
    <n v="38000"/>
    <m/>
    <m/>
    <m/>
    <m/>
    <m/>
    <m/>
    <m/>
    <m/>
    <m/>
    <m/>
    <m/>
    <m/>
    <m/>
    <m/>
    <m/>
    <m/>
    <s v="INFASCO"/>
    <m/>
    <n v="97.85"/>
  </r>
  <r>
    <x v="827"/>
    <x v="9"/>
    <x v="5"/>
    <n v="36"/>
    <n v="1000"/>
    <n v="36000"/>
    <m/>
    <m/>
    <m/>
    <m/>
    <m/>
    <m/>
    <m/>
    <m/>
    <m/>
    <m/>
    <m/>
    <m/>
    <m/>
    <m/>
    <m/>
    <m/>
    <s v="INFASCO"/>
    <m/>
    <n v="97.85"/>
  </r>
  <r>
    <x v="827"/>
    <x v="12"/>
    <x v="69"/>
    <n v="16"/>
    <n v="1900"/>
    <n v="30400"/>
    <m/>
    <m/>
    <m/>
    <m/>
    <m/>
    <m/>
    <m/>
    <m/>
    <m/>
    <m/>
    <m/>
    <m/>
    <m/>
    <m/>
    <m/>
    <m/>
    <s v="INFASCO"/>
    <m/>
    <n v="97.85"/>
  </r>
  <r>
    <x v="827"/>
    <x v="12"/>
    <x v="7"/>
    <n v="36"/>
    <n v="700"/>
    <n v="25200"/>
    <m/>
    <m/>
    <m/>
    <m/>
    <m/>
    <m/>
    <m/>
    <m/>
    <m/>
    <m/>
    <m/>
    <m/>
    <m/>
    <m/>
    <m/>
    <m/>
    <s v="INFASCO"/>
    <m/>
    <n v="97.85"/>
  </r>
  <r>
    <x v="827"/>
    <x v="12"/>
    <x v="7"/>
    <n v="36"/>
    <n v="700"/>
    <n v="25200"/>
    <m/>
    <m/>
    <m/>
    <m/>
    <m/>
    <m/>
    <m/>
    <m/>
    <m/>
    <m/>
    <m/>
    <m/>
    <m/>
    <m/>
    <m/>
    <m/>
    <s v="INFASCO"/>
    <m/>
    <n v="97.85"/>
  </r>
  <r>
    <x v="827"/>
    <x v="26"/>
    <x v="10"/>
    <n v="56"/>
    <n v="450"/>
    <n v="25200"/>
    <m/>
    <m/>
    <m/>
    <m/>
    <m/>
    <m/>
    <m/>
    <m/>
    <m/>
    <m/>
    <m/>
    <m/>
    <m/>
    <m/>
    <m/>
    <m/>
    <s v="INFASCO"/>
    <m/>
    <n v="97.85"/>
  </r>
  <r>
    <x v="827"/>
    <x v="14"/>
    <x v="4"/>
    <n v="20"/>
    <n v="1200"/>
    <n v="24000"/>
    <m/>
    <m/>
    <m/>
    <m/>
    <m/>
    <m/>
    <m/>
    <m/>
    <m/>
    <m/>
    <m/>
    <m/>
    <m/>
    <m/>
    <m/>
    <m/>
    <s v="INFASCO"/>
    <m/>
    <n v="97.85"/>
  </r>
  <r>
    <x v="827"/>
    <x v="13"/>
    <x v="5"/>
    <n v="20"/>
    <n v="1000"/>
    <n v="20000"/>
    <m/>
    <m/>
    <m/>
    <m/>
    <m/>
    <m/>
    <m/>
    <m/>
    <m/>
    <m/>
    <m/>
    <m/>
    <m/>
    <m/>
    <m/>
    <m/>
    <s v="INFASCO"/>
    <m/>
    <n v="97.85"/>
  </r>
  <r>
    <x v="827"/>
    <x v="17"/>
    <x v="85"/>
    <n v="36"/>
    <n v="485"/>
    <n v="17460"/>
    <s v="185+187"/>
    <s v="Yes"/>
    <m/>
    <s v="Yes"/>
    <m/>
    <s v="Yes"/>
    <m/>
    <s v="Yes"/>
    <m/>
    <s v="N/A"/>
    <m/>
    <s v="Yes"/>
    <m/>
    <s v="Yes"/>
    <m/>
    <s v="New"/>
    <s v="INFASCO"/>
    <n v="97.85"/>
    <n v="97.85"/>
  </r>
  <r>
    <x v="827"/>
    <x v="6"/>
    <x v="10"/>
    <n v="36"/>
    <n v="450"/>
    <n v="16200"/>
    <m/>
    <m/>
    <m/>
    <m/>
    <m/>
    <m/>
    <m/>
    <m/>
    <m/>
    <m/>
    <m/>
    <m/>
    <m/>
    <m/>
    <m/>
    <m/>
    <s v="INFASCO"/>
    <m/>
    <n v="97.85"/>
  </r>
  <r>
    <x v="827"/>
    <x v="6"/>
    <x v="10"/>
    <n v="36"/>
    <n v="450"/>
    <n v="16200"/>
    <m/>
    <m/>
    <m/>
    <m/>
    <m/>
    <m/>
    <m/>
    <m/>
    <m/>
    <m/>
    <m/>
    <m/>
    <m/>
    <m/>
    <m/>
    <m/>
    <s v="INFASCO"/>
    <m/>
    <n v="97.85"/>
  </r>
  <r>
    <x v="827"/>
    <x v="7"/>
    <x v="63"/>
    <n v="36"/>
    <n v="450"/>
    <n v="16200"/>
    <m/>
    <m/>
    <m/>
    <m/>
    <m/>
    <m/>
    <m/>
    <m/>
    <m/>
    <m/>
    <m/>
    <m/>
    <m/>
    <m/>
    <m/>
    <m/>
    <s v="INFASCO"/>
    <m/>
    <n v="97.85"/>
  </r>
  <r>
    <x v="827"/>
    <x v="26"/>
    <x v="10"/>
    <n v="36"/>
    <n v="450"/>
    <n v="16200"/>
    <m/>
    <m/>
    <m/>
    <m/>
    <m/>
    <m/>
    <m/>
    <m/>
    <m/>
    <m/>
    <m/>
    <m/>
    <m/>
    <m/>
    <m/>
    <m/>
    <s v="INFASCO"/>
    <m/>
    <n v="97.85"/>
  </r>
  <r>
    <x v="827"/>
    <x v="26"/>
    <x v="10"/>
    <n v="36"/>
    <n v="450"/>
    <n v="16200"/>
    <m/>
    <m/>
    <m/>
    <m/>
    <m/>
    <m/>
    <m/>
    <m/>
    <m/>
    <m/>
    <m/>
    <m/>
    <m/>
    <m/>
    <m/>
    <m/>
    <s v="INFASCO"/>
    <m/>
    <n v="97.85"/>
  </r>
  <r>
    <x v="827"/>
    <x v="8"/>
    <x v="30"/>
    <n v="36"/>
    <n v="425"/>
    <n v="15300"/>
    <m/>
    <m/>
    <m/>
    <m/>
    <m/>
    <m/>
    <m/>
    <m/>
    <m/>
    <m/>
    <m/>
    <m/>
    <m/>
    <m/>
    <m/>
    <m/>
    <s v="INFASCO"/>
    <m/>
    <n v="97.85"/>
  </r>
  <r>
    <x v="827"/>
    <x v="7"/>
    <x v="55"/>
    <n v="36"/>
    <n v="400"/>
    <n v="14400"/>
    <m/>
    <m/>
    <m/>
    <m/>
    <m/>
    <m/>
    <m/>
    <m/>
    <m/>
    <m/>
    <m/>
    <m/>
    <m/>
    <m/>
    <m/>
    <m/>
    <s v="INFASCO"/>
    <m/>
    <n v="97.85"/>
  </r>
  <r>
    <x v="827"/>
    <x v="4"/>
    <x v="55"/>
    <n v="36"/>
    <n v="400"/>
    <n v="14400"/>
    <m/>
    <m/>
    <m/>
    <m/>
    <m/>
    <m/>
    <m/>
    <m/>
    <m/>
    <m/>
    <m/>
    <m/>
    <m/>
    <m/>
    <m/>
    <m/>
    <s v="INFASCO"/>
    <m/>
    <n v="97.85"/>
  </r>
  <r>
    <x v="827"/>
    <x v="3"/>
    <x v="55"/>
    <n v="36"/>
    <n v="400"/>
    <n v="14400"/>
    <m/>
    <m/>
    <m/>
    <m/>
    <m/>
    <m/>
    <m/>
    <m/>
    <m/>
    <m/>
    <m/>
    <m/>
    <m/>
    <m/>
    <m/>
    <m/>
    <s v="INFASCO"/>
    <m/>
    <n v="97.85"/>
  </r>
  <r>
    <x v="827"/>
    <x v="3"/>
    <x v="55"/>
    <n v="36"/>
    <n v="400"/>
    <n v="14400"/>
    <m/>
    <m/>
    <m/>
    <m/>
    <m/>
    <m/>
    <m/>
    <m/>
    <m/>
    <m/>
    <m/>
    <m/>
    <m/>
    <m/>
    <m/>
    <m/>
    <s v="INFASCO"/>
    <m/>
    <n v="97.85"/>
  </r>
  <r>
    <x v="827"/>
    <x v="14"/>
    <x v="5"/>
    <n v="12"/>
    <n v="1000"/>
    <n v="12000"/>
    <m/>
    <m/>
    <m/>
    <m/>
    <m/>
    <m/>
    <m/>
    <m/>
    <m/>
    <m/>
    <m/>
    <m/>
    <m/>
    <m/>
    <m/>
    <m/>
    <s v="INFASCO"/>
    <m/>
    <n v="97.85"/>
  </r>
  <r>
    <x v="827"/>
    <x v="17"/>
    <x v="29"/>
    <n v="12"/>
    <n v="500"/>
    <n v="6000"/>
    <m/>
    <m/>
    <m/>
    <m/>
    <m/>
    <m/>
    <m/>
    <m/>
    <m/>
    <m/>
    <m/>
    <m/>
    <m/>
    <m/>
    <m/>
    <m/>
    <s v="INFASCO"/>
    <m/>
    <n v="97.85"/>
  </r>
  <r>
    <x v="827"/>
    <x v="10"/>
    <x v="44"/>
    <n v="28"/>
    <n v="100"/>
    <n v="2800"/>
    <m/>
    <m/>
    <m/>
    <m/>
    <m/>
    <m/>
    <m/>
    <m/>
    <m/>
    <m/>
    <m/>
    <m/>
    <m/>
    <m/>
    <m/>
    <m/>
    <s v="INFASCO"/>
    <m/>
    <n v="51"/>
  </r>
  <r>
    <x v="828"/>
    <x v="8"/>
    <x v="44"/>
    <n v="25"/>
    <n v="100"/>
    <n v="2500"/>
    <s v="011+186"/>
    <s v="Yes"/>
    <m/>
    <s v="Yes"/>
    <m/>
    <s v="Yes"/>
    <m/>
    <s v="Yes"/>
    <m/>
    <s v="N/A"/>
    <m/>
    <s v="Yes"/>
    <m/>
    <s v="Yes"/>
    <m/>
    <s v="New"/>
    <s v="INFASCO"/>
    <n v="51"/>
    <n v="51"/>
  </r>
  <r>
    <x v="829"/>
    <x v="18"/>
    <x v="189"/>
    <n v="36"/>
    <n v="175"/>
    <n v="6300"/>
    <n v="168"/>
    <s v="Yes"/>
    <m/>
    <s v="Yes"/>
    <m/>
    <s v="Yes"/>
    <m/>
    <s v="Yes"/>
    <m/>
    <s v="N/A"/>
    <m/>
    <s v="Yes"/>
    <m/>
    <s v="Yes"/>
    <m/>
    <s v="New"/>
    <s v="INFASCO"/>
    <n v="97.85"/>
    <n v="97.85"/>
  </r>
  <r>
    <x v="830"/>
    <x v="18"/>
    <x v="189"/>
    <n v="28"/>
    <n v="175"/>
    <n v="4900"/>
    <n v="168"/>
    <s v="Yes"/>
    <m/>
    <s v="Yes"/>
    <m/>
    <s v="Yes"/>
    <m/>
    <s v="Yes"/>
    <m/>
    <s v="N/A"/>
    <m/>
    <s v="Yes"/>
    <m/>
    <s v="Yes"/>
    <m/>
    <s v="New"/>
    <s v="INFASCO"/>
    <n v="97.85"/>
    <n v="97.85"/>
  </r>
  <r>
    <x v="831"/>
    <x v="18"/>
    <x v="189"/>
    <n v="36"/>
    <n v="175"/>
    <n v="6300"/>
    <n v="168"/>
    <s v="Yes"/>
    <m/>
    <s v="Yes"/>
    <m/>
    <s v="Yes"/>
    <m/>
    <s v="Yes"/>
    <m/>
    <s v="N/A"/>
    <m/>
    <s v="Yes"/>
    <m/>
    <s v="Yes"/>
    <m/>
    <s v="New"/>
    <s v="INFASCO"/>
    <n v="97.85"/>
    <n v="97.85"/>
  </r>
  <r>
    <x v="832"/>
    <x v="18"/>
    <x v="189"/>
    <n v="21"/>
    <n v="175"/>
    <n v="3675"/>
    <n v="168"/>
    <s v="Yes"/>
    <m/>
    <s v="Yes"/>
    <m/>
    <s v="Yes"/>
    <m/>
    <s v="Yes"/>
    <m/>
    <s v="N/A"/>
    <m/>
    <s v="Yes"/>
    <m/>
    <s v="Yes"/>
    <m/>
    <s v="New"/>
    <s v="INFASCO"/>
    <n v="97.85"/>
    <n v="97.85"/>
  </r>
  <r>
    <x v="833"/>
    <x v="18"/>
    <x v="44"/>
    <n v="25"/>
    <n v="100"/>
    <n v="2500"/>
    <n v="168"/>
    <s v="Yes"/>
    <m/>
    <s v="Yes"/>
    <m/>
    <s v="Yes"/>
    <m/>
    <s v="Yes"/>
    <m/>
    <s v="N/A"/>
    <m/>
    <s v="Yes"/>
    <m/>
    <s v="Yes"/>
    <m/>
    <s v="New"/>
    <s v="INFASCO"/>
    <n v="51"/>
    <n v="51"/>
  </r>
  <r>
    <x v="834"/>
    <x v="18"/>
    <x v="186"/>
    <n v="27"/>
    <n v="1500"/>
    <n v="40500"/>
    <n v="168"/>
    <s v="Yes"/>
    <m/>
    <s v="Yes"/>
    <m/>
    <s v="Yes"/>
    <m/>
    <s v="Yes"/>
    <m/>
    <s v="N/A"/>
    <m/>
    <s v="Yes"/>
    <m/>
    <s v="Yes"/>
    <m/>
    <s v="New"/>
    <s v="INFASCO"/>
    <n v="123.6"/>
    <n v="123.6"/>
  </r>
  <r>
    <x v="835"/>
    <x v="10"/>
    <x v="85"/>
    <n v="35"/>
    <n v="485"/>
    <n v="16975"/>
    <s v="184+298"/>
    <s v="Yes"/>
    <m/>
    <s v="Yes"/>
    <m/>
    <s v="Yes"/>
    <m/>
    <s v="Yes"/>
    <m/>
    <s v="N/A"/>
    <m/>
    <s v="Yes"/>
    <m/>
    <s v="Yes"/>
    <m/>
    <s v="New"/>
    <s v="INFASCO"/>
    <n v="97.85"/>
    <n v="97.85"/>
  </r>
  <r>
    <x v="836"/>
    <x v="17"/>
    <x v="29"/>
    <n v="36"/>
    <n v="500"/>
    <n v="18000"/>
    <s v="185+187"/>
    <s v="Yes"/>
    <m/>
    <s v="Yes"/>
    <m/>
    <s v="Yes"/>
    <m/>
    <s v="Yes"/>
    <m/>
    <s v="N/A"/>
    <m/>
    <s v="Yes"/>
    <m/>
    <s v="Yes"/>
    <m/>
    <s v="New"/>
    <s v="INFASCO"/>
    <n v="97.85"/>
    <n v="97.85"/>
  </r>
  <r>
    <x v="837"/>
    <x v="17"/>
    <x v="29"/>
    <n v="21"/>
    <n v="500"/>
    <n v="10500"/>
    <s v="185+187"/>
    <s v="Yes"/>
    <m/>
    <s v="Yes"/>
    <m/>
    <s v="Yes"/>
    <m/>
    <s v="Yes"/>
    <m/>
    <s v="N/A"/>
    <m/>
    <s v="Yes"/>
    <m/>
    <s v="Yes"/>
    <m/>
    <s v="New"/>
    <s v="INFASCO"/>
    <n v="97.85"/>
    <n v="97.85"/>
  </r>
  <r>
    <x v="838"/>
    <x v="10"/>
    <x v="29"/>
    <n v="34"/>
    <n v="500"/>
    <n v="17000"/>
    <n v="168"/>
    <s v="Yes"/>
    <m/>
    <s v="Yes"/>
    <m/>
    <s v="Yes"/>
    <m/>
    <s v="Yes"/>
    <m/>
    <s v="N/A"/>
    <m/>
    <s v="Yes"/>
    <m/>
    <s v="Yes"/>
    <m/>
    <s v="New"/>
    <s v="INFASCO"/>
    <n v="97.85"/>
    <n v="97.85"/>
  </r>
  <r>
    <x v="839"/>
    <x v="10"/>
    <x v="29"/>
    <n v="36"/>
    <n v="500"/>
    <n v="18000"/>
    <n v="168"/>
    <s v="Yes"/>
    <m/>
    <s v="Yes"/>
    <m/>
    <s v="Yes"/>
    <m/>
    <s v="Yes"/>
    <m/>
    <s v="N/A"/>
    <m/>
    <s v="Yes"/>
    <m/>
    <s v="Yes"/>
    <m/>
    <s v="New"/>
    <s v="INFASCO"/>
    <n v="97.85"/>
    <n v="97.85"/>
  </r>
  <r>
    <x v="840"/>
    <x v="10"/>
    <x v="29"/>
    <n v="32"/>
    <n v="500"/>
    <n v="16000"/>
    <n v="168"/>
    <s v="Yes"/>
    <m/>
    <s v="Yes"/>
    <m/>
    <s v="Yes"/>
    <m/>
    <s v="Yes"/>
    <m/>
    <s v="N/A"/>
    <m/>
    <s v="Yes"/>
    <m/>
    <s v="Yes"/>
    <m/>
    <s v="New"/>
    <s v="INFASCO"/>
    <n v="97.85"/>
    <n v="97.85"/>
  </r>
  <r>
    <x v="841"/>
    <x v="10"/>
    <x v="193"/>
    <n v="22"/>
    <n v="2100"/>
    <n v="46200"/>
    <n v="168"/>
    <s v="Yes"/>
    <m/>
    <s v="Yes"/>
    <m/>
    <s v="Yes"/>
    <m/>
    <s v="Yes"/>
    <m/>
    <s v="N/A"/>
    <m/>
    <s v="Yes"/>
    <m/>
    <s v="Yes"/>
    <m/>
    <s v="New"/>
    <s v="INFASCO"/>
    <n v="41"/>
    <n v="41"/>
  </r>
  <r>
    <x v="842"/>
    <x v="8"/>
    <x v="60"/>
    <n v="21"/>
    <n v="5500"/>
    <n v="115500"/>
    <s v="011+298"/>
    <s v="Yes"/>
    <m/>
    <s v="Yes"/>
    <m/>
    <s v="Yes"/>
    <m/>
    <s v="Yes"/>
    <m/>
    <s v="N/A"/>
    <m/>
    <s v="Yes"/>
    <m/>
    <s v="Yes"/>
    <m/>
    <s v="New"/>
    <s v="INFASCO"/>
    <n v="123.6"/>
    <n v="123.6"/>
  </r>
  <r>
    <x v="843"/>
    <x v="8"/>
    <x v="99"/>
    <n v="1"/>
    <n v="60844"/>
    <n v="60844"/>
    <s v="011+298"/>
    <s v="Yes"/>
    <m/>
    <s v="Yes"/>
    <m/>
    <s v="Yes"/>
    <m/>
    <s v="Yes"/>
    <m/>
    <s v="N/A"/>
    <m/>
    <s v="Yes"/>
    <m/>
    <s v="Yes"/>
    <m/>
    <s v="New"/>
    <s v="INFASCO"/>
    <n v="118.45"/>
    <n v="118.45"/>
  </r>
  <r>
    <x v="844"/>
    <x v="8"/>
    <x v="45"/>
    <n v="1"/>
    <n v="1850"/>
    <n v="1850"/>
    <s v="011+298"/>
    <s v="Yes"/>
    <m/>
    <s v="Yes"/>
    <m/>
    <s v="Yes"/>
    <m/>
    <s v="Yes"/>
    <m/>
    <s v="N/A"/>
    <m/>
    <s v="Yes"/>
    <m/>
    <s v="Yes"/>
    <m/>
    <s v="New"/>
    <s v="INFASCO"/>
    <n v="226.6"/>
    <n v="226.6"/>
  </r>
  <r>
    <x v="845"/>
    <x v="8"/>
    <x v="44"/>
    <n v="25"/>
    <n v="100"/>
    <n v="2500"/>
    <s v="011+298"/>
    <s v="Yes"/>
    <m/>
    <s v="Yes"/>
    <m/>
    <s v="Yes"/>
    <m/>
    <s v="Yes"/>
    <m/>
    <s v="N/A"/>
    <m/>
    <s v="Yes"/>
    <m/>
    <s v="Yes"/>
    <m/>
    <s v="New"/>
    <s v="INFASCO"/>
    <n v="51"/>
    <n v="51"/>
  </r>
  <r>
    <x v="846"/>
    <x v="8"/>
    <x v="29"/>
    <n v="25"/>
    <n v="500"/>
    <n v="12500"/>
    <s v="011+298"/>
    <s v="Yes"/>
    <m/>
    <s v="Yes"/>
    <m/>
    <s v="Yes"/>
    <m/>
    <s v="Yes"/>
    <m/>
    <s v="N/A"/>
    <m/>
    <s v="Yes"/>
    <m/>
    <s v="Yes"/>
    <m/>
    <s v="New"/>
    <s v="INFASCO"/>
    <n v="97.85"/>
    <n v="97.85"/>
  </r>
  <r>
    <x v="847"/>
    <x v="8"/>
    <x v="60"/>
    <n v="20"/>
    <n v="5500"/>
    <n v="110000"/>
    <s v="011+298"/>
    <s v="Yes"/>
    <m/>
    <s v="Yes"/>
    <m/>
    <s v="Yes"/>
    <m/>
    <s v="Yes"/>
    <m/>
    <s v="N/A"/>
    <m/>
    <s v="Yes"/>
    <m/>
    <s v="Yes"/>
    <m/>
    <s v="New"/>
    <s v="INFASCO"/>
    <n v="123.6"/>
    <n v="123.6"/>
  </r>
  <r>
    <x v="848"/>
    <x v="8"/>
    <x v="60"/>
    <n v="16"/>
    <n v="5500"/>
    <n v="88000"/>
    <s v="011+298"/>
    <s v="Yes"/>
    <m/>
    <s v="Yes"/>
    <m/>
    <s v="Yes"/>
    <m/>
    <s v="Yes"/>
    <m/>
    <s v="N/A"/>
    <m/>
    <s v="Yes"/>
    <m/>
    <s v="Yes"/>
    <m/>
    <s v="New"/>
    <s v="INFASCO"/>
    <n v="123.6"/>
    <n v="123.6"/>
  </r>
  <r>
    <x v="849"/>
    <x v="2"/>
    <x v="61"/>
    <n v="36"/>
    <n v="4000"/>
    <n v="144000"/>
    <m/>
    <m/>
    <m/>
    <m/>
    <m/>
    <m/>
    <m/>
    <m/>
    <m/>
    <m/>
    <m/>
    <m/>
    <m/>
    <m/>
    <m/>
    <m/>
    <s v="INFASCO"/>
    <m/>
    <n v="97.85"/>
  </r>
  <r>
    <x v="849"/>
    <x v="4"/>
    <x v="37"/>
    <n v="36"/>
    <n v="2500"/>
    <n v="90000"/>
    <m/>
    <m/>
    <m/>
    <m/>
    <m/>
    <m/>
    <m/>
    <m/>
    <m/>
    <m/>
    <m/>
    <m/>
    <m/>
    <m/>
    <m/>
    <m/>
    <s v="INFASCO"/>
    <m/>
    <n v="97.85"/>
  </r>
  <r>
    <x v="849"/>
    <x v="4"/>
    <x v="37"/>
    <n v="36"/>
    <n v="2500"/>
    <n v="90000"/>
    <m/>
    <m/>
    <m/>
    <m/>
    <m/>
    <m/>
    <m/>
    <m/>
    <m/>
    <m/>
    <m/>
    <m/>
    <m/>
    <m/>
    <m/>
    <m/>
    <s v="INFASCO"/>
    <m/>
    <n v="97.85"/>
  </r>
  <r>
    <x v="849"/>
    <x v="11"/>
    <x v="157"/>
    <n v="36"/>
    <n v="2300"/>
    <n v="82800"/>
    <m/>
    <m/>
    <m/>
    <m/>
    <m/>
    <m/>
    <m/>
    <m/>
    <m/>
    <m/>
    <m/>
    <m/>
    <m/>
    <m/>
    <m/>
    <m/>
    <s v="INFASCO"/>
    <m/>
    <n v="97.85"/>
  </r>
  <r>
    <x v="849"/>
    <x v="17"/>
    <x v="99"/>
    <n v="1"/>
    <n v="67357"/>
    <n v="67357"/>
    <m/>
    <m/>
    <m/>
    <m/>
    <m/>
    <m/>
    <m/>
    <m/>
    <m/>
    <m/>
    <m/>
    <m/>
    <m/>
    <m/>
    <m/>
    <m/>
    <s v="INFASCO"/>
    <m/>
    <n v="118.45"/>
  </r>
  <r>
    <x v="849"/>
    <x v="19"/>
    <x v="83"/>
    <n v="36"/>
    <n v="1800"/>
    <n v="64800"/>
    <m/>
    <m/>
    <m/>
    <m/>
    <m/>
    <m/>
    <m/>
    <m/>
    <m/>
    <m/>
    <m/>
    <m/>
    <m/>
    <m/>
    <m/>
    <m/>
    <s v="INFASCO"/>
    <m/>
    <n v="123.6"/>
  </r>
  <r>
    <x v="849"/>
    <x v="15"/>
    <x v="61"/>
    <n v="15"/>
    <n v="4000"/>
    <n v="60000"/>
    <m/>
    <m/>
    <m/>
    <m/>
    <m/>
    <m/>
    <m/>
    <m/>
    <m/>
    <m/>
    <m/>
    <m/>
    <m/>
    <m/>
    <m/>
    <m/>
    <s v="INFASCO"/>
    <m/>
    <n v="97.85"/>
  </r>
  <r>
    <x v="849"/>
    <x v="5"/>
    <x v="69"/>
    <n v="24"/>
    <n v="1900"/>
    <n v="45600"/>
    <m/>
    <m/>
    <m/>
    <m/>
    <m/>
    <m/>
    <m/>
    <m/>
    <m/>
    <m/>
    <m/>
    <m/>
    <m/>
    <m/>
    <m/>
    <m/>
    <s v="INFASCO"/>
    <m/>
    <n v="97.85"/>
  </r>
  <r>
    <x v="849"/>
    <x v="14"/>
    <x v="4"/>
    <n v="36"/>
    <n v="1200"/>
    <n v="43200"/>
    <m/>
    <m/>
    <m/>
    <m/>
    <m/>
    <m/>
    <m/>
    <m/>
    <m/>
    <m/>
    <m/>
    <m/>
    <m/>
    <m/>
    <m/>
    <m/>
    <s v="INFASCO"/>
    <m/>
    <n v="97.85"/>
  </r>
  <r>
    <x v="849"/>
    <x v="14"/>
    <x v="4"/>
    <n v="32"/>
    <n v="1200"/>
    <n v="38400"/>
    <m/>
    <m/>
    <m/>
    <m/>
    <m/>
    <m/>
    <m/>
    <m/>
    <m/>
    <m/>
    <m/>
    <m/>
    <m/>
    <m/>
    <m/>
    <m/>
    <s v="INFASCO"/>
    <m/>
    <n v="97.85"/>
  </r>
  <r>
    <x v="849"/>
    <x v="12"/>
    <x v="69"/>
    <n v="15"/>
    <n v="1900"/>
    <n v="28500"/>
    <m/>
    <m/>
    <m/>
    <m/>
    <m/>
    <m/>
    <m/>
    <m/>
    <m/>
    <m/>
    <m/>
    <m/>
    <m/>
    <m/>
    <m/>
    <m/>
    <s v="INFASCO"/>
    <m/>
    <n v="97.85"/>
  </r>
  <r>
    <x v="849"/>
    <x v="6"/>
    <x v="81"/>
    <n v="36"/>
    <n v="700"/>
    <n v="25200"/>
    <m/>
    <m/>
    <m/>
    <m/>
    <m/>
    <m/>
    <m/>
    <m/>
    <m/>
    <m/>
    <m/>
    <m/>
    <m/>
    <m/>
    <m/>
    <m/>
    <s v="INFASCO"/>
    <m/>
    <n v="97.85"/>
  </r>
  <r>
    <x v="849"/>
    <x v="6"/>
    <x v="81"/>
    <n v="36"/>
    <n v="700"/>
    <n v="25200"/>
    <m/>
    <m/>
    <m/>
    <m/>
    <m/>
    <m/>
    <m/>
    <m/>
    <m/>
    <m/>
    <m/>
    <m/>
    <m/>
    <m/>
    <m/>
    <m/>
    <s v="INFASCO"/>
    <m/>
    <n v="97.85"/>
  </r>
  <r>
    <x v="849"/>
    <x v="12"/>
    <x v="7"/>
    <n v="36"/>
    <n v="700"/>
    <n v="25200"/>
    <m/>
    <m/>
    <m/>
    <m/>
    <m/>
    <m/>
    <m/>
    <m/>
    <m/>
    <m/>
    <m/>
    <m/>
    <m/>
    <m/>
    <m/>
    <m/>
    <s v="INFASCO"/>
    <m/>
    <n v="97.85"/>
  </r>
  <r>
    <x v="849"/>
    <x v="13"/>
    <x v="5"/>
    <n v="24"/>
    <n v="1000"/>
    <n v="24000"/>
    <m/>
    <m/>
    <m/>
    <m/>
    <m/>
    <m/>
    <m/>
    <m/>
    <m/>
    <m/>
    <m/>
    <m/>
    <m/>
    <m/>
    <m/>
    <m/>
    <s v="INFASCO"/>
    <m/>
    <n v="97.85"/>
  </r>
  <r>
    <x v="849"/>
    <x v="26"/>
    <x v="81"/>
    <n v="34"/>
    <n v="700"/>
    <n v="23800"/>
    <m/>
    <m/>
    <m/>
    <m/>
    <m/>
    <m/>
    <m/>
    <m/>
    <m/>
    <m/>
    <m/>
    <m/>
    <m/>
    <m/>
    <m/>
    <m/>
    <s v="INFASCO"/>
    <m/>
    <n v="97.85"/>
  </r>
  <r>
    <x v="849"/>
    <x v="3"/>
    <x v="55"/>
    <n v="46"/>
    <n v="400"/>
    <n v="18400"/>
    <m/>
    <m/>
    <m/>
    <m/>
    <m/>
    <m/>
    <m/>
    <m/>
    <m/>
    <m/>
    <m/>
    <m/>
    <m/>
    <m/>
    <m/>
    <m/>
    <s v="INFASCO"/>
    <m/>
    <n v="97.85"/>
  </r>
  <r>
    <x v="849"/>
    <x v="11"/>
    <x v="37"/>
    <n v="7"/>
    <n v="2500"/>
    <n v="17500"/>
    <m/>
    <m/>
    <m/>
    <m/>
    <m/>
    <m/>
    <m/>
    <m/>
    <m/>
    <m/>
    <m/>
    <m/>
    <m/>
    <m/>
    <m/>
    <m/>
    <s v="INFASCO"/>
    <m/>
    <n v="97.85"/>
  </r>
  <r>
    <x v="849"/>
    <x v="26"/>
    <x v="10"/>
    <n v="36"/>
    <n v="450"/>
    <n v="16200"/>
    <m/>
    <m/>
    <m/>
    <m/>
    <m/>
    <m/>
    <m/>
    <m/>
    <m/>
    <m/>
    <m/>
    <m/>
    <m/>
    <m/>
    <m/>
    <m/>
    <s v="INFASCO"/>
    <m/>
    <n v="97.85"/>
  </r>
  <r>
    <x v="849"/>
    <x v="7"/>
    <x v="55"/>
    <n v="36"/>
    <n v="400"/>
    <n v="14400"/>
    <m/>
    <m/>
    <m/>
    <m/>
    <m/>
    <m/>
    <m/>
    <m/>
    <m/>
    <m/>
    <m/>
    <m/>
    <m/>
    <m/>
    <m/>
    <m/>
    <s v="INFASCO"/>
    <m/>
    <n v="97.85"/>
  </r>
  <r>
    <x v="849"/>
    <x v="5"/>
    <x v="69"/>
    <n v="7"/>
    <n v="1900"/>
    <n v="13300"/>
    <m/>
    <m/>
    <m/>
    <m/>
    <m/>
    <m/>
    <m/>
    <m/>
    <m/>
    <m/>
    <m/>
    <m/>
    <m/>
    <m/>
    <m/>
    <m/>
    <s v="INFASCO"/>
    <m/>
    <n v="97.85"/>
  </r>
  <r>
    <x v="849"/>
    <x v="3"/>
    <x v="10"/>
    <n v="27"/>
    <n v="450"/>
    <n v="12150"/>
    <m/>
    <m/>
    <m/>
    <m/>
    <m/>
    <m/>
    <m/>
    <m/>
    <m/>
    <m/>
    <m/>
    <m/>
    <m/>
    <m/>
    <m/>
    <m/>
    <s v="INFASCO"/>
    <m/>
    <n v="97.85"/>
  </r>
  <r>
    <x v="849"/>
    <x v="26"/>
    <x v="10"/>
    <n v="26"/>
    <n v="450"/>
    <n v="11700"/>
    <m/>
    <m/>
    <m/>
    <m/>
    <m/>
    <m/>
    <m/>
    <m/>
    <m/>
    <m/>
    <m/>
    <m/>
    <m/>
    <m/>
    <m/>
    <m/>
    <s v="INFASCO"/>
    <m/>
    <n v="97.85"/>
  </r>
  <r>
    <x v="849"/>
    <x v="0"/>
    <x v="86"/>
    <n v="4"/>
    <n v="2500"/>
    <n v="10000"/>
    <m/>
    <m/>
    <m/>
    <m/>
    <m/>
    <m/>
    <m/>
    <m/>
    <m/>
    <m/>
    <m/>
    <m/>
    <m/>
    <m/>
    <m/>
    <m/>
    <s v="INFASCO"/>
    <m/>
    <n v="97.85"/>
  </r>
  <r>
    <x v="849"/>
    <x v="17"/>
    <x v="32"/>
    <n v="36"/>
    <n v="220"/>
    <n v="7920"/>
    <s v="185+187"/>
    <s v="Yes"/>
    <m/>
    <s v="Yes"/>
    <m/>
    <s v="Yes"/>
    <m/>
    <s v="Yes"/>
    <m/>
    <s v="N/A"/>
    <m/>
    <s v="Yes"/>
    <m/>
    <s v="Yes"/>
    <m/>
    <s v="New"/>
    <s v="INFASCO"/>
    <n v="97.85"/>
    <n v="97.85"/>
  </r>
  <r>
    <x v="849"/>
    <x v="17"/>
    <x v="32"/>
    <n v="36"/>
    <n v="220"/>
    <n v="7920"/>
    <m/>
    <m/>
    <m/>
    <m/>
    <m/>
    <m/>
    <m/>
    <m/>
    <m/>
    <m/>
    <m/>
    <m/>
    <m/>
    <m/>
    <m/>
    <m/>
    <s v="INFASCO"/>
    <m/>
    <n v="97.85"/>
  </r>
  <r>
    <x v="849"/>
    <x v="17"/>
    <x v="32"/>
    <n v="33"/>
    <n v="220"/>
    <n v="7260"/>
    <m/>
    <m/>
    <m/>
    <m/>
    <m/>
    <m/>
    <m/>
    <m/>
    <m/>
    <m/>
    <m/>
    <m/>
    <m/>
    <m/>
    <m/>
    <m/>
    <s v="INFASCO"/>
    <m/>
    <n v="97.85"/>
  </r>
  <r>
    <x v="849"/>
    <x v="17"/>
    <x v="33"/>
    <n v="17"/>
    <n v="145"/>
    <n v="2465"/>
    <m/>
    <m/>
    <m/>
    <m/>
    <m/>
    <m/>
    <m/>
    <m/>
    <m/>
    <m/>
    <m/>
    <m/>
    <m/>
    <m/>
    <m/>
    <m/>
    <s v="INFASCO"/>
    <m/>
    <n v="123.6"/>
  </r>
  <r>
    <x v="850"/>
    <x v="8"/>
    <x v="33"/>
    <n v="25"/>
    <n v="145"/>
    <n v="3625"/>
    <s v="011+298"/>
    <s v="Yes"/>
    <m/>
    <s v="Yes"/>
    <m/>
    <s v="Yes"/>
    <m/>
    <s v="Yes"/>
    <m/>
    <s v="N/A"/>
    <m/>
    <s v="Yes"/>
    <m/>
    <s v="Yes"/>
    <m/>
    <s v="New"/>
    <s v="INFASCO"/>
    <n v="123.6"/>
    <n v="123.6"/>
  </r>
  <r>
    <x v="851"/>
    <x v="1"/>
    <x v="19"/>
    <n v="30"/>
    <n v="1200"/>
    <n v="23800"/>
    <m/>
    <m/>
    <m/>
    <m/>
    <m/>
    <m/>
    <m/>
    <m/>
    <m/>
    <m/>
    <m/>
    <m/>
    <m/>
    <m/>
    <m/>
    <m/>
    <s v="INFASCO"/>
    <m/>
    <n v="97.85"/>
  </r>
  <r>
    <x v="852"/>
    <x v="19"/>
    <x v="83"/>
    <n v="23"/>
    <n v="1800"/>
    <n v="41400"/>
    <m/>
    <m/>
    <m/>
    <m/>
    <m/>
    <m/>
    <m/>
    <m/>
    <m/>
    <m/>
    <m/>
    <m/>
    <m/>
    <m/>
    <m/>
    <m/>
    <s v="INFASCO"/>
    <m/>
    <n v="123.6"/>
  </r>
  <r>
    <x v="852"/>
    <x v="2"/>
    <x v="160"/>
    <n v="16"/>
    <n v="3300"/>
    <n v="52800"/>
    <m/>
    <m/>
    <m/>
    <m/>
    <m/>
    <m/>
    <m/>
    <m/>
    <m/>
    <m/>
    <m/>
    <m/>
    <m/>
    <m/>
    <m/>
    <m/>
    <s v="INFASCO"/>
    <m/>
    <n v="97.85"/>
  </r>
  <r>
    <x v="852"/>
    <x v="6"/>
    <x v="81"/>
    <n v="36"/>
    <n v="700"/>
    <n v="25200"/>
    <m/>
    <m/>
    <m/>
    <m/>
    <m/>
    <m/>
    <m/>
    <m/>
    <m/>
    <m/>
    <m/>
    <m/>
    <m/>
    <m/>
    <m/>
    <m/>
    <s v="INFASCO"/>
    <m/>
    <n v="97.85"/>
  </r>
  <r>
    <x v="852"/>
    <x v="6"/>
    <x v="81"/>
    <n v="36"/>
    <n v="700"/>
    <n v="25200"/>
    <m/>
    <m/>
    <m/>
    <m/>
    <m/>
    <m/>
    <m/>
    <m/>
    <m/>
    <m/>
    <m/>
    <m/>
    <m/>
    <m/>
    <m/>
    <m/>
    <s v="INFASCO"/>
    <m/>
    <n v="97.85"/>
  </r>
  <r>
    <x v="852"/>
    <x v="4"/>
    <x v="98"/>
    <n v="36"/>
    <n v="2000"/>
    <n v="72000"/>
    <m/>
    <m/>
    <m/>
    <m/>
    <m/>
    <m/>
    <m/>
    <m/>
    <m/>
    <m/>
    <m/>
    <m/>
    <m/>
    <m/>
    <m/>
    <m/>
    <s v="INFASCO"/>
    <m/>
    <n v="97.85"/>
  </r>
  <r>
    <x v="852"/>
    <x v="4"/>
    <x v="7"/>
    <n v="36"/>
    <n v="700"/>
    <n v="25200"/>
    <m/>
    <m/>
    <m/>
    <m/>
    <m/>
    <m/>
    <m/>
    <m/>
    <m/>
    <m/>
    <m/>
    <m/>
    <m/>
    <m/>
    <m/>
    <m/>
    <s v="INFASCO"/>
    <m/>
    <n v="97.85"/>
  </r>
  <r>
    <x v="852"/>
    <x v="4"/>
    <x v="7"/>
    <n v="36"/>
    <n v="700"/>
    <n v="25200"/>
    <m/>
    <m/>
    <m/>
    <m/>
    <m/>
    <m/>
    <m/>
    <m/>
    <m/>
    <m/>
    <m/>
    <m/>
    <m/>
    <m/>
    <m/>
    <m/>
    <s v="INFASCO"/>
    <m/>
    <n v="97.85"/>
  </r>
  <r>
    <x v="852"/>
    <x v="7"/>
    <x v="7"/>
    <n v="13"/>
    <n v="700"/>
    <n v="9100"/>
    <m/>
    <m/>
    <m/>
    <m/>
    <m/>
    <m/>
    <m/>
    <m/>
    <m/>
    <m/>
    <m/>
    <m/>
    <m/>
    <m/>
    <m/>
    <m/>
    <s v="INFASCO"/>
    <m/>
    <n v="97.85"/>
  </r>
  <r>
    <x v="852"/>
    <x v="16"/>
    <x v="119"/>
    <n v="17"/>
    <n v="1200"/>
    <n v="20400"/>
    <m/>
    <m/>
    <m/>
    <m/>
    <m/>
    <m/>
    <m/>
    <m/>
    <m/>
    <m/>
    <m/>
    <m/>
    <m/>
    <m/>
    <m/>
    <m/>
    <s v="INFASCO"/>
    <m/>
    <n v="97.85"/>
  </r>
  <r>
    <x v="851"/>
    <x v="10"/>
    <x v="4"/>
    <n v="32"/>
    <n v="1200"/>
    <n v="38400"/>
    <s v="185-298"/>
    <m/>
    <m/>
    <m/>
    <m/>
    <m/>
    <m/>
    <m/>
    <m/>
    <m/>
    <m/>
    <m/>
    <m/>
    <m/>
    <m/>
    <m/>
    <s v="INFASCO"/>
    <m/>
    <n v="97.85"/>
  </r>
  <r>
    <x v="851"/>
    <x v="10"/>
    <x v="7"/>
    <n v="36"/>
    <n v="700"/>
    <n v="25200"/>
    <s v="185-298"/>
    <m/>
    <m/>
    <m/>
    <m/>
    <m/>
    <m/>
    <m/>
    <m/>
    <m/>
    <m/>
    <m/>
    <m/>
    <m/>
    <m/>
    <m/>
    <s v="INFASCO"/>
    <m/>
    <n v="97.85"/>
  </r>
  <r>
    <x v="851"/>
    <x v="10"/>
    <x v="81"/>
    <n v="35"/>
    <n v="700"/>
    <n v="24500"/>
    <s v="185-298"/>
    <m/>
    <m/>
    <m/>
    <m/>
    <m/>
    <m/>
    <m/>
    <m/>
    <m/>
    <m/>
    <m/>
    <m/>
    <m/>
    <m/>
    <m/>
    <s v="INFASCO"/>
    <m/>
    <n v="97.85"/>
  </r>
  <r>
    <x v="851"/>
    <x v="10"/>
    <x v="7"/>
    <n v="32"/>
    <n v="700"/>
    <n v="22400"/>
    <s v="185-298"/>
    <m/>
    <m/>
    <m/>
    <m/>
    <m/>
    <m/>
    <m/>
    <m/>
    <m/>
    <m/>
    <m/>
    <m/>
    <m/>
    <m/>
    <m/>
    <s v="INFASCO"/>
    <m/>
    <n v="97.85"/>
  </r>
  <r>
    <x v="851"/>
    <x v="10"/>
    <x v="7"/>
    <n v="17"/>
    <n v="700"/>
    <n v="11900"/>
    <s v="185-298"/>
    <m/>
    <m/>
    <m/>
    <m/>
    <m/>
    <m/>
    <m/>
    <m/>
    <m/>
    <m/>
    <m/>
    <m/>
    <m/>
    <m/>
    <m/>
    <s v="INFASCO"/>
    <m/>
    <n v="97.85"/>
  </r>
  <r>
    <x v="851"/>
    <x v="10"/>
    <x v="92"/>
    <n v="36"/>
    <n v="250"/>
    <n v="9000"/>
    <s v="185-298"/>
    <m/>
    <m/>
    <m/>
    <m/>
    <m/>
    <m/>
    <m/>
    <m/>
    <m/>
    <m/>
    <m/>
    <m/>
    <m/>
    <m/>
    <m/>
    <s v="INFASCO"/>
    <m/>
    <n v="97.85"/>
  </r>
  <r>
    <x v="851"/>
    <x v="10"/>
    <x v="32"/>
    <n v="36"/>
    <n v="220"/>
    <n v="7920"/>
    <s v="185-298"/>
    <m/>
    <m/>
    <m/>
    <m/>
    <m/>
    <m/>
    <m/>
    <m/>
    <m/>
    <m/>
    <m/>
    <m/>
    <m/>
    <m/>
    <m/>
    <s v="INFASCO"/>
    <m/>
    <n v="97.85"/>
  </r>
  <r>
    <x v="851"/>
    <x v="10"/>
    <x v="33"/>
    <n v="29"/>
    <n v="145"/>
    <n v="4205"/>
    <s v="185-298"/>
    <m/>
    <m/>
    <m/>
    <m/>
    <m/>
    <m/>
    <m/>
    <m/>
    <m/>
    <m/>
    <m/>
    <m/>
    <m/>
    <m/>
    <m/>
    <s v="INFASCO"/>
    <m/>
    <n v="123.6"/>
  </r>
  <r>
    <x v="851"/>
    <x v="10"/>
    <x v="181"/>
    <n v="1"/>
    <n v="2989"/>
    <n v="2989"/>
    <s v="185-298"/>
    <m/>
    <m/>
    <m/>
    <m/>
    <m/>
    <m/>
    <m/>
    <m/>
    <m/>
    <m/>
    <m/>
    <m/>
    <m/>
    <m/>
    <m/>
    <s v="INFASCO"/>
    <m/>
    <n v="118.45"/>
  </r>
  <r>
    <x v="853"/>
    <x v="8"/>
    <x v="33"/>
    <n v="33"/>
    <n v="145"/>
    <n v="4785"/>
    <n v="156"/>
    <s v="Yes"/>
    <m/>
    <s v="Yes"/>
    <m/>
    <s v="Yes"/>
    <m/>
    <s v="Yes"/>
    <m/>
    <s v="N/A"/>
    <m/>
    <s v="Yes"/>
    <m/>
    <s v="Yes"/>
    <m/>
    <s v="New"/>
    <s v="INFASCO"/>
    <n v="123.6"/>
    <n v="123.6"/>
  </r>
  <r>
    <x v="854"/>
    <x v="8"/>
    <x v="92"/>
    <n v="36"/>
    <n v="250"/>
    <n v="9000"/>
    <n v="156"/>
    <s v="Yes"/>
    <m/>
    <s v="Yes"/>
    <m/>
    <s v="Yes"/>
    <m/>
    <s v="Yes"/>
    <m/>
    <s v="N/A"/>
    <m/>
    <s v="Yes"/>
    <m/>
    <s v="Yes"/>
    <m/>
    <s v="New"/>
    <s v="INFASCO"/>
    <n v="97.85"/>
    <n v="97.85"/>
  </r>
  <r>
    <x v="855"/>
    <x v="8"/>
    <x v="40"/>
    <n v="36"/>
    <n v="850"/>
    <n v="30600"/>
    <s v="11+186"/>
    <s v="Yes"/>
    <m/>
    <s v="Yes"/>
    <m/>
    <s v="Yes"/>
    <m/>
    <s v="Yes"/>
    <m/>
    <s v="N/A"/>
    <m/>
    <s v="Yes"/>
    <m/>
    <s v="Yes"/>
    <m/>
    <s v="New"/>
    <s v="INFASCO"/>
    <n v="123.6"/>
    <n v="123.6"/>
  </r>
  <r>
    <x v="856"/>
    <x v="8"/>
    <x v="40"/>
    <n v="16"/>
    <n v="850"/>
    <n v="13600"/>
    <s v="11+186"/>
    <s v="Yes"/>
    <m/>
    <s v="Yes"/>
    <m/>
    <s v="Yes"/>
    <m/>
    <s v="Yes"/>
    <m/>
    <s v="N/A"/>
    <m/>
    <s v="Yes"/>
    <m/>
    <s v="Yes"/>
    <m/>
    <s v="New"/>
    <s v="INFASCO"/>
    <n v="123.6"/>
    <n v="123.6"/>
  </r>
  <r>
    <x v="857"/>
    <x v="8"/>
    <x v="81"/>
    <n v="36"/>
    <n v="700"/>
    <n v="25200"/>
    <s v="11+186"/>
    <s v="Yes"/>
    <m/>
    <s v="Yes"/>
    <m/>
    <s v="Yes"/>
    <m/>
    <s v="Yes"/>
    <m/>
    <s v="N/A"/>
    <m/>
    <s v="Yes"/>
    <m/>
    <s v="Yes"/>
    <m/>
    <s v="New"/>
    <s v="INFASCO"/>
    <n v="97.85"/>
    <n v="97.85"/>
  </r>
  <r>
    <x v="858"/>
    <x v="8"/>
    <x v="7"/>
    <n v="36"/>
    <n v="700"/>
    <n v="25200"/>
    <s v="11+186"/>
    <s v="Yes"/>
    <m/>
    <s v="Yes"/>
    <m/>
    <s v="Yes"/>
    <m/>
    <s v="Yes"/>
    <m/>
    <s v="N/A"/>
    <m/>
    <s v="Yes"/>
    <m/>
    <s v="Yes"/>
    <m/>
    <s v="New"/>
    <s v="INFASCO"/>
    <n v="97.85"/>
    <n v="97.85"/>
  </r>
  <r>
    <x v="859"/>
    <x v="8"/>
    <x v="7"/>
    <n v="33"/>
    <n v="700"/>
    <n v="23100"/>
    <s v="11+186"/>
    <s v="Yes"/>
    <m/>
    <s v="Yes"/>
    <m/>
    <s v="Yes"/>
    <m/>
    <s v="Yes"/>
    <m/>
    <s v="N/A"/>
    <m/>
    <s v="Yes"/>
    <m/>
    <s v="Yes"/>
    <m/>
    <s v="New"/>
    <s v="INFASCO"/>
    <n v="97.85"/>
    <n v="97.85"/>
  </r>
  <r>
    <x v="860"/>
    <x v="18"/>
    <x v="160"/>
    <n v="36"/>
    <n v="3300"/>
    <n v="118800"/>
    <s v="11+186"/>
    <s v="Yes"/>
    <m/>
    <s v="Yes"/>
    <m/>
    <s v="Yes"/>
    <m/>
    <s v="Yes"/>
    <m/>
    <s v="N/A"/>
    <m/>
    <s v="Yes"/>
    <m/>
    <s v="Yes"/>
    <m/>
    <s v="New"/>
    <s v="INFASCO"/>
    <n v="97.85"/>
    <n v="97.85"/>
  </r>
  <r>
    <x v="861"/>
    <x v="18"/>
    <x v="160"/>
    <n v="35"/>
    <n v="3300"/>
    <n v="115500"/>
    <s v="11+186"/>
    <s v="Yes"/>
    <m/>
    <s v="Yes"/>
    <m/>
    <s v="Yes"/>
    <m/>
    <s v="Yes"/>
    <m/>
    <s v="N/A"/>
    <m/>
    <s v="Yes"/>
    <m/>
    <s v="Yes"/>
    <m/>
    <s v="New"/>
    <s v="INFASCO"/>
    <n v="97.85"/>
    <n v="97.85"/>
  </r>
  <r>
    <x v="862"/>
    <x v="18"/>
    <x v="45"/>
    <n v="36"/>
    <n v="1850"/>
    <n v="66600"/>
    <s v="11+186"/>
    <s v="Yes"/>
    <m/>
    <s v="Yes"/>
    <m/>
    <s v="Yes"/>
    <m/>
    <s v="Yes"/>
    <m/>
    <s v="N/A"/>
    <m/>
    <s v="Yes"/>
    <m/>
    <s v="Yes"/>
    <m/>
    <s v="New"/>
    <s v="INFASCO"/>
    <n v="226.6"/>
    <n v="226.6"/>
  </r>
  <r>
    <x v="851"/>
    <x v="18"/>
    <x v="45"/>
    <n v="8"/>
    <n v="1850"/>
    <n v="14800"/>
    <m/>
    <m/>
    <m/>
    <m/>
    <m/>
    <m/>
    <m/>
    <m/>
    <m/>
    <m/>
    <m/>
    <m/>
    <m/>
    <m/>
    <m/>
    <m/>
    <s v="INFASCO"/>
    <m/>
    <n v="226.6"/>
  </r>
  <r>
    <x v="851"/>
    <x v="18"/>
    <x v="92"/>
    <n v="36"/>
    <n v="250"/>
    <n v="9000"/>
    <m/>
    <m/>
    <m/>
    <m/>
    <m/>
    <m/>
    <m/>
    <m/>
    <m/>
    <m/>
    <m/>
    <m/>
    <m/>
    <m/>
    <m/>
    <m/>
    <s v="INFASCO"/>
    <m/>
    <n v="97.85"/>
  </r>
  <r>
    <x v="851"/>
    <x v="18"/>
    <x v="33"/>
    <n v="33"/>
    <n v="145"/>
    <n v="4785"/>
    <m/>
    <m/>
    <m/>
    <m/>
    <m/>
    <m/>
    <m/>
    <m/>
    <m/>
    <m/>
    <m/>
    <m/>
    <m/>
    <m/>
    <m/>
    <m/>
    <s v="INFASCO"/>
    <m/>
    <n v="123.6"/>
  </r>
  <r>
    <x v="863"/>
    <x v="18"/>
    <x v="71"/>
    <n v="57"/>
    <n v="1500"/>
    <n v="85500"/>
    <s v="156+186"/>
    <s v="Yes"/>
    <m/>
    <s v="Yes"/>
    <m/>
    <s v="Yes"/>
    <m/>
    <s v="Yes"/>
    <m/>
    <s v="N/A"/>
    <m/>
    <s v="Yes"/>
    <m/>
    <s v="Yes"/>
    <m/>
    <s v="New"/>
    <s v="INFASCO"/>
    <n v="97.85"/>
    <n v="97.85"/>
  </r>
  <r>
    <x v="864"/>
    <x v="18"/>
    <x v="71"/>
    <n v="21"/>
    <n v="1500"/>
    <n v="31500"/>
    <s v="156+186"/>
    <s v="Yes"/>
    <m/>
    <s v="Yes"/>
    <m/>
    <s v="Yes"/>
    <m/>
    <s v="Yes"/>
    <m/>
    <s v="N/A"/>
    <m/>
    <s v="Yes"/>
    <m/>
    <s v="Yes"/>
    <m/>
    <s v="New"/>
    <s v="INFASCO"/>
    <n v="97.85"/>
    <n v="97.85"/>
  </r>
  <r>
    <x v="865"/>
    <x v="17"/>
    <x v="33"/>
    <n v="36"/>
    <n v="145"/>
    <n v="5220"/>
    <s v="187+171"/>
    <s v="Yes"/>
    <m/>
    <s v="Yes"/>
    <m/>
    <s v="Yes"/>
    <m/>
    <s v="Yes"/>
    <m/>
    <s v="N/A"/>
    <m/>
    <s v="Yes"/>
    <m/>
    <s v="Yes"/>
    <m/>
    <s v="New"/>
    <s v="INFASCO"/>
    <n v="123.6"/>
    <n v="123.6"/>
  </r>
  <r>
    <x v="866"/>
    <x v="17"/>
    <x v="33"/>
    <n v="20"/>
    <n v="145"/>
    <n v="2900"/>
    <s v="187+171"/>
    <s v="Yes"/>
    <m/>
    <s v="Yes"/>
    <m/>
    <s v="Yes"/>
    <m/>
    <s v="Yes"/>
    <m/>
    <s v="N/A"/>
    <m/>
    <s v="Yes"/>
    <m/>
    <s v="Yes"/>
    <m/>
    <s v="New"/>
    <s v="INFASCO"/>
    <n v="123.6"/>
    <n v="123.6"/>
  </r>
  <r>
    <x v="867"/>
    <x v="17"/>
    <x v="33"/>
    <n v="24"/>
    <n v="145"/>
    <n v="3480"/>
    <s v="187+171"/>
    <s v="Yes"/>
    <m/>
    <s v="Yes"/>
    <m/>
    <s v="Yes"/>
    <m/>
    <s v="Yes"/>
    <m/>
    <s v="N/A"/>
    <m/>
    <s v="Yes"/>
    <m/>
    <s v="Yes"/>
    <m/>
    <s v="New"/>
    <s v="INFASCO"/>
    <n v="123.6"/>
    <n v="123.6"/>
  </r>
  <r>
    <x v="868"/>
    <x v="17"/>
    <x v="4"/>
    <n v="34"/>
    <n v="1200"/>
    <n v="40800"/>
    <s v="187+171"/>
    <s v="Yes"/>
    <m/>
    <s v="Yes"/>
    <m/>
    <s v="Yes"/>
    <m/>
    <s v="Yes"/>
    <m/>
    <s v="N/A"/>
    <m/>
    <s v="Yes"/>
    <m/>
    <s v="Yes"/>
    <m/>
    <s v="New"/>
    <s v="INFASCO"/>
    <n v="97.85"/>
    <n v="97.85"/>
  </r>
  <r>
    <x v="851"/>
    <x v="17"/>
    <x v="7"/>
    <n v="34"/>
    <n v="700"/>
    <n v="23800"/>
    <s v="187+171"/>
    <s v="Yes"/>
    <m/>
    <s v="Yes"/>
    <m/>
    <s v="Yes"/>
    <m/>
    <s v="Yes"/>
    <m/>
    <s v="N/A"/>
    <m/>
    <s v="Yes"/>
    <m/>
    <s v="Yes"/>
    <m/>
    <s v="New"/>
    <s v="INFASCO"/>
    <n v="97.85"/>
    <n v="97.85"/>
  </r>
  <r>
    <x v="869"/>
    <x v="10"/>
    <x v="7"/>
    <n v="22"/>
    <n v="700"/>
    <n v="15400"/>
    <s v="185+298"/>
    <s v="Yes"/>
    <m/>
    <s v="Yes"/>
    <m/>
    <s v="Yes"/>
    <m/>
    <s v="Yes"/>
    <m/>
    <s v="N/A"/>
    <m/>
    <s v="Yes"/>
    <m/>
    <s v="Yes"/>
    <m/>
    <s v="New"/>
    <s v="INFASCO"/>
    <n v="97.85"/>
    <n v="97.85"/>
  </r>
  <r>
    <x v="870"/>
    <x v="10"/>
    <x v="194"/>
    <n v="16"/>
    <n v="4500"/>
    <n v="72000"/>
    <s v="185+298"/>
    <s v="Yes"/>
    <m/>
    <s v="Yes"/>
    <m/>
    <s v="Yes"/>
    <m/>
    <s v="Yes"/>
    <m/>
    <s v="N/A"/>
    <m/>
    <s v="Yes"/>
    <m/>
    <s v="Yes"/>
    <m/>
    <s v="New"/>
    <s v="INFASCO"/>
    <s v="N/A"/>
    <n v="97.85"/>
  </r>
  <r>
    <x v="871"/>
    <x v="10"/>
    <x v="123"/>
    <n v="36"/>
    <n v="450"/>
    <n v="16200"/>
    <s v="185+298"/>
    <s v="Yes"/>
    <m/>
    <s v="Yes"/>
    <m/>
    <s v="Yes"/>
    <m/>
    <s v="Yes"/>
    <m/>
    <s v="N/A"/>
    <m/>
    <s v="Yes"/>
    <m/>
    <s v="Yes"/>
    <m/>
    <s v="New"/>
    <s v="INFASCO"/>
    <n v="97.85"/>
    <n v="97.85"/>
  </r>
  <r>
    <x v="872"/>
    <x v="10"/>
    <x v="123"/>
    <n v="32"/>
    <n v="450"/>
    <n v="14400"/>
    <s v="185+298"/>
    <s v="Yes"/>
    <m/>
    <s v="Yes"/>
    <m/>
    <s v="Yes"/>
    <m/>
    <s v="Yes"/>
    <m/>
    <s v="N/A"/>
    <m/>
    <s v="Yes"/>
    <m/>
    <s v="Yes"/>
    <m/>
    <s v="New"/>
    <s v="INFASCO"/>
    <n v="97.85"/>
    <n v="97.85"/>
  </r>
  <r>
    <x v="873"/>
    <x v="10"/>
    <x v="145"/>
    <n v="36"/>
    <n v="450"/>
    <n v="16200"/>
    <s v="185+298"/>
    <s v="Yes"/>
    <m/>
    <s v="Yes"/>
    <m/>
    <s v="Yes"/>
    <m/>
    <s v="Yes"/>
    <m/>
    <s v="N/A"/>
    <m/>
    <s v="Yes"/>
    <m/>
    <s v="Yes"/>
    <m/>
    <s v="New"/>
    <s v="INFASCO"/>
    <n v="97.85"/>
    <n v="97.85"/>
  </r>
  <r>
    <x v="874"/>
    <x v="10"/>
    <x v="145"/>
    <n v="32"/>
    <n v="450"/>
    <n v="14400"/>
    <s v="185+298"/>
    <s v="Yes"/>
    <m/>
    <s v="Yes"/>
    <m/>
    <s v="Yes"/>
    <m/>
    <s v="Yes"/>
    <m/>
    <s v="N/A"/>
    <m/>
    <s v="Yes"/>
    <m/>
    <s v="Yes"/>
    <m/>
    <s v="New"/>
    <s v="INFASCO"/>
    <n v="97.85"/>
    <n v="97.85"/>
  </r>
  <r>
    <x v="875"/>
    <x v="10"/>
    <x v="10"/>
    <n v="31"/>
    <n v="450"/>
    <n v="13950"/>
    <s v="185+298"/>
    <s v="Yes"/>
    <m/>
    <s v="Yes"/>
    <m/>
    <s v="Yes"/>
    <m/>
    <s v="Yes"/>
    <m/>
    <s v="N/A"/>
    <m/>
    <s v="Yes"/>
    <m/>
    <s v="Yes"/>
    <m/>
    <s v="New"/>
    <s v="INFASCO"/>
    <n v="97.85"/>
    <n v="97.85"/>
  </r>
  <r>
    <x v="876"/>
    <x v="10"/>
    <x v="99"/>
    <n v="1"/>
    <n v="67400"/>
    <n v="67400"/>
    <s v="185+298"/>
    <s v="Yes"/>
    <m/>
    <s v="Yes"/>
    <m/>
    <s v="Yes"/>
    <m/>
    <s v="Yes"/>
    <m/>
    <s v="N/A"/>
    <m/>
    <s v="Yes"/>
    <m/>
    <s v="Yes"/>
    <m/>
    <s v="New"/>
    <s v="INFASCO"/>
    <n v="118.45"/>
    <n v="118.45"/>
  </r>
  <r>
    <x v="877"/>
    <x v="10"/>
    <x v="10"/>
    <n v="36"/>
    <n v="450"/>
    <n v="16200"/>
    <s v="185+298"/>
    <s v="Yes"/>
    <m/>
    <s v="Yes"/>
    <m/>
    <s v="Yes"/>
    <m/>
    <s v="Yes"/>
    <m/>
    <s v="N/A"/>
    <m/>
    <s v="Yes"/>
    <m/>
    <s v="Yes"/>
    <m/>
    <s v="New"/>
    <s v="INFASCO"/>
    <s v="N/A"/>
    <n v="97.85"/>
  </r>
  <r>
    <x v="878"/>
    <x v="10"/>
    <x v="151"/>
    <n v="11"/>
    <n v="650"/>
    <n v="7150"/>
    <s v="185+298"/>
    <s v="Yes"/>
    <m/>
    <s v="Yes"/>
    <m/>
    <s v="Yes"/>
    <m/>
    <s v="Yes"/>
    <m/>
    <s v="N/A"/>
    <m/>
    <s v="Yes"/>
    <m/>
    <s v="Yes"/>
    <m/>
    <s v="New"/>
    <s v="INFASCO"/>
    <n v="97.85"/>
    <n v="97.85"/>
  </r>
  <r>
    <x v="879"/>
    <x v="2"/>
    <x v="160"/>
    <n v="31"/>
    <n v="3300"/>
    <n v="102300"/>
    <m/>
    <m/>
    <m/>
    <m/>
    <m/>
    <m/>
    <m/>
    <m/>
    <m/>
    <m/>
    <m/>
    <m/>
    <m/>
    <m/>
    <m/>
    <m/>
    <s v="INFASCO"/>
    <m/>
    <n v="97.85"/>
  </r>
  <r>
    <x v="879"/>
    <x v="1"/>
    <x v="195"/>
    <n v="36"/>
    <n v="2500"/>
    <n v="90000"/>
    <m/>
    <m/>
    <m/>
    <m/>
    <m/>
    <m/>
    <m/>
    <m/>
    <m/>
    <m/>
    <m/>
    <m/>
    <m/>
    <m/>
    <m/>
    <m/>
    <s v="INFASCO"/>
    <m/>
    <n v="97.85"/>
  </r>
  <r>
    <x v="879"/>
    <x v="4"/>
    <x v="46"/>
    <n v="36"/>
    <n v="2150"/>
    <n v="77400"/>
    <m/>
    <m/>
    <m/>
    <m/>
    <m/>
    <m/>
    <m/>
    <m/>
    <m/>
    <m/>
    <m/>
    <m/>
    <m/>
    <m/>
    <m/>
    <m/>
    <s v="INFASCO"/>
    <m/>
    <n v="97.85"/>
  </r>
  <r>
    <x v="879"/>
    <x v="11"/>
    <x v="46"/>
    <n v="36"/>
    <n v="2150"/>
    <n v="77400"/>
    <m/>
    <m/>
    <m/>
    <m/>
    <m/>
    <m/>
    <m/>
    <m/>
    <m/>
    <m/>
    <m/>
    <m/>
    <m/>
    <m/>
    <m/>
    <m/>
    <s v="INFASCO"/>
    <m/>
    <n v="97.85"/>
  </r>
  <r>
    <x v="879"/>
    <x v="11"/>
    <x v="46"/>
    <n v="36"/>
    <n v="2150"/>
    <n v="77400"/>
    <m/>
    <m/>
    <m/>
    <m/>
    <m/>
    <m/>
    <m/>
    <m/>
    <m/>
    <m/>
    <m/>
    <m/>
    <m/>
    <m/>
    <m/>
    <m/>
    <s v="INFASCO"/>
    <m/>
    <n v="97.85"/>
  </r>
  <r>
    <x v="879"/>
    <x v="3"/>
    <x v="46"/>
    <n v="36"/>
    <n v="2150"/>
    <n v="77400"/>
    <m/>
    <m/>
    <m/>
    <m/>
    <m/>
    <m/>
    <m/>
    <m/>
    <m/>
    <m/>
    <m/>
    <m/>
    <m/>
    <m/>
    <m/>
    <m/>
    <s v="INFASCO"/>
    <m/>
    <n v="97.85"/>
  </r>
  <r>
    <x v="879"/>
    <x v="5"/>
    <x v="46"/>
    <n v="36"/>
    <n v="2150"/>
    <n v="77400"/>
    <m/>
    <m/>
    <m/>
    <m/>
    <m/>
    <m/>
    <m/>
    <m/>
    <m/>
    <m/>
    <m/>
    <m/>
    <m/>
    <m/>
    <m/>
    <m/>
    <s v="INFASCO"/>
    <m/>
    <n v="97.85"/>
  </r>
  <r>
    <x v="879"/>
    <x v="19"/>
    <x v="83"/>
    <n v="36"/>
    <n v="1800"/>
    <n v="64800"/>
    <m/>
    <m/>
    <m/>
    <m/>
    <m/>
    <m/>
    <m/>
    <m/>
    <m/>
    <m/>
    <m/>
    <m/>
    <m/>
    <m/>
    <m/>
    <m/>
    <s v="INFASCO"/>
    <m/>
    <n v="123.6"/>
  </r>
  <r>
    <x v="879"/>
    <x v="18"/>
    <x v="45"/>
    <n v="32"/>
    <n v="1850"/>
    <n v="59200"/>
    <n v="156"/>
    <s v="Yes"/>
    <m/>
    <s v="Yes"/>
    <m/>
    <s v="Yes"/>
    <m/>
    <s v="Yes"/>
    <m/>
    <s v="N/A"/>
    <m/>
    <s v="Yes"/>
    <m/>
    <s v="Yes"/>
    <m/>
    <s v="New"/>
    <s v="INFASCO"/>
    <n v="226.6"/>
    <n v="226.6"/>
  </r>
  <r>
    <x v="879"/>
    <x v="1"/>
    <x v="195"/>
    <n v="23"/>
    <n v="2500"/>
    <n v="57500"/>
    <m/>
    <m/>
    <m/>
    <m/>
    <m/>
    <m/>
    <m/>
    <m/>
    <m/>
    <m/>
    <m/>
    <m/>
    <m/>
    <m/>
    <m/>
    <m/>
    <s v="INFASCO"/>
    <m/>
    <n v="97.85"/>
  </r>
  <r>
    <x v="879"/>
    <x v="15"/>
    <x v="71"/>
    <n v="36"/>
    <n v="1500"/>
    <n v="54000"/>
    <m/>
    <m/>
    <m/>
    <m/>
    <m/>
    <m/>
    <m/>
    <m/>
    <m/>
    <m/>
    <m/>
    <m/>
    <m/>
    <m/>
    <m/>
    <m/>
    <s v="INFASCO"/>
    <m/>
    <n v="97.85"/>
  </r>
  <r>
    <x v="879"/>
    <x v="8"/>
    <x v="120"/>
    <n v="46"/>
    <n v="1100"/>
    <n v="50600"/>
    <m/>
    <m/>
    <m/>
    <m/>
    <m/>
    <m/>
    <m/>
    <m/>
    <m/>
    <m/>
    <m/>
    <m/>
    <m/>
    <m/>
    <m/>
    <m/>
    <s v="INFASCO"/>
    <m/>
    <n v="97.85"/>
  </r>
  <r>
    <x v="879"/>
    <x v="9"/>
    <x v="4"/>
    <n v="36"/>
    <n v="1200"/>
    <n v="43200"/>
    <m/>
    <m/>
    <m/>
    <m/>
    <m/>
    <m/>
    <m/>
    <m/>
    <m/>
    <m/>
    <m/>
    <m/>
    <m/>
    <m/>
    <m/>
    <m/>
    <s v="INFASCO"/>
    <m/>
    <n v="97.85"/>
  </r>
  <r>
    <x v="879"/>
    <x v="4"/>
    <x v="46"/>
    <n v="19"/>
    <n v="2150"/>
    <n v="40850"/>
    <m/>
    <m/>
    <m/>
    <m/>
    <m/>
    <m/>
    <m/>
    <m/>
    <m/>
    <m/>
    <m/>
    <m/>
    <m/>
    <m/>
    <m/>
    <m/>
    <s v="INFASCO"/>
    <m/>
    <n v="97.85"/>
  </r>
  <r>
    <x v="879"/>
    <x v="9"/>
    <x v="4"/>
    <n v="27"/>
    <n v="1200"/>
    <n v="32400"/>
    <m/>
    <m/>
    <m/>
    <m/>
    <m/>
    <m/>
    <m/>
    <m/>
    <m/>
    <m/>
    <m/>
    <m/>
    <m/>
    <m/>
    <m/>
    <m/>
    <s v="INFASCO"/>
    <m/>
    <n v="97.85"/>
  </r>
  <r>
    <x v="879"/>
    <x v="8"/>
    <x v="124"/>
    <n v="33"/>
    <n v="900"/>
    <n v="29700"/>
    <m/>
    <m/>
    <m/>
    <m/>
    <m/>
    <m/>
    <m/>
    <m/>
    <m/>
    <m/>
    <m/>
    <m/>
    <m/>
    <m/>
    <m/>
    <m/>
    <s v="INFASCO"/>
    <m/>
    <n v="97.85"/>
  </r>
  <r>
    <x v="879"/>
    <x v="8"/>
    <x v="179"/>
    <n v="54"/>
    <n v="525"/>
    <n v="28350"/>
    <m/>
    <m/>
    <m/>
    <m/>
    <m/>
    <m/>
    <m/>
    <m/>
    <m/>
    <m/>
    <m/>
    <m/>
    <m/>
    <m/>
    <m/>
    <m/>
    <s v="INFASCO"/>
    <m/>
    <n v="97.85"/>
  </r>
  <r>
    <x v="879"/>
    <x v="6"/>
    <x v="81"/>
    <n v="36"/>
    <n v="700"/>
    <n v="25200"/>
    <m/>
    <m/>
    <m/>
    <m/>
    <m/>
    <m/>
    <m/>
    <m/>
    <m/>
    <m/>
    <m/>
    <m/>
    <m/>
    <m/>
    <m/>
    <m/>
    <s v="INFASCO"/>
    <m/>
    <n v="97.85"/>
  </r>
  <r>
    <x v="879"/>
    <x v="6"/>
    <x v="81"/>
    <n v="36"/>
    <n v="700"/>
    <n v="25200"/>
    <m/>
    <m/>
    <m/>
    <m/>
    <m/>
    <m/>
    <m/>
    <m/>
    <m/>
    <m/>
    <m/>
    <m/>
    <m/>
    <m/>
    <m/>
    <m/>
    <s v="INFASCO"/>
    <m/>
    <n v="97.85"/>
  </r>
  <r>
    <x v="879"/>
    <x v="6"/>
    <x v="81"/>
    <n v="36"/>
    <n v="700"/>
    <n v="25200"/>
    <m/>
    <m/>
    <m/>
    <m/>
    <m/>
    <m/>
    <m/>
    <m/>
    <m/>
    <m/>
    <m/>
    <m/>
    <m/>
    <m/>
    <m/>
    <m/>
    <s v="INFASCO"/>
    <m/>
    <n v="97.85"/>
  </r>
  <r>
    <x v="879"/>
    <x v="4"/>
    <x v="7"/>
    <n v="36"/>
    <n v="700"/>
    <n v="25200"/>
    <m/>
    <m/>
    <m/>
    <m/>
    <m/>
    <m/>
    <m/>
    <m/>
    <m/>
    <m/>
    <m/>
    <m/>
    <m/>
    <m/>
    <m/>
    <m/>
    <s v="INFASCO"/>
    <m/>
    <n v="97.85"/>
  </r>
  <r>
    <x v="879"/>
    <x v="7"/>
    <x v="7"/>
    <n v="36"/>
    <n v="700"/>
    <n v="25200"/>
    <m/>
    <m/>
    <m/>
    <m/>
    <m/>
    <m/>
    <m/>
    <m/>
    <m/>
    <m/>
    <m/>
    <m/>
    <m/>
    <m/>
    <m/>
    <m/>
    <s v="INFASCO"/>
    <m/>
    <n v="97.85"/>
  </r>
  <r>
    <x v="879"/>
    <x v="26"/>
    <x v="81"/>
    <n v="36"/>
    <n v="700"/>
    <n v="25200"/>
    <m/>
    <m/>
    <m/>
    <m/>
    <m/>
    <m/>
    <m/>
    <m/>
    <m/>
    <m/>
    <m/>
    <m/>
    <m/>
    <m/>
    <m/>
    <m/>
    <s v="INFASCO"/>
    <m/>
    <n v="97.85"/>
  </r>
  <r>
    <x v="879"/>
    <x v="26"/>
    <x v="81"/>
    <n v="36"/>
    <n v="700"/>
    <n v="25200"/>
    <m/>
    <m/>
    <m/>
    <m/>
    <m/>
    <m/>
    <m/>
    <m/>
    <m/>
    <m/>
    <m/>
    <m/>
    <m/>
    <m/>
    <m/>
    <m/>
    <s v="INFASCO"/>
    <m/>
    <n v="97.85"/>
  </r>
  <r>
    <x v="879"/>
    <x v="14"/>
    <x v="7"/>
    <n v="36"/>
    <n v="700"/>
    <n v="25200"/>
    <m/>
    <m/>
    <m/>
    <m/>
    <m/>
    <m/>
    <m/>
    <m/>
    <m/>
    <m/>
    <m/>
    <m/>
    <m/>
    <m/>
    <m/>
    <m/>
    <s v="INFASCO"/>
    <m/>
    <n v="97.85"/>
  </r>
  <r>
    <x v="879"/>
    <x v="8"/>
    <x v="7"/>
    <n v="34"/>
    <n v="700"/>
    <n v="23800"/>
    <m/>
    <m/>
    <m/>
    <m/>
    <m/>
    <m/>
    <m/>
    <m/>
    <m/>
    <m/>
    <m/>
    <m/>
    <m/>
    <m/>
    <m/>
    <m/>
    <s v="INFASCO"/>
    <m/>
    <n v="97.85"/>
  </r>
  <r>
    <x v="879"/>
    <x v="26"/>
    <x v="81"/>
    <n v="34"/>
    <n v="700"/>
    <n v="23800"/>
    <m/>
    <m/>
    <m/>
    <m/>
    <m/>
    <m/>
    <m/>
    <m/>
    <m/>
    <m/>
    <m/>
    <m/>
    <m/>
    <m/>
    <m/>
    <m/>
    <s v="INFASCO"/>
    <m/>
    <n v="97.85"/>
  </r>
  <r>
    <x v="879"/>
    <x v="8"/>
    <x v="179"/>
    <n v="45"/>
    <n v="525"/>
    <n v="23625"/>
    <m/>
    <m/>
    <m/>
    <m/>
    <m/>
    <m/>
    <m/>
    <m/>
    <m/>
    <m/>
    <m/>
    <m/>
    <m/>
    <m/>
    <m/>
    <m/>
    <s v="INFASCO"/>
    <m/>
    <n v="97.85"/>
  </r>
  <r>
    <x v="879"/>
    <x v="13"/>
    <x v="81"/>
    <n v="28"/>
    <n v="700"/>
    <n v="19600"/>
    <m/>
    <m/>
    <m/>
    <m/>
    <m/>
    <m/>
    <m/>
    <m/>
    <m/>
    <m/>
    <m/>
    <m/>
    <m/>
    <m/>
    <m/>
    <m/>
    <s v="INFASCO"/>
    <m/>
    <n v="97.85"/>
  </r>
  <r>
    <x v="879"/>
    <x v="12"/>
    <x v="7"/>
    <n v="28"/>
    <n v="700"/>
    <n v="19600"/>
    <m/>
    <m/>
    <m/>
    <m/>
    <m/>
    <m/>
    <m/>
    <m/>
    <m/>
    <m/>
    <m/>
    <m/>
    <m/>
    <m/>
    <m/>
    <m/>
    <s v="INFASCO"/>
    <m/>
    <n v="97.85"/>
  </r>
  <r>
    <x v="879"/>
    <x v="8"/>
    <x v="179"/>
    <n v="36"/>
    <n v="525"/>
    <n v="18900"/>
    <m/>
    <m/>
    <m/>
    <m/>
    <m/>
    <m/>
    <m/>
    <m/>
    <m/>
    <m/>
    <m/>
    <m/>
    <m/>
    <m/>
    <m/>
    <m/>
    <s v="INFASCO"/>
    <m/>
    <n v="97.85"/>
  </r>
  <r>
    <x v="879"/>
    <x v="14"/>
    <x v="7"/>
    <n v="24"/>
    <n v="700"/>
    <n v="16800"/>
    <m/>
    <m/>
    <m/>
    <m/>
    <m/>
    <m/>
    <m/>
    <m/>
    <m/>
    <m/>
    <m/>
    <m/>
    <m/>
    <m/>
    <m/>
    <m/>
    <s v="INFASCO"/>
    <m/>
    <n v="97.85"/>
  </r>
  <r>
    <x v="879"/>
    <x v="26"/>
    <x v="10"/>
    <n v="33"/>
    <n v="450"/>
    <n v="14850"/>
    <m/>
    <m/>
    <m/>
    <m/>
    <m/>
    <m/>
    <m/>
    <m/>
    <m/>
    <m/>
    <m/>
    <m/>
    <m/>
    <m/>
    <m/>
    <m/>
    <s v="INFASCO"/>
    <m/>
    <n v="97.85"/>
  </r>
  <r>
    <x v="879"/>
    <x v="7"/>
    <x v="7"/>
    <n v="21"/>
    <n v="700"/>
    <n v="14700"/>
    <m/>
    <m/>
    <m/>
    <m/>
    <m/>
    <m/>
    <m/>
    <m/>
    <m/>
    <m/>
    <m/>
    <m/>
    <m/>
    <m/>
    <m/>
    <m/>
    <s v="INFASCO"/>
    <m/>
    <n v="97.85"/>
  </r>
  <r>
    <x v="879"/>
    <x v="8"/>
    <x v="32"/>
    <n v="36"/>
    <n v="220"/>
    <n v="7920"/>
    <m/>
    <m/>
    <m/>
    <m/>
    <m/>
    <m/>
    <m/>
    <m/>
    <m/>
    <m/>
    <m/>
    <m/>
    <m/>
    <m/>
    <m/>
    <m/>
    <s v="INFASCO"/>
    <m/>
    <n v="97.85"/>
  </r>
  <r>
    <x v="879"/>
    <x v="8"/>
    <x v="32"/>
    <n v="4"/>
    <n v="220"/>
    <n v="880"/>
    <m/>
    <m/>
    <m/>
    <m/>
    <m/>
    <m/>
    <m/>
    <m/>
    <m/>
    <m/>
    <m/>
    <m/>
    <m/>
    <m/>
    <m/>
    <m/>
    <s v="INFASCO"/>
    <m/>
    <n v="97.85"/>
  </r>
  <r>
    <x v="880"/>
    <x v="15"/>
    <x v="71"/>
    <n v="23"/>
    <n v="1500"/>
    <n v="34500"/>
    <m/>
    <m/>
    <m/>
    <m/>
    <m/>
    <m/>
    <m/>
    <m/>
    <m/>
    <m/>
    <m/>
    <m/>
    <m/>
    <m/>
    <m/>
    <m/>
    <s v="INFASCO"/>
    <m/>
    <n v="97.85"/>
  </r>
  <r>
    <x v="880"/>
    <x v="1"/>
    <x v="46"/>
    <n v="36"/>
    <n v="2150"/>
    <n v="77400"/>
    <m/>
    <m/>
    <m/>
    <m/>
    <m/>
    <m/>
    <m/>
    <m/>
    <m/>
    <m/>
    <m/>
    <m/>
    <m/>
    <m/>
    <m/>
    <m/>
    <s v="INFASCO"/>
    <m/>
    <n v="97.85"/>
  </r>
  <r>
    <x v="880"/>
    <x v="5"/>
    <x v="46"/>
    <n v="36"/>
    <n v="2150"/>
    <n v="77400"/>
    <m/>
    <m/>
    <m/>
    <m/>
    <m/>
    <m/>
    <m/>
    <m/>
    <m/>
    <m/>
    <m/>
    <m/>
    <m/>
    <m/>
    <m/>
    <m/>
    <s v="INFASCO"/>
    <m/>
    <n v="97.85"/>
  </r>
  <r>
    <x v="880"/>
    <x v="5"/>
    <x v="46"/>
    <n v="36"/>
    <n v="2150"/>
    <n v="77400"/>
    <m/>
    <m/>
    <m/>
    <m/>
    <m/>
    <m/>
    <m/>
    <m/>
    <m/>
    <m/>
    <m/>
    <m/>
    <m/>
    <m/>
    <m/>
    <m/>
    <s v="INFASCO"/>
    <m/>
    <n v="97.85"/>
  </r>
  <r>
    <x v="880"/>
    <x v="19"/>
    <x v="83"/>
    <n v="36"/>
    <n v="1800"/>
    <n v="64800"/>
    <m/>
    <m/>
    <m/>
    <m/>
    <m/>
    <m/>
    <m/>
    <m/>
    <m/>
    <m/>
    <m/>
    <m/>
    <m/>
    <m/>
    <m/>
    <m/>
    <s v="INFASCO"/>
    <m/>
    <n v="123.6"/>
  </r>
  <r>
    <x v="880"/>
    <x v="2"/>
    <x v="160"/>
    <n v="36"/>
    <n v="3300"/>
    <n v="118800"/>
    <m/>
    <m/>
    <m/>
    <m/>
    <m/>
    <m/>
    <m/>
    <m/>
    <m/>
    <m/>
    <m/>
    <m/>
    <m/>
    <m/>
    <m/>
    <m/>
    <s v="INFASCO"/>
    <m/>
    <n v="97.85"/>
  </r>
  <r>
    <x v="880"/>
    <x v="6"/>
    <x v="98"/>
    <n v="36"/>
    <n v="2000"/>
    <n v="72000"/>
    <m/>
    <m/>
    <m/>
    <m/>
    <m/>
    <m/>
    <m/>
    <m/>
    <m/>
    <m/>
    <m/>
    <m/>
    <m/>
    <m/>
    <m/>
    <m/>
    <s v="INFASCO"/>
    <m/>
    <n v="97.85"/>
  </r>
  <r>
    <x v="880"/>
    <x v="6"/>
    <x v="98"/>
    <n v="36"/>
    <n v="2000"/>
    <n v="72000"/>
    <m/>
    <m/>
    <m/>
    <m/>
    <m/>
    <m/>
    <m/>
    <m/>
    <m/>
    <m/>
    <m/>
    <m/>
    <m/>
    <m/>
    <m/>
    <m/>
    <s v="INFASCO"/>
    <m/>
    <n v="97.85"/>
  </r>
  <r>
    <x v="880"/>
    <x v="6"/>
    <x v="81"/>
    <n v="36"/>
    <n v="700"/>
    <n v="25200"/>
    <m/>
    <m/>
    <m/>
    <m/>
    <m/>
    <m/>
    <m/>
    <m/>
    <m/>
    <m/>
    <m/>
    <m/>
    <m/>
    <m/>
    <m/>
    <m/>
    <s v="INFASCO"/>
    <m/>
    <n v="97.85"/>
  </r>
  <r>
    <x v="880"/>
    <x v="11"/>
    <x v="46"/>
    <n v="327"/>
    <n v="2150"/>
    <n v="703050"/>
    <m/>
    <m/>
    <m/>
    <m/>
    <m/>
    <m/>
    <m/>
    <m/>
    <m/>
    <m/>
    <m/>
    <m/>
    <m/>
    <m/>
    <m/>
    <m/>
    <s v="INFASCO"/>
    <m/>
    <n v="97.85"/>
  </r>
  <r>
    <x v="880"/>
    <x v="11"/>
    <x v="5"/>
    <n v="36"/>
    <n v="1000"/>
    <n v="36000"/>
    <m/>
    <m/>
    <m/>
    <m/>
    <m/>
    <m/>
    <m/>
    <m/>
    <m/>
    <m/>
    <m/>
    <m/>
    <m/>
    <m/>
    <m/>
    <m/>
    <s v="INFASCO"/>
    <m/>
    <n v="97.85"/>
  </r>
  <r>
    <x v="880"/>
    <x v="11"/>
    <x v="7"/>
    <n v="36"/>
    <n v="700"/>
    <n v="25200"/>
    <m/>
    <m/>
    <m/>
    <m/>
    <m/>
    <m/>
    <m/>
    <m/>
    <m/>
    <m/>
    <m/>
    <m/>
    <m/>
    <m/>
    <m/>
    <m/>
    <s v="INFASCO"/>
    <m/>
    <n v="97.85"/>
  </r>
  <r>
    <x v="880"/>
    <x v="4"/>
    <x v="46"/>
    <n v="36"/>
    <n v="2150"/>
    <n v="77400"/>
    <m/>
    <m/>
    <m/>
    <m/>
    <m/>
    <m/>
    <m/>
    <m/>
    <m/>
    <m/>
    <m/>
    <m/>
    <m/>
    <m/>
    <m/>
    <m/>
    <s v="INFASCO"/>
    <m/>
    <n v="97.85"/>
  </r>
  <r>
    <x v="880"/>
    <x v="4"/>
    <x v="5"/>
    <n v="28"/>
    <n v="1000"/>
    <n v="28000"/>
    <m/>
    <m/>
    <m/>
    <m/>
    <m/>
    <m/>
    <m/>
    <m/>
    <m/>
    <m/>
    <m/>
    <m/>
    <m/>
    <m/>
    <m/>
    <m/>
    <s v="INFASCO"/>
    <m/>
    <n v="97.85"/>
  </r>
  <r>
    <x v="880"/>
    <x v="4"/>
    <x v="7"/>
    <n v="36"/>
    <n v="700"/>
    <n v="25200"/>
    <m/>
    <m/>
    <m/>
    <m/>
    <m/>
    <m/>
    <m/>
    <m/>
    <m/>
    <m/>
    <m/>
    <m/>
    <m/>
    <m/>
    <m/>
    <m/>
    <s v="INFASCO"/>
    <m/>
    <n v="97.85"/>
  </r>
  <r>
    <x v="880"/>
    <x v="7"/>
    <x v="7"/>
    <n v="36"/>
    <n v="700"/>
    <n v="25200"/>
    <m/>
    <m/>
    <m/>
    <m/>
    <m/>
    <m/>
    <m/>
    <m/>
    <m/>
    <m/>
    <m/>
    <m/>
    <m/>
    <m/>
    <m/>
    <m/>
    <s v="INFASCO"/>
    <m/>
    <n v="97.85"/>
  </r>
  <r>
    <x v="880"/>
    <x v="7"/>
    <x v="7"/>
    <n v="36"/>
    <n v="700"/>
    <n v="25200"/>
    <m/>
    <m/>
    <m/>
    <m/>
    <m/>
    <m/>
    <m/>
    <m/>
    <m/>
    <m/>
    <m/>
    <m/>
    <m/>
    <m/>
    <m/>
    <m/>
    <s v="INFASCO"/>
    <m/>
    <n v="97.85"/>
  </r>
  <r>
    <x v="880"/>
    <x v="12"/>
    <x v="37"/>
    <n v="36"/>
    <n v="2500"/>
    <n v="90000"/>
    <m/>
    <m/>
    <m/>
    <m/>
    <m/>
    <m/>
    <m/>
    <m/>
    <m/>
    <m/>
    <m/>
    <m/>
    <m/>
    <m/>
    <m/>
    <m/>
    <s v="INFASCO"/>
    <m/>
    <n v="97.85"/>
  </r>
  <r>
    <x v="880"/>
    <x v="12"/>
    <x v="46"/>
    <n v="36"/>
    <n v="2150"/>
    <n v="77400"/>
    <m/>
    <m/>
    <m/>
    <m/>
    <m/>
    <m/>
    <m/>
    <m/>
    <m/>
    <m/>
    <m/>
    <m/>
    <m/>
    <m/>
    <m/>
    <m/>
    <s v="INFASCO"/>
    <m/>
    <n v="97.85"/>
  </r>
  <r>
    <x v="880"/>
    <x v="12"/>
    <x v="37"/>
    <n v="20"/>
    <n v="2500"/>
    <n v="50000"/>
    <m/>
    <m/>
    <m/>
    <m/>
    <m/>
    <m/>
    <m/>
    <m/>
    <m/>
    <m/>
    <m/>
    <m/>
    <m/>
    <m/>
    <m/>
    <m/>
    <s v="INFASCO"/>
    <m/>
    <n v="97.85"/>
  </r>
  <r>
    <x v="880"/>
    <x v="3"/>
    <x v="46"/>
    <n v="24"/>
    <n v="2150"/>
    <n v="51600"/>
    <m/>
    <m/>
    <m/>
    <m/>
    <m/>
    <m/>
    <m/>
    <m/>
    <m/>
    <m/>
    <m/>
    <m/>
    <m/>
    <m/>
    <m/>
    <m/>
    <s v="INFASCO"/>
    <m/>
    <n v="97.85"/>
  </r>
  <r>
    <x v="880"/>
    <x v="3"/>
    <x v="7"/>
    <n v="30"/>
    <n v="700"/>
    <n v="21000"/>
    <m/>
    <m/>
    <m/>
    <m/>
    <m/>
    <m/>
    <m/>
    <m/>
    <m/>
    <m/>
    <m/>
    <m/>
    <m/>
    <m/>
    <m/>
    <m/>
    <s v="INFASCO"/>
    <m/>
    <n v="97.85"/>
  </r>
  <r>
    <x v="880"/>
    <x v="3"/>
    <x v="5"/>
    <n v="20"/>
    <n v="1000"/>
    <n v="20000"/>
    <m/>
    <m/>
    <m/>
    <m/>
    <m/>
    <m/>
    <m/>
    <m/>
    <m/>
    <m/>
    <m/>
    <m/>
    <m/>
    <m/>
    <m/>
    <m/>
    <s v="INFASCO"/>
    <m/>
    <n v="97.85"/>
  </r>
  <r>
    <x v="880"/>
    <x v="26"/>
    <x v="7"/>
    <n v="36"/>
    <n v="700"/>
    <n v="25200"/>
    <m/>
    <m/>
    <m/>
    <m/>
    <m/>
    <m/>
    <m/>
    <m/>
    <m/>
    <m/>
    <m/>
    <m/>
    <m/>
    <m/>
    <m/>
    <m/>
    <s v="INFASCO"/>
    <m/>
    <n v="97.85"/>
  </r>
  <r>
    <x v="880"/>
    <x v="26"/>
    <x v="7"/>
    <n v="26"/>
    <n v="700"/>
    <n v="18200"/>
    <m/>
    <m/>
    <m/>
    <m/>
    <m/>
    <m/>
    <m/>
    <m/>
    <m/>
    <m/>
    <m/>
    <m/>
    <m/>
    <m/>
    <m/>
    <m/>
    <s v="INFASCO"/>
    <m/>
    <n v="97.85"/>
  </r>
  <r>
    <x v="880"/>
    <x v="26"/>
    <x v="11"/>
    <n v="35"/>
    <n v="280"/>
    <n v="9800"/>
    <m/>
    <m/>
    <m/>
    <m/>
    <m/>
    <m/>
    <m/>
    <m/>
    <m/>
    <m/>
    <m/>
    <m/>
    <m/>
    <m/>
    <m/>
    <m/>
    <s v="INFASCO"/>
    <m/>
    <n v="97.85"/>
  </r>
  <r>
    <x v="881"/>
    <x v="31"/>
    <x v="154"/>
    <n v="50"/>
    <n v="1050"/>
    <n v="52500"/>
    <n v="327"/>
    <s v="Yes"/>
    <m/>
    <s v="Yes"/>
    <m/>
    <s v="Yes"/>
    <m/>
    <s v="Yes"/>
    <m/>
    <s v="N/A"/>
    <m/>
    <s v="Yes"/>
    <m/>
    <s v="Yes"/>
    <m/>
    <s v="Re-certified"/>
    <s v="INFASCO"/>
    <n v="787.5"/>
    <n v="787.5"/>
  </r>
  <r>
    <x v="880"/>
    <x v="13"/>
    <x v="7"/>
    <n v="32"/>
    <n v="700"/>
    <n v="22400"/>
    <m/>
    <m/>
    <m/>
    <m/>
    <m/>
    <m/>
    <m/>
    <m/>
    <m/>
    <m/>
    <m/>
    <m/>
    <m/>
    <m/>
    <m/>
    <m/>
    <s v="INFASCO"/>
    <m/>
    <n v="97.85"/>
  </r>
  <r>
    <x v="880"/>
    <x v="9"/>
    <x v="4"/>
    <n v="32"/>
    <n v="1200"/>
    <n v="38400"/>
    <m/>
    <m/>
    <m/>
    <m/>
    <m/>
    <m/>
    <m/>
    <m/>
    <m/>
    <m/>
    <m/>
    <m/>
    <m/>
    <m/>
    <m/>
    <m/>
    <s v="INFASCO"/>
    <m/>
    <n v="97.85"/>
  </r>
  <r>
    <x v="880"/>
    <x v="14"/>
    <x v="7"/>
    <n v="36"/>
    <n v="700"/>
    <n v="25200"/>
    <m/>
    <m/>
    <m/>
    <m/>
    <m/>
    <m/>
    <m/>
    <m/>
    <m/>
    <m/>
    <m/>
    <m/>
    <m/>
    <m/>
    <m/>
    <m/>
    <s v="INFASCO"/>
    <m/>
    <n v="97.85"/>
  </r>
  <r>
    <x v="882"/>
    <x v="10"/>
    <x v="33"/>
    <n v="9"/>
    <n v="145"/>
    <n v="1305"/>
    <s v="184+298"/>
    <s v="Yes"/>
    <m/>
    <s v="Yes"/>
    <m/>
    <s v="Yes"/>
    <m/>
    <s v="Yes"/>
    <m/>
    <s v="N/A"/>
    <m/>
    <s v="Yes"/>
    <m/>
    <s v="Yes"/>
    <m/>
    <s v="Re-certified"/>
    <s v="INFASCO"/>
    <n v="123.6"/>
    <n v="123.6"/>
  </r>
  <r>
    <x v="883"/>
    <x v="10"/>
    <x v="11"/>
    <n v="36"/>
    <n v="280"/>
    <n v="10080"/>
    <s v="184+298"/>
    <s v="Yes"/>
    <m/>
    <s v="Yes"/>
    <m/>
    <s v="Yes"/>
    <m/>
    <s v="Yes"/>
    <m/>
    <s v="N/A"/>
    <m/>
    <s v="Yes"/>
    <m/>
    <s v="Yes"/>
    <m/>
    <s v="New"/>
    <s v="INFASCO"/>
    <n v="97.85"/>
    <n v="97.85"/>
  </r>
  <r>
    <x v="884"/>
    <x v="10"/>
    <x v="11"/>
    <n v="36"/>
    <n v="280"/>
    <n v="10080"/>
    <s v="184+298"/>
    <s v="Yes"/>
    <m/>
    <s v="Yes"/>
    <m/>
    <s v="Yes"/>
    <m/>
    <s v="Yes"/>
    <m/>
    <s v="N/A"/>
    <m/>
    <s v="Yes"/>
    <m/>
    <s v="Yes"/>
    <m/>
    <s v="New"/>
    <s v="INFASCO"/>
    <n v="97.85"/>
    <n v="97.85"/>
  </r>
  <r>
    <x v="885"/>
    <x v="10"/>
    <x v="11"/>
    <n v="36"/>
    <n v="280"/>
    <n v="10080"/>
    <s v="184+298"/>
    <s v="Yes"/>
    <m/>
    <s v="Yes"/>
    <m/>
    <s v="Yes"/>
    <m/>
    <s v="Yes"/>
    <m/>
    <s v="N/A"/>
    <m/>
    <s v="Yes"/>
    <m/>
    <s v="Yes"/>
    <m/>
    <s v="New"/>
    <s v="INFASCO"/>
    <n v="97.85"/>
    <n v="97.85"/>
  </r>
  <r>
    <x v="886"/>
    <x v="10"/>
    <x v="11"/>
    <n v="36"/>
    <n v="280"/>
    <n v="10080"/>
    <s v="184+298"/>
    <s v="Yes"/>
    <m/>
    <s v="Yes"/>
    <m/>
    <s v="Yes"/>
    <m/>
    <s v="Yes"/>
    <m/>
    <s v="N/A"/>
    <m/>
    <s v="Yes"/>
    <m/>
    <s v="Yes"/>
    <m/>
    <s v="New"/>
    <s v="INFASCO"/>
    <n v="97.85"/>
    <n v="97.85"/>
  </r>
  <r>
    <x v="887"/>
    <x v="10"/>
    <x v="11"/>
    <n v="36"/>
    <n v="280"/>
    <n v="10080"/>
    <s v="184+298"/>
    <s v="Yes"/>
    <m/>
    <s v="Yes"/>
    <m/>
    <s v="Yes"/>
    <m/>
    <s v="Yes"/>
    <m/>
    <s v="N/A"/>
    <m/>
    <s v="Yes"/>
    <m/>
    <s v="Yes"/>
    <m/>
    <s v="New"/>
    <s v="INFASCO"/>
    <n v="97.85"/>
    <n v="97.85"/>
  </r>
  <r>
    <x v="888"/>
    <x v="10"/>
    <x v="11"/>
    <n v="36"/>
    <n v="280"/>
    <n v="10080"/>
    <s v="184+298"/>
    <s v="Yes"/>
    <m/>
    <s v="Yes"/>
    <m/>
    <s v="Yes"/>
    <m/>
    <s v="Yes"/>
    <m/>
    <s v="N/A"/>
    <m/>
    <s v="Yes"/>
    <m/>
    <s v="Yes"/>
    <m/>
    <s v="New"/>
    <s v="INFASCO"/>
    <n v="97.85"/>
    <n v="97.85"/>
  </r>
  <r>
    <x v="889"/>
    <x v="10"/>
    <x v="11"/>
    <n v="33"/>
    <n v="280"/>
    <n v="9240"/>
    <s v="184+298"/>
    <s v="Yes"/>
    <m/>
    <s v="Yes"/>
    <m/>
    <s v="Yes"/>
    <m/>
    <s v="Yes"/>
    <m/>
    <s v="N/A"/>
    <m/>
    <s v="Yes"/>
    <m/>
    <s v="Yes"/>
    <m/>
    <s v="New"/>
    <s v="INFASCO"/>
    <n v="97.85"/>
    <n v="97.85"/>
  </r>
  <r>
    <x v="890"/>
    <x v="8"/>
    <x v="62"/>
    <n v="12"/>
    <n v="7600"/>
    <n v="91200"/>
    <s v="011+186"/>
    <s v="Yes"/>
    <m/>
    <s v="Yes"/>
    <m/>
    <s v="Yes"/>
    <m/>
    <s v="Yes"/>
    <m/>
    <s v="N/A"/>
    <m/>
    <s v="Yes"/>
    <m/>
    <s v="Yes"/>
    <m/>
    <s v="New"/>
    <s v="INFASCO"/>
    <n v="123.6"/>
    <n v="123.6"/>
  </r>
  <r>
    <x v="891"/>
    <x v="8"/>
    <x v="120"/>
    <n v="42"/>
    <n v="1100"/>
    <n v="46200"/>
    <s v="011+186"/>
    <s v="Yes"/>
    <m/>
    <s v="Yes"/>
    <m/>
    <s v="Yes"/>
    <m/>
    <s v="Yes"/>
    <m/>
    <s v="N/A"/>
    <m/>
    <s v="Yes"/>
    <m/>
    <s v="Yes"/>
    <m/>
    <s v="New"/>
    <s v="INFASCO"/>
    <n v="97.85"/>
    <n v="97.85"/>
  </r>
  <r>
    <x v="892"/>
    <x v="8"/>
    <x v="45"/>
    <n v="1"/>
    <n v="1850"/>
    <n v="1850"/>
    <s v="011+186"/>
    <s v="Yes"/>
    <m/>
    <s v="Yes"/>
    <m/>
    <s v="Yes"/>
    <m/>
    <s v="Yes"/>
    <m/>
    <s v="N/A"/>
    <m/>
    <s v="Yes"/>
    <m/>
    <s v="Yes"/>
    <m/>
    <s v="New"/>
    <s v="INFASCO"/>
    <n v="71.7"/>
    <n v="71.7"/>
  </r>
  <r>
    <x v="893"/>
    <x v="8"/>
    <x v="99"/>
    <n v="1"/>
    <n v="65890"/>
    <n v="65890"/>
    <s v="011+186"/>
    <s v="Yes"/>
    <m/>
    <s v="Yes"/>
    <m/>
    <s v="Yes"/>
    <m/>
    <s v="Yes"/>
    <m/>
    <s v="N/A"/>
    <m/>
    <s v="Yes"/>
    <m/>
    <s v="Yes"/>
    <m/>
    <s v="New"/>
    <s v="INFASCO"/>
    <n v="118.45"/>
    <n v="118.45"/>
  </r>
  <r>
    <x v="894"/>
    <x v="8"/>
    <x v="196"/>
    <n v="28"/>
    <n v="1050"/>
    <n v="29400"/>
    <s v="11+186"/>
    <s v="Yes"/>
    <m/>
    <s v="Yes"/>
    <m/>
    <s v="Yes"/>
    <m/>
    <s v="Yes"/>
    <m/>
    <s v="N/A"/>
    <m/>
    <s v="Yes"/>
    <m/>
    <s v="Yes"/>
    <m/>
    <s v="New"/>
    <s v="INFASCO"/>
    <n v="97.85"/>
    <n v="97.85"/>
  </r>
  <r>
    <x v="895"/>
    <x v="8"/>
    <x v="11"/>
    <n v="36"/>
    <n v="280"/>
    <n v="10080"/>
    <s v="11+186"/>
    <s v="Yes"/>
    <m/>
    <s v="Yes"/>
    <m/>
    <s v="Yes"/>
    <m/>
    <s v="Yes"/>
    <m/>
    <s v="N/A"/>
    <m/>
    <s v="Yes"/>
    <m/>
    <s v="Yes"/>
    <m/>
    <s v="New"/>
    <s v="INFASCO"/>
    <n v="97.85"/>
    <n v="97.85"/>
  </r>
  <r>
    <x v="896"/>
    <x v="8"/>
    <x v="11"/>
    <n v="36"/>
    <n v="280"/>
    <n v="10080"/>
    <s v="11+186"/>
    <s v="Yes"/>
    <m/>
    <s v="Yes"/>
    <m/>
    <s v="Yes"/>
    <m/>
    <s v="Yes"/>
    <m/>
    <s v="N/A"/>
    <m/>
    <s v="Yes"/>
    <m/>
    <s v="Yes"/>
    <m/>
    <s v="New"/>
    <s v="INFASCO"/>
    <n v="97.85"/>
    <n v="97.85"/>
  </r>
  <r>
    <x v="897"/>
    <x v="8"/>
    <x v="11"/>
    <n v="36"/>
    <n v="280"/>
    <n v="10080"/>
    <s v="11+186"/>
    <s v="Yes"/>
    <m/>
    <s v="Yes"/>
    <m/>
    <s v="Yes"/>
    <m/>
    <s v="Yes"/>
    <m/>
    <s v="N/A"/>
    <m/>
    <s v="Yes"/>
    <m/>
    <s v="Yes"/>
    <m/>
    <s v="New"/>
    <s v="INFASCO"/>
    <n v="97.85"/>
    <n v="97.85"/>
  </r>
  <r>
    <x v="898"/>
    <x v="8"/>
    <x v="11"/>
    <n v="36"/>
    <n v="280"/>
    <n v="10080"/>
    <s v="11+186"/>
    <s v="Yes"/>
    <m/>
    <s v="Yes"/>
    <m/>
    <s v="Yes"/>
    <m/>
    <s v="Yes"/>
    <m/>
    <s v="N/A"/>
    <m/>
    <s v="Yes"/>
    <m/>
    <s v="Yes"/>
    <m/>
    <s v="New"/>
    <s v="INFASCO"/>
    <n v="97.85"/>
    <n v="97.85"/>
  </r>
  <r>
    <x v="899"/>
    <x v="8"/>
    <x v="11"/>
    <n v="36"/>
    <n v="280"/>
    <n v="10080"/>
    <s v="11+186"/>
    <s v="Yes"/>
    <m/>
    <s v="Yes"/>
    <m/>
    <s v="Yes"/>
    <m/>
    <s v="Yes"/>
    <m/>
    <s v="N/A"/>
    <m/>
    <s v="Yes"/>
    <m/>
    <s v="Yes"/>
    <m/>
    <s v="New"/>
    <s v="INFASCO"/>
    <n v="97.85"/>
    <n v="97.85"/>
  </r>
  <r>
    <x v="900"/>
    <x v="8"/>
    <x v="11"/>
    <n v="36"/>
    <n v="280"/>
    <n v="10080"/>
    <s v="11+186"/>
    <s v="Yes"/>
    <m/>
    <s v="Yes"/>
    <m/>
    <s v="Yes"/>
    <m/>
    <s v="Yes"/>
    <m/>
    <s v="N/A"/>
    <m/>
    <s v="Yes"/>
    <m/>
    <s v="Yes"/>
    <m/>
    <s v="New"/>
    <s v="INFASCO"/>
    <n v="97.85"/>
    <n v="97.85"/>
  </r>
  <r>
    <x v="880"/>
    <x v="18"/>
    <x v="45"/>
    <n v="32"/>
    <n v="1850"/>
    <n v="59200"/>
    <m/>
    <m/>
    <m/>
    <m/>
    <m/>
    <m/>
    <m/>
    <m/>
    <m/>
    <m/>
    <m/>
    <m/>
    <m/>
    <m/>
    <m/>
    <m/>
    <s v="INFASCO"/>
    <m/>
    <n v="226.6"/>
  </r>
  <r>
    <x v="901"/>
    <x v="18"/>
    <x v="45"/>
    <n v="18"/>
    <n v="1850"/>
    <n v="33300"/>
    <s v="156+185"/>
    <s v="Yes"/>
    <m/>
    <s v="Yes"/>
    <m/>
    <s v="Yes"/>
    <m/>
    <s v="Yes"/>
    <m/>
    <s v="N/A"/>
    <m/>
    <s v="Yes"/>
    <m/>
    <s v="Yes"/>
    <m/>
    <s v="New"/>
    <s v="INFASCO"/>
    <n v="71.7"/>
    <n v="71.7"/>
  </r>
  <r>
    <x v="902"/>
    <x v="17"/>
    <x v="104"/>
    <n v="31"/>
    <n v="550"/>
    <n v="17050"/>
    <s v="187+171"/>
    <s v="Yes"/>
    <m/>
    <s v="Yes"/>
    <m/>
    <s v="Yes"/>
    <m/>
    <s v="Yes"/>
    <m/>
    <s v="N/A"/>
    <m/>
    <s v="Yes"/>
    <m/>
    <s v="Yes"/>
    <m/>
    <s v="Re-certified"/>
    <s v="INFASCO"/>
    <n v="123.6"/>
    <n v="247.2"/>
  </r>
  <r>
    <x v="880"/>
    <x v="17"/>
    <x v="104"/>
    <n v="15"/>
    <n v="550"/>
    <n v="8250"/>
    <s v="187+171"/>
    <s v="Yes"/>
    <m/>
    <s v="Yes"/>
    <m/>
    <s v="Yes"/>
    <m/>
    <s v="Yes"/>
    <m/>
    <s v="N/A"/>
    <m/>
    <s v="Yes"/>
    <m/>
    <s v="Yes"/>
    <m/>
    <s v="Re-certified"/>
    <s v="INFASCO"/>
    <n v="123.6"/>
    <n v="247.2"/>
  </r>
  <r>
    <x v="903"/>
    <x v="10"/>
    <x v="73"/>
    <n v="36"/>
    <n v="350"/>
    <n v="12600"/>
    <s v="184+298"/>
    <s v="Yes"/>
    <m/>
    <s v="Yes"/>
    <m/>
    <s v="Yes"/>
    <m/>
    <s v="Yes"/>
    <m/>
    <s v="N/A"/>
    <m/>
    <s v="Yes"/>
    <m/>
    <s v="Yes"/>
    <m/>
    <s v="New"/>
    <s v="INFASCO"/>
    <n v="97.85"/>
    <n v="97.85"/>
  </r>
  <r>
    <x v="904"/>
    <x v="10"/>
    <x v="73"/>
    <n v="36"/>
    <n v="350"/>
    <n v="12600"/>
    <s v="184+298"/>
    <s v="Yes"/>
    <m/>
    <s v="Yes"/>
    <m/>
    <s v="Yes"/>
    <m/>
    <s v="Yes"/>
    <m/>
    <s v="N/A"/>
    <m/>
    <s v="Yes"/>
    <m/>
    <s v="Yes"/>
    <m/>
    <s v="New"/>
    <s v="INFASCO"/>
    <n v="97.85"/>
    <n v="97.85"/>
  </r>
  <r>
    <x v="905"/>
    <x v="8"/>
    <x v="73"/>
    <n v="36"/>
    <n v="350"/>
    <n v="12600"/>
    <s v="11+186"/>
    <s v="Yes"/>
    <m/>
    <s v="Yes"/>
    <m/>
    <s v="Yes"/>
    <m/>
    <s v="Yes"/>
    <m/>
    <s v="N/A"/>
    <m/>
    <s v="Yes"/>
    <m/>
    <s v="Yes"/>
    <m/>
    <s v="New"/>
    <s v="INFASCO"/>
    <n v="97.85"/>
    <n v="97.85"/>
  </r>
  <r>
    <x v="906"/>
    <x v="8"/>
    <x v="73"/>
    <n v="36"/>
    <n v="350"/>
    <n v="12600"/>
    <s v="11+186"/>
    <s v="Yes"/>
    <m/>
    <s v="Yes"/>
    <m/>
    <s v="Yes"/>
    <m/>
    <s v="Yes"/>
    <m/>
    <s v="N/A"/>
    <m/>
    <s v="Yes"/>
    <m/>
    <s v="Yes"/>
    <m/>
    <s v="New"/>
    <s v="INFASCO"/>
    <n v="97.85"/>
    <n v="97.85"/>
  </r>
  <r>
    <x v="907"/>
    <x v="8"/>
    <x v="73"/>
    <n v="36"/>
    <n v="350"/>
    <n v="12600"/>
    <s v="11+186"/>
    <s v="Yes"/>
    <m/>
    <s v="Yes"/>
    <m/>
    <s v="Yes"/>
    <m/>
    <s v="Yes"/>
    <m/>
    <s v="N/A"/>
    <m/>
    <s v="Yes"/>
    <m/>
    <s v="Yes"/>
    <m/>
    <s v="New"/>
    <s v="INFASCO"/>
    <n v="97.85"/>
    <n v="97.85"/>
  </r>
  <r>
    <x v="908"/>
    <x v="8"/>
    <x v="73"/>
    <n v="36"/>
    <n v="350"/>
    <n v="12600"/>
    <s v="11+186"/>
    <s v="Yes"/>
    <m/>
    <s v="Yes"/>
    <m/>
    <s v="Yes"/>
    <m/>
    <s v="Yes"/>
    <m/>
    <s v="N/A"/>
    <m/>
    <s v="Yes"/>
    <m/>
    <s v="Yes"/>
    <m/>
    <s v="New"/>
    <s v="INFASCO"/>
    <n v="97.85"/>
    <n v="97.85"/>
  </r>
  <r>
    <x v="909"/>
    <x v="10"/>
    <x v="78"/>
    <n v="1"/>
    <n v="41000"/>
    <n v="41000"/>
    <s v="184+298"/>
    <s v="Yes"/>
    <m/>
    <s v="Yes"/>
    <m/>
    <s v="Yes"/>
    <m/>
    <s v="Yes"/>
    <m/>
    <s v="N/A"/>
    <m/>
    <s v="Yes"/>
    <m/>
    <s v="Yes"/>
    <m/>
    <s v="New"/>
    <s v="INFASCO"/>
    <n v="118.45"/>
    <n v="118.45"/>
  </r>
  <r>
    <x v="910"/>
    <x v="10"/>
    <x v="197"/>
    <n v="26"/>
    <n v="850"/>
    <n v="22100"/>
    <s v="185+187"/>
    <s v="Yes"/>
    <m/>
    <s v="Yes"/>
    <m/>
    <s v="Yes"/>
    <m/>
    <s v="Yes"/>
    <m/>
    <s v="N/A"/>
    <m/>
    <s v="Yes"/>
    <m/>
    <s v="Yes"/>
    <m/>
    <s v="New"/>
    <e v="#N/A"/>
    <n v="97.85"/>
    <n v="97.85"/>
  </r>
  <r>
    <x v="911"/>
    <x v="10"/>
    <x v="78"/>
    <n v="1"/>
    <n v="44000"/>
    <n v="44000"/>
    <s v="184+298"/>
    <s v="Yes"/>
    <m/>
    <s v="Yes"/>
    <m/>
    <s v="Yes"/>
    <m/>
    <s v="Yes"/>
    <m/>
    <s v="N/A"/>
    <m/>
    <s v="Yes"/>
    <m/>
    <s v="Yes"/>
    <m/>
    <s v="New"/>
    <s v="INFASCO"/>
    <n v="118.45"/>
    <n v="118.45"/>
  </r>
  <r>
    <x v="912"/>
    <x v="8"/>
    <x v="197"/>
    <n v="36"/>
    <n v="850"/>
    <n v="30600"/>
    <s v="11+186"/>
    <s v="Yes"/>
    <m/>
    <s v="Yes"/>
    <m/>
    <s v="Yes"/>
    <m/>
    <s v="Yes"/>
    <m/>
    <s v="N/A"/>
    <m/>
    <s v="Yes"/>
    <m/>
    <s v="Yes"/>
    <m/>
    <s v="New"/>
    <e v="#N/A"/>
    <n v="97.85"/>
    <n v="97.85"/>
  </r>
  <r>
    <x v="913"/>
    <x v="8"/>
    <x v="197"/>
    <n v="23"/>
    <n v="850"/>
    <n v="19550"/>
    <s v="11+186"/>
    <s v="Yes"/>
    <m/>
    <s v="Yes"/>
    <m/>
    <s v="Yes"/>
    <m/>
    <s v="Yes"/>
    <m/>
    <s v="N/A"/>
    <m/>
    <s v="Yes"/>
    <m/>
    <s v="Yes"/>
    <m/>
    <s v="New"/>
    <e v="#N/A"/>
    <n v="97.85"/>
    <n v="97.85"/>
  </r>
  <r>
    <x v="914"/>
    <x v="10"/>
    <x v="78"/>
    <n v="1"/>
    <n v="35000"/>
    <n v="35000"/>
    <s v="184+298"/>
    <s v="Yes"/>
    <m/>
    <s v="Yes"/>
    <m/>
    <s v="Yes"/>
    <m/>
    <s v="Yes"/>
    <m/>
    <s v="N/A"/>
    <m/>
    <s v="Yes"/>
    <m/>
    <s v="Yes"/>
    <m/>
    <s v="New"/>
    <s v="INFASCO"/>
    <n v="118.45"/>
    <n v="118.45"/>
  </r>
  <r>
    <x v="915"/>
    <x v="17"/>
    <x v="197"/>
    <n v="23"/>
    <n v="850"/>
    <n v="19550"/>
    <s v="185+187"/>
    <s v="Yes"/>
    <m/>
    <s v="Yes"/>
    <m/>
    <s v="Yes"/>
    <m/>
    <s v="Yes"/>
    <m/>
    <s v="N/A"/>
    <m/>
    <s v="Yes"/>
    <m/>
    <s v="Yes"/>
    <m/>
    <s v="New"/>
    <e v="#N/A"/>
    <s v="N/A"/>
    <n v="97.85"/>
  </r>
  <r>
    <x v="916"/>
    <x v="17"/>
    <x v="62"/>
    <n v="8"/>
    <n v="7600"/>
    <n v="60800"/>
    <s v="185+187"/>
    <s v="Yes"/>
    <m/>
    <s v="Yes"/>
    <m/>
    <s v="Yes"/>
    <m/>
    <s v="Yes"/>
    <m/>
    <s v="N/A"/>
    <m/>
    <s v="Yes"/>
    <m/>
    <s v="Yes"/>
    <m/>
    <s v="New"/>
    <s v="INFASCO"/>
    <s v="N/A"/>
    <n v="123.6"/>
  </r>
  <r>
    <x v="917"/>
    <x v="10"/>
    <x v="78"/>
    <n v="1"/>
    <n v="35000"/>
    <n v="35000"/>
    <s v="184+298"/>
    <s v="Yes"/>
    <m/>
    <s v="Yes"/>
    <m/>
    <s v="Yes"/>
    <m/>
    <s v="Yes"/>
    <m/>
    <s v="N/A"/>
    <m/>
    <s v="Yes"/>
    <m/>
    <s v="Yes"/>
    <m/>
    <s v="New"/>
    <s v="INFASCO"/>
    <n v="118.45"/>
    <n v="118.45"/>
  </r>
  <r>
    <x v="918"/>
    <x v="2"/>
    <x v="160"/>
    <n v="36"/>
    <n v="3300"/>
    <n v="118800"/>
    <m/>
    <m/>
    <m/>
    <m/>
    <m/>
    <m/>
    <m/>
    <m/>
    <m/>
    <m/>
    <m/>
    <m/>
    <m/>
    <m/>
    <m/>
    <m/>
    <s v="INFASCO"/>
    <m/>
    <n v="97.85"/>
  </r>
  <r>
    <x v="918"/>
    <x v="6"/>
    <x v="46"/>
    <n v="36"/>
    <n v="2150"/>
    <n v="77400"/>
    <m/>
    <m/>
    <m/>
    <m/>
    <m/>
    <m/>
    <m/>
    <m/>
    <m/>
    <m/>
    <m/>
    <m/>
    <m/>
    <m/>
    <m/>
    <m/>
    <s v="INFASCO"/>
    <m/>
    <n v="97.85"/>
  </r>
  <r>
    <x v="918"/>
    <x v="6"/>
    <x v="46"/>
    <n v="36"/>
    <n v="2150"/>
    <n v="77400"/>
    <m/>
    <m/>
    <m/>
    <m/>
    <m/>
    <m/>
    <m/>
    <m/>
    <m/>
    <m/>
    <m/>
    <m/>
    <m/>
    <m/>
    <m/>
    <m/>
    <s v="INFASCO"/>
    <m/>
    <n v="97.85"/>
  </r>
  <r>
    <x v="918"/>
    <x v="12"/>
    <x v="37"/>
    <n v="29"/>
    <n v="2500"/>
    <n v="72500"/>
    <m/>
    <m/>
    <m/>
    <m/>
    <m/>
    <m/>
    <m/>
    <m/>
    <m/>
    <m/>
    <m/>
    <m/>
    <m/>
    <m/>
    <m/>
    <m/>
    <s v="INFASCO"/>
    <m/>
    <n v="97.85"/>
  </r>
  <r>
    <x v="918"/>
    <x v="12"/>
    <x v="98"/>
    <n v="36"/>
    <n v="2000"/>
    <n v="72000"/>
    <m/>
    <m/>
    <m/>
    <m/>
    <m/>
    <m/>
    <m/>
    <m/>
    <m/>
    <m/>
    <m/>
    <m/>
    <m/>
    <m/>
    <m/>
    <m/>
    <s v="INFASCO"/>
    <m/>
    <n v="97.85"/>
  </r>
  <r>
    <x v="918"/>
    <x v="9"/>
    <x v="37"/>
    <n v="22"/>
    <n v="2500"/>
    <n v="55000"/>
    <m/>
    <m/>
    <m/>
    <m/>
    <m/>
    <m/>
    <m/>
    <m/>
    <m/>
    <m/>
    <m/>
    <m/>
    <m/>
    <m/>
    <m/>
    <m/>
    <s v="INFASCO"/>
    <m/>
    <n v="97.85"/>
  </r>
  <r>
    <x v="918"/>
    <x v="19"/>
    <x v="83"/>
    <n v="29"/>
    <n v="1800"/>
    <n v="52200"/>
    <m/>
    <m/>
    <m/>
    <m/>
    <m/>
    <m/>
    <m/>
    <m/>
    <m/>
    <m/>
    <m/>
    <m/>
    <m/>
    <m/>
    <m/>
    <m/>
    <s v="INFASCO"/>
    <m/>
    <n v="123.6"/>
  </r>
  <r>
    <x v="918"/>
    <x v="17"/>
    <x v="18"/>
    <n v="36"/>
    <n v="1200"/>
    <n v="43200"/>
    <m/>
    <m/>
    <m/>
    <m/>
    <m/>
    <m/>
    <m/>
    <m/>
    <m/>
    <m/>
    <m/>
    <m/>
    <m/>
    <m/>
    <m/>
    <m/>
    <s v="INFASCO"/>
    <m/>
    <n v="97.85"/>
  </r>
  <r>
    <x v="918"/>
    <x v="1"/>
    <x v="5"/>
    <n v="36"/>
    <n v="1000"/>
    <n v="36000"/>
    <m/>
    <m/>
    <m/>
    <m/>
    <m/>
    <m/>
    <m/>
    <m/>
    <m/>
    <m/>
    <m/>
    <m/>
    <m/>
    <m/>
    <m/>
    <m/>
    <s v="INFASCO"/>
    <m/>
    <n v="97.85"/>
  </r>
  <r>
    <x v="918"/>
    <x v="11"/>
    <x v="5"/>
    <n v="36"/>
    <n v="1000"/>
    <n v="36000"/>
    <m/>
    <m/>
    <m/>
    <m/>
    <m/>
    <m/>
    <m/>
    <m/>
    <m/>
    <m/>
    <m/>
    <m/>
    <m/>
    <m/>
    <m/>
    <m/>
    <s v="INFASCO"/>
    <m/>
    <n v="97.85"/>
  </r>
  <r>
    <x v="918"/>
    <x v="4"/>
    <x v="5"/>
    <n v="36"/>
    <n v="1000"/>
    <n v="36000"/>
    <m/>
    <m/>
    <m/>
    <m/>
    <m/>
    <m/>
    <m/>
    <m/>
    <m/>
    <m/>
    <m/>
    <m/>
    <m/>
    <m/>
    <m/>
    <m/>
    <s v="INFASCO"/>
    <m/>
    <n v="97.85"/>
  </r>
  <r>
    <x v="918"/>
    <x v="4"/>
    <x v="5"/>
    <n v="36"/>
    <n v="1000"/>
    <n v="36000"/>
    <m/>
    <m/>
    <m/>
    <m/>
    <m/>
    <m/>
    <m/>
    <m/>
    <m/>
    <m/>
    <m/>
    <m/>
    <m/>
    <m/>
    <m/>
    <m/>
    <s v="INFASCO"/>
    <m/>
    <n v="97.85"/>
  </r>
  <r>
    <x v="918"/>
    <x v="26"/>
    <x v="5"/>
    <n v="36"/>
    <n v="1000"/>
    <n v="36000"/>
    <m/>
    <m/>
    <m/>
    <m/>
    <m/>
    <m/>
    <m/>
    <m/>
    <m/>
    <m/>
    <m/>
    <m/>
    <m/>
    <m/>
    <m/>
    <m/>
    <s v="INFASCO"/>
    <m/>
    <n v="97.85"/>
  </r>
  <r>
    <x v="918"/>
    <x v="26"/>
    <x v="5"/>
    <n v="36"/>
    <n v="1000"/>
    <n v="36000"/>
    <m/>
    <m/>
    <m/>
    <m/>
    <m/>
    <m/>
    <m/>
    <m/>
    <m/>
    <m/>
    <m/>
    <m/>
    <m/>
    <m/>
    <m/>
    <m/>
    <s v="INFASCO"/>
    <m/>
    <n v="97.85"/>
  </r>
  <r>
    <x v="918"/>
    <x v="26"/>
    <x v="5"/>
    <n v="36"/>
    <n v="1000"/>
    <n v="36000"/>
    <m/>
    <m/>
    <m/>
    <m/>
    <m/>
    <m/>
    <m/>
    <m/>
    <m/>
    <m/>
    <m/>
    <m/>
    <m/>
    <m/>
    <m/>
    <m/>
    <s v="INFASCO"/>
    <m/>
    <n v="97.85"/>
  </r>
  <r>
    <x v="918"/>
    <x v="18"/>
    <x v="18"/>
    <n v="28"/>
    <n v="1200"/>
    <n v="33600"/>
    <s v="185-188"/>
    <m/>
    <m/>
    <m/>
    <m/>
    <m/>
    <m/>
    <m/>
    <m/>
    <m/>
    <m/>
    <m/>
    <m/>
    <m/>
    <m/>
    <m/>
    <s v="INFASCO"/>
    <m/>
    <n v="97.85"/>
  </r>
  <r>
    <x v="918"/>
    <x v="17"/>
    <x v="197"/>
    <n v="36"/>
    <n v="850"/>
    <n v="30600"/>
    <m/>
    <m/>
    <m/>
    <m/>
    <m/>
    <m/>
    <m/>
    <m/>
    <m/>
    <m/>
    <m/>
    <m/>
    <m/>
    <m/>
    <m/>
    <m/>
    <s v="INFASCO"/>
    <m/>
    <n v="97.85"/>
  </r>
  <r>
    <x v="918"/>
    <x v="7"/>
    <x v="5"/>
    <n v="30"/>
    <n v="1000"/>
    <n v="30000"/>
    <m/>
    <m/>
    <m/>
    <m/>
    <m/>
    <m/>
    <m/>
    <m/>
    <m/>
    <m/>
    <m/>
    <m/>
    <m/>
    <m/>
    <m/>
    <m/>
    <s v="INFASCO"/>
    <m/>
    <n v="97.85"/>
  </r>
  <r>
    <x v="918"/>
    <x v="14"/>
    <x v="7"/>
    <n v="36"/>
    <n v="700"/>
    <n v="25200"/>
    <m/>
    <m/>
    <m/>
    <m/>
    <m/>
    <m/>
    <m/>
    <m/>
    <m/>
    <m/>
    <m/>
    <m/>
    <m/>
    <m/>
    <m/>
    <m/>
    <s v="INFASCO"/>
    <m/>
    <n v="97.85"/>
  </r>
  <r>
    <x v="918"/>
    <x v="16"/>
    <x v="7"/>
    <n v="36"/>
    <n v="700"/>
    <n v="25200"/>
    <m/>
    <m/>
    <m/>
    <m/>
    <m/>
    <m/>
    <m/>
    <m/>
    <m/>
    <m/>
    <m/>
    <m/>
    <m/>
    <m/>
    <m/>
    <m/>
    <s v="INFASCO"/>
    <m/>
    <n v="97.85"/>
  </r>
  <r>
    <x v="918"/>
    <x v="18"/>
    <x v="45"/>
    <n v="12"/>
    <n v="1850"/>
    <n v="22200"/>
    <m/>
    <m/>
    <m/>
    <m/>
    <m/>
    <m/>
    <m/>
    <m/>
    <m/>
    <m/>
    <m/>
    <m/>
    <m/>
    <m/>
    <m/>
    <m/>
    <s v="INFASCO"/>
    <m/>
    <n v="226.6"/>
  </r>
  <r>
    <x v="918"/>
    <x v="14"/>
    <x v="7"/>
    <n v="31"/>
    <n v="700"/>
    <n v="21700"/>
    <m/>
    <m/>
    <m/>
    <m/>
    <m/>
    <m/>
    <m/>
    <m/>
    <m/>
    <m/>
    <m/>
    <m/>
    <m/>
    <m/>
    <m/>
    <m/>
    <s v="INFASCO"/>
    <m/>
    <n v="97.85"/>
  </r>
  <r>
    <x v="918"/>
    <x v="3"/>
    <x v="7"/>
    <n v="30"/>
    <n v="700"/>
    <n v="21000"/>
    <m/>
    <m/>
    <m/>
    <m/>
    <m/>
    <m/>
    <m/>
    <m/>
    <m/>
    <m/>
    <m/>
    <m/>
    <m/>
    <m/>
    <m/>
    <m/>
    <s v="INFASCO"/>
    <m/>
    <n v="97.85"/>
  </r>
  <r>
    <x v="918"/>
    <x v="13"/>
    <x v="7"/>
    <n v="30"/>
    <n v="700"/>
    <n v="21000"/>
    <m/>
    <m/>
    <m/>
    <m/>
    <m/>
    <m/>
    <m/>
    <m/>
    <m/>
    <m/>
    <m/>
    <m/>
    <m/>
    <m/>
    <m/>
    <m/>
    <s v="INFASCO"/>
    <m/>
    <n v="97.85"/>
  </r>
  <r>
    <x v="918"/>
    <x v="3"/>
    <x v="5"/>
    <n v="19"/>
    <n v="1000"/>
    <n v="19000"/>
    <m/>
    <m/>
    <m/>
    <m/>
    <m/>
    <m/>
    <m/>
    <m/>
    <m/>
    <m/>
    <m/>
    <m/>
    <m/>
    <m/>
    <m/>
    <m/>
    <s v="INFASCO"/>
    <m/>
    <n v="97.85"/>
  </r>
  <r>
    <x v="918"/>
    <x v="17"/>
    <x v="73"/>
    <n v="32"/>
    <n v="350"/>
    <n v="11200"/>
    <s v="185+187"/>
    <s v="Yes"/>
    <m/>
    <s v="Yes"/>
    <m/>
    <s v="Yes"/>
    <m/>
    <s v="Yes"/>
    <m/>
    <s v="N/A"/>
    <m/>
    <s v="Yes"/>
    <m/>
    <s v="Yes"/>
    <m/>
    <s v="New"/>
    <s v="INFASCO"/>
    <n v="97.85"/>
    <n v="97.85"/>
  </r>
  <r>
    <x v="918"/>
    <x v="12"/>
    <x v="98"/>
    <n v="36"/>
    <n v="200"/>
    <n v="7200"/>
    <m/>
    <m/>
    <m/>
    <m/>
    <m/>
    <m/>
    <m/>
    <m/>
    <m/>
    <m/>
    <m/>
    <m/>
    <m/>
    <m/>
    <m/>
    <m/>
    <s v="INFASCO"/>
    <m/>
    <n v="97.85"/>
  </r>
  <r>
    <x v="918"/>
    <x v="17"/>
    <x v="104"/>
    <n v="8"/>
    <n v="550"/>
    <n v="4400"/>
    <m/>
    <m/>
    <m/>
    <m/>
    <m/>
    <m/>
    <m/>
    <m/>
    <m/>
    <m/>
    <m/>
    <m/>
    <m/>
    <m/>
    <m/>
    <m/>
    <s v="INFASCO"/>
    <m/>
    <n v="123.6"/>
  </r>
  <r>
    <x v="918"/>
    <x v="17"/>
    <x v="45"/>
    <n v="1"/>
    <m/>
    <n v="0"/>
    <m/>
    <m/>
    <m/>
    <m/>
    <m/>
    <m/>
    <m/>
    <m/>
    <m/>
    <m/>
    <m/>
    <m/>
    <m/>
    <m/>
    <m/>
    <m/>
    <s v="INFASCO"/>
    <m/>
    <n v="71.069999999999993"/>
  </r>
  <r>
    <x v="918"/>
    <x v="17"/>
    <x v="45"/>
    <n v="1"/>
    <m/>
    <n v="0"/>
    <m/>
    <m/>
    <m/>
    <m/>
    <m/>
    <m/>
    <m/>
    <m/>
    <m/>
    <m/>
    <m/>
    <m/>
    <m/>
    <m/>
    <m/>
    <m/>
    <s v="INFASCO"/>
    <m/>
    <n v="71.069999999999993"/>
  </r>
  <r>
    <x v="919"/>
    <x v="8"/>
    <x v="198"/>
    <n v="24"/>
    <n v="3750"/>
    <n v="90000"/>
    <s v="11+186"/>
    <s v="Yes"/>
    <m/>
    <s v="Yes"/>
    <m/>
    <s v="Yes"/>
    <m/>
    <s v="Yes"/>
    <m/>
    <s v="N/A"/>
    <m/>
    <s v="Yes"/>
    <m/>
    <s v="Yes"/>
    <m/>
    <s v="New"/>
    <e v="#N/A"/>
    <n v="97.85"/>
    <n v="97.85"/>
  </r>
  <r>
    <x v="920"/>
    <x v="10"/>
    <x v="125"/>
    <n v="1"/>
    <n v="74000"/>
    <n v="74000"/>
    <s v="184+298"/>
    <s v="Yes"/>
    <m/>
    <s v="Yes"/>
    <m/>
    <s v="Yes"/>
    <m/>
    <s v="Yes"/>
    <m/>
    <s v="N/A"/>
    <m/>
    <s v="Yes"/>
    <m/>
    <s v="Yes"/>
    <m/>
    <s v="New"/>
    <s v="INFASCO"/>
    <n v="47.38"/>
    <n v="47.38"/>
  </r>
  <r>
    <x v="921"/>
    <x v="8"/>
    <x v="73"/>
    <n v="36"/>
    <n v="350"/>
    <n v="12600"/>
    <s v="11+186"/>
    <s v="Yes"/>
    <m/>
    <s v="Yes"/>
    <m/>
    <s v="Yes"/>
    <m/>
    <s v="Yes"/>
    <m/>
    <s v="N/A"/>
    <m/>
    <s v="Yes"/>
    <m/>
    <s v="Yes"/>
    <m/>
    <s v="New"/>
    <s v="INFASCO"/>
    <n v="97.85"/>
    <n v="97.85"/>
  </r>
  <r>
    <x v="922"/>
    <x v="10"/>
    <x v="99"/>
    <n v="1"/>
    <n v="65000"/>
    <n v="65000"/>
    <s v="184+298"/>
    <s v="Yes"/>
    <m/>
    <s v="Yes"/>
    <m/>
    <s v="Yes"/>
    <m/>
    <s v="Yes"/>
    <m/>
    <s v="N/A"/>
    <m/>
    <s v="Yes"/>
    <m/>
    <s v="Yes"/>
    <m/>
    <s v="New"/>
    <s v="INFASCO"/>
    <n v="118.45"/>
    <n v="118.45"/>
  </r>
  <r>
    <x v="923"/>
    <x v="8"/>
    <x v="73"/>
    <n v="36"/>
    <n v="350"/>
    <n v="12600"/>
    <s v="11+186"/>
    <s v="Yes"/>
    <m/>
    <s v="Yes"/>
    <m/>
    <s v="Yes"/>
    <m/>
    <s v="Yes"/>
    <m/>
    <s v="N/A"/>
    <m/>
    <s v="Yes"/>
    <m/>
    <s v="Yes"/>
    <m/>
    <s v="New"/>
    <s v="INFASCO"/>
    <n v="97.85"/>
    <n v="97.85"/>
  </r>
  <r>
    <x v="924"/>
    <x v="8"/>
    <x v="73"/>
    <n v="22"/>
    <n v="350"/>
    <n v="7700"/>
    <s v="11+186"/>
    <s v="Yes"/>
    <m/>
    <s v="Yes"/>
    <m/>
    <s v="Yes"/>
    <m/>
    <s v="Yes"/>
    <m/>
    <s v="N/A"/>
    <m/>
    <s v="Yes"/>
    <m/>
    <s v="Yes"/>
    <m/>
    <s v="New"/>
    <s v="INFASCO"/>
    <n v="97.85"/>
    <n v="97.85"/>
  </r>
  <r>
    <x v="925"/>
    <x v="8"/>
    <x v="54"/>
    <n v="34"/>
    <n v="700"/>
    <n v="23800"/>
    <n v="12.909090909090908"/>
    <s v="Yes"/>
    <m/>
    <s v="Yes"/>
    <m/>
    <s v="Yes"/>
    <m/>
    <s v="Yes"/>
    <m/>
    <s v="N/A"/>
    <m/>
    <s v="Yes"/>
    <m/>
    <s v="Yes"/>
    <m/>
    <s v="New"/>
    <s v="INFASCO"/>
    <n v="97.85"/>
    <n v="97.85"/>
  </r>
  <r>
    <x v="926"/>
    <x v="8"/>
    <x v="186"/>
    <n v="20"/>
    <n v="1500"/>
    <n v="30000"/>
    <n v="12.909090909090908"/>
    <s v="Yes"/>
    <m/>
    <s v="Yes"/>
    <m/>
    <s v="Yes"/>
    <m/>
    <s v="Yes"/>
    <m/>
    <s v="N/A"/>
    <m/>
    <s v="Yes"/>
    <m/>
    <s v="Yes"/>
    <m/>
    <s v="New"/>
    <s v="INFASCO"/>
    <n v="123.6"/>
    <n v="123.6"/>
  </r>
  <r>
    <x v="927"/>
    <x v="17"/>
    <x v="186"/>
    <n v="23"/>
    <n v="1500"/>
    <n v="34500"/>
    <n v="168"/>
    <s v="Yes"/>
    <m/>
    <s v="Yes"/>
    <m/>
    <s v="Yes"/>
    <m/>
    <s v="Yes"/>
    <m/>
    <s v="N/A"/>
    <m/>
    <s v="Yes"/>
    <m/>
    <s v="Yes"/>
    <m/>
    <s v="New"/>
    <s v="INFASCO"/>
    <n v="123.6"/>
    <n v="123.6"/>
  </r>
  <r>
    <x v="928"/>
    <x v="10"/>
    <x v="54"/>
    <n v="36"/>
    <n v="700"/>
    <n v="25200"/>
    <s v="156+298"/>
    <s v="Yes"/>
    <m/>
    <s v="Yes"/>
    <m/>
    <s v="Yes"/>
    <m/>
    <s v="Yes"/>
    <m/>
    <s v="N/A"/>
    <m/>
    <s v="Yes"/>
    <m/>
    <s v="Yes"/>
    <m/>
    <s v="New"/>
    <s v="INFASCO"/>
    <n v="97.85"/>
    <n v="97.85"/>
  </r>
  <r>
    <x v="929"/>
    <x v="10"/>
    <x v="54"/>
    <n v="31"/>
    <n v="700"/>
    <n v="21700"/>
    <s v="156+298"/>
    <s v="Yes"/>
    <m/>
    <s v="Yes"/>
    <m/>
    <s v="Yes"/>
    <m/>
    <s v="Yes"/>
    <m/>
    <s v="N/A"/>
    <m/>
    <s v="Yes"/>
    <m/>
    <s v="Yes"/>
    <m/>
    <s v="New"/>
    <s v="INFASCO"/>
    <n v="97.85"/>
    <n v="97.85"/>
  </r>
  <r>
    <x v="930"/>
    <x v="17"/>
    <x v="186"/>
    <n v="29"/>
    <n v="1500"/>
    <n v="43500"/>
    <n v="168"/>
    <s v="Yes"/>
    <m/>
    <s v="Yes"/>
    <m/>
    <s v="Yes"/>
    <m/>
    <s v="Yes"/>
    <m/>
    <s v="N/A"/>
    <m/>
    <s v="Yes"/>
    <m/>
    <s v="Yes"/>
    <m/>
    <s v="New"/>
    <s v="INFASCO"/>
    <n v="123.6"/>
    <n v="123.6"/>
  </r>
  <r>
    <x v="931"/>
    <x v="17"/>
    <x v="186"/>
    <n v="35"/>
    <n v="1500"/>
    <n v="52500"/>
    <n v="168"/>
    <s v="Yes"/>
    <m/>
    <s v="Yes"/>
    <m/>
    <s v="Yes"/>
    <m/>
    <s v="Yes"/>
    <m/>
    <s v="N/A"/>
    <m/>
    <s v="Yes"/>
    <m/>
    <s v="Yes"/>
    <m/>
    <s v="New"/>
    <s v="INFASCO"/>
    <n v="123.6"/>
    <n v="123.6"/>
  </r>
  <r>
    <x v="932"/>
    <x v="10"/>
    <x v="118"/>
    <n v="36"/>
    <n v="300"/>
    <n v="10800"/>
    <s v="156+298"/>
    <s v="Yes"/>
    <m/>
    <s v="Yes"/>
    <m/>
    <s v="Yes"/>
    <m/>
    <s v="Yes"/>
    <m/>
    <s v="N/A"/>
    <m/>
    <s v="Yes"/>
    <m/>
    <s v="Yes"/>
    <m/>
    <s v="New"/>
    <s v="INFASCO"/>
    <n v="97.85"/>
    <n v="97.85"/>
  </r>
  <r>
    <x v="933"/>
    <x v="10"/>
    <x v="118"/>
    <n v="30"/>
    <n v="300"/>
    <n v="9000"/>
    <s v="156+298"/>
    <s v="Yes"/>
    <m/>
    <s v="Yes"/>
    <m/>
    <s v="Yes"/>
    <m/>
    <s v="Yes"/>
    <m/>
    <s v="N/A"/>
    <m/>
    <s v="Yes"/>
    <m/>
    <s v="Yes"/>
    <m/>
    <s v="New"/>
    <s v="INFASCO"/>
    <n v="97.85"/>
    <n v="97.85"/>
  </r>
  <r>
    <x v="934"/>
    <x v="8"/>
    <x v="167"/>
    <n v="22"/>
    <n v="400"/>
    <n v="8800"/>
    <n v="12.909090909090908"/>
    <s v="Yes"/>
    <m/>
    <s v="Yes"/>
    <m/>
    <s v="Yes"/>
    <m/>
    <s v="Yes"/>
    <m/>
    <s v="N/A"/>
    <m/>
    <s v="Yes"/>
    <m/>
    <s v="Yes"/>
    <m/>
    <s v="New"/>
    <s v="INFASCO"/>
    <n v="97.85"/>
    <n v="97.85"/>
  </r>
  <r>
    <x v="935"/>
    <x v="8"/>
    <x v="167"/>
    <n v="29"/>
    <n v="400"/>
    <n v="11600"/>
    <n v="7.746478873239436E-2"/>
    <s v="Yes"/>
    <m/>
    <s v="Yes"/>
    <m/>
    <s v="Yes"/>
    <m/>
    <s v="Yes"/>
    <m/>
    <s v="N/A"/>
    <m/>
    <s v="Yes"/>
    <m/>
    <s v="Yes"/>
    <m/>
    <s v="New"/>
    <s v="INFASCO"/>
    <n v="97.85"/>
    <n v="97.85"/>
  </r>
  <r>
    <x v="936"/>
    <x v="2"/>
    <x v="61"/>
    <n v="36"/>
    <n v="4000"/>
    <n v="144000"/>
    <m/>
    <m/>
    <m/>
    <m/>
    <m/>
    <m/>
    <m/>
    <m/>
    <m/>
    <m/>
    <m/>
    <m/>
    <m/>
    <m/>
    <m/>
    <m/>
    <s v="INFASCO"/>
    <m/>
    <n v="97.85"/>
  </r>
  <r>
    <x v="936"/>
    <x v="17"/>
    <x v="36"/>
    <n v="36"/>
    <n v="4000"/>
    <n v="144000"/>
    <s v="168-187"/>
    <m/>
    <m/>
    <m/>
    <m/>
    <m/>
    <m/>
    <m/>
    <m/>
    <m/>
    <m/>
    <m/>
    <m/>
    <m/>
    <m/>
    <m/>
    <s v="INFASCO"/>
    <m/>
    <n v="123.6"/>
  </r>
  <r>
    <x v="936"/>
    <x v="5"/>
    <x v="96"/>
    <n v="34"/>
    <n v="3500"/>
    <n v="119000"/>
    <m/>
    <m/>
    <m/>
    <m/>
    <m/>
    <m/>
    <m/>
    <m/>
    <m/>
    <m/>
    <m/>
    <m/>
    <m/>
    <m/>
    <m/>
    <m/>
    <s v="INFASCO"/>
    <m/>
    <n v="97.85"/>
  </r>
  <r>
    <x v="936"/>
    <x v="6"/>
    <x v="46"/>
    <n v="36"/>
    <n v="2150"/>
    <n v="77400"/>
    <m/>
    <m/>
    <m/>
    <m/>
    <m/>
    <m/>
    <m/>
    <m/>
    <m/>
    <m/>
    <m/>
    <m/>
    <m/>
    <m/>
    <m/>
    <m/>
    <s v="INFASCO"/>
    <m/>
    <n v="97.85"/>
  </r>
  <r>
    <x v="936"/>
    <x v="6"/>
    <x v="46"/>
    <n v="36"/>
    <n v="2150"/>
    <n v="77400"/>
    <m/>
    <m/>
    <m/>
    <m/>
    <m/>
    <m/>
    <m/>
    <m/>
    <m/>
    <m/>
    <m/>
    <m/>
    <m/>
    <m/>
    <m/>
    <m/>
    <s v="INFASCO"/>
    <m/>
    <n v="97.85"/>
  </r>
  <r>
    <x v="936"/>
    <x v="9"/>
    <x v="37"/>
    <n v="29"/>
    <n v="2500"/>
    <n v="72500"/>
    <m/>
    <m/>
    <m/>
    <m/>
    <m/>
    <m/>
    <m/>
    <m/>
    <m/>
    <m/>
    <m/>
    <m/>
    <m/>
    <m/>
    <m/>
    <m/>
    <s v="INFASCO"/>
    <m/>
    <n v="97.85"/>
  </r>
  <r>
    <x v="936"/>
    <x v="19"/>
    <x v="83"/>
    <n v="36"/>
    <n v="1800"/>
    <n v="64800"/>
    <m/>
    <m/>
    <m/>
    <m/>
    <m/>
    <m/>
    <m/>
    <m/>
    <m/>
    <m/>
    <m/>
    <m/>
    <m/>
    <m/>
    <m/>
    <m/>
    <s v="INFASCO"/>
    <m/>
    <n v="123.6"/>
  </r>
  <r>
    <x v="936"/>
    <x v="13"/>
    <x v="69"/>
    <n v="32"/>
    <n v="1900"/>
    <n v="60800"/>
    <m/>
    <m/>
    <m/>
    <m/>
    <m/>
    <m/>
    <m/>
    <m/>
    <m/>
    <m/>
    <m/>
    <m/>
    <m/>
    <m/>
    <m/>
    <m/>
    <s v="INFASCO"/>
    <m/>
    <n v="97.85"/>
  </r>
  <r>
    <x v="936"/>
    <x v="17"/>
    <x v="186"/>
    <n v="36"/>
    <n v="1500"/>
    <n v="54000"/>
    <n v="168"/>
    <s v="Yes"/>
    <m/>
    <s v="Yes"/>
    <m/>
    <s v="Yes"/>
    <m/>
    <s v="Yes"/>
    <m/>
    <s v="N/A"/>
    <m/>
    <s v="Yes"/>
    <m/>
    <s v="Yes"/>
    <m/>
    <s v="New"/>
    <s v="INFASCO"/>
    <n v="123.6"/>
    <n v="123.6"/>
  </r>
  <r>
    <x v="936"/>
    <x v="17"/>
    <x v="136"/>
    <n v="31"/>
    <n v="1300"/>
    <n v="40300"/>
    <s v="168-187"/>
    <m/>
    <m/>
    <m/>
    <m/>
    <m/>
    <m/>
    <m/>
    <m/>
    <m/>
    <m/>
    <m/>
    <m/>
    <m/>
    <m/>
    <m/>
    <s v="INFASCO"/>
    <m/>
    <n v="41"/>
  </r>
  <r>
    <x v="936"/>
    <x v="10"/>
    <x v="199"/>
    <n v="36"/>
    <n v="1100"/>
    <n v="39600"/>
    <m/>
    <m/>
    <m/>
    <m/>
    <m/>
    <m/>
    <m/>
    <m/>
    <m/>
    <m/>
    <m/>
    <m/>
    <m/>
    <m/>
    <m/>
    <m/>
    <s v="INFASCO"/>
    <m/>
    <n v="97.85"/>
  </r>
  <r>
    <x v="936"/>
    <x v="1"/>
    <x v="5"/>
    <n v="36"/>
    <n v="1000"/>
    <n v="36000"/>
    <m/>
    <m/>
    <m/>
    <m/>
    <m/>
    <m/>
    <m/>
    <m/>
    <m/>
    <m/>
    <m/>
    <m/>
    <m/>
    <m/>
    <m/>
    <m/>
    <s v="INFASCO"/>
    <m/>
    <n v="97.85"/>
  </r>
  <r>
    <x v="936"/>
    <x v="4"/>
    <x v="5"/>
    <n v="36"/>
    <n v="1000"/>
    <n v="36000"/>
    <m/>
    <m/>
    <m/>
    <m/>
    <m/>
    <m/>
    <m/>
    <m/>
    <m/>
    <m/>
    <m/>
    <m/>
    <m/>
    <m/>
    <m/>
    <m/>
    <s v="INFASCO"/>
    <m/>
    <n v="97.85"/>
  </r>
  <r>
    <x v="936"/>
    <x v="4"/>
    <x v="5"/>
    <n v="36"/>
    <n v="1000"/>
    <n v="36000"/>
    <m/>
    <m/>
    <m/>
    <m/>
    <m/>
    <m/>
    <m/>
    <m/>
    <m/>
    <m/>
    <m/>
    <m/>
    <m/>
    <m/>
    <m/>
    <m/>
    <s v="INFASCO"/>
    <m/>
    <n v="97.85"/>
  </r>
  <r>
    <x v="936"/>
    <x v="7"/>
    <x v="5"/>
    <n v="36"/>
    <n v="1000"/>
    <n v="36000"/>
    <m/>
    <m/>
    <m/>
    <m/>
    <m/>
    <m/>
    <m/>
    <m/>
    <m/>
    <m/>
    <m/>
    <m/>
    <m/>
    <m/>
    <m/>
    <m/>
    <s v="INFASCO"/>
    <m/>
    <n v="97.85"/>
  </r>
  <r>
    <x v="936"/>
    <x v="26"/>
    <x v="5"/>
    <n v="36"/>
    <n v="1000"/>
    <n v="36000"/>
    <m/>
    <m/>
    <m/>
    <m/>
    <m/>
    <m/>
    <m/>
    <m/>
    <m/>
    <m/>
    <m/>
    <m/>
    <m/>
    <m/>
    <m/>
    <m/>
    <s v="INFASCO"/>
    <m/>
    <n v="97.85"/>
  </r>
  <r>
    <x v="936"/>
    <x v="26"/>
    <x v="5"/>
    <n v="36"/>
    <n v="1000"/>
    <n v="36000"/>
    <m/>
    <m/>
    <m/>
    <m/>
    <m/>
    <m/>
    <m/>
    <m/>
    <m/>
    <m/>
    <m/>
    <m/>
    <m/>
    <m/>
    <m/>
    <m/>
    <s v="INFASCO"/>
    <m/>
    <n v="97.85"/>
  </r>
  <r>
    <x v="936"/>
    <x v="10"/>
    <x v="199"/>
    <n v="30"/>
    <n v="1100"/>
    <n v="33000"/>
    <m/>
    <m/>
    <m/>
    <m/>
    <m/>
    <m/>
    <m/>
    <m/>
    <m/>
    <m/>
    <m/>
    <m/>
    <m/>
    <m/>
    <m/>
    <m/>
    <s v="INFASCO"/>
    <m/>
    <n v="97.85"/>
  </r>
  <r>
    <x v="936"/>
    <x v="17"/>
    <x v="186"/>
    <n v="17"/>
    <n v="1500"/>
    <n v="25500"/>
    <s v="168-187"/>
    <m/>
    <m/>
    <m/>
    <m/>
    <m/>
    <m/>
    <m/>
    <m/>
    <m/>
    <m/>
    <m/>
    <m/>
    <m/>
    <m/>
    <m/>
    <s v="INFASCO"/>
    <m/>
    <n v="123.6"/>
  </r>
  <r>
    <x v="936"/>
    <x v="11"/>
    <x v="7"/>
    <n v="36"/>
    <n v="700"/>
    <n v="25200"/>
    <m/>
    <m/>
    <m/>
    <m/>
    <m/>
    <m/>
    <m/>
    <m/>
    <m/>
    <m/>
    <m/>
    <m/>
    <m/>
    <m/>
    <m/>
    <m/>
    <s v="INFASCO"/>
    <m/>
    <n v="97.85"/>
  </r>
  <r>
    <x v="936"/>
    <x v="11"/>
    <x v="7"/>
    <n v="36"/>
    <n v="700"/>
    <n v="25200"/>
    <m/>
    <m/>
    <m/>
    <m/>
    <m/>
    <m/>
    <m/>
    <m/>
    <m/>
    <m/>
    <m/>
    <m/>
    <m/>
    <m/>
    <m/>
    <m/>
    <s v="INFASCO"/>
    <m/>
    <n v="97.85"/>
  </r>
  <r>
    <x v="936"/>
    <x v="11"/>
    <x v="7"/>
    <n v="36"/>
    <n v="700"/>
    <n v="25200"/>
    <m/>
    <m/>
    <m/>
    <m/>
    <m/>
    <m/>
    <m/>
    <m/>
    <m/>
    <m/>
    <m/>
    <m/>
    <m/>
    <m/>
    <m/>
    <m/>
    <s v="INFASCO"/>
    <m/>
    <n v="97.85"/>
  </r>
  <r>
    <x v="936"/>
    <x v="12"/>
    <x v="7"/>
    <n v="36"/>
    <n v="700"/>
    <n v="25200"/>
    <m/>
    <m/>
    <m/>
    <m/>
    <m/>
    <m/>
    <m/>
    <m/>
    <m/>
    <m/>
    <m/>
    <m/>
    <m/>
    <m/>
    <m/>
    <m/>
    <s v="INFASCO"/>
    <m/>
    <n v="97.85"/>
  </r>
  <r>
    <x v="936"/>
    <x v="3"/>
    <x v="7"/>
    <n v="36"/>
    <n v="700"/>
    <n v="25200"/>
    <m/>
    <m/>
    <m/>
    <m/>
    <m/>
    <m/>
    <m/>
    <m/>
    <m/>
    <m/>
    <m/>
    <m/>
    <m/>
    <m/>
    <m/>
    <m/>
    <s v="INFASCO"/>
    <m/>
    <n v="97.85"/>
  </r>
  <r>
    <x v="936"/>
    <x v="16"/>
    <x v="7"/>
    <n v="36"/>
    <n v="700"/>
    <n v="25200"/>
    <m/>
    <m/>
    <m/>
    <m/>
    <m/>
    <m/>
    <m/>
    <m/>
    <m/>
    <m/>
    <m/>
    <m/>
    <m/>
    <m/>
    <m/>
    <m/>
    <s v="INFASCO"/>
    <m/>
    <n v="97.85"/>
  </r>
  <r>
    <x v="936"/>
    <x v="14"/>
    <x v="7"/>
    <n v="30"/>
    <n v="700"/>
    <n v="21000"/>
    <m/>
    <m/>
    <m/>
    <m/>
    <m/>
    <m/>
    <m/>
    <m/>
    <m/>
    <m/>
    <m/>
    <m/>
    <m/>
    <m/>
    <m/>
    <m/>
    <s v="INFASCO"/>
    <m/>
    <n v="97.85"/>
  </r>
  <r>
    <x v="936"/>
    <x v="16"/>
    <x v="7"/>
    <n v="27"/>
    <n v="700"/>
    <n v="18900"/>
    <m/>
    <m/>
    <m/>
    <m/>
    <m/>
    <m/>
    <m/>
    <m/>
    <m/>
    <m/>
    <m/>
    <m/>
    <m/>
    <m/>
    <m/>
    <m/>
    <s v="INFASCO"/>
    <m/>
    <n v="97.85"/>
  </r>
  <r>
    <x v="936"/>
    <x v="10"/>
    <x v="29"/>
    <n v="36"/>
    <n v="500"/>
    <n v="18000"/>
    <m/>
    <m/>
    <m/>
    <m/>
    <m/>
    <m/>
    <m/>
    <m/>
    <m/>
    <m/>
    <m/>
    <m/>
    <m/>
    <m/>
    <m/>
    <m/>
    <s v="INFASCO"/>
    <m/>
    <n v="97.85"/>
  </r>
  <r>
    <x v="936"/>
    <x v="10"/>
    <x v="29"/>
    <n v="33"/>
    <n v="500"/>
    <n v="16500"/>
    <m/>
    <m/>
    <m/>
    <m/>
    <m/>
    <m/>
    <m/>
    <m/>
    <m/>
    <m/>
    <m/>
    <m/>
    <m/>
    <m/>
    <m/>
    <m/>
    <s v="INFASCO"/>
    <m/>
    <n v="97.85"/>
  </r>
  <r>
    <x v="936"/>
    <x v="17"/>
    <x v="29"/>
    <n v="31"/>
    <n v="500"/>
    <n v="15500"/>
    <s v="168-187"/>
    <m/>
    <m/>
    <m/>
    <m/>
    <m/>
    <m/>
    <m/>
    <m/>
    <m/>
    <m/>
    <m/>
    <m/>
    <m/>
    <m/>
    <m/>
    <s v="INFASCO"/>
    <m/>
    <n v="97.85"/>
  </r>
  <r>
    <x v="936"/>
    <x v="10"/>
    <x v="29"/>
    <n v="25"/>
    <n v="500"/>
    <n v="12500"/>
    <m/>
    <m/>
    <m/>
    <m/>
    <m/>
    <m/>
    <m/>
    <m/>
    <m/>
    <m/>
    <m/>
    <m/>
    <m/>
    <m/>
    <m/>
    <m/>
    <s v="INFASCO"/>
    <m/>
    <n v="97.85"/>
  </r>
  <r>
    <x v="936"/>
    <x v="14"/>
    <x v="7"/>
    <n v="15"/>
    <n v="700"/>
    <n v="10500"/>
    <m/>
    <m/>
    <m/>
    <m/>
    <m/>
    <m/>
    <m/>
    <m/>
    <m/>
    <m/>
    <m/>
    <m/>
    <m/>
    <m/>
    <m/>
    <m/>
    <s v="INFASCO"/>
    <m/>
    <n v="97.85"/>
  </r>
  <r>
    <x v="936"/>
    <x v="13"/>
    <x v="7"/>
    <n v="12"/>
    <n v="700"/>
    <n v="8400"/>
    <m/>
    <m/>
    <m/>
    <m/>
    <m/>
    <m/>
    <m/>
    <m/>
    <m/>
    <m/>
    <m/>
    <m/>
    <m/>
    <m/>
    <m/>
    <m/>
    <s v="INFASCO"/>
    <m/>
    <n v="97.85"/>
  </r>
  <r>
    <x v="936"/>
    <x v="13"/>
    <x v="7"/>
    <n v="11"/>
    <n v="700"/>
    <n v="7700"/>
    <m/>
    <m/>
    <m/>
    <m/>
    <m/>
    <m/>
    <m/>
    <m/>
    <m/>
    <m/>
    <m/>
    <m/>
    <m/>
    <m/>
    <m/>
    <m/>
    <s v="INFASCO"/>
    <m/>
    <n v="97.85"/>
  </r>
  <r>
    <x v="937"/>
    <x v="17"/>
    <x v="200"/>
    <n v="35"/>
    <n v="700"/>
    <n v="24500"/>
    <s v="187+171"/>
    <s v="Yes"/>
    <m/>
    <s v="Yes"/>
    <m/>
    <s v="Yes"/>
    <m/>
    <s v="Yes"/>
    <m/>
    <s v="N/A"/>
    <m/>
    <s v="Yes"/>
    <m/>
    <s v="Yes"/>
    <m/>
    <s v="New"/>
    <s v="INFASCO"/>
    <n v="97.85"/>
    <n v="97.85"/>
  </r>
  <r>
    <x v="938"/>
    <x v="8"/>
    <x v="105"/>
    <n v="27"/>
    <n v="150"/>
    <n v="4050"/>
    <s v="011+190"/>
    <s v="Yes"/>
    <m/>
    <s v="Yes"/>
    <m/>
    <s v="Yes"/>
    <m/>
    <s v="Yes"/>
    <m/>
    <s v="N/A"/>
    <m/>
    <s v="Yes"/>
    <m/>
    <s v="Yes"/>
    <m/>
    <s v="New"/>
    <s v="INFASCO"/>
    <n v="97.85"/>
    <n v="97.85"/>
  </r>
  <r>
    <x v="939"/>
    <x v="8"/>
    <x v="136"/>
    <n v="33"/>
    <n v="1300"/>
    <n v="42900"/>
    <s v="011+190"/>
    <s v="Yes"/>
    <m/>
    <s v="Yes"/>
    <m/>
    <s v="Yes"/>
    <m/>
    <s v="Yes"/>
    <m/>
    <s v="N/A"/>
    <m/>
    <s v="Yes"/>
    <m/>
    <s v="Yes"/>
    <m/>
    <s v="New"/>
    <s v="INFASCO"/>
    <n v="41"/>
    <n v="41"/>
  </r>
  <r>
    <x v="940"/>
    <x v="8"/>
    <x v="45"/>
    <n v="1"/>
    <n v="1850"/>
    <n v="1850"/>
    <s v="011+190"/>
    <s v="Yes"/>
    <m/>
    <s v="Yes"/>
    <m/>
    <s v="Yes"/>
    <m/>
    <s v="Yes"/>
    <m/>
    <s v="N/A"/>
    <m/>
    <s v="Yes"/>
    <m/>
    <s v="Yes"/>
    <m/>
    <s v="New"/>
    <s v="INFASCO"/>
    <n v="226.6"/>
    <n v="71.069999999999993"/>
  </r>
  <r>
    <x v="941"/>
    <x v="8"/>
    <x v="97"/>
    <n v="21"/>
    <n v="2200"/>
    <n v="46200"/>
    <s v="011+190"/>
    <s v="Yes"/>
    <m/>
    <s v="Yes"/>
    <m/>
    <s v="Yes"/>
    <m/>
    <s v="Yes"/>
    <m/>
    <s v="N/A"/>
    <m/>
    <s v="Yes"/>
    <m/>
    <s v="Yes"/>
    <m/>
    <s v="New"/>
    <s v="INFASCO"/>
    <n v="123.6"/>
    <n v="123.6"/>
  </r>
  <r>
    <x v="942"/>
    <x v="8"/>
    <x v="200"/>
    <n v="31"/>
    <n v="700"/>
    <n v="21700"/>
    <s v="011+190"/>
    <s v="Yes"/>
    <m/>
    <s v="Yes"/>
    <m/>
    <s v="Yes"/>
    <m/>
    <s v="Yes"/>
    <m/>
    <s v="N/A"/>
    <m/>
    <s v="Yes"/>
    <m/>
    <s v="Yes"/>
    <m/>
    <s v="New"/>
    <s v="INFASCO"/>
    <n v="97.85"/>
    <n v="97.85"/>
  </r>
  <r>
    <x v="943"/>
    <x v="8"/>
    <x v="105"/>
    <n v="34"/>
    <n v="150"/>
    <n v="5100"/>
    <s v="011+190"/>
    <s v="Yes"/>
    <m/>
    <s v="Yes"/>
    <m/>
    <s v="Yes"/>
    <m/>
    <s v="Yes"/>
    <m/>
    <s v="N/A"/>
    <m/>
    <s v="Yes"/>
    <m/>
    <s v="Yes"/>
    <m/>
    <s v="New"/>
    <s v="INFASCO"/>
    <n v="97.85"/>
    <n v="97.85"/>
  </r>
  <r>
    <x v="944"/>
    <x v="2"/>
    <x v="61"/>
    <n v="36"/>
    <n v="4000"/>
    <n v="144000"/>
    <m/>
    <m/>
    <m/>
    <m/>
    <m/>
    <m/>
    <m/>
    <m/>
    <m/>
    <m/>
    <m/>
    <m/>
    <m/>
    <m/>
    <m/>
    <m/>
    <s v="INFASCO"/>
    <m/>
    <n v="97.85"/>
  </r>
  <r>
    <x v="944"/>
    <x v="18"/>
    <x v="36"/>
    <n v="36"/>
    <n v="4000"/>
    <n v="144000"/>
    <m/>
    <m/>
    <m/>
    <m/>
    <m/>
    <m/>
    <m/>
    <m/>
    <m/>
    <m/>
    <m/>
    <m/>
    <m/>
    <m/>
    <m/>
    <m/>
    <s v="INFASCO"/>
    <m/>
    <n v="123.6"/>
  </r>
  <r>
    <x v="944"/>
    <x v="18"/>
    <x v="36"/>
    <n v="36"/>
    <n v="4000"/>
    <n v="144000"/>
    <m/>
    <m/>
    <m/>
    <m/>
    <m/>
    <m/>
    <m/>
    <m/>
    <m/>
    <m/>
    <m/>
    <m/>
    <m/>
    <m/>
    <m/>
    <m/>
    <s v="INFASCO"/>
    <m/>
    <n v="123.6"/>
  </r>
  <r>
    <x v="944"/>
    <x v="18"/>
    <x v="36"/>
    <n v="36"/>
    <n v="4000"/>
    <n v="144000"/>
    <m/>
    <m/>
    <m/>
    <m/>
    <m/>
    <m/>
    <m/>
    <m/>
    <m/>
    <m/>
    <m/>
    <m/>
    <m/>
    <m/>
    <m/>
    <m/>
    <s v="INFASCO"/>
    <m/>
    <n v="123.6"/>
  </r>
  <r>
    <x v="944"/>
    <x v="10"/>
    <x v="36"/>
    <n v="36"/>
    <n v="4000"/>
    <n v="144000"/>
    <m/>
    <m/>
    <m/>
    <m/>
    <m/>
    <m/>
    <m/>
    <m/>
    <m/>
    <m/>
    <m/>
    <m/>
    <m/>
    <m/>
    <m/>
    <m/>
    <s v="INFASCO"/>
    <m/>
    <n v="123.6"/>
  </r>
  <r>
    <x v="944"/>
    <x v="15"/>
    <x v="61"/>
    <n v="31"/>
    <n v="4000"/>
    <n v="124000"/>
    <m/>
    <m/>
    <m/>
    <m/>
    <m/>
    <m/>
    <m/>
    <m/>
    <m/>
    <m/>
    <m/>
    <m/>
    <m/>
    <m/>
    <m/>
    <m/>
    <s v="INFASCO"/>
    <m/>
    <n v="97.85"/>
  </r>
  <r>
    <x v="944"/>
    <x v="10"/>
    <x v="36"/>
    <n v="27"/>
    <n v="4000"/>
    <n v="108000"/>
    <m/>
    <m/>
    <m/>
    <m/>
    <m/>
    <m/>
    <m/>
    <m/>
    <m/>
    <m/>
    <m/>
    <m/>
    <m/>
    <m/>
    <m/>
    <m/>
    <s v="INFASCO"/>
    <m/>
    <n v="123.6"/>
  </r>
  <r>
    <x v="944"/>
    <x v="6"/>
    <x v="46"/>
    <n v="36"/>
    <n v="2150"/>
    <n v="77400"/>
    <m/>
    <m/>
    <m/>
    <m/>
    <m/>
    <m/>
    <m/>
    <m/>
    <m/>
    <m/>
    <m/>
    <m/>
    <m/>
    <m/>
    <m/>
    <m/>
    <s v="INFASCO"/>
    <m/>
    <n v="97.85"/>
  </r>
  <r>
    <x v="944"/>
    <x v="6"/>
    <x v="46"/>
    <n v="36"/>
    <n v="2150"/>
    <n v="77400"/>
    <m/>
    <m/>
    <m/>
    <m/>
    <m/>
    <m/>
    <m/>
    <m/>
    <m/>
    <m/>
    <m/>
    <m/>
    <m/>
    <m/>
    <m/>
    <m/>
    <s v="INFASCO"/>
    <m/>
    <n v="97.85"/>
  </r>
  <r>
    <x v="944"/>
    <x v="5"/>
    <x v="46"/>
    <n v="36"/>
    <n v="2150"/>
    <n v="77400"/>
    <m/>
    <m/>
    <m/>
    <m/>
    <m/>
    <m/>
    <m/>
    <m/>
    <m/>
    <m/>
    <m/>
    <m/>
    <m/>
    <m/>
    <m/>
    <m/>
    <s v="INFASCO"/>
    <m/>
    <n v="97.85"/>
  </r>
  <r>
    <x v="944"/>
    <x v="5"/>
    <x v="46"/>
    <n v="36"/>
    <n v="2150"/>
    <n v="77400"/>
    <m/>
    <m/>
    <m/>
    <m/>
    <m/>
    <m/>
    <m/>
    <m/>
    <m/>
    <m/>
    <m/>
    <m/>
    <m/>
    <m/>
    <m/>
    <m/>
    <s v="INFASCO"/>
    <m/>
    <n v="97.85"/>
  </r>
  <r>
    <x v="944"/>
    <x v="10"/>
    <x v="125"/>
    <n v="1"/>
    <n v="70269"/>
    <n v="70269"/>
    <m/>
    <m/>
    <m/>
    <m/>
    <m/>
    <m/>
    <m/>
    <m/>
    <m/>
    <m/>
    <m/>
    <m/>
    <m/>
    <m/>
    <m/>
    <m/>
    <s v="INFASCO"/>
    <m/>
    <n v="47.38"/>
  </r>
  <r>
    <x v="944"/>
    <x v="18"/>
    <x v="100"/>
    <n v="36"/>
    <n v="1900"/>
    <n v="68400"/>
    <m/>
    <m/>
    <m/>
    <m/>
    <m/>
    <m/>
    <m/>
    <m/>
    <m/>
    <m/>
    <m/>
    <m/>
    <m/>
    <m/>
    <m/>
    <m/>
    <s v="INFASCO"/>
    <m/>
    <n v="97.85"/>
  </r>
  <r>
    <x v="944"/>
    <x v="11"/>
    <x v="4"/>
    <n v="36"/>
    <n v="1200"/>
    <n v="43200"/>
    <m/>
    <m/>
    <m/>
    <m/>
    <m/>
    <m/>
    <m/>
    <m/>
    <m/>
    <m/>
    <m/>
    <m/>
    <m/>
    <m/>
    <m/>
    <m/>
    <s v="INFASCO"/>
    <m/>
    <n v="97.85"/>
  </r>
  <r>
    <x v="944"/>
    <x v="10"/>
    <x v="97"/>
    <n v="17"/>
    <n v="2200"/>
    <n v="37400"/>
    <m/>
    <m/>
    <m/>
    <m/>
    <m/>
    <m/>
    <m/>
    <m/>
    <m/>
    <m/>
    <m/>
    <m/>
    <m/>
    <m/>
    <m/>
    <m/>
    <s v="INFASCO"/>
    <m/>
    <n v="123.6"/>
  </r>
  <r>
    <x v="944"/>
    <x v="7"/>
    <x v="5"/>
    <n v="36"/>
    <n v="1000"/>
    <n v="36000"/>
    <m/>
    <m/>
    <m/>
    <m/>
    <m/>
    <m/>
    <m/>
    <m/>
    <m/>
    <m/>
    <m/>
    <m/>
    <m/>
    <m/>
    <m/>
    <m/>
    <s v="INFASCO"/>
    <m/>
    <n v="97.85"/>
  </r>
  <r>
    <x v="944"/>
    <x v="4"/>
    <x v="5"/>
    <n v="36"/>
    <n v="1000"/>
    <n v="36000"/>
    <m/>
    <m/>
    <m/>
    <m/>
    <m/>
    <m/>
    <m/>
    <m/>
    <m/>
    <m/>
    <m/>
    <m/>
    <m/>
    <m/>
    <m/>
    <m/>
    <s v="INFASCO"/>
    <m/>
    <n v="97.85"/>
  </r>
  <r>
    <x v="944"/>
    <x v="1"/>
    <x v="5"/>
    <n v="36"/>
    <n v="1000"/>
    <n v="36000"/>
    <m/>
    <m/>
    <m/>
    <m/>
    <m/>
    <m/>
    <m/>
    <m/>
    <m/>
    <m/>
    <m/>
    <m/>
    <m/>
    <m/>
    <m/>
    <m/>
    <s v="INFASCO"/>
    <m/>
    <n v="97.85"/>
  </r>
  <r>
    <x v="944"/>
    <x v="19"/>
    <x v="83"/>
    <n v="19"/>
    <n v="1800"/>
    <n v="34200"/>
    <m/>
    <m/>
    <m/>
    <m/>
    <m/>
    <m/>
    <m/>
    <m/>
    <m/>
    <m/>
    <m/>
    <m/>
    <m/>
    <m/>
    <m/>
    <m/>
    <s v="INFASCO"/>
    <m/>
    <n v="123.6"/>
  </r>
  <r>
    <x v="944"/>
    <x v="18"/>
    <x v="36"/>
    <n v="7"/>
    <n v="4000"/>
    <n v="28000"/>
    <m/>
    <m/>
    <m/>
    <m/>
    <m/>
    <m/>
    <m/>
    <m/>
    <m/>
    <m/>
    <m/>
    <m/>
    <m/>
    <m/>
    <m/>
    <m/>
    <s v="INFASCO"/>
    <m/>
    <n v="123.6"/>
  </r>
  <r>
    <x v="944"/>
    <x v="16"/>
    <x v="7"/>
    <n v="36"/>
    <n v="700"/>
    <n v="25200"/>
    <m/>
    <m/>
    <m/>
    <m/>
    <m/>
    <m/>
    <m/>
    <m/>
    <m/>
    <m/>
    <m/>
    <m/>
    <m/>
    <m/>
    <m/>
    <m/>
    <s v="INFASCO"/>
    <m/>
    <n v="97.85"/>
  </r>
  <r>
    <x v="944"/>
    <x v="16"/>
    <x v="7"/>
    <n v="36"/>
    <n v="700"/>
    <n v="25200"/>
    <m/>
    <m/>
    <m/>
    <m/>
    <m/>
    <m/>
    <m/>
    <m/>
    <m/>
    <m/>
    <m/>
    <m/>
    <m/>
    <m/>
    <m/>
    <m/>
    <s v="INFASCO"/>
    <m/>
    <n v="97.85"/>
  </r>
  <r>
    <x v="944"/>
    <x v="4"/>
    <x v="200"/>
    <n v="36"/>
    <n v="700"/>
    <n v="25200"/>
    <m/>
    <m/>
    <m/>
    <m/>
    <m/>
    <m/>
    <m/>
    <m/>
    <m/>
    <m/>
    <m/>
    <m/>
    <m/>
    <m/>
    <m/>
    <m/>
    <s v="INFASCO"/>
    <m/>
    <n v="97.85"/>
  </r>
  <r>
    <x v="944"/>
    <x v="12"/>
    <x v="7"/>
    <n v="36"/>
    <n v="700"/>
    <n v="25200"/>
    <m/>
    <m/>
    <m/>
    <m/>
    <m/>
    <m/>
    <m/>
    <m/>
    <m/>
    <m/>
    <m/>
    <m/>
    <m/>
    <m/>
    <m/>
    <m/>
    <s v="INFASCO"/>
    <m/>
    <n v="97.85"/>
  </r>
  <r>
    <x v="944"/>
    <x v="11"/>
    <x v="7"/>
    <n v="36"/>
    <n v="700"/>
    <n v="25200"/>
    <m/>
    <m/>
    <m/>
    <m/>
    <m/>
    <m/>
    <m/>
    <m/>
    <m/>
    <m/>
    <m/>
    <m/>
    <m/>
    <m/>
    <m/>
    <m/>
    <s v="INFASCO"/>
    <m/>
    <n v="97.85"/>
  </r>
  <r>
    <x v="944"/>
    <x v="10"/>
    <x v="200"/>
    <n v="35"/>
    <n v="700"/>
    <n v="24500"/>
    <m/>
    <m/>
    <m/>
    <m/>
    <m/>
    <m/>
    <m/>
    <m/>
    <m/>
    <m/>
    <m/>
    <m/>
    <m/>
    <m/>
    <m/>
    <m/>
    <s v="INFASCO"/>
    <m/>
    <n v="97.85"/>
  </r>
  <r>
    <x v="944"/>
    <x v="4"/>
    <x v="55"/>
    <n v="36"/>
    <n v="400"/>
    <n v="14400"/>
    <m/>
    <m/>
    <m/>
    <m/>
    <m/>
    <m/>
    <m/>
    <m/>
    <m/>
    <m/>
    <m/>
    <m/>
    <m/>
    <m/>
    <m/>
    <m/>
    <s v="INFASCO"/>
    <m/>
    <n v="97.85"/>
  </r>
  <r>
    <x v="944"/>
    <x v="12"/>
    <x v="55"/>
    <n v="36"/>
    <n v="400"/>
    <n v="14400"/>
    <m/>
    <m/>
    <m/>
    <m/>
    <m/>
    <m/>
    <m/>
    <m/>
    <m/>
    <m/>
    <m/>
    <m/>
    <m/>
    <m/>
    <m/>
    <m/>
    <s v="INFASCO"/>
    <m/>
    <n v="97.85"/>
  </r>
  <r>
    <x v="944"/>
    <x v="12"/>
    <x v="55"/>
    <n v="36"/>
    <n v="400"/>
    <n v="14400"/>
    <m/>
    <m/>
    <m/>
    <m/>
    <m/>
    <m/>
    <m/>
    <m/>
    <m/>
    <m/>
    <m/>
    <m/>
    <m/>
    <m/>
    <m/>
    <m/>
    <s v="INFASCO"/>
    <m/>
    <n v="97.85"/>
  </r>
  <r>
    <x v="944"/>
    <x v="12"/>
    <x v="55"/>
    <n v="36"/>
    <n v="400"/>
    <n v="14400"/>
    <m/>
    <m/>
    <m/>
    <m/>
    <m/>
    <m/>
    <m/>
    <m/>
    <m/>
    <m/>
    <m/>
    <m/>
    <m/>
    <m/>
    <m/>
    <m/>
    <s v="INFASCO"/>
    <m/>
    <n v="97.85"/>
  </r>
  <r>
    <x v="944"/>
    <x v="12"/>
    <x v="55"/>
    <n v="36"/>
    <n v="400"/>
    <n v="14400"/>
    <m/>
    <m/>
    <m/>
    <m/>
    <m/>
    <m/>
    <m/>
    <m/>
    <m/>
    <m/>
    <m/>
    <m/>
    <m/>
    <m/>
    <m/>
    <m/>
    <s v="INFASCO"/>
    <m/>
    <n v="97.85"/>
  </r>
  <r>
    <x v="944"/>
    <x v="12"/>
    <x v="55"/>
    <n v="36"/>
    <n v="400"/>
    <n v="14400"/>
    <m/>
    <m/>
    <m/>
    <m/>
    <m/>
    <m/>
    <m/>
    <m/>
    <m/>
    <m/>
    <m/>
    <m/>
    <m/>
    <m/>
    <m/>
    <m/>
    <s v="INFASCO"/>
    <m/>
    <n v="97.85"/>
  </r>
  <r>
    <x v="944"/>
    <x v="18"/>
    <x v="129"/>
    <n v="36"/>
    <n v="250"/>
    <n v="9000"/>
    <m/>
    <m/>
    <m/>
    <m/>
    <m/>
    <m/>
    <m/>
    <m/>
    <m/>
    <m/>
    <m/>
    <m/>
    <m/>
    <m/>
    <m/>
    <m/>
    <s v="INFASCO"/>
    <m/>
    <n v="97.85"/>
  </r>
  <r>
    <x v="944"/>
    <x v="18"/>
    <x v="129"/>
    <n v="36"/>
    <n v="250"/>
    <n v="9000"/>
    <m/>
    <m/>
    <m/>
    <m/>
    <m/>
    <m/>
    <m/>
    <m/>
    <m/>
    <m/>
    <m/>
    <m/>
    <m/>
    <m/>
    <m/>
    <m/>
    <s v="INFASCO"/>
    <m/>
    <n v="97.85"/>
  </r>
  <r>
    <x v="944"/>
    <x v="17"/>
    <x v="129"/>
    <n v="35"/>
    <n v="250"/>
    <n v="8750"/>
    <s v="187+171"/>
    <s v="Yes"/>
    <m/>
    <s v="Yes"/>
    <m/>
    <s v="Yes"/>
    <m/>
    <s v="Yes"/>
    <m/>
    <s v="N/A"/>
    <m/>
    <s v="Yes"/>
    <m/>
    <s v="Yes"/>
    <m/>
    <s v="New"/>
    <s v="INFASCO"/>
    <n v="97.85"/>
    <n v="97.85"/>
  </r>
  <r>
    <x v="944"/>
    <x v="10"/>
    <x v="129"/>
    <n v="35"/>
    <n v="250"/>
    <n v="8750"/>
    <m/>
    <m/>
    <m/>
    <m/>
    <m/>
    <m/>
    <m/>
    <m/>
    <m/>
    <m/>
    <m/>
    <m/>
    <m/>
    <m/>
    <m/>
    <m/>
    <s v="INFASCO"/>
    <m/>
    <n v="97.85"/>
  </r>
  <r>
    <x v="944"/>
    <x v="18"/>
    <x v="129"/>
    <n v="27"/>
    <n v="250"/>
    <n v="6750"/>
    <m/>
    <m/>
    <m/>
    <m/>
    <m/>
    <m/>
    <m/>
    <m/>
    <m/>
    <m/>
    <m/>
    <m/>
    <m/>
    <m/>
    <m/>
    <m/>
    <s v="INFASCO"/>
    <m/>
    <n v="97.85"/>
  </r>
  <r>
    <x v="944"/>
    <x v="8"/>
    <x v="105"/>
    <n v="19"/>
    <n v="150"/>
    <n v="2850"/>
    <m/>
    <m/>
    <m/>
    <m/>
    <m/>
    <m/>
    <m/>
    <m/>
    <m/>
    <m/>
    <m/>
    <m/>
    <m/>
    <m/>
    <m/>
    <m/>
    <s v="INFASCO"/>
    <m/>
    <n v="97.85"/>
  </r>
  <r>
    <x v="945"/>
    <x v="10"/>
    <x v="97"/>
    <n v="20"/>
    <n v="2200"/>
    <n v="44000"/>
    <s v="187+171"/>
    <s v="Yes"/>
    <m/>
    <s v="Yes"/>
    <m/>
    <s v="Yes"/>
    <m/>
    <s v="Yes"/>
    <m/>
    <s v="N/A"/>
    <m/>
    <s v="Yes"/>
    <m/>
    <s v="Yes"/>
    <m/>
    <s v="New"/>
    <s v="INFASCO"/>
    <n v="123.6"/>
    <n v="123.6"/>
  </r>
  <r>
    <x v="946"/>
    <x v="18"/>
    <x v="116"/>
    <n v="36"/>
    <n v="300"/>
    <n v="10800"/>
    <s v="327+188"/>
    <s v="Yes"/>
    <m/>
    <s v="Yes"/>
    <m/>
    <s v="Yes"/>
    <m/>
    <s v="Yes"/>
    <m/>
    <s v="N/A"/>
    <m/>
    <s v="Yes"/>
    <m/>
    <s v="Yes"/>
    <m/>
    <s v="Re-certified"/>
    <s v="INFASCO"/>
    <n v="97.85"/>
    <n v="0"/>
  </r>
  <r>
    <x v="947"/>
    <x v="18"/>
    <x v="116"/>
    <n v="33"/>
    <n v="300"/>
    <n v="9900"/>
    <s v="327+188"/>
    <s v="Yes"/>
    <m/>
    <s v="Yes"/>
    <m/>
    <s v="Yes"/>
    <m/>
    <s v="Yes"/>
    <m/>
    <s v="N/A"/>
    <m/>
    <s v="Yes"/>
    <m/>
    <s v="Yes"/>
    <m/>
    <s v="New"/>
    <s v="INFASCO"/>
    <n v="97.85"/>
    <n v="97.85"/>
  </r>
  <r>
    <x v="948"/>
    <x v="10"/>
    <x v="201"/>
    <n v="36"/>
    <n v="1200"/>
    <n v="43200"/>
    <s v="187+171"/>
    <s v="Yes"/>
    <m/>
    <s v="Yes"/>
    <m/>
    <s v="Yes"/>
    <m/>
    <s v="Yes"/>
    <m/>
    <s v="N/A"/>
    <m/>
    <s v="Yes"/>
    <m/>
    <s v="Yes"/>
    <m/>
    <s v="New"/>
    <s v="INFASCO"/>
    <n v="97.85"/>
    <n v="97.85"/>
  </r>
  <r>
    <x v="949"/>
    <x v="8"/>
    <x v="202"/>
    <n v="32"/>
    <n v="2000"/>
    <n v="64000"/>
    <s v="011+190"/>
    <s v="Yes"/>
    <m/>
    <s v="Yes"/>
    <m/>
    <s v="Yes"/>
    <m/>
    <s v="Yes"/>
    <m/>
    <s v="N/A"/>
    <m/>
    <s v="Yes"/>
    <m/>
    <s v="Yes"/>
    <m/>
    <s v="New"/>
    <s v="INFASCO"/>
    <n v="97.85"/>
    <n v="97.85"/>
  </r>
  <r>
    <x v="950"/>
    <x v="18"/>
    <x v="165"/>
    <n v="36"/>
    <n v="2000"/>
    <n v="72000"/>
    <s v="327+188"/>
    <s v="Yes"/>
    <m/>
    <s v="Yes"/>
    <m/>
    <s v="Yes"/>
    <m/>
    <s v="Yes"/>
    <m/>
    <s v="N/A"/>
    <m/>
    <s v="Yes"/>
    <m/>
    <s v="Yes"/>
    <m/>
    <s v="Re-certified"/>
    <s v="INFASCO"/>
    <n v="97.85"/>
    <n v="97.85"/>
  </r>
  <r>
    <x v="951"/>
    <x v="10"/>
    <x v="201"/>
    <n v="31"/>
    <n v="1200"/>
    <n v="37200"/>
    <s v="184+298"/>
    <s v="Yes"/>
    <m/>
    <s v="Yes"/>
    <m/>
    <s v="Yes"/>
    <m/>
    <s v="Yes"/>
    <m/>
    <s v="N/A"/>
    <m/>
    <s v="Yes"/>
    <m/>
    <s v="Yes"/>
    <m/>
    <s v="New"/>
    <s v="INFASCO"/>
    <n v="97.85"/>
    <n v="97.85"/>
  </r>
  <r>
    <x v="952"/>
    <x v="18"/>
    <x v="165"/>
    <n v="14"/>
    <n v="2000"/>
    <n v="28000"/>
    <s v="327+188"/>
    <s v="Yes"/>
    <m/>
    <s v="Yes"/>
    <m/>
    <s v="Yes"/>
    <m/>
    <s v="Yes"/>
    <m/>
    <s v="N/A"/>
    <m/>
    <s v="Yes"/>
    <m/>
    <s v="Yes"/>
    <m/>
    <s v="New"/>
    <s v="INFASCO"/>
    <n v="97.85"/>
    <n v="97.85"/>
  </r>
  <r>
    <x v="953"/>
    <x v="17"/>
    <x v="44"/>
    <n v="22"/>
    <n v="100"/>
    <n v="2200"/>
    <s v="187+171"/>
    <s v="Yes"/>
    <m/>
    <s v="Yes"/>
    <m/>
    <s v="Yes"/>
    <m/>
    <s v="Yes"/>
    <m/>
    <s v="N/A"/>
    <m/>
    <s v="Yes"/>
    <m/>
    <s v="Yes"/>
    <m/>
    <s v="New"/>
    <s v="INFASCO"/>
    <n v="51"/>
    <n v="51"/>
  </r>
  <r>
    <x v="954"/>
    <x v="10"/>
    <x v="67"/>
    <n v="36"/>
    <n v="150"/>
    <n v="5400"/>
    <s v="184+298"/>
    <s v="Yes"/>
    <m/>
    <s v="Yes"/>
    <m/>
    <s v="Yes"/>
    <m/>
    <s v="Yes"/>
    <m/>
    <s v="N/A"/>
    <m/>
    <s v="Yes"/>
    <m/>
    <s v="Yes"/>
    <m/>
    <s v="New"/>
    <s v="INFASCO"/>
    <n v="97.85"/>
    <n v="97.85"/>
  </r>
  <r>
    <x v="955"/>
    <x v="17"/>
    <x v="84"/>
    <n v="39"/>
    <n v="650"/>
    <n v="25350"/>
    <s v="187+171"/>
    <s v="Yes"/>
    <m/>
    <s v="Yes"/>
    <m/>
    <s v="Yes"/>
    <m/>
    <s v="Yes"/>
    <m/>
    <s v="N/A"/>
    <m/>
    <s v="Yes"/>
    <m/>
    <s v="Yes"/>
    <m/>
    <s v="New"/>
    <s v="INFASCO"/>
    <n v="97.85"/>
    <n v="97.85"/>
  </r>
  <r>
    <x v="956"/>
    <x v="10"/>
    <x v="67"/>
    <n v="36"/>
    <n v="150"/>
    <n v="5400"/>
    <s v="184+298"/>
    <s v="Yes"/>
    <m/>
    <s v="Yes"/>
    <m/>
    <s v="Yes"/>
    <m/>
    <s v="Yes"/>
    <m/>
    <s v="N/A"/>
    <m/>
    <s v="Yes"/>
    <m/>
    <s v="Yes"/>
    <m/>
    <s v="New"/>
    <s v="INFASCO"/>
    <n v="97.85"/>
    <n v="97.85"/>
  </r>
  <r>
    <x v="957"/>
    <x v="8"/>
    <x v="84"/>
    <n v="34"/>
    <n v="650"/>
    <n v="22100"/>
    <s v="011+190"/>
    <s v="Yes"/>
    <m/>
    <s v="Yes"/>
    <m/>
    <s v="Yes"/>
    <m/>
    <s v="Yes"/>
    <m/>
    <s v="N/A"/>
    <m/>
    <s v="Yes"/>
    <m/>
    <s v="Yes"/>
    <m/>
    <s v="New"/>
    <s v="INFASCO"/>
    <n v="97.85"/>
    <n v="97.85"/>
  </r>
  <r>
    <x v="958"/>
    <x v="17"/>
    <x v="9"/>
    <n v="36"/>
    <n v="450"/>
    <n v="16200"/>
    <s v="187+171"/>
    <s v="Yes"/>
    <m/>
    <s v="Yes"/>
    <m/>
    <s v="Yes"/>
    <m/>
    <s v="Yes"/>
    <m/>
    <s v="N/A"/>
    <m/>
    <s v="Yes"/>
    <m/>
    <s v="Yes"/>
    <m/>
    <s v="New"/>
    <s v="INFASCO"/>
    <n v="97.85"/>
    <n v="97.85"/>
  </r>
  <r>
    <x v="959"/>
    <x v="18"/>
    <x v="9"/>
    <n v="36"/>
    <n v="450"/>
    <n v="16200"/>
    <s v="327+188"/>
    <s v="Yes"/>
    <m/>
    <s v="Yes"/>
    <m/>
    <s v="Yes"/>
    <m/>
    <s v="Yes"/>
    <m/>
    <s v="N/A"/>
    <m/>
    <s v="Yes"/>
    <m/>
    <s v="Yes"/>
    <m/>
    <s v="New"/>
    <s v="INFASCO"/>
    <n v="97.85"/>
    <n v="97.85"/>
  </r>
  <r>
    <x v="960"/>
    <x v="10"/>
    <x v="67"/>
    <n v="36"/>
    <n v="150"/>
    <n v="5400"/>
    <s v="184+298"/>
    <s v="Yes"/>
    <m/>
    <s v="Yes"/>
    <m/>
    <s v="Yes"/>
    <m/>
    <s v="Yes"/>
    <m/>
    <s v="N/A"/>
    <m/>
    <s v="Yes"/>
    <m/>
    <s v="Yes"/>
    <m/>
    <s v="New"/>
    <s v="INFASCO"/>
    <n v="97.85"/>
    <n v="97.85"/>
  </r>
  <r>
    <x v="961"/>
    <x v="17"/>
    <x v="7"/>
    <n v="36"/>
    <n v="700"/>
    <n v="25200"/>
    <s v="187+171"/>
    <s v="Yes"/>
    <m/>
    <s v="Yes"/>
    <m/>
    <s v="Yes"/>
    <m/>
    <s v="Yes"/>
    <m/>
    <s v="N/A"/>
    <m/>
    <s v="Yes"/>
    <m/>
    <s v="Yes"/>
    <m/>
    <s v="New"/>
    <s v="INFASCO"/>
    <n v="97.85"/>
    <n v="97.85"/>
  </r>
  <r>
    <x v="962"/>
    <x v="8"/>
    <x v="9"/>
    <n v="27"/>
    <n v="450"/>
    <n v="12150"/>
    <s v="011+190"/>
    <s v="Yes"/>
    <m/>
    <s v="Yes"/>
    <m/>
    <s v="Yes"/>
    <m/>
    <s v="Yes"/>
    <m/>
    <s v="N/A"/>
    <m/>
    <s v="Yes"/>
    <m/>
    <s v="Yes"/>
    <m/>
    <s v="New"/>
    <s v="INFASCO"/>
    <n v="97.85"/>
    <n v="97.85"/>
  </r>
  <r>
    <x v="963"/>
    <x v="8"/>
    <x v="9"/>
    <n v="29"/>
    <n v="450"/>
    <n v="13050"/>
    <s v="011+190"/>
    <s v="Yes"/>
    <m/>
    <s v="Yes"/>
    <m/>
    <s v="Yes"/>
    <m/>
    <s v="Yes"/>
    <m/>
    <s v="N/A"/>
    <m/>
    <s v="Yes"/>
    <m/>
    <s v="Yes"/>
    <m/>
    <s v="New"/>
    <s v="INFASCO"/>
    <n v="97.85"/>
    <n v="97.85"/>
  </r>
  <r>
    <x v="964"/>
    <x v="8"/>
    <x v="9"/>
    <n v="29"/>
    <n v="450"/>
    <n v="13050"/>
    <s v="011+190"/>
    <s v="Yes"/>
    <m/>
    <s v="Yes"/>
    <m/>
    <s v="Yes"/>
    <m/>
    <s v="Yes"/>
    <m/>
    <s v="N/A"/>
    <m/>
    <s v="Yes"/>
    <m/>
    <s v="Yes"/>
    <m/>
    <s v="New"/>
    <s v="INFASCO"/>
    <n v="97.85"/>
    <n v="97.85"/>
  </r>
  <r>
    <x v="965"/>
    <x v="8"/>
    <x v="23"/>
    <n v="4"/>
    <n v="4000"/>
    <n v="16000"/>
    <s v="011+190"/>
    <s v="Yes"/>
    <m/>
    <s v="Yes"/>
    <m/>
    <s v="Yes"/>
    <m/>
    <s v="Yes"/>
    <m/>
    <s v="N/A"/>
    <m/>
    <s v="Yes"/>
    <m/>
    <s v="Yes"/>
    <m/>
    <s v="New"/>
    <s v="INFASCO"/>
    <n v="97.85"/>
    <n v="97.85"/>
  </r>
  <r>
    <x v="966"/>
    <x v="18"/>
    <x v="185"/>
    <n v="21"/>
    <n v="800"/>
    <n v="16800"/>
    <s v="327+188"/>
    <s v="Yes"/>
    <m/>
    <s v="Yes"/>
    <m/>
    <s v="Yes"/>
    <m/>
    <s v="Yes"/>
    <m/>
    <s v="N/A"/>
    <m/>
    <s v="Yes"/>
    <m/>
    <s v="Yes"/>
    <m/>
    <s v="New"/>
    <e v="#N/A"/>
    <s v="N/A"/>
    <n v="97.85"/>
  </r>
  <r>
    <x v="967"/>
    <x v="10"/>
    <x v="67"/>
    <n v="36"/>
    <n v="150"/>
    <n v="5400"/>
    <s v="184+298"/>
    <s v="Yes"/>
    <m/>
    <s v="Yes"/>
    <m/>
    <s v="Yes"/>
    <m/>
    <s v="Yes"/>
    <m/>
    <s v="N/A"/>
    <m/>
    <s v="Yes"/>
    <m/>
    <s v="Yes"/>
    <m/>
    <s v="New"/>
    <s v="INFASCO"/>
    <n v="97.85"/>
    <n v="97.85"/>
  </r>
  <r>
    <x v="968"/>
    <x v="8"/>
    <x v="45"/>
    <n v="1"/>
    <n v="1850"/>
    <n v="1850"/>
    <s v="011+190"/>
    <s v="Yes"/>
    <m/>
    <s v="Yes"/>
    <m/>
    <s v="Yes"/>
    <m/>
    <s v="Yes"/>
    <m/>
    <s v="N/A"/>
    <m/>
    <s v="Yes"/>
    <m/>
    <s v="Yes"/>
    <m/>
    <s v="New"/>
    <s v="INFASCO"/>
    <n v="226.6"/>
    <n v="226.6"/>
  </r>
  <r>
    <x v="969"/>
    <x v="18"/>
    <x v="203"/>
    <n v="26"/>
    <n v="1200"/>
    <n v="31200"/>
    <s v="327+188"/>
    <s v="Yes"/>
    <m/>
    <s v="Yes"/>
    <m/>
    <s v="Yes"/>
    <m/>
    <s v="Yes"/>
    <m/>
    <s v="N/A"/>
    <m/>
    <s v="Yes"/>
    <m/>
    <s v="Yes"/>
    <m/>
    <s v="New"/>
    <e v="#N/A"/>
    <s v="N/A"/>
    <n v="97.85"/>
  </r>
  <r>
    <x v="970"/>
    <x v="18"/>
    <x v="151"/>
    <n v="36"/>
    <n v="650"/>
    <n v="23400"/>
    <s v="327+188"/>
    <s v="Yes"/>
    <m/>
    <s v="Yes"/>
    <m/>
    <s v="Yes"/>
    <m/>
    <s v="Yes"/>
    <m/>
    <s v="N/A"/>
    <m/>
    <s v="Yes"/>
    <m/>
    <s v="Yes"/>
    <m/>
    <s v="New"/>
    <s v="INFASCO"/>
    <n v="97.85"/>
    <n v="97.85"/>
  </r>
  <r>
    <x v="971"/>
    <x v="17"/>
    <x v="125"/>
    <n v="1"/>
    <n v="58361"/>
    <n v="58361"/>
    <s v="187+171"/>
    <s v="Yes"/>
    <m/>
    <s v="Yes"/>
    <m/>
    <s v="Yes"/>
    <m/>
    <s v="Yes"/>
    <m/>
    <s v="N/A"/>
    <m/>
    <s v="Yes"/>
    <m/>
    <s v="Yes"/>
    <m/>
    <s v="New"/>
    <s v="INFASCO"/>
    <n v="47.38"/>
    <n v="47.38"/>
  </r>
  <r>
    <x v="972"/>
    <x v="17"/>
    <x v="203"/>
    <n v="32"/>
    <n v="1200"/>
    <n v="38400"/>
    <s v="187+171"/>
    <s v="Yes"/>
    <m/>
    <s v="Yes"/>
    <m/>
    <s v="Yes"/>
    <m/>
    <s v="Yes"/>
    <m/>
    <s v="N/A"/>
    <m/>
    <s v="Yes"/>
    <m/>
    <s v="Yes"/>
    <m/>
    <s v="New"/>
    <e v="#N/A"/>
    <s v="N/A"/>
    <n v="97.85"/>
  </r>
  <r>
    <x v="973"/>
    <x v="18"/>
    <x v="151"/>
    <n v="44"/>
    <n v="650"/>
    <n v="28600"/>
    <s v="327+188"/>
    <s v="Yes"/>
    <m/>
    <s v="Yes"/>
    <m/>
    <s v="Yes"/>
    <m/>
    <s v="Yes"/>
    <m/>
    <s v="N/A"/>
    <m/>
    <s v="Yes"/>
    <m/>
    <s v="Yes"/>
    <m/>
    <s v="New"/>
    <s v="INFASCO"/>
    <n v="97.85"/>
    <n v="97.85"/>
  </r>
  <r>
    <x v="974"/>
    <x v="10"/>
    <x v="151"/>
    <n v="36"/>
    <n v="650"/>
    <n v="23400"/>
    <s v="184+298"/>
    <s v="Yes"/>
    <m/>
    <s v="Yes"/>
    <m/>
    <s v="Yes"/>
    <m/>
    <s v="Yes"/>
    <m/>
    <s v="N/A"/>
    <m/>
    <s v="Yes"/>
    <m/>
    <s v="Yes"/>
    <m/>
    <s v="New"/>
    <s v="INFASCO"/>
    <n v="97.85"/>
    <n v="97.85"/>
  </r>
  <r>
    <x v="975"/>
    <x v="17"/>
    <x v="125"/>
    <n v="1"/>
    <n v="74146"/>
    <n v="74146"/>
    <s v="187+171"/>
    <s v="Yes"/>
    <m/>
    <s v="Yes"/>
    <m/>
    <s v="Yes"/>
    <m/>
    <s v="Yes"/>
    <m/>
    <s v="N/A"/>
    <m/>
    <s v="Yes"/>
    <m/>
    <s v="Yes"/>
    <m/>
    <s v="New"/>
    <s v="INFASCO"/>
    <n v="47.38"/>
    <n v="47.38"/>
  </r>
  <r>
    <x v="976"/>
    <x v="17"/>
    <x v="125"/>
    <n v="1"/>
    <n v="70044"/>
    <n v="70044"/>
    <s v="187+171"/>
    <s v="Yes"/>
    <m/>
    <s v="Yes"/>
    <m/>
    <s v="Yes"/>
    <m/>
    <s v="Yes"/>
    <m/>
    <s v="N/A"/>
    <m/>
    <s v="Yes"/>
    <m/>
    <s v="Yes"/>
    <m/>
    <s v="New"/>
    <s v="INFASCO"/>
    <n v="47.38"/>
    <n v="47.38"/>
  </r>
  <r>
    <x v="977"/>
    <x v="8"/>
    <x v="151"/>
    <n v="36"/>
    <n v="650"/>
    <n v="23400"/>
    <s v="011+190"/>
    <s v="Yes"/>
    <m/>
    <s v="Yes"/>
    <m/>
    <s v="Yes"/>
    <m/>
    <s v="Yes"/>
    <m/>
    <s v="N/A"/>
    <m/>
    <s v="Yes"/>
    <m/>
    <s v="Yes"/>
    <m/>
    <s v="New"/>
    <s v="INFASCO"/>
    <n v="97.85"/>
    <n v="97.85"/>
  </r>
  <r>
    <x v="978"/>
    <x v="8"/>
    <x v="125"/>
    <n v="1"/>
    <n v="73826"/>
    <n v="73826"/>
    <s v="011+190"/>
    <s v="Yes"/>
    <m/>
    <s v="Yes"/>
    <m/>
    <s v="Yes"/>
    <m/>
    <s v="Yes"/>
    <m/>
    <s v="N/A"/>
    <m/>
    <s v="Yes"/>
    <m/>
    <s v="Yes"/>
    <m/>
    <s v="New"/>
    <s v="INFASCO"/>
    <n v="47.38"/>
    <n v="47.38"/>
  </r>
  <r>
    <x v="979"/>
    <x v="10"/>
    <x v="151"/>
    <n v="43"/>
    <n v="650"/>
    <n v="27950"/>
    <s v="184+298"/>
    <s v="Yes"/>
    <m/>
    <s v="Yes"/>
    <m/>
    <s v="Yes"/>
    <m/>
    <s v="Yes"/>
    <m/>
    <s v="N/A"/>
    <m/>
    <s v="Yes"/>
    <m/>
    <s v="Yes"/>
    <m/>
    <s v="New"/>
    <s v="INFASCO"/>
    <n v="97.85"/>
    <n v="97.85"/>
  </r>
  <r>
    <x v="980"/>
    <x v="10"/>
    <x v="34"/>
    <n v="32"/>
    <n v="135"/>
    <n v="4320"/>
    <s v="184+298"/>
    <s v="Yes"/>
    <m/>
    <s v="Yes"/>
    <m/>
    <s v="Yes"/>
    <m/>
    <s v="Yes"/>
    <m/>
    <s v="N/A"/>
    <m/>
    <s v="Yes"/>
    <m/>
    <s v="Yes"/>
    <m/>
    <s v="New"/>
    <s v="INFASCO"/>
    <n v="97.85"/>
    <n v="97.85"/>
  </r>
  <r>
    <x v="981"/>
    <x v="17"/>
    <x v="125"/>
    <n v="1"/>
    <n v="78143"/>
    <n v="78143"/>
    <s v="187+171"/>
    <s v="Yes"/>
    <m/>
    <s v="Yes"/>
    <m/>
    <s v="Yes"/>
    <m/>
    <s v="Yes"/>
    <m/>
    <s v="N/A"/>
    <m/>
    <s v="Yes"/>
    <m/>
    <s v="Yes"/>
    <m/>
    <s v="New"/>
    <s v="INFASCO"/>
    <n v="47.38"/>
    <n v="47.38"/>
  </r>
  <r>
    <x v="981"/>
    <x v="6"/>
    <x v="46"/>
    <n v="36"/>
    <n v="2150"/>
    <n v="77400"/>
    <m/>
    <m/>
    <m/>
    <m/>
    <m/>
    <m/>
    <m/>
    <m/>
    <m/>
    <m/>
    <m/>
    <m/>
    <m/>
    <m/>
    <m/>
    <m/>
    <s v="INFASCO"/>
    <m/>
    <n v="97.85"/>
  </r>
  <r>
    <x v="981"/>
    <x v="6"/>
    <x v="151"/>
    <n v="36"/>
    <n v="650"/>
    <n v="23400"/>
    <m/>
    <m/>
    <m/>
    <m/>
    <m/>
    <m/>
    <m/>
    <m/>
    <m/>
    <m/>
    <m/>
    <m/>
    <m/>
    <m/>
    <m/>
    <m/>
    <s v="INFASCO"/>
    <m/>
    <n v="97.85"/>
  </r>
  <r>
    <x v="981"/>
    <x v="6"/>
    <x v="151"/>
    <n v="36"/>
    <n v="650"/>
    <n v="23400"/>
    <m/>
    <m/>
    <m/>
    <m/>
    <m/>
    <m/>
    <m/>
    <m/>
    <m/>
    <m/>
    <m/>
    <m/>
    <m/>
    <m/>
    <m/>
    <m/>
    <s v="INFASCO"/>
    <m/>
    <n v="97.85"/>
  </r>
  <r>
    <x v="981"/>
    <x v="4"/>
    <x v="55"/>
    <n v="36"/>
    <n v="400"/>
    <n v="14400"/>
    <m/>
    <m/>
    <m/>
    <m/>
    <m/>
    <m/>
    <m/>
    <m/>
    <m/>
    <m/>
    <m/>
    <m/>
    <m/>
    <m/>
    <m/>
    <m/>
    <s v="INFASCO"/>
    <m/>
    <n v="97.85"/>
  </r>
  <r>
    <x v="981"/>
    <x v="4"/>
    <x v="9"/>
    <n v="36"/>
    <n v="450"/>
    <n v="16200"/>
    <m/>
    <m/>
    <m/>
    <m/>
    <m/>
    <m/>
    <m/>
    <m/>
    <m/>
    <m/>
    <m/>
    <m/>
    <m/>
    <m/>
    <m/>
    <m/>
    <s v="INFASCO"/>
    <m/>
    <n v="97.85"/>
  </r>
  <r>
    <x v="981"/>
    <x v="4"/>
    <x v="9"/>
    <n v="36"/>
    <n v="450"/>
    <n v="16200"/>
    <m/>
    <m/>
    <m/>
    <m/>
    <m/>
    <m/>
    <m/>
    <m/>
    <m/>
    <m/>
    <m/>
    <m/>
    <m/>
    <m/>
    <m/>
    <m/>
    <s v="INFASCO"/>
    <m/>
    <n v="97.85"/>
  </r>
  <r>
    <x v="981"/>
    <x v="4"/>
    <x v="9"/>
    <n v="36"/>
    <n v="450"/>
    <n v="16200"/>
    <m/>
    <m/>
    <m/>
    <m/>
    <m/>
    <m/>
    <m/>
    <m/>
    <m/>
    <m/>
    <m/>
    <m/>
    <m/>
    <m/>
    <m/>
    <m/>
    <s v="INFASCO"/>
    <m/>
    <n v="97.85"/>
  </r>
  <r>
    <x v="981"/>
    <x v="7"/>
    <x v="5"/>
    <n v="36"/>
    <n v="1000"/>
    <n v="36000"/>
    <m/>
    <m/>
    <m/>
    <m/>
    <m/>
    <m/>
    <m/>
    <m/>
    <m/>
    <m/>
    <m/>
    <m/>
    <m/>
    <m/>
    <m/>
    <m/>
    <s v="INFASCO"/>
    <m/>
    <n v="97.85"/>
  </r>
  <r>
    <x v="981"/>
    <x v="16"/>
    <x v="7"/>
    <n v="36"/>
    <n v="700"/>
    <n v="25200"/>
    <m/>
    <m/>
    <m/>
    <m/>
    <m/>
    <m/>
    <m/>
    <m/>
    <m/>
    <m/>
    <m/>
    <m/>
    <m/>
    <m/>
    <m/>
    <m/>
    <s v="INFASCO"/>
    <m/>
    <n v="97.85"/>
  </r>
  <r>
    <x v="981"/>
    <x v="16"/>
    <x v="7"/>
    <n v="36"/>
    <n v="700"/>
    <n v="25200"/>
    <m/>
    <m/>
    <m/>
    <m/>
    <m/>
    <m/>
    <m/>
    <m/>
    <m/>
    <m/>
    <m/>
    <m/>
    <m/>
    <m/>
    <m/>
    <m/>
    <s v="INFASCO"/>
    <m/>
    <n v="97.85"/>
  </r>
  <r>
    <x v="981"/>
    <x v="17"/>
    <x v="99"/>
    <n v="1"/>
    <n v="61432"/>
    <n v="61432"/>
    <m/>
    <m/>
    <m/>
    <m/>
    <m/>
    <m/>
    <m/>
    <m/>
    <m/>
    <m/>
    <m/>
    <m/>
    <m/>
    <m/>
    <m/>
    <m/>
    <s v="INFASCO"/>
    <m/>
    <n v="118.45"/>
  </r>
  <r>
    <x v="981"/>
    <x v="18"/>
    <x v="151"/>
    <n v="44"/>
    <n v="650"/>
    <n v="28600"/>
    <m/>
    <m/>
    <m/>
    <m/>
    <m/>
    <m/>
    <m/>
    <m/>
    <m/>
    <m/>
    <m/>
    <m/>
    <m/>
    <m/>
    <m/>
    <m/>
    <s v="INFASCO"/>
    <m/>
    <n v="97.85"/>
  </r>
  <r>
    <x v="981"/>
    <x v="18"/>
    <x v="9"/>
    <n v="36"/>
    <n v="450"/>
    <n v="16200"/>
    <m/>
    <m/>
    <m/>
    <m/>
    <m/>
    <m/>
    <m/>
    <m/>
    <m/>
    <m/>
    <m/>
    <m/>
    <m/>
    <m/>
    <m/>
    <m/>
    <s v="INFASCO"/>
    <m/>
    <n v="97.85"/>
  </r>
  <r>
    <x v="981"/>
    <x v="18"/>
    <x v="9"/>
    <n v="36"/>
    <n v="450"/>
    <n v="16200"/>
    <m/>
    <m/>
    <m/>
    <m/>
    <m/>
    <m/>
    <m/>
    <m/>
    <m/>
    <m/>
    <m/>
    <m/>
    <m/>
    <m/>
    <m/>
    <m/>
    <s v="INFASCO"/>
    <m/>
    <n v="97.85"/>
  </r>
  <r>
    <x v="981"/>
    <x v="5"/>
    <x v="46"/>
    <n v="36"/>
    <n v="2150"/>
    <n v="77400"/>
    <m/>
    <m/>
    <m/>
    <m/>
    <m/>
    <m/>
    <m/>
    <m/>
    <m/>
    <m/>
    <m/>
    <m/>
    <m/>
    <m/>
    <m/>
    <m/>
    <s v="INFASCO"/>
    <m/>
    <n v="97.85"/>
  </r>
  <r>
    <x v="981"/>
    <x v="1"/>
    <x v="175"/>
    <n v="36"/>
    <n v="1300"/>
    <n v="46800"/>
    <m/>
    <m/>
    <m/>
    <m/>
    <m/>
    <m/>
    <m/>
    <m/>
    <m/>
    <m/>
    <m/>
    <m/>
    <m/>
    <m/>
    <m/>
    <m/>
    <s v="INFASCO"/>
    <m/>
    <n v="97.85"/>
  </r>
  <r>
    <x v="981"/>
    <x v="3"/>
    <x v="55"/>
    <n v="36"/>
    <n v="400"/>
    <n v="14400"/>
    <m/>
    <m/>
    <m/>
    <m/>
    <m/>
    <m/>
    <m/>
    <m/>
    <m/>
    <m/>
    <m/>
    <m/>
    <m/>
    <m/>
    <m/>
    <m/>
    <s v="INFASCO"/>
    <m/>
    <n v="97.85"/>
  </r>
  <r>
    <x v="981"/>
    <x v="3"/>
    <x v="55"/>
    <n v="36"/>
    <n v="400"/>
    <n v="14400"/>
    <m/>
    <m/>
    <m/>
    <m/>
    <m/>
    <m/>
    <m/>
    <m/>
    <m/>
    <m/>
    <m/>
    <m/>
    <m/>
    <m/>
    <m/>
    <m/>
    <s v="INFASCO"/>
    <m/>
    <n v="97.85"/>
  </r>
  <r>
    <x v="981"/>
    <x v="3"/>
    <x v="55"/>
    <n v="29"/>
    <n v="400"/>
    <n v="11600"/>
    <m/>
    <m/>
    <m/>
    <m/>
    <m/>
    <m/>
    <m/>
    <m/>
    <m/>
    <m/>
    <m/>
    <m/>
    <m/>
    <m/>
    <m/>
    <m/>
    <s v="INFASCO"/>
    <m/>
    <n v="97.85"/>
  </r>
  <r>
    <x v="981"/>
    <x v="3"/>
    <x v="151"/>
    <n v="36"/>
    <n v="650"/>
    <n v="23400"/>
    <m/>
    <m/>
    <m/>
    <m/>
    <m/>
    <m/>
    <m/>
    <m/>
    <m/>
    <m/>
    <m/>
    <m/>
    <m/>
    <m/>
    <m/>
    <m/>
    <s v="INFASCO"/>
    <m/>
    <n v="97.85"/>
  </r>
  <r>
    <x v="981"/>
    <x v="14"/>
    <x v="7"/>
    <n v="36"/>
    <n v="700"/>
    <n v="25200"/>
    <m/>
    <m/>
    <m/>
    <m/>
    <m/>
    <m/>
    <m/>
    <m/>
    <m/>
    <m/>
    <m/>
    <m/>
    <m/>
    <m/>
    <m/>
    <m/>
    <s v="INFASCO"/>
    <m/>
    <n v="97.85"/>
  </r>
  <r>
    <x v="981"/>
    <x v="11"/>
    <x v="4"/>
    <n v="28"/>
    <n v="1200"/>
    <n v="33600"/>
    <m/>
    <m/>
    <m/>
    <m/>
    <m/>
    <m/>
    <m/>
    <m/>
    <m/>
    <m/>
    <m/>
    <m/>
    <m/>
    <m/>
    <m/>
    <m/>
    <s v="INFASCO"/>
    <m/>
    <n v="97.85"/>
  </r>
  <r>
    <x v="981"/>
    <x v="11"/>
    <x v="151"/>
    <n v="36"/>
    <n v="650"/>
    <n v="23400"/>
    <m/>
    <m/>
    <m/>
    <m/>
    <m/>
    <m/>
    <m/>
    <m/>
    <m/>
    <m/>
    <m/>
    <m/>
    <m/>
    <m/>
    <m/>
    <m/>
    <s v="INFASCO"/>
    <m/>
    <n v="97.85"/>
  </r>
  <r>
    <x v="981"/>
    <x v="11"/>
    <x v="151"/>
    <n v="36"/>
    <n v="650"/>
    <n v="23400"/>
    <m/>
    <m/>
    <m/>
    <m/>
    <m/>
    <m/>
    <m/>
    <m/>
    <m/>
    <m/>
    <m/>
    <m/>
    <m/>
    <m/>
    <m/>
    <m/>
    <s v="INFASCO"/>
    <m/>
    <n v="97.85"/>
  </r>
  <r>
    <x v="982"/>
    <x v="18"/>
    <x v="33"/>
    <n v="36"/>
    <n v="145"/>
    <n v="5220"/>
    <s v="327+188"/>
    <s v="Yes"/>
    <m/>
    <s v="Yes"/>
    <m/>
    <s v="Yes"/>
    <m/>
    <s v="Yes"/>
    <m/>
    <s v="N/A"/>
    <m/>
    <s v="Yes"/>
    <m/>
    <s v="Yes"/>
    <m/>
    <s v="Re-certified"/>
    <s v="INFASCO"/>
    <n v="123.6"/>
    <n v="123.6"/>
  </r>
  <r>
    <x v="983"/>
    <x v="8"/>
    <x v="125"/>
    <n v="1"/>
    <n v="83820"/>
    <n v="83820"/>
    <s v="011+190"/>
    <s v="Yes"/>
    <m/>
    <s v="Yes"/>
    <m/>
    <s v="Yes"/>
    <m/>
    <s v="Yes"/>
    <m/>
    <s v="N/A"/>
    <m/>
    <s v="Yes"/>
    <m/>
    <s v="Yes"/>
    <m/>
    <s v="New"/>
    <s v="INFASCO"/>
    <n v="47.38"/>
    <n v="47.38"/>
  </r>
  <r>
    <x v="984"/>
    <x v="18"/>
    <x v="33"/>
    <n v="23"/>
    <n v="145"/>
    <n v="3335"/>
    <s v="327+188"/>
    <s v="Yes"/>
    <m/>
    <s v="Yes"/>
    <m/>
    <s v="Yes"/>
    <m/>
    <s v="Yes"/>
    <m/>
    <s v="N/A"/>
    <m/>
    <s v="Yes"/>
    <m/>
    <s v="Yes"/>
    <m/>
    <s v="Re-certified"/>
    <s v="INFASCO"/>
    <n v="123.6"/>
    <n v="123.5"/>
  </r>
  <r>
    <x v="985"/>
    <x v="10"/>
    <x v="33"/>
    <n v="30"/>
    <n v="145"/>
    <n v="4350"/>
    <s v="184+298"/>
    <s v="Yes"/>
    <m/>
    <s v="Yes"/>
    <m/>
    <s v="Yes"/>
    <m/>
    <s v="Yes"/>
    <m/>
    <s v="N/A"/>
    <m/>
    <s v="Yes"/>
    <m/>
    <s v="Yes"/>
    <m/>
    <s v="New"/>
    <s v="INFASCO"/>
    <n v="123.6"/>
    <n v="123.6"/>
  </r>
  <r>
    <x v="986"/>
    <x v="18"/>
    <x v="33"/>
    <n v="19"/>
    <n v="145"/>
    <n v="2755"/>
    <s v="327+188"/>
    <s v="Yes"/>
    <m/>
    <s v="Yes"/>
    <m/>
    <s v="Yes"/>
    <m/>
    <s v="Yes"/>
    <m/>
    <s v="N/A"/>
    <m/>
    <s v="Yes"/>
    <m/>
    <s v="Yes"/>
    <m/>
    <s v="New"/>
    <s v="INFASCO"/>
    <n v="123.6"/>
    <n v="123.6"/>
  </r>
  <r>
    <x v="987"/>
    <x v="17"/>
    <x v="99"/>
    <n v="1"/>
    <n v="70505"/>
    <n v="70505"/>
    <s v="187+171"/>
    <s v="Yes"/>
    <m/>
    <s v="Yes"/>
    <m/>
    <s v="Yes"/>
    <m/>
    <s v="Yes"/>
    <m/>
    <s v="N/A"/>
    <m/>
    <s v="Yes"/>
    <m/>
    <s v="Yes"/>
    <m/>
    <s v="New"/>
    <s v="INFASCO"/>
    <n v="118.45"/>
    <n v="118.45"/>
  </r>
  <r>
    <x v="988"/>
    <x v="10"/>
    <x v="10"/>
    <n v="41"/>
    <n v="450"/>
    <n v="18450"/>
    <s v="184+298"/>
    <s v="Yes"/>
    <m/>
    <s v="Yes"/>
    <m/>
    <s v="Yes"/>
    <m/>
    <s v="Yes"/>
    <m/>
    <s v="N/A"/>
    <m/>
    <s v="Yes"/>
    <m/>
    <s v="Yes"/>
    <m/>
    <s v="New"/>
    <s v="INFASCO"/>
    <n v="97.85"/>
    <n v="97.85"/>
  </r>
  <r>
    <x v="989"/>
    <x v="8"/>
    <x v="33"/>
    <n v="27"/>
    <n v="145"/>
    <n v="3915"/>
    <s v="011+190"/>
    <s v="Yes"/>
    <m/>
    <s v="Yes"/>
    <m/>
    <s v="Yes"/>
    <m/>
    <s v="Yes"/>
    <m/>
    <s v="N/A"/>
    <m/>
    <s v="Yes"/>
    <m/>
    <s v="Yes"/>
    <m/>
    <s v="New"/>
    <s v="INFASCO"/>
    <s v="N/A"/>
    <n v="123.6"/>
  </r>
  <r>
    <x v="990"/>
    <x v="8"/>
    <x v="10"/>
    <n v="36"/>
    <n v="450"/>
    <n v="16200"/>
    <s v="011+190"/>
    <s v="Yes"/>
    <m/>
    <s v="Yes"/>
    <m/>
    <s v="Yes"/>
    <m/>
    <s v="Yes"/>
    <m/>
    <s v="N/A"/>
    <m/>
    <s v="Yes"/>
    <m/>
    <s v="Yes"/>
    <m/>
    <s v="New"/>
    <s v="INFASCO"/>
    <n v="97.85"/>
    <n v="97.85"/>
  </r>
  <r>
    <x v="991"/>
    <x v="17"/>
    <x v="10"/>
    <n v="34"/>
    <n v="450"/>
    <n v="15300"/>
    <s v="187+171"/>
    <s v="Yes"/>
    <m/>
    <s v="Yes"/>
    <m/>
    <s v="Yes"/>
    <m/>
    <s v="Yes"/>
    <m/>
    <s v="N/A"/>
    <m/>
    <s v="Yes"/>
    <m/>
    <s v="Yes"/>
    <m/>
    <s v="New"/>
    <s v="INFASCO"/>
    <n v="97.85"/>
    <n v="97.85"/>
  </r>
  <r>
    <x v="992"/>
    <x v="18"/>
    <x v="10"/>
    <n v="36"/>
    <n v="450"/>
    <n v="16200"/>
    <s v="188+171"/>
    <s v="Yes"/>
    <m/>
    <s v="Yes"/>
    <m/>
    <s v="Yes"/>
    <m/>
    <s v="Yes"/>
    <m/>
    <s v="N/A"/>
    <m/>
    <s v="Yes"/>
    <m/>
    <s v="Yes"/>
    <m/>
    <s v="New"/>
    <s v="INFASCO"/>
    <n v="97.85"/>
    <n v="97.85"/>
  </r>
  <r>
    <x v="993"/>
    <x v="10"/>
    <x v="10"/>
    <n v="36"/>
    <n v="450"/>
    <n v="16200"/>
    <s v="184+298"/>
    <s v="Yes"/>
    <m/>
    <s v="Yes"/>
    <m/>
    <s v="Yes"/>
    <m/>
    <s v="Yes"/>
    <m/>
    <s v="N/A"/>
    <m/>
    <s v="Yes"/>
    <m/>
    <s v="Yes"/>
    <m/>
    <s v="New"/>
    <s v="INFASCO"/>
    <n v="97.85"/>
    <n v="97.85"/>
  </r>
  <r>
    <x v="994"/>
    <x v="8"/>
    <x v="10"/>
    <n v="36"/>
    <n v="450"/>
    <n v="16200"/>
    <s v="011+190"/>
    <s v="Yes"/>
    <m/>
    <s v="Yes"/>
    <m/>
    <s v="Yes"/>
    <m/>
    <s v="Yes"/>
    <m/>
    <s v="N/A"/>
    <m/>
    <s v="Yes"/>
    <m/>
    <s v="Yes"/>
    <m/>
    <s v="New"/>
    <s v="INFASCO"/>
    <n v="97.85"/>
    <n v="97.85"/>
  </r>
  <r>
    <x v="995"/>
    <x v="17"/>
    <x v="10"/>
    <n v="36"/>
    <n v="450"/>
    <n v="16200"/>
    <s v="187+171"/>
    <s v="Yes"/>
    <m/>
    <s v="Yes"/>
    <m/>
    <s v="Yes"/>
    <m/>
    <s v="Yes"/>
    <m/>
    <s v="N/A"/>
    <m/>
    <s v="Yes"/>
    <m/>
    <s v="Yes"/>
    <m/>
    <s v="New"/>
    <s v="INFASCO"/>
    <n v="97.85"/>
    <n v="97.85"/>
  </r>
  <r>
    <x v="996"/>
    <x v="10"/>
    <x v="10"/>
    <n v="36"/>
    <n v="450"/>
    <n v="16200"/>
    <s v="184+298"/>
    <s v="Yes"/>
    <m/>
    <s v="Yes"/>
    <m/>
    <s v="Yes"/>
    <m/>
    <s v="Yes"/>
    <m/>
    <s v="N/A"/>
    <m/>
    <s v="Yes"/>
    <m/>
    <s v="Yes"/>
    <m/>
    <s v="New"/>
    <s v="INFASCO"/>
    <n v="97.85"/>
    <n v="97.85"/>
  </r>
  <r>
    <x v="997"/>
    <x v="8"/>
    <x v="10"/>
    <n v="36"/>
    <n v="450"/>
    <n v="16200"/>
    <s v="011+190"/>
    <s v="Yes"/>
    <m/>
    <s v="Yes"/>
    <m/>
    <s v="Yes"/>
    <m/>
    <s v="Yes"/>
    <m/>
    <s v="N/A"/>
    <m/>
    <s v="Yes"/>
    <m/>
    <s v="Yes"/>
    <m/>
    <s v="New"/>
    <s v="INFASCO"/>
    <n v="97.85"/>
    <n v="97.85"/>
  </r>
  <r>
    <x v="998"/>
    <x v="10"/>
    <x v="10"/>
    <n v="36"/>
    <n v="450"/>
    <n v="16200"/>
    <s v="184+298"/>
    <s v="Yes"/>
    <m/>
    <s v="Yes"/>
    <m/>
    <s v="Yes"/>
    <m/>
    <s v="Yes"/>
    <m/>
    <s v="N/A"/>
    <m/>
    <s v="Yes"/>
    <m/>
    <s v="Yes"/>
    <m/>
    <s v="New"/>
    <s v="INFASCO"/>
    <n v="97.85"/>
    <n v="97.85"/>
  </r>
  <r>
    <x v="999"/>
    <x v="17"/>
    <x v="10"/>
    <n v="36"/>
    <n v="450"/>
    <n v="16200"/>
    <s v="187+171"/>
    <s v="Yes"/>
    <m/>
    <s v="Yes"/>
    <m/>
    <s v="Yes"/>
    <m/>
    <s v="Yes"/>
    <m/>
    <s v="N/A"/>
    <m/>
    <s v="Yes"/>
    <m/>
    <s v="Yes"/>
    <m/>
    <s v="New"/>
    <s v="INFASCO"/>
    <n v="97.85"/>
    <n v="97.85"/>
  </r>
  <r>
    <x v="1000"/>
    <x v="10"/>
    <x v="10"/>
    <n v="36"/>
    <n v="450"/>
    <n v="16200"/>
    <s v="181 297"/>
    <s v="Yes"/>
    <m/>
    <s v="Yes"/>
    <m/>
    <s v="Yes"/>
    <m/>
    <s v="Yes"/>
    <m/>
    <s v="N/A"/>
    <m/>
    <s v="Yes"/>
    <m/>
    <s v="Yes"/>
    <m/>
    <s v="New"/>
    <s v="INFASCO"/>
    <n v="97.85"/>
    <n v="97.85"/>
  </r>
  <r>
    <x v="1001"/>
    <x v="17"/>
    <x v="135"/>
    <n v="36"/>
    <n v="1500"/>
    <n v="54000"/>
    <s v="187+171"/>
    <s v="Yes"/>
    <m/>
    <s v="Yes"/>
    <m/>
    <s v="Yes"/>
    <m/>
    <s v="Yes"/>
    <m/>
    <s v="N/A"/>
    <m/>
    <s v="Yes"/>
    <m/>
    <s v="Yes"/>
    <m/>
    <s v="New"/>
    <s v="INFASCO"/>
    <n v="97.85"/>
    <n v="97.85"/>
  </r>
  <r>
    <x v="1001"/>
    <x v="11"/>
    <x v="10"/>
    <n v="22"/>
    <n v="450"/>
    <n v="9900"/>
    <m/>
    <m/>
    <m/>
    <m/>
    <m/>
    <m/>
    <m/>
    <m/>
    <m/>
    <m/>
    <m/>
    <m/>
    <m/>
    <m/>
    <m/>
    <m/>
    <s v="INFASCO"/>
    <m/>
    <n v="97.85"/>
  </r>
  <r>
    <x v="1002"/>
    <x v="18"/>
    <x v="71"/>
    <n v="36"/>
    <n v="1500"/>
    <n v="54000"/>
    <s v="11+14"/>
    <s v="Yes"/>
    <m/>
    <s v="Yes"/>
    <m/>
    <s v="Yes"/>
    <m/>
    <s v="Yes"/>
    <m/>
    <s v="N/A"/>
    <m/>
    <s v="Yes"/>
    <m/>
    <s v="Yes"/>
    <m/>
    <s v="New"/>
    <s v="INFASCO"/>
    <n v="97.85"/>
    <n v="97.85"/>
  </r>
  <r>
    <x v="1003"/>
    <x v="18"/>
    <x v="71"/>
    <n v="36"/>
    <n v="1500"/>
    <n v="54000"/>
    <s v="14+11+171"/>
    <s v="Yes"/>
    <m/>
    <s v="Yes"/>
    <m/>
    <s v="Yes"/>
    <m/>
    <s v="Yes"/>
    <m/>
    <s v="N/A"/>
    <m/>
    <s v="Yes"/>
    <m/>
    <s v="Yes"/>
    <m/>
    <s v="New"/>
    <s v="INFASCO"/>
    <n v="97.85"/>
    <n v="97.85"/>
  </r>
  <r>
    <x v="1004"/>
    <x v="17"/>
    <x v="135"/>
    <n v="36"/>
    <n v="1500"/>
    <n v="54000"/>
    <s v="171+187+14"/>
    <s v="Yes"/>
    <m/>
    <s v="Yes"/>
    <m/>
    <s v="Yes"/>
    <m/>
    <s v="Yes"/>
    <m/>
    <s v="N/A"/>
    <m/>
    <s v="Yes"/>
    <m/>
    <s v="Yes"/>
    <m/>
    <s v="New"/>
    <s v="INFASCO"/>
    <n v="97.85"/>
    <n v="97.85"/>
  </r>
  <r>
    <x v="1004"/>
    <x v="16"/>
    <x v="7"/>
    <n v="36"/>
    <n v="700"/>
    <n v="25200"/>
    <m/>
    <m/>
    <m/>
    <m/>
    <m/>
    <m/>
    <m/>
    <m/>
    <m/>
    <m/>
    <m/>
    <m/>
    <m/>
    <m/>
    <m/>
    <m/>
    <s v="INFASCO"/>
    <m/>
    <n v="97.85"/>
  </r>
  <r>
    <x v="1004"/>
    <x v="16"/>
    <x v="10"/>
    <n v="23"/>
    <n v="450"/>
    <n v="10350"/>
    <m/>
    <m/>
    <m/>
    <m/>
    <m/>
    <m/>
    <m/>
    <m/>
    <m/>
    <m/>
    <m/>
    <m/>
    <m/>
    <m/>
    <m/>
    <m/>
    <s v="INFASCO"/>
    <m/>
    <n v="97.85"/>
  </r>
  <r>
    <x v="1004"/>
    <x v="6"/>
    <x v="151"/>
    <n v="36"/>
    <n v="650"/>
    <n v="23400"/>
    <m/>
    <m/>
    <m/>
    <m/>
    <m/>
    <m/>
    <m/>
    <m/>
    <m/>
    <m/>
    <m/>
    <m/>
    <m/>
    <m/>
    <m/>
    <m/>
    <s v="INFASCO"/>
    <m/>
    <n v="97.85"/>
  </r>
  <r>
    <x v="1004"/>
    <x v="6"/>
    <x v="10"/>
    <n v="36"/>
    <n v="450"/>
    <n v="16200"/>
    <m/>
    <m/>
    <m/>
    <m/>
    <m/>
    <m/>
    <m/>
    <m/>
    <m/>
    <m/>
    <m/>
    <m/>
    <m/>
    <m/>
    <m/>
    <m/>
    <s v="INFASCO"/>
    <m/>
    <n v="97.85"/>
  </r>
  <r>
    <x v="1004"/>
    <x v="6"/>
    <x v="10"/>
    <n v="36"/>
    <n v="450"/>
    <n v="16200"/>
    <m/>
    <m/>
    <m/>
    <m/>
    <m/>
    <m/>
    <m/>
    <m/>
    <m/>
    <m/>
    <m/>
    <m/>
    <m/>
    <m/>
    <m/>
    <m/>
    <s v="INFASCO"/>
    <m/>
    <n v="97.85"/>
  </r>
  <r>
    <x v="1004"/>
    <x v="7"/>
    <x v="10"/>
    <n v="36"/>
    <n v="450"/>
    <n v="16200"/>
    <m/>
    <m/>
    <m/>
    <m/>
    <m/>
    <m/>
    <m/>
    <m/>
    <m/>
    <m/>
    <m/>
    <m/>
    <m/>
    <m/>
    <m/>
    <m/>
    <s v="INFASCO"/>
    <m/>
    <n v="97.85"/>
  </r>
  <r>
    <x v="1004"/>
    <x v="2"/>
    <x v="108"/>
    <n v="36"/>
    <n v="3500"/>
    <n v="126000"/>
    <m/>
    <m/>
    <m/>
    <m/>
    <m/>
    <m/>
    <m/>
    <m/>
    <m/>
    <m/>
    <m/>
    <m/>
    <m/>
    <m/>
    <m/>
    <m/>
    <s v="INFASCO"/>
    <m/>
    <n v="97.85"/>
  </r>
  <r>
    <x v="1004"/>
    <x v="4"/>
    <x v="9"/>
    <n v="36"/>
    <n v="450"/>
    <n v="16200"/>
    <m/>
    <m/>
    <m/>
    <m/>
    <m/>
    <m/>
    <m/>
    <m/>
    <m/>
    <m/>
    <m/>
    <m/>
    <m/>
    <m/>
    <m/>
    <m/>
    <s v="INFASCO"/>
    <m/>
    <n v="97.85"/>
  </r>
  <r>
    <x v="1004"/>
    <x v="4"/>
    <x v="10"/>
    <n v="36"/>
    <n v="450"/>
    <n v="16200"/>
    <m/>
    <m/>
    <m/>
    <m/>
    <m/>
    <m/>
    <m/>
    <m/>
    <m/>
    <m/>
    <m/>
    <m/>
    <m/>
    <m/>
    <m/>
    <m/>
    <s v="INFASCO"/>
    <m/>
    <n v="97.85"/>
  </r>
  <r>
    <x v="1004"/>
    <x v="4"/>
    <x v="10"/>
    <n v="36"/>
    <n v="450"/>
    <n v="16200"/>
    <m/>
    <m/>
    <m/>
    <m/>
    <m/>
    <m/>
    <m/>
    <m/>
    <m/>
    <m/>
    <m/>
    <m/>
    <m/>
    <m/>
    <m/>
    <m/>
    <s v="INFASCO"/>
    <m/>
    <n v="97.85"/>
  </r>
  <r>
    <x v="1004"/>
    <x v="4"/>
    <x v="10"/>
    <n v="36"/>
    <n v="450"/>
    <n v="16200"/>
    <m/>
    <m/>
    <m/>
    <m/>
    <m/>
    <m/>
    <m/>
    <m/>
    <m/>
    <m/>
    <m/>
    <m/>
    <m/>
    <m/>
    <m/>
    <m/>
    <s v="INFASCO"/>
    <m/>
    <n v="97.85"/>
  </r>
  <r>
    <x v="1004"/>
    <x v="26"/>
    <x v="151"/>
    <n v="41"/>
    <n v="650"/>
    <n v="26650"/>
    <m/>
    <m/>
    <m/>
    <m/>
    <m/>
    <m/>
    <m/>
    <m/>
    <m/>
    <m/>
    <m/>
    <m/>
    <m/>
    <m/>
    <m/>
    <m/>
    <s v="INFASCO"/>
    <m/>
    <n v="97.85"/>
  </r>
  <r>
    <x v="1004"/>
    <x v="26"/>
    <x v="151"/>
    <n v="39"/>
    <n v="650"/>
    <n v="25350"/>
    <m/>
    <m/>
    <m/>
    <m/>
    <m/>
    <m/>
    <m/>
    <m/>
    <m/>
    <m/>
    <m/>
    <m/>
    <m/>
    <m/>
    <m/>
    <m/>
    <s v="INFASCO"/>
    <m/>
    <n v="97.85"/>
  </r>
  <r>
    <x v="1004"/>
    <x v="26"/>
    <x v="10"/>
    <n v="36"/>
    <n v="450"/>
    <n v="16200"/>
    <m/>
    <m/>
    <m/>
    <m/>
    <m/>
    <m/>
    <m/>
    <m/>
    <m/>
    <m/>
    <m/>
    <m/>
    <m/>
    <m/>
    <m/>
    <m/>
    <s v="INFASCO"/>
    <m/>
    <n v="97.85"/>
  </r>
  <r>
    <x v="1004"/>
    <x v="13"/>
    <x v="7"/>
    <n v="36"/>
    <n v="700"/>
    <n v="25200"/>
    <m/>
    <m/>
    <m/>
    <m/>
    <m/>
    <m/>
    <m/>
    <m/>
    <m/>
    <m/>
    <m/>
    <m/>
    <m/>
    <m/>
    <m/>
    <m/>
    <s v="INFASCO"/>
    <m/>
    <n v="97.85"/>
  </r>
  <r>
    <x v="1004"/>
    <x v="13"/>
    <x v="7"/>
    <n v="38"/>
    <n v="700"/>
    <n v="26600"/>
    <m/>
    <m/>
    <m/>
    <m/>
    <m/>
    <m/>
    <m/>
    <m/>
    <m/>
    <m/>
    <m/>
    <m/>
    <m/>
    <m/>
    <m/>
    <m/>
    <s v="INFASCO"/>
    <m/>
    <n v="97.85"/>
  </r>
  <r>
    <x v="1004"/>
    <x v="14"/>
    <x v="7"/>
    <n v="36"/>
    <n v="700"/>
    <n v="25200"/>
    <m/>
    <m/>
    <m/>
    <m/>
    <m/>
    <m/>
    <m/>
    <m/>
    <m/>
    <m/>
    <m/>
    <m/>
    <m/>
    <m/>
    <m/>
    <m/>
    <s v="INFASCO"/>
    <m/>
    <n v="97.85"/>
  </r>
  <r>
    <x v="1004"/>
    <x v="3"/>
    <x v="151"/>
    <n v="40"/>
    <n v="650"/>
    <n v="26000"/>
    <m/>
    <m/>
    <m/>
    <m/>
    <m/>
    <m/>
    <m/>
    <m/>
    <m/>
    <m/>
    <m/>
    <m/>
    <m/>
    <m/>
    <m/>
    <m/>
    <s v="INFASCO"/>
    <m/>
    <n v="97.85"/>
  </r>
  <r>
    <x v="1004"/>
    <x v="3"/>
    <x v="10"/>
    <n v="36"/>
    <n v="450"/>
    <n v="16200"/>
    <m/>
    <m/>
    <m/>
    <m/>
    <m/>
    <m/>
    <m/>
    <m/>
    <m/>
    <m/>
    <m/>
    <m/>
    <m/>
    <m/>
    <m/>
    <m/>
    <s v="INFASCO"/>
    <m/>
    <n v="97.85"/>
  </r>
  <r>
    <x v="1004"/>
    <x v="12"/>
    <x v="10"/>
    <n v="36"/>
    <n v="450"/>
    <n v="16200"/>
    <m/>
    <m/>
    <m/>
    <m/>
    <m/>
    <m/>
    <m/>
    <m/>
    <m/>
    <m/>
    <m/>
    <m/>
    <m/>
    <m/>
    <m/>
    <m/>
    <s v="INFASCO"/>
    <m/>
    <n v="97.85"/>
  </r>
  <r>
    <x v="1004"/>
    <x v="11"/>
    <x v="151"/>
    <n v="36"/>
    <n v="650"/>
    <n v="23400"/>
    <m/>
    <m/>
    <m/>
    <m/>
    <m/>
    <m/>
    <m/>
    <m/>
    <m/>
    <m/>
    <m/>
    <m/>
    <m/>
    <m/>
    <m/>
    <m/>
    <s v="INFASCO"/>
    <m/>
    <n v="97.85"/>
  </r>
  <r>
    <x v="1004"/>
    <x v="11"/>
    <x v="10"/>
    <n v="36"/>
    <n v="450"/>
    <n v="16200"/>
    <m/>
    <m/>
    <m/>
    <m/>
    <m/>
    <m/>
    <m/>
    <m/>
    <m/>
    <m/>
    <m/>
    <m/>
    <m/>
    <m/>
    <m/>
    <m/>
    <s v="INFASCO"/>
    <m/>
    <n v="97.85"/>
  </r>
  <r>
    <x v="1005"/>
    <x v="8"/>
    <x v="10"/>
    <n v="30"/>
    <n v="450"/>
    <n v="13500"/>
    <s v="011+190"/>
    <s v="Yes"/>
    <m/>
    <s v="Yes"/>
    <m/>
    <s v="Yes"/>
    <m/>
    <s v="Yes"/>
    <m/>
    <s v="N/A"/>
    <m/>
    <s v="Yes"/>
    <m/>
    <s v="Yes"/>
    <m/>
    <s v="New"/>
    <s v="INFASCO"/>
    <n v="97.85"/>
    <n v="97.85"/>
  </r>
  <r>
    <x v="1006"/>
    <x v="8"/>
    <x v="204"/>
    <n v="18"/>
    <n v="1350"/>
    <n v="24300"/>
    <s v="011+190"/>
    <s v="Yes"/>
    <m/>
    <s v="Yes"/>
    <m/>
    <s v="Yes"/>
    <m/>
    <s v="Yes"/>
    <m/>
    <s v="N/A"/>
    <m/>
    <s v="Yes"/>
    <m/>
    <s v="Yes"/>
    <m/>
    <s v="New"/>
    <e v="#N/A"/>
    <s v="N/A"/>
    <n v="97.85"/>
  </r>
  <r>
    <x v="1007"/>
    <x v="10"/>
    <x v="10"/>
    <n v="34"/>
    <n v="450"/>
    <n v="15300"/>
    <s v="181 298"/>
    <s v="Yes"/>
    <m/>
    <s v="Yes"/>
    <m/>
    <s v="Yes"/>
    <m/>
    <s v="Yes"/>
    <m/>
    <s v="N/A"/>
    <m/>
    <s v="Yes"/>
    <m/>
    <s v="Yes"/>
    <m/>
    <s v="New"/>
    <s v="INFASCO"/>
    <n v="97.85"/>
    <n v="97.85"/>
  </r>
  <r>
    <x v="1008"/>
    <x v="8"/>
    <x v="60"/>
    <n v="22"/>
    <n v="5500"/>
    <n v="121000"/>
    <s v="011+090"/>
    <s v="Yes"/>
    <m/>
    <s v="Yes"/>
    <m/>
    <s v="Yes"/>
    <m/>
    <s v="Yes"/>
    <m/>
    <s v="N/A"/>
    <m/>
    <s v="Yes"/>
    <m/>
    <s v="Yes"/>
    <m/>
    <s v="New"/>
    <s v="INFASCO"/>
    <n v="123.6"/>
    <n v="123.6"/>
  </r>
  <r>
    <x v="1009"/>
    <x v="8"/>
    <x v="167"/>
    <n v="22"/>
    <n v="400"/>
    <n v="8800"/>
    <s v="011+190"/>
    <s v="Yes"/>
    <m/>
    <s v="Yes"/>
    <m/>
    <s v="Yes"/>
    <m/>
    <s v="Yes"/>
    <m/>
    <s v="N/A"/>
    <m/>
    <s v="Yes"/>
    <m/>
    <s v="Yes"/>
    <m/>
    <s v="New"/>
    <s v="INFASCO"/>
    <n v="97.85"/>
    <n v="97.85"/>
  </r>
  <r>
    <x v="1010"/>
    <x v="8"/>
    <x v="167"/>
    <n v="26"/>
    <n v="400"/>
    <n v="10400"/>
    <s v="011+190"/>
    <s v="Yes"/>
    <m/>
    <s v="Yes"/>
    <m/>
    <s v="Yes"/>
    <m/>
    <s v="Yes"/>
    <m/>
    <s v="N/A"/>
    <m/>
    <s v="Yes"/>
    <m/>
    <s v="Yes"/>
    <m/>
    <s v="New"/>
    <s v="INFASCO"/>
    <n v="97.85"/>
    <n v="97.85"/>
  </r>
  <r>
    <x v="1011"/>
    <x v="8"/>
    <x v="174"/>
    <n v="27"/>
    <n v="1125"/>
    <n v="30375"/>
    <s v="011+190"/>
    <s v="Yes"/>
    <m/>
    <s v="Yes"/>
    <m/>
    <s v="Yes"/>
    <m/>
    <s v="Yes"/>
    <m/>
    <s v="N/A"/>
    <m/>
    <s v="Yes"/>
    <m/>
    <s v="Yes"/>
    <m/>
    <s v="New"/>
    <s v="INFASCO"/>
    <n v="123.6"/>
    <n v="123.6"/>
  </r>
  <r>
    <x v="1012"/>
    <x v="8"/>
    <x v="174"/>
    <n v="30"/>
    <n v="1125"/>
    <n v="33750"/>
    <s v="011+190"/>
    <s v="Yes"/>
    <m/>
    <s v="Yes"/>
    <m/>
    <s v="Yes"/>
    <m/>
    <s v="Yes"/>
    <m/>
    <s v="N/A"/>
    <m/>
    <s v="Yes"/>
    <m/>
    <s v="Yes"/>
    <m/>
    <s v="New"/>
    <s v="INFASCO"/>
    <n v="123.6"/>
    <n v="123.6"/>
  </r>
  <r>
    <x v="1013"/>
    <x v="8"/>
    <x v="205"/>
    <n v="11"/>
    <n v="4000"/>
    <n v="44000"/>
    <s v="011+190"/>
    <s v="Yes"/>
    <m/>
    <s v="Yes"/>
    <m/>
    <s v="Yes"/>
    <m/>
    <s v="Yes"/>
    <m/>
    <s v="N/A"/>
    <m/>
    <s v="Yes"/>
    <m/>
    <s v="Yes"/>
    <m/>
    <s v="New"/>
    <s v="INFASCO"/>
    <n v="97.85"/>
    <n v="97.85"/>
  </r>
  <r>
    <x v="1014"/>
    <x v="8"/>
    <x v="112"/>
    <n v="36"/>
    <n v="170"/>
    <n v="6120"/>
    <s v="011+190"/>
    <s v="Yes"/>
    <m/>
    <s v="Yes"/>
    <m/>
    <s v="Yes"/>
    <m/>
    <s v="Yes"/>
    <m/>
    <s v="N/A"/>
    <m/>
    <s v="Yes"/>
    <m/>
    <s v="Yes"/>
    <m/>
    <s v="New"/>
    <s v="INFASCO"/>
    <n v="123.6"/>
    <n v="123.6"/>
  </r>
  <r>
    <x v="1015"/>
    <x v="10"/>
    <x v="29"/>
    <n v="36"/>
    <n v="500"/>
    <n v="18000"/>
    <s v="181 298"/>
    <s v="Yes"/>
    <m/>
    <s v="Yes"/>
    <m/>
    <s v="Yes"/>
    <m/>
    <s v="Yes"/>
    <m/>
    <s v="N/A"/>
    <m/>
    <s v="Yes"/>
    <m/>
    <s v="Yes"/>
    <m/>
    <s v="New"/>
    <s v="INFASCO"/>
    <n v="97.85"/>
    <n v="97.85"/>
  </r>
  <r>
    <x v="1016"/>
    <x v="10"/>
    <x v="29"/>
    <n v="28"/>
    <n v="500"/>
    <n v="14000"/>
    <s v="181 298"/>
    <s v="Yes"/>
    <m/>
    <s v="Yes"/>
    <m/>
    <s v="Yes"/>
    <m/>
    <s v="Yes"/>
    <m/>
    <s v="N/A"/>
    <m/>
    <s v="Yes"/>
    <m/>
    <s v="Yes"/>
    <m/>
    <s v="New"/>
    <s v="INFASCO"/>
    <n v="97.85"/>
    <n v="97.85"/>
  </r>
  <r>
    <x v="1017"/>
    <x v="10"/>
    <x v="29"/>
    <n v="22"/>
    <n v="500"/>
    <n v="11000"/>
    <s v="181 298"/>
    <s v="Yes"/>
    <m/>
    <s v="Yes"/>
    <m/>
    <s v="Yes"/>
    <m/>
    <s v="Yes"/>
    <m/>
    <s v="N/A"/>
    <m/>
    <s v="Yes"/>
    <m/>
    <s v="Yes"/>
    <m/>
    <s v="New"/>
    <s v="INFASCO"/>
    <n v="97.85"/>
    <n v="97.85"/>
  </r>
  <r>
    <x v="1018"/>
    <x v="10"/>
    <x v="63"/>
    <n v="36"/>
    <n v="450"/>
    <n v="16200"/>
    <s v="184+298"/>
    <s v="Yes"/>
    <m/>
    <s v="Yes"/>
    <m/>
    <s v="Yes"/>
    <m/>
    <s v="Yes"/>
    <m/>
    <s v="N/A"/>
    <m/>
    <s v="Yes"/>
    <m/>
    <s v="Yes"/>
    <m/>
    <s v="New"/>
    <s v="INFASCO"/>
    <n v="97.85"/>
    <n v="97.85"/>
  </r>
  <r>
    <x v="1019"/>
    <x v="18"/>
    <x v="108"/>
    <n v="43"/>
    <n v="3500"/>
    <n v="150500"/>
    <s v="185+187"/>
    <s v="Yes"/>
    <m/>
    <s v="Yes"/>
    <m/>
    <s v="Yes"/>
    <m/>
    <s v="Yes"/>
    <m/>
    <s v="N/A"/>
    <m/>
    <s v="Yes"/>
    <m/>
    <s v="Yes"/>
    <m/>
    <s v="New"/>
    <s v="INFASCO"/>
    <n v="97.85"/>
    <n v="97.85"/>
  </r>
  <r>
    <x v="1020"/>
    <x v="17"/>
    <x v="60"/>
    <n v="10"/>
    <n v="5500"/>
    <n v="55000"/>
    <s v="185+187"/>
    <s v="Yes"/>
    <m/>
    <s v="Yes"/>
    <m/>
    <s v="Yes"/>
    <m/>
    <s v="Yes"/>
    <m/>
    <s v="N/A"/>
    <m/>
    <s v="Yes"/>
    <m/>
    <s v="Yes"/>
    <m/>
    <s v="New"/>
    <s v="INFASCO"/>
    <n v="123.6"/>
    <n v="123.6"/>
  </r>
  <r>
    <x v="1021"/>
    <x v="17"/>
    <x v="60"/>
    <n v="20"/>
    <n v="5500"/>
    <n v="110000"/>
    <s v="185+187"/>
    <s v="Yes"/>
    <m/>
    <s v="Yes"/>
    <m/>
    <s v="Yes"/>
    <m/>
    <s v="Yes"/>
    <m/>
    <s v="N/A"/>
    <m/>
    <s v="Yes"/>
    <m/>
    <s v="Yes"/>
    <m/>
    <s v="New"/>
    <s v="INFASCO"/>
    <n v="123.6"/>
    <n v="123.6"/>
  </r>
  <r>
    <x v="1022"/>
    <x v="17"/>
    <x v="60"/>
    <n v="29"/>
    <n v="5500"/>
    <n v="159500"/>
    <s v="185+187"/>
    <s v="Yes"/>
    <m/>
    <s v="Yes"/>
    <m/>
    <s v="Yes"/>
    <m/>
    <s v="Yes"/>
    <m/>
    <s v="N/A"/>
    <m/>
    <s v="Yes"/>
    <m/>
    <s v="Yes"/>
    <m/>
    <s v="New"/>
    <s v="INFASCO"/>
    <n v="123.6"/>
    <n v="123.6"/>
  </r>
  <r>
    <x v="1023"/>
    <x v="17"/>
    <x v="60"/>
    <n v="23"/>
    <n v="5500"/>
    <n v="126500"/>
    <s v="185+187"/>
    <s v="Yes"/>
    <m/>
    <s v="Yes"/>
    <m/>
    <s v="Yes"/>
    <m/>
    <s v="Yes"/>
    <m/>
    <s v="N/A"/>
    <m/>
    <s v="Yes"/>
    <m/>
    <s v="Yes"/>
    <m/>
    <s v="New"/>
    <s v="INFASCO"/>
    <n v="123.6"/>
    <n v="123.6"/>
  </r>
  <r>
    <x v="1024"/>
    <x v="17"/>
    <x v="60"/>
    <n v="17"/>
    <n v="5500"/>
    <n v="93500"/>
    <s v="185+187"/>
    <s v="Yes"/>
    <m/>
    <s v="Yes"/>
    <m/>
    <s v="Yes"/>
    <m/>
    <s v="Yes"/>
    <m/>
    <s v="N/A"/>
    <m/>
    <s v="Yes"/>
    <m/>
    <s v="Yes"/>
    <m/>
    <s v="New"/>
    <s v="INFASCO"/>
    <n v="123.6"/>
    <n v="123.6"/>
  </r>
  <r>
    <x v="1025"/>
    <x v="17"/>
    <x v="112"/>
    <n v="36"/>
    <n v="170"/>
    <n v="6120"/>
    <s v="185+187"/>
    <s v="Yes"/>
    <m/>
    <s v="Yes"/>
    <m/>
    <s v="Yes"/>
    <m/>
    <s v="Yes"/>
    <m/>
    <s v="N/A"/>
    <m/>
    <s v="Yes"/>
    <m/>
    <s v="Yes"/>
    <m/>
    <s v="New"/>
    <s v="INFASCO"/>
    <n v="123.6"/>
    <n v="123.6"/>
  </r>
  <r>
    <x v="1025"/>
    <x v="17"/>
    <x v="60"/>
    <n v="36"/>
    <n v="5500"/>
    <n v="198000"/>
    <m/>
    <m/>
    <m/>
    <m/>
    <m/>
    <m/>
    <m/>
    <m/>
    <m/>
    <m/>
    <m/>
    <m/>
    <m/>
    <m/>
    <m/>
    <m/>
    <s v="INFASCO"/>
    <m/>
    <n v="123.6"/>
  </r>
  <r>
    <x v="1025"/>
    <x v="17"/>
    <x v="60"/>
    <n v="23"/>
    <n v="5500"/>
    <n v="126500"/>
    <m/>
    <m/>
    <m/>
    <m/>
    <m/>
    <m/>
    <m/>
    <m/>
    <m/>
    <m/>
    <m/>
    <m/>
    <m/>
    <m/>
    <m/>
    <m/>
    <s v="INFASCO"/>
    <m/>
    <n v="123.6"/>
  </r>
  <r>
    <x v="1025"/>
    <x v="15"/>
    <x v="61"/>
    <n v="31"/>
    <n v="4000"/>
    <n v="124000"/>
    <m/>
    <m/>
    <m/>
    <m/>
    <m/>
    <m/>
    <m/>
    <m/>
    <m/>
    <m/>
    <m/>
    <m/>
    <m/>
    <m/>
    <m/>
    <m/>
    <s v="INFASCO"/>
    <m/>
    <n v="97.85"/>
  </r>
  <r>
    <x v="1025"/>
    <x v="1"/>
    <x v="37"/>
    <n v="36"/>
    <n v="2500"/>
    <n v="90000"/>
    <m/>
    <m/>
    <m/>
    <m/>
    <m/>
    <m/>
    <m/>
    <m/>
    <m/>
    <m/>
    <m/>
    <m/>
    <m/>
    <m/>
    <m/>
    <m/>
    <s v="INFASCO"/>
    <m/>
    <n v="97.85"/>
  </r>
  <r>
    <x v="1025"/>
    <x v="15"/>
    <x v="71"/>
    <n v="36"/>
    <n v="1500"/>
    <n v="54000"/>
    <m/>
    <m/>
    <m/>
    <m/>
    <m/>
    <m/>
    <m/>
    <m/>
    <m/>
    <m/>
    <m/>
    <m/>
    <m/>
    <m/>
    <m/>
    <m/>
    <s v="INFASCO"/>
    <m/>
    <n v="97.85"/>
  </r>
  <r>
    <x v="1025"/>
    <x v="6"/>
    <x v="206"/>
    <n v="26"/>
    <n v="1800"/>
    <n v="46800"/>
    <m/>
    <m/>
    <m/>
    <m/>
    <m/>
    <m/>
    <m/>
    <m/>
    <m/>
    <m/>
    <m/>
    <m/>
    <m/>
    <m/>
    <m/>
    <m/>
    <s v="INFASCO"/>
    <m/>
    <n v="140.08000000000001"/>
  </r>
  <r>
    <x v="1025"/>
    <x v="5"/>
    <x v="4"/>
    <n v="36"/>
    <n v="1200"/>
    <n v="43200"/>
    <m/>
    <m/>
    <m/>
    <m/>
    <m/>
    <m/>
    <m/>
    <m/>
    <m/>
    <m/>
    <m/>
    <m/>
    <m/>
    <m/>
    <m/>
    <m/>
    <s v="INFASCO"/>
    <m/>
    <n v="97.85"/>
  </r>
  <r>
    <x v="1025"/>
    <x v="11"/>
    <x v="78"/>
    <n v="1"/>
    <n v="39000"/>
    <n v="39000"/>
    <m/>
    <m/>
    <m/>
    <m/>
    <m/>
    <m/>
    <m/>
    <m/>
    <m/>
    <m/>
    <m/>
    <m/>
    <m/>
    <m/>
    <m/>
    <m/>
    <s v="INFASCO"/>
    <m/>
    <n v="118.45"/>
  </r>
  <r>
    <x v="1025"/>
    <x v="11"/>
    <x v="78"/>
    <n v="1"/>
    <n v="39000"/>
    <n v="39000"/>
    <m/>
    <m/>
    <m/>
    <m/>
    <m/>
    <m/>
    <m/>
    <m/>
    <m/>
    <m/>
    <m/>
    <m/>
    <m/>
    <m/>
    <m/>
    <m/>
    <s v="INFASCO"/>
    <m/>
    <n v="118.45"/>
  </r>
  <r>
    <x v="1025"/>
    <x v="10"/>
    <x v="54"/>
    <n v="36"/>
    <n v="700"/>
    <n v="25200"/>
    <m/>
    <m/>
    <m/>
    <m/>
    <m/>
    <m/>
    <m/>
    <m/>
    <m/>
    <m/>
    <m/>
    <m/>
    <m/>
    <m/>
    <m/>
    <m/>
    <s v="INFASCO"/>
    <m/>
    <n v="97.85"/>
  </r>
  <r>
    <x v="1025"/>
    <x v="10"/>
    <x v="54"/>
    <n v="32"/>
    <n v="700"/>
    <n v="22400"/>
    <m/>
    <m/>
    <m/>
    <m/>
    <m/>
    <m/>
    <m/>
    <m/>
    <m/>
    <m/>
    <m/>
    <m/>
    <m/>
    <m/>
    <m/>
    <m/>
    <s v="INFASCO"/>
    <m/>
    <n v="97.85"/>
  </r>
  <r>
    <x v="1025"/>
    <x v="17"/>
    <x v="29"/>
    <n v="36"/>
    <n v="500"/>
    <n v="18000"/>
    <m/>
    <m/>
    <m/>
    <m/>
    <m/>
    <m/>
    <m/>
    <m/>
    <m/>
    <m/>
    <m/>
    <m/>
    <m/>
    <m/>
    <m/>
    <m/>
    <s v="INFASCO"/>
    <m/>
    <n v="97.85"/>
  </r>
  <r>
    <x v="1025"/>
    <x v="10"/>
    <x v="29"/>
    <n v="36"/>
    <n v="500"/>
    <n v="18000"/>
    <m/>
    <m/>
    <m/>
    <m/>
    <m/>
    <m/>
    <m/>
    <m/>
    <m/>
    <m/>
    <m/>
    <m/>
    <m/>
    <m/>
    <m/>
    <m/>
    <s v="INFASCO"/>
    <m/>
    <n v="97.85"/>
  </r>
  <r>
    <x v="1025"/>
    <x v="16"/>
    <x v="63"/>
    <n v="36"/>
    <n v="450"/>
    <n v="16200"/>
    <m/>
    <m/>
    <m/>
    <m/>
    <m/>
    <m/>
    <m/>
    <m/>
    <m/>
    <m/>
    <m/>
    <m/>
    <m/>
    <m/>
    <m/>
    <m/>
    <s v="INFASCO"/>
    <m/>
    <n v="97.85"/>
  </r>
  <r>
    <x v="1025"/>
    <x v="6"/>
    <x v="63"/>
    <n v="36"/>
    <n v="450"/>
    <n v="16200"/>
    <m/>
    <m/>
    <m/>
    <m/>
    <m/>
    <m/>
    <m/>
    <m/>
    <m/>
    <m/>
    <m/>
    <m/>
    <m/>
    <m/>
    <m/>
    <m/>
    <s v="INFASCO"/>
    <m/>
    <n v="97.85"/>
  </r>
  <r>
    <x v="1025"/>
    <x v="6"/>
    <x v="63"/>
    <n v="36"/>
    <n v="450"/>
    <n v="16200"/>
    <m/>
    <m/>
    <m/>
    <m/>
    <m/>
    <m/>
    <m/>
    <m/>
    <m/>
    <m/>
    <m/>
    <m/>
    <m/>
    <m/>
    <m/>
    <m/>
    <s v="INFASCO"/>
    <m/>
    <n v="97.85"/>
  </r>
  <r>
    <x v="1025"/>
    <x v="7"/>
    <x v="10"/>
    <n v="36"/>
    <n v="450"/>
    <n v="16200"/>
    <m/>
    <m/>
    <m/>
    <m/>
    <m/>
    <m/>
    <m/>
    <m/>
    <m/>
    <m/>
    <m/>
    <m/>
    <m/>
    <m/>
    <m/>
    <m/>
    <s v="INFASCO"/>
    <m/>
    <n v="97.85"/>
  </r>
  <r>
    <x v="1025"/>
    <x v="4"/>
    <x v="63"/>
    <n v="36"/>
    <n v="450"/>
    <n v="16200"/>
    <m/>
    <m/>
    <m/>
    <m/>
    <m/>
    <m/>
    <m/>
    <m/>
    <m/>
    <m/>
    <m/>
    <m/>
    <m/>
    <m/>
    <m/>
    <m/>
    <s v="INFASCO"/>
    <m/>
    <n v="97.85"/>
  </r>
  <r>
    <x v="1025"/>
    <x v="4"/>
    <x v="63"/>
    <n v="36"/>
    <n v="450"/>
    <n v="16200"/>
    <m/>
    <m/>
    <m/>
    <m/>
    <m/>
    <m/>
    <m/>
    <m/>
    <m/>
    <m/>
    <m/>
    <m/>
    <m/>
    <m/>
    <m/>
    <m/>
    <s v="INFASCO"/>
    <m/>
    <n v="97.85"/>
  </r>
  <r>
    <x v="1025"/>
    <x v="4"/>
    <x v="63"/>
    <n v="36"/>
    <n v="450"/>
    <n v="16200"/>
    <m/>
    <m/>
    <m/>
    <m/>
    <m/>
    <m/>
    <m/>
    <m/>
    <m/>
    <m/>
    <m/>
    <m/>
    <m/>
    <m/>
    <m/>
    <m/>
    <s v="INFASCO"/>
    <m/>
    <n v="97.85"/>
  </r>
  <r>
    <x v="1025"/>
    <x v="4"/>
    <x v="63"/>
    <n v="36"/>
    <n v="450"/>
    <n v="16200"/>
    <m/>
    <m/>
    <m/>
    <m/>
    <m/>
    <m/>
    <m/>
    <m/>
    <m/>
    <m/>
    <m/>
    <m/>
    <m/>
    <m/>
    <m/>
    <m/>
    <s v="INFASCO"/>
    <m/>
    <n v="97.85"/>
  </r>
  <r>
    <x v="1025"/>
    <x v="26"/>
    <x v="63"/>
    <n v="36"/>
    <n v="450"/>
    <n v="16200"/>
    <m/>
    <m/>
    <m/>
    <m/>
    <m/>
    <m/>
    <m/>
    <m/>
    <m/>
    <m/>
    <m/>
    <m/>
    <m/>
    <m/>
    <m/>
    <m/>
    <s v="INFASCO"/>
    <m/>
    <n v="97.85"/>
  </r>
  <r>
    <x v="1025"/>
    <x v="3"/>
    <x v="63"/>
    <n v="36"/>
    <n v="450"/>
    <n v="16200"/>
    <m/>
    <m/>
    <m/>
    <m/>
    <m/>
    <m/>
    <m/>
    <m/>
    <m/>
    <m/>
    <m/>
    <m/>
    <m/>
    <m/>
    <m/>
    <m/>
    <s v="INFASCO"/>
    <m/>
    <n v="97.85"/>
  </r>
  <r>
    <x v="1025"/>
    <x v="11"/>
    <x v="10"/>
    <n v="36"/>
    <n v="450"/>
    <n v="16200"/>
    <m/>
    <m/>
    <m/>
    <m/>
    <m/>
    <m/>
    <m/>
    <m/>
    <m/>
    <m/>
    <m/>
    <m/>
    <m/>
    <m/>
    <m/>
    <m/>
    <s v="INFASCO"/>
    <m/>
    <n v="97.85"/>
  </r>
  <r>
    <x v="1025"/>
    <x v="3"/>
    <x v="63"/>
    <n v="32"/>
    <n v="450"/>
    <n v="14400"/>
    <m/>
    <m/>
    <m/>
    <m/>
    <m/>
    <m/>
    <m/>
    <m/>
    <m/>
    <m/>
    <m/>
    <m/>
    <m/>
    <m/>
    <m/>
    <m/>
    <s v="INFASCO"/>
    <m/>
    <n v="97.85"/>
  </r>
  <r>
    <x v="1025"/>
    <x v="26"/>
    <x v="63"/>
    <n v="31"/>
    <n v="450"/>
    <n v="13950"/>
    <m/>
    <m/>
    <m/>
    <m/>
    <m/>
    <m/>
    <m/>
    <m/>
    <m/>
    <m/>
    <m/>
    <m/>
    <m/>
    <m/>
    <m/>
    <m/>
    <s v="INFASCO"/>
    <m/>
    <n v="97.85"/>
  </r>
  <r>
    <x v="1025"/>
    <x v="12"/>
    <x v="10"/>
    <n v="28"/>
    <n v="450"/>
    <n v="12600"/>
    <m/>
    <m/>
    <m/>
    <m/>
    <m/>
    <m/>
    <m/>
    <m/>
    <m/>
    <m/>
    <m/>
    <m/>
    <m/>
    <m/>
    <m/>
    <m/>
    <s v="INFASCO"/>
    <m/>
    <n v="97.85"/>
  </r>
  <r>
    <x v="1025"/>
    <x v="16"/>
    <x v="10"/>
    <n v="27"/>
    <n v="450"/>
    <n v="12150"/>
    <m/>
    <m/>
    <m/>
    <m/>
    <m/>
    <m/>
    <m/>
    <m/>
    <m/>
    <m/>
    <m/>
    <m/>
    <m/>
    <m/>
    <m/>
    <m/>
    <s v="INFASCO"/>
    <m/>
    <n v="97.85"/>
  </r>
  <r>
    <x v="1026"/>
    <x v="10"/>
    <x v="196"/>
    <n v="36"/>
    <n v="1050"/>
    <n v="37800"/>
    <s v="181+298"/>
    <s v="Yes"/>
    <m/>
    <s v="Yes"/>
    <m/>
    <s v="Yes"/>
    <m/>
    <s v="Yes"/>
    <m/>
    <s v="N/A"/>
    <m/>
    <s v="Yes"/>
    <m/>
    <s v="Yes"/>
    <m/>
    <s v="New"/>
    <s v="INFASCO"/>
    <n v="97.85"/>
    <n v="97.85"/>
  </r>
  <r>
    <x v="1027"/>
    <x v="8"/>
    <x v="80"/>
    <n v="14"/>
    <n v="75"/>
    <n v="1050"/>
    <s v="011+190"/>
    <s v="Yes"/>
    <m/>
    <s v="Yes"/>
    <m/>
    <s v="Yes"/>
    <m/>
    <s v="Yes"/>
    <m/>
    <s v="N/A"/>
    <m/>
    <s v="Yes"/>
    <m/>
    <s v="Yes"/>
    <m/>
    <s v="New"/>
    <s v="INFASCO"/>
    <n v="123.6"/>
    <n v="123.6"/>
  </r>
  <r>
    <x v="1028"/>
    <x v="21"/>
    <x v="2"/>
    <n v="27"/>
    <n v="2700"/>
    <n v="72900"/>
    <n v="168"/>
    <s v="Yes"/>
    <m/>
    <s v="Yes"/>
    <m/>
    <s v="Yes"/>
    <m/>
    <s v="Yes"/>
    <m/>
    <s v="N/A"/>
    <m/>
    <s v="Yes"/>
    <m/>
    <s v="Yes"/>
    <m/>
    <s v="New"/>
    <s v="INFASCO"/>
    <n v="97.85"/>
    <n v="97.85"/>
  </r>
  <r>
    <x v="1029"/>
    <x v="17"/>
    <x v="80"/>
    <n v="36"/>
    <n v="75"/>
    <n v="2700"/>
    <s v="185+187"/>
    <s v="Yes"/>
    <m/>
    <s v="Yes"/>
    <m/>
    <s v="Yes"/>
    <m/>
    <s v="Yes"/>
    <m/>
    <s v="N/A"/>
    <m/>
    <s v="Yes"/>
    <m/>
    <s v="Yes"/>
    <m/>
    <s v="New"/>
    <s v="INFASCO"/>
    <n v="123.6"/>
    <n v="123.6"/>
  </r>
  <r>
    <x v="1030"/>
    <x v="17"/>
    <x v="80"/>
    <n v="25"/>
    <n v="75"/>
    <n v="1875"/>
    <s v="185+187"/>
    <s v="Yes"/>
    <m/>
    <s v="Yes"/>
    <m/>
    <s v="Yes"/>
    <m/>
    <s v="Yes"/>
    <m/>
    <s v="N/A"/>
    <m/>
    <s v="Yes"/>
    <m/>
    <s v="Yes"/>
    <m/>
    <s v="New"/>
    <s v="INFASCO"/>
    <n v="123.6"/>
    <n v="123.6"/>
  </r>
  <r>
    <x v="1031"/>
    <x v="18"/>
    <x v="207"/>
    <n v="4"/>
    <n v="6500"/>
    <n v="26000"/>
    <n v="168"/>
    <s v="Yes"/>
    <m/>
    <s v="Yes"/>
    <m/>
    <s v="Yes"/>
    <m/>
    <s v="Yes"/>
    <m/>
    <s v="N/A"/>
    <m/>
    <s v="Yes"/>
    <m/>
    <s v="Yes"/>
    <m/>
    <s v="New"/>
    <e v="#N/A"/>
    <s v="N/A"/>
    <n v="97.85"/>
  </r>
  <r>
    <x v="1032"/>
    <x v="8"/>
    <x v="80"/>
    <n v="36"/>
    <n v="75"/>
    <n v="2700"/>
    <s v="011+190"/>
    <s v="Yes"/>
    <m/>
    <s v="Yes"/>
    <m/>
    <s v="Yes"/>
    <m/>
    <s v="Yes"/>
    <m/>
    <s v="N/A"/>
    <m/>
    <s v="Yes"/>
    <m/>
    <s v="Yes"/>
    <m/>
    <s v="New"/>
    <s v="INFASCO"/>
    <n v="123.6"/>
    <n v="123.6"/>
  </r>
  <r>
    <x v="1033"/>
    <x v="8"/>
    <x v="80"/>
    <n v="33"/>
    <n v="75"/>
    <n v="2475"/>
    <s v="011+090"/>
    <s v="Yes"/>
    <m/>
    <s v="Yes"/>
    <m/>
    <s v="Yes"/>
    <m/>
    <s v="Yes"/>
    <m/>
    <s v="N/A"/>
    <m/>
    <s v="Yes"/>
    <m/>
    <s v="Yes"/>
    <m/>
    <s v="New"/>
    <s v="INFASCO"/>
    <n v="123.6"/>
    <n v="123.6"/>
  </r>
  <r>
    <x v="1034"/>
    <x v="10"/>
    <x v="73"/>
    <n v="35"/>
    <n v="350"/>
    <n v="12250"/>
    <s v="181 298"/>
    <s v="Yes"/>
    <m/>
    <s v="Yes"/>
    <m/>
    <s v="Yes"/>
    <m/>
    <s v="Yes"/>
    <m/>
    <s v="N/A"/>
    <m/>
    <s v="Yes"/>
    <m/>
    <s v="Yes"/>
    <m/>
    <s v="New"/>
    <s v="INFASCO"/>
    <n v="97.85"/>
    <n v="97.85"/>
  </r>
  <r>
    <x v="1035"/>
    <x v="17"/>
    <x v="80"/>
    <n v="36"/>
    <n v="75"/>
    <n v="2700"/>
    <s v="185+187"/>
    <s v="Yes"/>
    <m/>
    <s v="Yes"/>
    <m/>
    <s v="Yes"/>
    <m/>
    <s v="Yes"/>
    <m/>
    <s v="N/A"/>
    <m/>
    <s v="Yes"/>
    <m/>
    <s v="Yes"/>
    <m/>
    <s v="New"/>
    <s v="INFASCO"/>
    <n v="123.6"/>
    <n v="123.6"/>
  </r>
  <r>
    <x v="1036"/>
    <x v="17"/>
    <x v="151"/>
    <n v="36"/>
    <n v="650"/>
    <n v="23400"/>
    <s v="185+187"/>
    <s v="Yes"/>
    <m/>
    <s v="Yes"/>
    <m/>
    <s v="Yes"/>
    <m/>
    <s v="Yes"/>
    <m/>
    <s v="N/A"/>
    <m/>
    <s v="Yes"/>
    <m/>
    <s v="Yes"/>
    <m/>
    <s v="New"/>
    <s v="INFASCO"/>
    <n v="97.85"/>
    <n v="97.85"/>
  </r>
  <r>
    <x v="1037"/>
    <x v="17"/>
    <x v="72"/>
    <n v="36"/>
    <n v="1150"/>
    <n v="41400"/>
    <n v="168"/>
    <s v="Yes"/>
    <m/>
    <s v="Yes"/>
    <m/>
    <s v="Yes"/>
    <m/>
    <s v="Yes"/>
    <m/>
    <s v="N/A"/>
    <m/>
    <s v="Yes"/>
    <m/>
    <s v="Yes"/>
    <m/>
    <s v="New"/>
    <s v="INFASCO"/>
    <n v="97.85"/>
    <n v="97.85"/>
  </r>
  <r>
    <x v="1037"/>
    <x v="13"/>
    <x v="4"/>
    <n v="33"/>
    <n v="1200"/>
    <n v="39600"/>
    <m/>
    <m/>
    <m/>
    <m/>
    <m/>
    <m/>
    <m/>
    <m/>
    <m/>
    <m/>
    <m/>
    <m/>
    <m/>
    <m/>
    <m/>
    <m/>
    <s v="INFASCO"/>
    <m/>
    <n v="97.85"/>
  </r>
  <r>
    <x v="1037"/>
    <x v="26"/>
    <x v="4"/>
    <n v="36"/>
    <n v="1200"/>
    <n v="43200"/>
    <m/>
    <m/>
    <m/>
    <m/>
    <m/>
    <m/>
    <m/>
    <m/>
    <m/>
    <m/>
    <m/>
    <m/>
    <m/>
    <m/>
    <m/>
    <m/>
    <s v="INFASCO"/>
    <m/>
    <n v="97.85"/>
  </r>
  <r>
    <x v="1037"/>
    <x v="26"/>
    <x v="4"/>
    <n v="36"/>
    <n v="1200"/>
    <n v="43200"/>
    <m/>
    <m/>
    <m/>
    <m/>
    <m/>
    <m/>
    <m/>
    <m/>
    <m/>
    <m/>
    <m/>
    <m/>
    <m/>
    <m/>
    <m/>
    <m/>
    <s v="INFASCO"/>
    <m/>
    <n v="97.85"/>
  </r>
  <r>
    <x v="1037"/>
    <x v="26"/>
    <x v="4"/>
    <n v="32"/>
    <n v="1200"/>
    <n v="38400"/>
    <m/>
    <m/>
    <m/>
    <m/>
    <m/>
    <m/>
    <m/>
    <m/>
    <m/>
    <m/>
    <m/>
    <m/>
    <m/>
    <m/>
    <m/>
    <m/>
    <s v="INFASCO"/>
    <m/>
    <n v="97.85"/>
  </r>
  <r>
    <x v="1037"/>
    <x v="14"/>
    <x v="4"/>
    <n v="36"/>
    <n v="1200"/>
    <n v="43200"/>
    <m/>
    <m/>
    <m/>
    <m/>
    <m/>
    <m/>
    <m/>
    <m/>
    <m/>
    <m/>
    <m/>
    <m/>
    <m/>
    <m/>
    <m/>
    <m/>
    <s v="INFASCO"/>
    <m/>
    <n v="97.85"/>
  </r>
  <r>
    <x v="1037"/>
    <x v="3"/>
    <x v="37"/>
    <n v="36"/>
    <n v="2500"/>
    <n v="90000"/>
    <m/>
    <m/>
    <m/>
    <m/>
    <m/>
    <m/>
    <m/>
    <m/>
    <m/>
    <m/>
    <m/>
    <m/>
    <m/>
    <m/>
    <m/>
    <m/>
    <s v="INFASCO"/>
    <m/>
    <n v="97.85"/>
  </r>
  <r>
    <x v="1037"/>
    <x v="16"/>
    <x v="151"/>
    <n v="36"/>
    <n v="650"/>
    <n v="23400"/>
    <m/>
    <m/>
    <m/>
    <m/>
    <m/>
    <m/>
    <m/>
    <m/>
    <m/>
    <m/>
    <m/>
    <m/>
    <m/>
    <m/>
    <m/>
    <m/>
    <s v="INFASCO"/>
    <m/>
    <n v="97.85"/>
  </r>
  <r>
    <x v="1037"/>
    <x v="16"/>
    <x v="151"/>
    <n v="36"/>
    <n v="650"/>
    <n v="23400"/>
    <m/>
    <m/>
    <m/>
    <m/>
    <m/>
    <m/>
    <m/>
    <m/>
    <m/>
    <m/>
    <m/>
    <m/>
    <m/>
    <m/>
    <m/>
    <m/>
    <s v="INFASCO"/>
    <m/>
    <n v="97.85"/>
  </r>
  <r>
    <x v="1037"/>
    <x v="6"/>
    <x v="206"/>
    <n v="36"/>
    <n v="1800"/>
    <n v="64800"/>
    <m/>
    <m/>
    <m/>
    <m/>
    <m/>
    <m/>
    <m/>
    <m/>
    <m/>
    <m/>
    <m/>
    <m/>
    <m/>
    <m/>
    <m/>
    <m/>
    <s v="INFASCO"/>
    <m/>
    <n v="140.08000000000001"/>
  </r>
  <r>
    <x v="1037"/>
    <x v="6"/>
    <x v="206"/>
    <n v="36"/>
    <n v="1800"/>
    <n v="64800"/>
    <m/>
    <m/>
    <m/>
    <m/>
    <m/>
    <m/>
    <m/>
    <m/>
    <m/>
    <m/>
    <m/>
    <m/>
    <m/>
    <m/>
    <m/>
    <m/>
    <s v="INFASCO"/>
    <m/>
    <n v="140.08000000000001"/>
  </r>
  <r>
    <x v="1037"/>
    <x v="6"/>
    <x v="4"/>
    <n v="36"/>
    <n v="1200"/>
    <n v="43200"/>
    <m/>
    <m/>
    <m/>
    <m/>
    <m/>
    <m/>
    <m/>
    <m/>
    <m/>
    <m/>
    <m/>
    <m/>
    <m/>
    <m/>
    <m/>
    <m/>
    <s v="INFASCO"/>
    <m/>
    <n v="97.85"/>
  </r>
  <r>
    <x v="1037"/>
    <x v="7"/>
    <x v="187"/>
    <n v="36"/>
    <n v="700"/>
    <n v="25200"/>
    <m/>
    <m/>
    <m/>
    <m/>
    <m/>
    <m/>
    <m/>
    <m/>
    <m/>
    <m/>
    <m/>
    <m/>
    <m/>
    <m/>
    <m/>
    <m/>
    <s v="INFASCO"/>
    <m/>
    <n v="97.85"/>
  </r>
  <r>
    <x v="1037"/>
    <x v="2"/>
    <x v="108"/>
    <n v="36"/>
    <n v="3500"/>
    <n v="126000"/>
    <m/>
    <m/>
    <m/>
    <m/>
    <m/>
    <m/>
    <m/>
    <m/>
    <m/>
    <m/>
    <m/>
    <m/>
    <m/>
    <m/>
    <m/>
    <m/>
    <s v="INFASCO"/>
    <m/>
    <n v="97.85"/>
  </r>
  <r>
    <x v="1037"/>
    <x v="4"/>
    <x v="69"/>
    <n v="36"/>
    <n v="1900"/>
    <n v="68400"/>
    <m/>
    <m/>
    <m/>
    <m/>
    <m/>
    <m/>
    <m/>
    <m/>
    <m/>
    <m/>
    <m/>
    <m/>
    <m/>
    <m/>
    <m/>
    <m/>
    <s v="INFASCO"/>
    <m/>
    <n v="97.85"/>
  </r>
  <r>
    <x v="1037"/>
    <x v="4"/>
    <x v="4"/>
    <n v="36"/>
    <n v="1200"/>
    <n v="43200"/>
    <m/>
    <m/>
    <m/>
    <m/>
    <m/>
    <m/>
    <m/>
    <m/>
    <m/>
    <m/>
    <m/>
    <m/>
    <m/>
    <m/>
    <m/>
    <m/>
    <s v="INFASCO"/>
    <m/>
    <n v="97.85"/>
  </r>
  <r>
    <x v="1037"/>
    <x v="1"/>
    <x v="37"/>
    <n v="36"/>
    <n v="2500"/>
    <n v="90000"/>
    <m/>
    <m/>
    <m/>
    <m/>
    <m/>
    <m/>
    <m/>
    <m/>
    <m/>
    <m/>
    <m/>
    <m/>
    <m/>
    <m/>
    <m/>
    <m/>
    <s v="INFASCO"/>
    <m/>
    <n v="97.85"/>
  </r>
  <r>
    <x v="1037"/>
    <x v="1"/>
    <x v="37"/>
    <n v="14"/>
    <n v="2500"/>
    <n v="35000"/>
    <m/>
    <m/>
    <m/>
    <m/>
    <m/>
    <m/>
    <m/>
    <m/>
    <m/>
    <m/>
    <m/>
    <m/>
    <m/>
    <m/>
    <m/>
    <m/>
    <s v="INFASCO"/>
    <m/>
    <n v="97.85"/>
  </r>
  <r>
    <x v="1037"/>
    <x v="11"/>
    <x v="69"/>
    <n v="36"/>
    <n v="1900"/>
    <n v="68400"/>
    <m/>
    <m/>
    <m/>
    <m/>
    <m/>
    <m/>
    <m/>
    <m/>
    <m/>
    <m/>
    <m/>
    <m/>
    <m/>
    <m/>
    <m/>
    <m/>
    <s v="INFASCO"/>
    <m/>
    <n v="97.85"/>
  </r>
  <r>
    <x v="1037"/>
    <x v="32"/>
    <x v="69"/>
    <n v="36"/>
    <n v="1900"/>
    <n v="68400"/>
    <m/>
    <m/>
    <m/>
    <m/>
    <m/>
    <m/>
    <m/>
    <m/>
    <m/>
    <m/>
    <m/>
    <m/>
    <m/>
    <m/>
    <m/>
    <m/>
    <s v="INFASCO"/>
    <m/>
    <n v="97.85"/>
  </r>
  <r>
    <x v="1037"/>
    <x v="12"/>
    <x v="10"/>
    <n v="28"/>
    <n v="450"/>
    <n v="12600"/>
    <m/>
    <m/>
    <m/>
    <m/>
    <m/>
    <m/>
    <m/>
    <m/>
    <m/>
    <m/>
    <m/>
    <m/>
    <m/>
    <m/>
    <m/>
    <m/>
    <s v="INFASCO"/>
    <m/>
    <n v="97.85"/>
  </r>
  <r>
    <x v="1037"/>
    <x v="12"/>
    <x v="78"/>
    <n v="1"/>
    <n v="41000"/>
    <n v="41000"/>
    <m/>
    <m/>
    <m/>
    <m/>
    <m/>
    <m/>
    <m/>
    <m/>
    <m/>
    <m/>
    <m/>
    <m/>
    <m/>
    <m/>
    <m/>
    <m/>
    <s v="INFASCO"/>
    <m/>
    <n v="118.45"/>
  </r>
  <r>
    <x v="1037"/>
    <x v="12"/>
    <x v="78"/>
    <n v="1"/>
    <n v="46000"/>
    <n v="46000"/>
    <m/>
    <m/>
    <m/>
    <m/>
    <m/>
    <m/>
    <m/>
    <m/>
    <m/>
    <m/>
    <m/>
    <m/>
    <m/>
    <m/>
    <m/>
    <m/>
    <s v="INFASCO"/>
    <m/>
    <n v="118.45"/>
  </r>
  <r>
    <x v="1037"/>
    <x v="15"/>
    <x v="71"/>
    <n v="36"/>
    <n v="1500"/>
    <n v="54000"/>
    <m/>
    <m/>
    <m/>
    <m/>
    <m/>
    <m/>
    <m/>
    <m/>
    <m/>
    <m/>
    <m/>
    <m/>
    <m/>
    <m/>
    <m/>
    <m/>
    <s v="INFASCO"/>
    <m/>
    <n v="97.85"/>
  </r>
  <r>
    <x v="1037"/>
    <x v="5"/>
    <x v="4"/>
    <n v="36"/>
    <n v="1200"/>
    <n v="43200"/>
    <m/>
    <m/>
    <m/>
    <m/>
    <m/>
    <m/>
    <m/>
    <m/>
    <m/>
    <m/>
    <m/>
    <m/>
    <m/>
    <m/>
    <m/>
    <m/>
    <s v="INFASCO"/>
    <m/>
    <n v="97.85"/>
  </r>
  <r>
    <x v="1037"/>
    <x v="24"/>
    <x v="45"/>
    <n v="36"/>
    <n v="1850"/>
    <n v="66600"/>
    <n v="188"/>
    <m/>
    <m/>
    <m/>
    <m/>
    <m/>
    <m/>
    <m/>
    <m/>
    <m/>
    <m/>
    <m/>
    <m/>
    <m/>
    <m/>
    <m/>
    <s v="INFASCO"/>
    <m/>
    <n v="226.6"/>
  </r>
  <r>
    <x v="1038"/>
    <x v="33"/>
    <x v="108"/>
    <n v="32"/>
    <n v="3500"/>
    <n v="112000"/>
    <n v="38"/>
    <m/>
    <m/>
    <m/>
    <m/>
    <m/>
    <m/>
    <m/>
    <m/>
    <m/>
    <m/>
    <m/>
    <m/>
    <m/>
    <m/>
    <m/>
    <s v="INFASCO"/>
    <m/>
    <n v="97.85"/>
  </r>
  <r>
    <x v="1038"/>
    <x v="34"/>
    <x v="61"/>
    <n v="36"/>
    <n v="4000"/>
    <n v="144000"/>
    <n v="38"/>
    <m/>
    <m/>
    <m/>
    <m/>
    <m/>
    <m/>
    <m/>
    <m/>
    <m/>
    <m/>
    <m/>
    <m/>
    <m/>
    <m/>
    <m/>
    <s v="INFASCO"/>
    <m/>
    <n v="97.85"/>
  </r>
  <r>
    <x v="1038"/>
    <x v="35"/>
    <x v="69"/>
    <n v="36"/>
    <n v="1900"/>
    <n v="68400"/>
    <n v="38"/>
    <m/>
    <m/>
    <m/>
    <m/>
    <m/>
    <m/>
    <m/>
    <m/>
    <m/>
    <m/>
    <m/>
    <m/>
    <m/>
    <m/>
    <m/>
    <s v="INFASCO"/>
    <m/>
    <n v="97.85"/>
  </r>
  <r>
    <x v="1038"/>
    <x v="35"/>
    <x v="69"/>
    <n v="36"/>
    <n v="1900"/>
    <n v="68400"/>
    <n v="38"/>
    <m/>
    <m/>
    <m/>
    <m/>
    <m/>
    <m/>
    <m/>
    <m/>
    <m/>
    <m/>
    <m/>
    <m/>
    <m/>
    <m/>
    <m/>
    <s v="INFASCO"/>
    <m/>
    <n v="97.85"/>
  </r>
  <r>
    <x v="1038"/>
    <x v="36"/>
    <x v="55"/>
    <n v="36"/>
    <n v="400"/>
    <n v="14400"/>
    <n v="38"/>
    <m/>
    <m/>
    <m/>
    <m/>
    <m/>
    <m/>
    <m/>
    <m/>
    <m/>
    <m/>
    <m/>
    <m/>
    <m/>
    <m/>
    <m/>
    <s v="INFASCO"/>
    <m/>
    <n v="97.85"/>
  </r>
  <r>
    <x v="1038"/>
    <x v="37"/>
    <x v="37"/>
    <n v="25"/>
    <n v="2500"/>
    <n v="62500"/>
    <n v="156"/>
    <m/>
    <m/>
    <m/>
    <m/>
    <m/>
    <m/>
    <m/>
    <m/>
    <m/>
    <m/>
    <m/>
    <m/>
    <m/>
    <m/>
    <m/>
    <s v="INFASCO"/>
    <m/>
    <n v="97.85"/>
  </r>
  <r>
    <x v="1038"/>
    <x v="37"/>
    <x v="55"/>
    <n v="36"/>
    <n v="400"/>
    <n v="14400"/>
    <n v="156"/>
    <m/>
    <m/>
    <m/>
    <m/>
    <m/>
    <m/>
    <m/>
    <m/>
    <m/>
    <m/>
    <m/>
    <m/>
    <m/>
    <m/>
    <m/>
    <s v="INFASCO"/>
    <m/>
    <n v="97.85"/>
  </r>
  <r>
    <x v="1038"/>
    <x v="38"/>
    <x v="187"/>
    <n v="28"/>
    <n v="700"/>
    <n v="19600"/>
    <n v="156"/>
    <m/>
    <m/>
    <m/>
    <m/>
    <m/>
    <m/>
    <m/>
    <m/>
    <m/>
    <m/>
    <m/>
    <m/>
    <m/>
    <m/>
    <m/>
    <s v="INFASCO"/>
    <m/>
    <n v="97.85"/>
  </r>
  <r>
    <x v="1038"/>
    <x v="38"/>
    <x v="11"/>
    <n v="27"/>
    <n v="280"/>
    <n v="7560"/>
    <n v="156"/>
    <m/>
    <m/>
    <m/>
    <m/>
    <m/>
    <m/>
    <m/>
    <m/>
    <m/>
    <m/>
    <m/>
    <m/>
    <m/>
    <m/>
    <m/>
    <s v="INFASCO"/>
    <m/>
    <n v="97.85"/>
  </r>
  <r>
    <x v="1038"/>
    <x v="38"/>
    <x v="11"/>
    <n v="32"/>
    <n v="280"/>
    <n v="8960"/>
    <n v="156"/>
    <m/>
    <m/>
    <m/>
    <m/>
    <m/>
    <m/>
    <m/>
    <m/>
    <m/>
    <m/>
    <m/>
    <m/>
    <m/>
    <m/>
    <m/>
    <s v="INFASCO"/>
    <m/>
    <n v="97.85"/>
  </r>
  <r>
    <x v="1038"/>
    <x v="38"/>
    <x v="11"/>
    <n v="36"/>
    <n v="280"/>
    <n v="10080"/>
    <n v="156"/>
    <m/>
    <m/>
    <m/>
    <m/>
    <m/>
    <m/>
    <m/>
    <m/>
    <m/>
    <m/>
    <m/>
    <m/>
    <m/>
    <m/>
    <m/>
    <s v="INFASCO"/>
    <m/>
    <n v="97.85"/>
  </r>
  <r>
    <x v="1038"/>
    <x v="38"/>
    <x v="11"/>
    <n v="36"/>
    <n v="280"/>
    <n v="10080"/>
    <n v="156"/>
    <m/>
    <m/>
    <m/>
    <m/>
    <m/>
    <m/>
    <m/>
    <m/>
    <m/>
    <m/>
    <m/>
    <m/>
    <m/>
    <m/>
    <m/>
    <s v="INFASCO"/>
    <m/>
    <n v="97.85"/>
  </r>
  <r>
    <x v="1038"/>
    <x v="39"/>
    <x v="46"/>
    <n v="33"/>
    <n v="2150"/>
    <n v="70950"/>
    <n v="156"/>
    <m/>
    <m/>
    <m/>
    <m/>
    <m/>
    <m/>
    <m/>
    <m/>
    <m/>
    <m/>
    <m/>
    <m/>
    <m/>
    <m/>
    <m/>
    <s v="INFASCO"/>
    <m/>
    <n v="97.85"/>
  </r>
  <r>
    <x v="1038"/>
    <x v="40"/>
    <x v="4"/>
    <n v="30"/>
    <n v="1200"/>
    <n v="36000"/>
    <n v="156"/>
    <m/>
    <m/>
    <m/>
    <m/>
    <m/>
    <m/>
    <m/>
    <m/>
    <m/>
    <m/>
    <m/>
    <m/>
    <m/>
    <m/>
    <m/>
    <s v="INFASCO"/>
    <m/>
    <n v="97.85"/>
  </r>
  <r>
    <x v="1038"/>
    <x v="41"/>
    <x v="151"/>
    <n v="36"/>
    <n v="650"/>
    <n v="23400"/>
    <n v="38"/>
    <m/>
    <m/>
    <m/>
    <m/>
    <m/>
    <m/>
    <m/>
    <m/>
    <m/>
    <m/>
    <m/>
    <m/>
    <m/>
    <m/>
    <m/>
    <s v="INFASCO"/>
    <m/>
    <n v="97.85"/>
  </r>
  <r>
    <x v="1038"/>
    <x v="41"/>
    <x v="55"/>
    <n v="36"/>
    <n v="400"/>
    <n v="14400"/>
    <n v="38"/>
    <m/>
    <m/>
    <m/>
    <m/>
    <m/>
    <m/>
    <m/>
    <m/>
    <m/>
    <m/>
    <m/>
    <m/>
    <m/>
    <m/>
    <m/>
    <s v="INFASCO"/>
    <m/>
    <n v="97.85"/>
  </r>
  <r>
    <x v="1039"/>
    <x v="10"/>
    <x v="33"/>
    <n v="9"/>
    <n v="145"/>
    <n v="1305"/>
    <n v="12.909090909090908"/>
    <s v="Yes"/>
    <m/>
    <s v="Yes"/>
    <m/>
    <s v="Yes"/>
    <m/>
    <s v="Yes"/>
    <m/>
    <s v="N/A"/>
    <m/>
    <s v="Yes"/>
    <m/>
    <s v="Yes"/>
    <m/>
    <s v="Re-certified"/>
    <s v="INFASCO"/>
    <n v="123.6"/>
    <n v="123.6"/>
  </r>
  <r>
    <x v="1040"/>
    <x v="8"/>
    <x v="31"/>
    <n v="36"/>
    <n v="210"/>
    <n v="7560"/>
    <n v="12.909090909090908"/>
    <s v="Yes"/>
    <m/>
    <s v="Yes"/>
    <m/>
    <s v="Yes"/>
    <m/>
    <s v="Yes"/>
    <m/>
    <s v="N/A"/>
    <m/>
    <s v="Yes"/>
    <m/>
    <s v="Yes"/>
    <m/>
    <s v="New"/>
    <s v="INFASCO"/>
    <n v="97.85"/>
    <n v="97.85"/>
  </r>
  <r>
    <x v="1041"/>
    <x v="8"/>
    <x v="31"/>
    <n v="36"/>
    <n v="210"/>
    <n v="7560"/>
    <n v="12.909090909090908"/>
    <s v="Yes"/>
    <m/>
    <s v="Yes"/>
    <m/>
    <s v="Yes"/>
    <m/>
    <s v="Yes"/>
    <m/>
    <s v="N/A"/>
    <m/>
    <s v="Yes"/>
    <m/>
    <s v="Yes"/>
    <m/>
    <s v="New"/>
    <s v="INFASCO"/>
    <n v="97.85"/>
    <n v="97.85"/>
  </r>
  <r>
    <x v="1042"/>
    <x v="8"/>
    <x v="31"/>
    <n v="36"/>
    <n v="210"/>
    <n v="7560"/>
    <n v="7.746478873239436E-2"/>
    <s v="Yes"/>
    <m/>
    <s v="Yes"/>
    <m/>
    <s v="Yes"/>
    <m/>
    <s v="Yes"/>
    <m/>
    <s v="N/A"/>
    <m/>
    <s v="Yes"/>
    <m/>
    <s v="Yes"/>
    <m/>
    <s v="New"/>
    <s v="INFASCO"/>
    <n v="97.85"/>
    <n v="97.85"/>
  </r>
  <r>
    <x v="1043"/>
    <x v="8"/>
    <x v="31"/>
    <n v="36"/>
    <n v="210"/>
    <n v="7560"/>
    <n v="12.909090909090908"/>
    <s v="Yes"/>
    <m/>
    <s v="Yes"/>
    <m/>
    <s v="Yes"/>
    <m/>
    <s v="Yes"/>
    <m/>
    <s v="N/A"/>
    <m/>
    <s v="Yes"/>
    <m/>
    <s v="Yes"/>
    <m/>
    <s v="New"/>
    <s v="INFASCO"/>
    <n v="97.85"/>
    <n v="97.85"/>
  </r>
  <r>
    <x v="1044"/>
    <x v="8"/>
    <x v="31"/>
    <n v="36"/>
    <n v="210"/>
    <n v="7560"/>
    <n v="7.746478873239436E-2"/>
    <s v="Yes"/>
    <m/>
    <s v="Yes"/>
    <m/>
    <s v="Yes"/>
    <m/>
    <s v="Yes"/>
    <m/>
    <s v="N/A"/>
    <m/>
    <s v="Yes"/>
    <m/>
    <s v="Yes"/>
    <m/>
    <s v="New"/>
    <s v="INFASCO"/>
    <n v="97.85"/>
    <n v="97.85"/>
  </r>
  <r>
    <x v="1045"/>
    <x v="18"/>
    <x v="2"/>
    <n v="29"/>
    <n v="2700"/>
    <n v="78300"/>
    <n v="12.909090909090908"/>
    <s v="Yes"/>
    <m/>
    <s v="Yes"/>
    <m/>
    <s v="Yes"/>
    <m/>
    <s v="Yes"/>
    <m/>
    <s v="N/A"/>
    <m/>
    <s v="Yes"/>
    <m/>
    <s v="Yes"/>
    <m/>
    <s v="New"/>
    <s v="INFASCO"/>
    <n v="97.85"/>
    <n v="97.85"/>
  </r>
  <r>
    <x v="1046"/>
    <x v="37"/>
    <x v="55"/>
    <n v="36"/>
    <n v="400"/>
    <n v="14400"/>
    <n v="156"/>
    <m/>
    <m/>
    <m/>
    <m/>
    <m/>
    <m/>
    <m/>
    <m/>
    <m/>
    <m/>
    <m/>
    <m/>
    <m/>
    <m/>
    <m/>
    <s v="INFASCO"/>
    <m/>
    <n v="97.85"/>
  </r>
  <r>
    <x v="1046"/>
    <x v="37"/>
    <x v="55"/>
    <n v="36"/>
    <n v="400"/>
    <n v="14400"/>
    <n v="156"/>
    <m/>
    <m/>
    <m/>
    <m/>
    <m/>
    <m/>
    <m/>
    <m/>
    <m/>
    <m/>
    <m/>
    <m/>
    <m/>
    <m/>
    <m/>
    <s v="INFASCO"/>
    <m/>
    <n v="97.85"/>
  </r>
  <r>
    <x v="1046"/>
    <x v="38"/>
    <x v="11"/>
    <n v="36"/>
    <n v="280"/>
    <n v="10080"/>
    <n v="156"/>
    <m/>
    <m/>
    <m/>
    <m/>
    <m/>
    <m/>
    <m/>
    <m/>
    <m/>
    <m/>
    <m/>
    <m/>
    <m/>
    <m/>
    <m/>
    <s v="INFASCO"/>
    <m/>
    <n v="97.85"/>
  </r>
  <r>
    <x v="1046"/>
    <x v="38"/>
    <x v="11"/>
    <n v="36"/>
    <n v="280"/>
    <n v="10080"/>
    <n v="156"/>
    <m/>
    <m/>
    <m/>
    <m/>
    <m/>
    <m/>
    <m/>
    <m/>
    <m/>
    <m/>
    <m/>
    <m/>
    <m/>
    <m/>
    <m/>
    <s v="INFASCO"/>
    <m/>
    <n v="97.85"/>
  </r>
  <r>
    <x v="1046"/>
    <x v="38"/>
    <x v="11"/>
    <n v="36"/>
    <n v="280"/>
    <n v="10080"/>
    <n v="156"/>
    <m/>
    <m/>
    <m/>
    <m/>
    <m/>
    <m/>
    <m/>
    <m/>
    <m/>
    <m/>
    <m/>
    <m/>
    <m/>
    <m/>
    <m/>
    <s v="INFASCO"/>
    <m/>
    <n v="97.85"/>
  </r>
  <r>
    <x v="1046"/>
    <x v="38"/>
    <x v="11"/>
    <n v="36"/>
    <n v="280"/>
    <n v="10080"/>
    <n v="156"/>
    <m/>
    <m/>
    <m/>
    <m/>
    <m/>
    <m/>
    <m/>
    <m/>
    <m/>
    <m/>
    <m/>
    <m/>
    <m/>
    <m/>
    <m/>
    <s v="INFASCO"/>
    <m/>
    <n v="97.85"/>
  </r>
  <r>
    <x v="1046"/>
    <x v="38"/>
    <x v="11"/>
    <n v="36"/>
    <n v="280"/>
    <n v="10080"/>
    <n v="156"/>
    <m/>
    <m/>
    <m/>
    <m/>
    <m/>
    <m/>
    <m/>
    <m/>
    <m/>
    <m/>
    <m/>
    <m/>
    <m/>
    <m/>
    <m/>
    <s v="INFASCO"/>
    <m/>
    <n v="97.85"/>
  </r>
  <r>
    <x v="1046"/>
    <x v="38"/>
    <x v="11"/>
    <n v="44"/>
    <n v="280"/>
    <n v="12320"/>
    <n v="156"/>
    <m/>
    <m/>
    <m/>
    <m/>
    <m/>
    <m/>
    <m/>
    <m/>
    <m/>
    <m/>
    <m/>
    <m/>
    <m/>
    <m/>
    <m/>
    <s v="INFASCO"/>
    <m/>
    <n v="97.85"/>
  </r>
  <r>
    <x v="1046"/>
    <x v="36"/>
    <x v="55"/>
    <n v="36"/>
    <n v="400"/>
    <n v="14400"/>
    <n v="38"/>
    <m/>
    <m/>
    <m/>
    <m/>
    <m/>
    <m/>
    <m/>
    <m/>
    <m/>
    <m/>
    <m/>
    <m/>
    <m/>
    <m/>
    <m/>
    <s v="INFASCO"/>
    <m/>
    <n v="97.85"/>
  </r>
  <r>
    <x v="1046"/>
    <x v="36"/>
    <x v="55"/>
    <n v="36"/>
    <n v="400"/>
    <n v="14400"/>
    <n v="38"/>
    <m/>
    <m/>
    <m/>
    <m/>
    <m/>
    <m/>
    <m/>
    <m/>
    <m/>
    <m/>
    <m/>
    <m/>
    <m/>
    <m/>
    <m/>
    <s v="INFASCO"/>
    <m/>
    <n v="97.85"/>
  </r>
  <r>
    <x v="1046"/>
    <x v="41"/>
    <x v="55"/>
    <n v="36"/>
    <n v="400"/>
    <n v="14400"/>
    <n v="38"/>
    <m/>
    <m/>
    <m/>
    <m/>
    <m/>
    <m/>
    <m/>
    <m/>
    <m/>
    <m/>
    <m/>
    <m/>
    <m/>
    <m/>
    <m/>
    <s v="INFASCO"/>
    <m/>
    <n v="97.85"/>
  </r>
  <r>
    <x v="1046"/>
    <x v="41"/>
    <x v="55"/>
    <n v="36"/>
    <n v="400"/>
    <n v="14400"/>
    <n v="38"/>
    <m/>
    <m/>
    <m/>
    <m/>
    <m/>
    <m/>
    <m/>
    <m/>
    <m/>
    <m/>
    <m/>
    <m/>
    <m/>
    <m/>
    <m/>
    <s v="INFASCO"/>
    <m/>
    <n v="97.85"/>
  </r>
  <r>
    <x v="1046"/>
    <x v="34"/>
    <x v="61"/>
    <n v="36"/>
    <n v="4000"/>
    <n v="144000"/>
    <n v="38"/>
    <m/>
    <m/>
    <m/>
    <m/>
    <m/>
    <m/>
    <m/>
    <m/>
    <m/>
    <m/>
    <m/>
    <m/>
    <m/>
    <m/>
    <m/>
    <s v="INFASCO"/>
    <m/>
    <n v="97.85"/>
  </r>
  <r>
    <x v="1046"/>
    <x v="34"/>
    <x v="61"/>
    <n v="36"/>
    <n v="4000"/>
    <n v="144000"/>
    <n v="38"/>
    <m/>
    <m/>
    <m/>
    <m/>
    <m/>
    <m/>
    <m/>
    <m/>
    <m/>
    <m/>
    <m/>
    <m/>
    <m/>
    <m/>
    <m/>
    <s v="INFASCO"/>
    <m/>
    <n v="97.85"/>
  </r>
  <r>
    <x v="1046"/>
    <x v="35"/>
    <x v="69"/>
    <n v="36"/>
    <n v="1900"/>
    <n v="68400"/>
    <n v="38"/>
    <m/>
    <m/>
    <m/>
    <m/>
    <m/>
    <m/>
    <m/>
    <m/>
    <m/>
    <m/>
    <m/>
    <m/>
    <m/>
    <m/>
    <m/>
    <s v="INFASCO"/>
    <m/>
    <n v="97.85"/>
  </r>
  <r>
    <x v="1046"/>
    <x v="33"/>
    <x v="108"/>
    <n v="36"/>
    <n v="3500"/>
    <n v="126000"/>
    <n v="38"/>
    <m/>
    <m/>
    <m/>
    <m/>
    <m/>
    <m/>
    <m/>
    <m/>
    <m/>
    <m/>
    <m/>
    <m/>
    <m/>
    <m/>
    <m/>
    <s v="INFASCO"/>
    <m/>
    <n v="97.85"/>
  </r>
  <r>
    <x v="1046"/>
    <x v="42"/>
    <x v="2"/>
    <n v="29"/>
    <n v="2700"/>
    <n v="78300"/>
    <n v="136"/>
    <m/>
    <m/>
    <m/>
    <m/>
    <m/>
    <m/>
    <m/>
    <m/>
    <m/>
    <m/>
    <m/>
    <m/>
    <m/>
    <m/>
    <m/>
    <s v="INFASCO"/>
    <m/>
    <n v="97.85"/>
  </r>
  <r>
    <x v="1046"/>
    <x v="43"/>
    <x v="76"/>
    <n v="36"/>
    <n v="4500"/>
    <n v="162000"/>
    <n v="136"/>
    <m/>
    <m/>
    <m/>
    <m/>
    <m/>
    <m/>
    <m/>
    <m/>
    <m/>
    <m/>
    <m/>
    <m/>
    <m/>
    <m/>
    <m/>
    <s v="INFASCO"/>
    <m/>
    <n v="97.85"/>
  </r>
  <r>
    <x v="1047"/>
    <x v="8"/>
    <x v="31"/>
    <n v="36"/>
    <n v="210"/>
    <n v="7560"/>
    <s v="11+298"/>
    <s v="Yes"/>
    <m/>
    <s v="Yes"/>
    <m/>
    <s v="Yes"/>
    <m/>
    <s v="Yes"/>
    <m/>
    <s v="N/A"/>
    <m/>
    <s v="Yes"/>
    <m/>
    <s v="Yes"/>
    <m/>
    <s v="New"/>
    <s v="INFASCO"/>
    <n v="97.85"/>
    <n v="97.85"/>
  </r>
  <r>
    <x v="1048"/>
    <x v="8"/>
    <x v="31"/>
    <n v="30"/>
    <n v="210"/>
    <n v="6300"/>
    <s v="11+298"/>
    <s v="Yes"/>
    <m/>
    <s v="Yes"/>
    <m/>
    <s v="Yes"/>
    <m/>
    <s v="Yes"/>
    <m/>
    <s v="N/A"/>
    <m/>
    <s v="Yes"/>
    <m/>
    <s v="Yes"/>
    <m/>
    <s v="New"/>
    <s v="INFASCO"/>
    <n v="97.85"/>
    <n v="97.85"/>
  </r>
  <r>
    <x v="1049"/>
    <x v="8"/>
    <x v="31"/>
    <n v="36"/>
    <n v="210"/>
    <n v="7560"/>
    <s v="11+298"/>
    <s v="Yes"/>
    <m/>
    <s v="Yes"/>
    <m/>
    <s v="Yes"/>
    <m/>
    <s v="Yes"/>
    <m/>
    <s v="N/A"/>
    <m/>
    <s v="Yes"/>
    <m/>
    <s v="Yes"/>
    <m/>
    <s v="New"/>
    <s v="INFASCO"/>
    <n v="97.85"/>
    <n v="97.85"/>
  </r>
  <r>
    <x v="1050"/>
    <x v="8"/>
    <x v="31"/>
    <n v="4"/>
    <n v="210"/>
    <n v="840"/>
    <s v="11+298"/>
    <s v="Yes"/>
    <m/>
    <s v="Yes"/>
    <m/>
    <s v="Yes"/>
    <m/>
    <s v="Yes"/>
    <m/>
    <s v="N/A"/>
    <m/>
    <s v="Yes"/>
    <m/>
    <s v="Yes"/>
    <m/>
    <s v="New"/>
    <s v="INFASCO"/>
    <n v="97.85"/>
    <n v="97.85"/>
  </r>
  <r>
    <x v="1051"/>
    <x v="8"/>
    <x v="208"/>
    <n v="27"/>
    <n v="1100"/>
    <n v="29700"/>
    <s v="11+298"/>
    <s v="Yes"/>
    <m/>
    <s v="Yes"/>
    <m/>
    <s v="Yes"/>
    <m/>
    <s v="Yes"/>
    <m/>
    <s v="N/A"/>
    <m/>
    <s v="Yes"/>
    <m/>
    <s v="Yes"/>
    <m/>
    <s v="New"/>
    <e v="#N/A"/>
    <s v="N/A"/>
    <n v="97.85"/>
  </r>
  <r>
    <x v="1052"/>
    <x v="10"/>
    <x v="42"/>
    <n v="36"/>
    <n v="450"/>
    <n v="16200"/>
    <s v="11+298"/>
    <s v="Yes"/>
    <m/>
    <s v="Yes"/>
    <m/>
    <s v="Yes"/>
    <m/>
    <s v="Yes"/>
    <m/>
    <s v="N/A"/>
    <m/>
    <s v="Yes"/>
    <m/>
    <s v="Yes"/>
    <m/>
    <s v="New"/>
    <s v="INFASCO"/>
    <n v="97.85"/>
    <n v="97.85"/>
  </r>
  <r>
    <x v="1053"/>
    <x v="10"/>
    <x v="73"/>
    <n v="36"/>
    <n v="350"/>
    <n v="12600"/>
    <n v="14"/>
    <s v="Yes"/>
    <m/>
    <s v="Yes"/>
    <m/>
    <s v="Yes"/>
    <m/>
    <s v="Yes"/>
    <m/>
    <s v="N/A"/>
    <m/>
    <s v="Yes"/>
    <m/>
    <s v="Yes"/>
    <m/>
    <s v="New"/>
    <s v="INFASCO"/>
    <n v="97.85"/>
    <n v="97.85"/>
  </r>
  <r>
    <x v="1054"/>
    <x v="10"/>
    <x v="73"/>
    <n v="23"/>
    <n v="350"/>
    <n v="8050"/>
    <n v="69"/>
    <s v="Yes"/>
    <m/>
    <s v="Yes"/>
    <m/>
    <s v="Yes"/>
    <m/>
    <s v="Yes"/>
    <m/>
    <s v="N/A"/>
    <m/>
    <s v="Yes"/>
    <m/>
    <s v="Yes"/>
    <m/>
    <s v="New"/>
    <s v="INFASCO"/>
    <n v="97.85"/>
    <n v="97.85"/>
  </r>
  <r>
    <x v="1055"/>
    <x v="8"/>
    <x v="42"/>
    <n v="29"/>
    <n v="450"/>
    <n v="13050"/>
    <s v="11+298"/>
    <s v="Yes"/>
    <m/>
    <s v="Yes"/>
    <m/>
    <s v="Yes"/>
    <m/>
    <s v="Yes"/>
    <m/>
    <s v="N/A"/>
    <m/>
    <s v="Yes"/>
    <m/>
    <s v="Yes"/>
    <m/>
    <s v="New"/>
    <s v="INFASCO"/>
    <n v="97.85"/>
    <n v="97.85"/>
  </r>
  <r>
    <x v="1056"/>
    <x v="10"/>
    <x v="73"/>
    <n v="36"/>
    <n v="350"/>
    <n v="12600"/>
    <n v="69"/>
    <s v="Yes"/>
    <m/>
    <s v="Yes"/>
    <m/>
    <s v="Yes"/>
    <m/>
    <s v="Yes"/>
    <m/>
    <s v="N/A"/>
    <m/>
    <s v="Yes"/>
    <m/>
    <s v="Yes"/>
    <m/>
    <s v="New"/>
    <s v="INFASCO"/>
    <n v="97.85"/>
    <n v="97.85"/>
  </r>
  <r>
    <x v="1057"/>
    <x v="10"/>
    <x v="73"/>
    <n v="29"/>
    <n v="350"/>
    <n v="10150"/>
    <n v="69"/>
    <s v="Yes"/>
    <m/>
    <s v="Yes"/>
    <m/>
    <s v="Yes"/>
    <m/>
    <s v="Yes"/>
    <m/>
    <s v="N/A"/>
    <m/>
    <s v="Yes"/>
    <m/>
    <s v="Yes"/>
    <m/>
    <s v="New"/>
    <s v="INFASCO"/>
    <n v="97.85"/>
    <n v="97.85"/>
  </r>
  <r>
    <x v="1058"/>
    <x v="8"/>
    <x v="73"/>
    <n v="27"/>
    <n v="350"/>
    <n v="9450"/>
    <s v="11+298"/>
    <s v="Yes"/>
    <m/>
    <s v="Yes"/>
    <m/>
    <s v="Yes"/>
    <m/>
    <s v="Yes"/>
    <m/>
    <s v="N/A"/>
    <m/>
    <s v="Yes"/>
    <m/>
    <s v="Yes"/>
    <m/>
    <s v="New"/>
    <s v="INFASCO"/>
    <n v="97.85"/>
    <n v="97.85"/>
  </r>
  <r>
    <x v="1059"/>
    <x v="10"/>
    <x v="73"/>
    <n v="36"/>
    <n v="350"/>
    <n v="12600"/>
    <n v="187"/>
    <s v="Yes"/>
    <m/>
    <s v="Yes"/>
    <m/>
    <s v="Yes"/>
    <m/>
    <s v="Yes"/>
    <m/>
    <s v="N/A"/>
    <m/>
    <s v="Yes"/>
    <m/>
    <s v="Yes"/>
    <m/>
    <s v="New"/>
    <s v="INFASCO"/>
    <n v="97.85"/>
    <n v="97.85"/>
  </r>
  <r>
    <x v="1060"/>
    <x v="8"/>
    <x v="73"/>
    <n v="36"/>
    <n v="350"/>
    <n v="12600"/>
    <n v="11"/>
    <s v="Yes"/>
    <m/>
    <s v="Yes"/>
    <m/>
    <s v="Yes"/>
    <m/>
    <s v="Yes"/>
    <m/>
    <s v="N/A"/>
    <m/>
    <s v="Yes"/>
    <m/>
    <s v="Yes"/>
    <m/>
    <s v="New"/>
    <s v="INFASCO"/>
    <n v="97.85"/>
    <n v="97.85"/>
  </r>
  <r>
    <x v="1061"/>
    <x v="8"/>
    <x v="73"/>
    <n v="36"/>
    <n v="350"/>
    <n v="12600"/>
    <n v="11"/>
    <s v="Yes"/>
    <m/>
    <s v="Yes"/>
    <m/>
    <s v="Yes"/>
    <m/>
    <s v="Yes"/>
    <m/>
    <s v="N/A"/>
    <m/>
    <s v="Yes"/>
    <m/>
    <s v="Yes"/>
    <m/>
    <s v="New"/>
    <s v="INFASCO"/>
    <n v="97.85"/>
    <n v="97.85"/>
  </r>
  <r>
    <x v="1062"/>
    <x v="8"/>
    <x v="73"/>
    <n v="36"/>
    <n v="350"/>
    <n v="12600"/>
    <n v="11"/>
    <s v="Yes"/>
    <m/>
    <s v="Yes"/>
    <m/>
    <s v="Yes"/>
    <m/>
    <s v="Yes"/>
    <m/>
    <s v="N/A"/>
    <m/>
    <s v="Yes"/>
    <m/>
    <s v="Yes"/>
    <m/>
    <s v="New"/>
    <s v="INFASCO"/>
    <n v="97.85"/>
    <n v="97.85"/>
  </r>
  <r>
    <x v="1063"/>
    <x v="8"/>
    <x v="73"/>
    <n v="48"/>
    <n v="350"/>
    <n v="16800"/>
    <n v="11"/>
    <s v="Yes"/>
    <m/>
    <s v="Yes"/>
    <m/>
    <s v="Yes"/>
    <m/>
    <s v="Yes"/>
    <m/>
    <s v="N/A"/>
    <m/>
    <s v="Yes"/>
    <m/>
    <s v="Yes"/>
    <m/>
    <s v="New"/>
    <s v="INFASCO"/>
    <n v="97.85"/>
    <n v="97.85"/>
  </r>
  <r>
    <x v="1064"/>
    <x v="8"/>
    <x v="159"/>
    <n v="36"/>
    <n v="600"/>
    <n v="21600"/>
    <s v="11+144"/>
    <s v="Yes"/>
    <m/>
    <s v="Yes"/>
    <m/>
    <s v="Yes"/>
    <m/>
    <s v="Yes"/>
    <m/>
    <s v="N/A"/>
    <m/>
    <s v="Yes"/>
    <m/>
    <s v="Yes"/>
    <m/>
    <s v="New"/>
    <s v="INFASCO"/>
    <n v="51"/>
    <n v="51"/>
  </r>
  <r>
    <x v="1065"/>
    <x v="8"/>
    <x v="159"/>
    <n v="35"/>
    <n v="600"/>
    <n v="21000"/>
    <n v="111"/>
    <s v="Yes"/>
    <m/>
    <s v="Yes"/>
    <m/>
    <s v="Yes"/>
    <m/>
    <s v="Yes"/>
    <m/>
    <s v="N/A"/>
    <m/>
    <s v="Yes"/>
    <m/>
    <s v="Yes"/>
    <m/>
    <s v="New"/>
    <s v="INFASCO"/>
    <n v="51"/>
    <n v="51"/>
  </r>
  <r>
    <x v="1066"/>
    <x v="8"/>
    <x v="148"/>
    <n v="35"/>
    <n v="1200"/>
    <n v="42000"/>
    <s v="11+114"/>
    <s v="Yes"/>
    <m/>
    <s v="Yes"/>
    <m/>
    <s v="Yes"/>
    <m/>
    <s v="Yes"/>
    <m/>
    <s v="N/A"/>
    <m/>
    <s v="Yes"/>
    <m/>
    <s v="Yes"/>
    <m/>
    <s v="New"/>
    <s v="INFASCO"/>
    <n v="97.85"/>
    <n v="97.85"/>
  </r>
  <r>
    <x v="1067"/>
    <x v="8"/>
    <x v="148"/>
    <n v="33"/>
    <n v="1200"/>
    <n v="39600"/>
    <s v="11+144"/>
    <s v="Yes"/>
    <m/>
    <s v="Yes"/>
    <m/>
    <s v="Yes"/>
    <m/>
    <s v="Yes"/>
    <m/>
    <s v="N/A"/>
    <m/>
    <s v="Yes"/>
    <m/>
    <s v="Yes"/>
    <m/>
    <s v="New"/>
    <s v="INFASCO"/>
    <n v="97.85"/>
    <n v="97.85"/>
  </r>
  <r>
    <x v="1067"/>
    <x v="7"/>
    <x v="55"/>
    <n v="36"/>
    <n v="400"/>
    <n v="14400"/>
    <m/>
    <m/>
    <m/>
    <m/>
    <m/>
    <m/>
    <m/>
    <m/>
    <m/>
    <m/>
    <m/>
    <m/>
    <m/>
    <m/>
    <m/>
    <m/>
    <s v="INFASCO"/>
    <m/>
    <n v="97.85"/>
  </r>
  <r>
    <x v="1067"/>
    <x v="7"/>
    <x v="55"/>
    <n v="36"/>
    <n v="400"/>
    <n v="14400"/>
    <m/>
    <m/>
    <m/>
    <m/>
    <m/>
    <m/>
    <m/>
    <m/>
    <m/>
    <m/>
    <m/>
    <m/>
    <m/>
    <m/>
    <m/>
    <m/>
    <s v="INFASCO"/>
    <m/>
    <n v="97.85"/>
  </r>
  <r>
    <x v="1067"/>
    <x v="6"/>
    <x v="61"/>
    <n v="36"/>
    <n v="4000"/>
    <n v="144000"/>
    <m/>
    <m/>
    <m/>
    <m/>
    <m/>
    <m/>
    <m/>
    <m/>
    <m/>
    <m/>
    <m/>
    <m/>
    <m/>
    <m/>
    <m/>
    <m/>
    <s v="INFASCO"/>
    <m/>
    <n v="97.85"/>
  </r>
  <r>
    <x v="1067"/>
    <x v="6"/>
    <x v="76"/>
    <n v="31"/>
    <n v="4500"/>
    <n v="139500"/>
    <m/>
    <m/>
    <m/>
    <m/>
    <m/>
    <m/>
    <m/>
    <m/>
    <m/>
    <m/>
    <m/>
    <m/>
    <m/>
    <m/>
    <m/>
    <m/>
    <s v="INFASCO"/>
    <m/>
    <n v="97.85"/>
  </r>
  <r>
    <x v="1067"/>
    <x v="16"/>
    <x v="55"/>
    <n v="36"/>
    <n v="400"/>
    <n v="14400"/>
    <m/>
    <m/>
    <m/>
    <m/>
    <m/>
    <m/>
    <m/>
    <m/>
    <m/>
    <m/>
    <m/>
    <m/>
    <m/>
    <m/>
    <m/>
    <m/>
    <s v="INFASCO"/>
    <m/>
    <n v="97.85"/>
  </r>
  <r>
    <x v="1067"/>
    <x v="4"/>
    <x v="5"/>
    <n v="36"/>
    <n v="1000"/>
    <n v="36000"/>
    <m/>
    <m/>
    <m/>
    <m/>
    <m/>
    <m/>
    <m/>
    <m/>
    <m/>
    <m/>
    <m/>
    <m/>
    <m/>
    <m/>
    <m/>
    <m/>
    <s v="INFASCO"/>
    <m/>
    <n v="97.85"/>
  </r>
  <r>
    <x v="1067"/>
    <x v="4"/>
    <x v="5"/>
    <n v="36"/>
    <n v="1000"/>
    <n v="36000"/>
    <m/>
    <m/>
    <m/>
    <m/>
    <m/>
    <m/>
    <m/>
    <m/>
    <m/>
    <m/>
    <m/>
    <m/>
    <m/>
    <m/>
    <m/>
    <m/>
    <s v="INFASCO"/>
    <m/>
    <n v="97.85"/>
  </r>
  <r>
    <x v="1067"/>
    <x v="4"/>
    <x v="5"/>
    <n v="19"/>
    <n v="1000"/>
    <n v="19000"/>
    <m/>
    <m/>
    <m/>
    <m/>
    <m/>
    <m/>
    <m/>
    <m/>
    <m/>
    <m/>
    <m/>
    <m/>
    <m/>
    <m/>
    <m/>
    <m/>
    <s v="INFASCO"/>
    <m/>
    <n v="97.85"/>
  </r>
  <r>
    <x v="1067"/>
    <x v="2"/>
    <x v="108"/>
    <n v="36"/>
    <n v="3500"/>
    <n v="126000"/>
    <m/>
    <m/>
    <m/>
    <m/>
    <m/>
    <m/>
    <m/>
    <m/>
    <m/>
    <m/>
    <m/>
    <m/>
    <m/>
    <m/>
    <m/>
    <m/>
    <s v="INFASCO"/>
    <m/>
    <n v="97.85"/>
  </r>
  <r>
    <x v="1067"/>
    <x v="3"/>
    <x v="55"/>
    <n v="49"/>
    <n v="400"/>
    <n v="19600"/>
    <m/>
    <m/>
    <m/>
    <m/>
    <m/>
    <m/>
    <m/>
    <m/>
    <m/>
    <m/>
    <m/>
    <m/>
    <m/>
    <m/>
    <m/>
    <m/>
    <s v="INFASCO"/>
    <m/>
    <n v="97.85"/>
  </r>
  <r>
    <x v="1067"/>
    <x v="26"/>
    <x v="55"/>
    <n v="36"/>
    <n v="400"/>
    <n v="14400"/>
    <m/>
    <m/>
    <m/>
    <m/>
    <m/>
    <m/>
    <m/>
    <m/>
    <m/>
    <m/>
    <m/>
    <m/>
    <m/>
    <m/>
    <m/>
    <m/>
    <s v="INFASCO"/>
    <m/>
    <n v="97.85"/>
  </r>
  <r>
    <x v="1067"/>
    <x v="26"/>
    <x v="5"/>
    <n v="36"/>
    <n v="1000"/>
    <n v="36000"/>
    <m/>
    <m/>
    <m/>
    <m/>
    <m/>
    <m/>
    <m/>
    <m/>
    <m/>
    <m/>
    <m/>
    <m/>
    <m/>
    <m/>
    <m/>
    <m/>
    <s v="INFASCO"/>
    <m/>
    <n v="97.85"/>
  </r>
  <r>
    <x v="1067"/>
    <x v="14"/>
    <x v="5"/>
    <n v="36"/>
    <n v="1000"/>
    <n v="36000"/>
    <m/>
    <m/>
    <m/>
    <m/>
    <m/>
    <m/>
    <m/>
    <m/>
    <m/>
    <m/>
    <m/>
    <m/>
    <m/>
    <m/>
    <m/>
    <m/>
    <s v="INFASCO"/>
    <m/>
    <n v="97.85"/>
  </r>
  <r>
    <x v="1067"/>
    <x v="9"/>
    <x v="2"/>
    <n v="23"/>
    <n v="2700"/>
    <n v="62100"/>
    <m/>
    <m/>
    <m/>
    <m/>
    <m/>
    <m/>
    <m/>
    <m/>
    <m/>
    <m/>
    <m/>
    <m/>
    <m/>
    <m/>
    <m/>
    <m/>
    <s v="INFASCO"/>
    <m/>
    <n v="97.85"/>
  </r>
  <r>
    <x v="1067"/>
    <x v="8"/>
    <x v="73"/>
    <n v="36"/>
    <n v="350"/>
    <n v="12600"/>
    <m/>
    <m/>
    <m/>
    <m/>
    <m/>
    <m/>
    <m/>
    <m/>
    <m/>
    <m/>
    <m/>
    <m/>
    <m/>
    <m/>
    <m/>
    <m/>
    <s v="INFASCO"/>
    <m/>
    <n v="97.85"/>
  </r>
  <r>
    <x v="1067"/>
    <x v="8"/>
    <x v="45"/>
    <n v="1"/>
    <n v="0"/>
    <n v="0"/>
    <m/>
    <m/>
    <m/>
    <m/>
    <m/>
    <m/>
    <m/>
    <m/>
    <m/>
    <m/>
    <m/>
    <m/>
    <m/>
    <m/>
    <m/>
    <m/>
    <s v="INFASCO"/>
    <m/>
    <n v="71.069999999999993"/>
  </r>
  <r>
    <x v="1067"/>
    <x v="1"/>
    <x v="2"/>
    <n v="23"/>
    <n v="2700"/>
    <n v="62100"/>
    <m/>
    <m/>
    <m/>
    <m/>
    <m/>
    <m/>
    <m/>
    <m/>
    <m/>
    <m/>
    <m/>
    <m/>
    <m/>
    <m/>
    <m/>
    <m/>
    <s v="INFASCO"/>
    <m/>
    <n v="97.85"/>
  </r>
  <r>
    <x v="1067"/>
    <x v="12"/>
    <x v="2"/>
    <n v="36"/>
    <n v="2700"/>
    <n v="97200"/>
    <m/>
    <m/>
    <m/>
    <m/>
    <m/>
    <m/>
    <m/>
    <m/>
    <m/>
    <m/>
    <m/>
    <m/>
    <m/>
    <m/>
    <m/>
    <m/>
    <s v="INFASCO"/>
    <m/>
    <n v="97.85"/>
  </r>
  <r>
    <x v="1067"/>
    <x v="15"/>
    <x v="71"/>
    <n v="20"/>
    <n v="1500"/>
    <n v="30000"/>
    <m/>
    <m/>
    <m/>
    <m/>
    <m/>
    <m/>
    <m/>
    <m/>
    <m/>
    <m/>
    <m/>
    <m/>
    <m/>
    <m/>
    <m/>
    <m/>
    <s v="INFASCO"/>
    <m/>
    <n v="97.85"/>
  </r>
  <r>
    <x v="1067"/>
    <x v="15"/>
    <x v="0"/>
    <n v="36"/>
    <n v="2500"/>
    <n v="90000"/>
    <m/>
    <m/>
    <m/>
    <m/>
    <m/>
    <m/>
    <m/>
    <m/>
    <m/>
    <m/>
    <m/>
    <m/>
    <m/>
    <m/>
    <m/>
    <m/>
    <s v="INFASCO"/>
    <m/>
    <n v="97.85"/>
  </r>
  <r>
    <x v="1067"/>
    <x v="5"/>
    <x v="76"/>
    <n v="36"/>
    <n v="4500"/>
    <n v="162000"/>
    <m/>
    <m/>
    <m/>
    <m/>
    <m/>
    <m/>
    <m/>
    <m/>
    <m/>
    <m/>
    <m/>
    <m/>
    <m/>
    <m/>
    <m/>
    <m/>
    <s v="INFASCO"/>
    <m/>
    <n v="97.85"/>
  </r>
  <r>
    <x v="1067"/>
    <x v="11"/>
    <x v="76"/>
    <n v="36"/>
    <n v="4500"/>
    <n v="162000"/>
    <m/>
    <m/>
    <m/>
    <m/>
    <m/>
    <m/>
    <m/>
    <m/>
    <m/>
    <m/>
    <m/>
    <m/>
    <m/>
    <m/>
    <m/>
    <m/>
    <s v="INFASCO"/>
    <m/>
    <n v="97.85"/>
  </r>
  <r>
    <x v="1067"/>
    <x v="11"/>
    <x v="76"/>
    <n v="15"/>
    <n v="4500"/>
    <n v="67500"/>
    <m/>
    <m/>
    <m/>
    <m/>
    <m/>
    <m/>
    <m/>
    <m/>
    <m/>
    <m/>
    <m/>
    <m/>
    <m/>
    <m/>
    <m/>
    <m/>
    <s v="INFASCO"/>
    <m/>
    <n v="97.85"/>
  </r>
  <r>
    <x v="1067"/>
    <x v="11"/>
    <x v="76"/>
    <n v="21"/>
    <n v="4500"/>
    <n v="94500"/>
    <m/>
    <m/>
    <m/>
    <m/>
    <m/>
    <m/>
    <m/>
    <m/>
    <m/>
    <m/>
    <m/>
    <m/>
    <m/>
    <m/>
    <m/>
    <m/>
    <s v="INFASCO"/>
    <m/>
    <n v="97.85"/>
  </r>
  <r>
    <x v="1068"/>
    <x v="10"/>
    <x v="26"/>
    <n v="36"/>
    <n v="1400"/>
    <n v="50400"/>
    <n v="184"/>
    <s v="Yes"/>
    <m/>
    <s v="Yes"/>
    <m/>
    <s v="Yes"/>
    <m/>
    <s v="Yes"/>
    <m/>
    <s v="N/A"/>
    <m/>
    <s v="Yes"/>
    <m/>
    <s v="Yes"/>
    <m/>
    <s v="New"/>
    <s v="INFASCO"/>
    <n v="123.6"/>
    <n v="123.6"/>
  </r>
  <r>
    <x v="1069"/>
    <x v="10"/>
    <x v="26"/>
    <n v="13"/>
    <n v="1400"/>
    <n v="18200"/>
    <n v="184"/>
    <s v="Yes"/>
    <m/>
    <s v="Yes"/>
    <m/>
    <s v="Yes"/>
    <m/>
    <s v="Yes"/>
    <m/>
    <s v="N/A"/>
    <m/>
    <s v="Yes"/>
    <m/>
    <s v="Yes"/>
    <m/>
    <s v="New"/>
    <s v="INFASCO"/>
    <n v="123.6"/>
    <n v="123.6"/>
  </r>
  <r>
    <x v="1070"/>
    <x v="8"/>
    <x v="10"/>
    <n v="36"/>
    <n v="450"/>
    <n v="16200"/>
    <s v="11+298"/>
    <s v="Yes"/>
    <m/>
    <s v="Yes"/>
    <m/>
    <s v="Yes"/>
    <m/>
    <s v="Yes"/>
    <m/>
    <s v="N/A"/>
    <m/>
    <s v="Yes"/>
    <m/>
    <s v="Yes"/>
    <m/>
    <s v="New"/>
    <s v="INFASCO"/>
    <n v="97.85"/>
    <n v="97.85"/>
  </r>
  <r>
    <x v="1071"/>
    <x v="18"/>
    <x v="0"/>
    <n v="36"/>
    <n v="2500"/>
    <n v="90000"/>
    <s v="327+003"/>
    <s v="Yes"/>
    <m/>
    <s v="Yes"/>
    <m/>
    <s v="Yes"/>
    <m/>
    <s v="Yes"/>
    <m/>
    <s v="N/A"/>
    <m/>
    <s v="Yes"/>
    <m/>
    <s v="Yes"/>
    <m/>
    <s v="New"/>
    <s v="INFASCO"/>
    <n v="97.85"/>
    <n v="97.85"/>
  </r>
  <r>
    <x v="1071"/>
    <x v="6"/>
    <x v="76"/>
    <n v="36"/>
    <n v="4500"/>
    <n v="162000"/>
    <m/>
    <m/>
    <m/>
    <m/>
    <m/>
    <m/>
    <m/>
    <m/>
    <m/>
    <m/>
    <m/>
    <m/>
    <m/>
    <m/>
    <m/>
    <m/>
    <s v="INFASCO"/>
    <m/>
    <n v="97.85"/>
  </r>
  <r>
    <x v="1071"/>
    <x v="6"/>
    <x v="76"/>
    <n v="36"/>
    <n v="4500"/>
    <n v="162000"/>
    <m/>
    <m/>
    <m/>
    <m/>
    <m/>
    <m/>
    <m/>
    <m/>
    <m/>
    <m/>
    <m/>
    <m/>
    <m/>
    <m/>
    <m/>
    <m/>
    <s v="INFASCO"/>
    <m/>
    <n v="97.85"/>
  </r>
  <r>
    <x v="1071"/>
    <x v="6"/>
    <x v="76"/>
    <n v="36"/>
    <n v="4500"/>
    <n v="162000"/>
    <m/>
    <m/>
    <m/>
    <m/>
    <m/>
    <m/>
    <m/>
    <m/>
    <m/>
    <m/>
    <m/>
    <m/>
    <m/>
    <m/>
    <m/>
    <m/>
    <s v="INFASCO"/>
    <m/>
    <n v="97.85"/>
  </r>
  <r>
    <x v="1071"/>
    <x v="7"/>
    <x v="5"/>
    <n v="22"/>
    <n v="1000"/>
    <n v="22000"/>
    <m/>
    <m/>
    <m/>
    <m/>
    <m/>
    <m/>
    <m/>
    <m/>
    <m/>
    <m/>
    <m/>
    <m/>
    <m/>
    <m/>
    <m/>
    <m/>
    <s v="INFASCO"/>
    <m/>
    <n v="97.85"/>
  </r>
  <r>
    <x v="1071"/>
    <x v="2"/>
    <x v="108"/>
    <n v="36"/>
    <n v="3500"/>
    <n v="126000"/>
    <m/>
    <m/>
    <m/>
    <m/>
    <m/>
    <m/>
    <m/>
    <m/>
    <m/>
    <m/>
    <m/>
    <m/>
    <m/>
    <m/>
    <m/>
    <m/>
    <s v="INFASCO"/>
    <m/>
    <n v="97.85"/>
  </r>
  <r>
    <x v="1071"/>
    <x v="4"/>
    <x v="5"/>
    <n v="36"/>
    <n v="1000"/>
    <n v="36000"/>
    <m/>
    <m/>
    <m/>
    <m/>
    <m/>
    <m/>
    <m/>
    <m/>
    <m/>
    <m/>
    <m/>
    <m/>
    <m/>
    <m/>
    <m/>
    <m/>
    <s v="INFASCO"/>
    <m/>
    <n v="97.85"/>
  </r>
  <r>
    <x v="1071"/>
    <x v="4"/>
    <x v="5"/>
    <n v="36"/>
    <n v="1000"/>
    <n v="36000"/>
    <m/>
    <m/>
    <m/>
    <m/>
    <m/>
    <m/>
    <m/>
    <m/>
    <m/>
    <m/>
    <m/>
    <m/>
    <m/>
    <m/>
    <m/>
    <m/>
    <s v="INFASCO"/>
    <m/>
    <n v="97.85"/>
  </r>
  <r>
    <x v="1071"/>
    <x v="13"/>
    <x v="5"/>
    <n v="36"/>
    <n v="1000"/>
    <n v="36000"/>
    <m/>
    <m/>
    <m/>
    <m/>
    <m/>
    <m/>
    <m/>
    <m/>
    <m/>
    <m/>
    <m/>
    <m/>
    <m/>
    <m/>
    <m/>
    <m/>
    <s v="INFASCO"/>
    <m/>
    <n v="97.85"/>
  </r>
  <r>
    <x v="1071"/>
    <x v="3"/>
    <x v="46"/>
    <n v="25"/>
    <n v="2150"/>
    <n v="53750"/>
    <m/>
    <m/>
    <m/>
    <m/>
    <m/>
    <m/>
    <m/>
    <m/>
    <m/>
    <m/>
    <m/>
    <m/>
    <m/>
    <m/>
    <m/>
    <m/>
    <s v="INFASCO"/>
    <m/>
    <n v="97.85"/>
  </r>
  <r>
    <x v="1071"/>
    <x v="3"/>
    <x v="10"/>
    <n v="18"/>
    <n v="450"/>
    <n v="8100"/>
    <m/>
    <m/>
    <m/>
    <m/>
    <m/>
    <m/>
    <m/>
    <m/>
    <m/>
    <m/>
    <m/>
    <m/>
    <m/>
    <m/>
    <m/>
    <m/>
    <s v="INFASCO"/>
    <m/>
    <n v="97.85"/>
  </r>
  <r>
    <x v="1071"/>
    <x v="3"/>
    <x v="10"/>
    <n v="36"/>
    <n v="450"/>
    <n v="16200"/>
    <m/>
    <m/>
    <m/>
    <m/>
    <m/>
    <m/>
    <m/>
    <m/>
    <m/>
    <m/>
    <m/>
    <m/>
    <m/>
    <m/>
    <m/>
    <m/>
    <s v="INFASCO"/>
    <m/>
    <n v="97.85"/>
  </r>
  <r>
    <x v="1071"/>
    <x v="14"/>
    <x v="5"/>
    <n v="45"/>
    <n v="1000"/>
    <n v="45000"/>
    <m/>
    <m/>
    <m/>
    <m/>
    <m/>
    <m/>
    <m/>
    <m/>
    <m/>
    <m/>
    <m/>
    <m/>
    <m/>
    <m/>
    <m/>
    <m/>
    <s v="INFASCO"/>
    <m/>
    <n v="97.85"/>
  </r>
  <r>
    <x v="1071"/>
    <x v="26"/>
    <x v="10"/>
    <n v="36"/>
    <n v="450"/>
    <n v="16200"/>
    <m/>
    <m/>
    <m/>
    <m/>
    <m/>
    <m/>
    <m/>
    <m/>
    <m/>
    <m/>
    <m/>
    <m/>
    <m/>
    <m/>
    <m/>
    <m/>
    <s v="INFASCO"/>
    <m/>
    <n v="97.85"/>
  </r>
  <r>
    <x v="1071"/>
    <x v="26"/>
    <x v="10"/>
    <n v="36"/>
    <n v="450"/>
    <n v="16200"/>
    <m/>
    <m/>
    <m/>
    <m/>
    <m/>
    <m/>
    <m/>
    <m/>
    <m/>
    <m/>
    <m/>
    <m/>
    <m/>
    <m/>
    <m/>
    <m/>
    <s v="INFASCO"/>
    <m/>
    <n v="97.85"/>
  </r>
  <r>
    <x v="1071"/>
    <x v="26"/>
    <x v="10"/>
    <n v="36"/>
    <n v="450"/>
    <n v="16200"/>
    <m/>
    <m/>
    <m/>
    <m/>
    <m/>
    <m/>
    <m/>
    <m/>
    <m/>
    <m/>
    <m/>
    <m/>
    <m/>
    <m/>
    <m/>
    <m/>
    <s v="INFASCO"/>
    <m/>
    <n v="97.85"/>
  </r>
  <r>
    <x v="1071"/>
    <x v="26"/>
    <x v="10"/>
    <n v="18"/>
    <n v="450"/>
    <n v="8100"/>
    <m/>
    <m/>
    <m/>
    <m/>
    <m/>
    <m/>
    <m/>
    <m/>
    <m/>
    <m/>
    <m/>
    <m/>
    <m/>
    <m/>
    <m/>
    <m/>
    <s v="INFASCO"/>
    <m/>
    <n v="97.85"/>
  </r>
  <r>
    <x v="1071"/>
    <x v="15"/>
    <x v="0"/>
    <n v="33"/>
    <n v="2500"/>
    <n v="82500"/>
    <m/>
    <m/>
    <m/>
    <m/>
    <m/>
    <m/>
    <m/>
    <m/>
    <m/>
    <m/>
    <m/>
    <m/>
    <m/>
    <m/>
    <m/>
    <m/>
    <s v="INFASCO"/>
    <m/>
    <n v="97.85"/>
  </r>
  <r>
    <x v="1071"/>
    <x v="0"/>
    <x v="0"/>
    <n v="36"/>
    <n v="2500"/>
    <n v="90000"/>
    <m/>
    <m/>
    <m/>
    <m/>
    <m/>
    <m/>
    <m/>
    <m/>
    <m/>
    <m/>
    <m/>
    <m/>
    <m/>
    <m/>
    <m/>
    <m/>
    <s v="INFASCO"/>
    <m/>
    <n v="97.85"/>
  </r>
  <r>
    <x v="1071"/>
    <x v="1"/>
    <x v="0"/>
    <n v="36"/>
    <n v="2500"/>
    <n v="90000"/>
    <m/>
    <m/>
    <m/>
    <m/>
    <m/>
    <m/>
    <m/>
    <m/>
    <m/>
    <m/>
    <m/>
    <m/>
    <m/>
    <m/>
    <m/>
    <m/>
    <s v="INFASCO"/>
    <m/>
    <n v="97.85"/>
  </r>
  <r>
    <x v="1071"/>
    <x v="5"/>
    <x v="76"/>
    <n v="36"/>
    <n v="4500"/>
    <n v="162000"/>
    <m/>
    <m/>
    <m/>
    <m/>
    <m/>
    <m/>
    <m/>
    <m/>
    <m/>
    <m/>
    <m/>
    <m/>
    <m/>
    <m/>
    <m/>
    <m/>
    <s v="INFASCO"/>
    <m/>
    <n v="97.85"/>
  </r>
  <r>
    <x v="1071"/>
    <x v="5"/>
    <x v="76"/>
    <n v="36"/>
    <n v="4500"/>
    <n v="162000"/>
    <m/>
    <m/>
    <m/>
    <m/>
    <m/>
    <m/>
    <m/>
    <m/>
    <m/>
    <m/>
    <m/>
    <m/>
    <m/>
    <m/>
    <m/>
    <m/>
    <s v="INFASCO"/>
    <m/>
    <n v="97.85"/>
  </r>
  <r>
    <x v="1071"/>
    <x v="5"/>
    <x v="76"/>
    <n v="6"/>
    <n v="4500"/>
    <n v="27000"/>
    <m/>
    <m/>
    <m/>
    <m/>
    <m/>
    <m/>
    <m/>
    <m/>
    <m/>
    <m/>
    <m/>
    <m/>
    <m/>
    <m/>
    <m/>
    <m/>
    <s v="INFASCO"/>
    <m/>
    <n v="97.85"/>
  </r>
  <r>
    <x v="1071"/>
    <x v="11"/>
    <x v="76"/>
    <n v="36"/>
    <n v="4500"/>
    <n v="162000"/>
    <m/>
    <m/>
    <m/>
    <m/>
    <m/>
    <m/>
    <m/>
    <m/>
    <m/>
    <m/>
    <m/>
    <m/>
    <m/>
    <m/>
    <m/>
    <m/>
    <s v="INFASCO"/>
    <m/>
    <n v="97.85"/>
  </r>
  <r>
    <x v="1072"/>
    <x v="10"/>
    <x v="93"/>
    <n v="36"/>
    <n v="250"/>
    <n v="9000"/>
    <s v="188+171"/>
    <s v="Yes"/>
    <m/>
    <s v="Yes"/>
    <m/>
    <s v="Yes"/>
    <m/>
    <s v="Yes"/>
    <m/>
    <s v="N/A"/>
    <m/>
    <s v="Yes"/>
    <m/>
    <s v="Yes"/>
    <m/>
    <s v="New"/>
    <s v="INFASCO"/>
    <n v="123.6"/>
    <n v="123.6"/>
  </r>
  <r>
    <x v="1073"/>
    <x v="8"/>
    <x v="10"/>
    <n v="18"/>
    <n v="450"/>
    <n v="8100"/>
    <s v="11+298"/>
    <s v="Yes"/>
    <m/>
    <s v="Yes"/>
    <m/>
    <s v="Yes"/>
    <m/>
    <s v="Yes"/>
    <m/>
    <s v="N/A"/>
    <m/>
    <s v="Yes"/>
    <m/>
    <s v="Yes"/>
    <m/>
    <s v="New"/>
    <s v="INFASCO"/>
    <n v="97.85"/>
    <n v="97.85"/>
  </r>
  <r>
    <x v="1074"/>
    <x v="8"/>
    <x v="10"/>
    <n v="18"/>
    <n v="450"/>
    <n v="8100"/>
    <s v="11+298"/>
    <s v="Yes"/>
    <m/>
    <s v="Yes"/>
    <m/>
    <s v="Yes"/>
    <m/>
    <s v="Yes"/>
    <m/>
    <s v="N/A"/>
    <m/>
    <s v="Yes"/>
    <m/>
    <s v="Yes"/>
    <m/>
    <s v="New"/>
    <s v="INFASCO"/>
    <n v="97.85"/>
    <n v="97.85"/>
  </r>
  <r>
    <x v="1075"/>
    <x v="10"/>
    <x v="93"/>
    <n v="13"/>
    <n v="250"/>
    <n v="3250"/>
    <s v="188+171"/>
    <s v="Yes"/>
    <m/>
    <s v="Yes"/>
    <m/>
    <s v="Yes"/>
    <m/>
    <s v="Yes"/>
    <m/>
    <s v="N/A"/>
    <m/>
    <s v="Yes"/>
    <m/>
    <s v="Yes"/>
    <m/>
    <s v="New"/>
    <s v="INFASCO"/>
    <n v="123.6"/>
    <n v="123.6"/>
  </r>
  <r>
    <x v="1076"/>
    <x v="8"/>
    <x v="10"/>
    <n v="36"/>
    <n v="450"/>
    <n v="16200"/>
    <s v="11+298"/>
    <s v="Yes"/>
    <m/>
    <s v="Yes"/>
    <m/>
    <s v="Yes"/>
    <m/>
    <s v="Yes"/>
    <m/>
    <s v="N/A"/>
    <m/>
    <s v="Yes"/>
    <m/>
    <s v="Yes"/>
    <m/>
    <s v="New"/>
    <s v="INFASCO"/>
    <n v="97.85"/>
    <n v="97.85"/>
  </r>
  <r>
    <x v="1077"/>
    <x v="10"/>
    <x v="10"/>
    <n v="36"/>
    <n v="450"/>
    <n v="16200"/>
    <s v="188+171"/>
    <s v="Yes"/>
    <m/>
    <s v="Yes"/>
    <m/>
    <s v="Yes"/>
    <m/>
    <s v="Yes"/>
    <m/>
    <s v="N/A"/>
    <m/>
    <s v="Yes"/>
    <m/>
    <s v="Yes"/>
    <m/>
    <s v="New"/>
    <s v="INFASCO"/>
    <n v="97.85"/>
    <n v="97.85"/>
  </r>
  <r>
    <x v="1078"/>
    <x v="8"/>
    <x v="10"/>
    <n v="36"/>
    <n v="450"/>
    <n v="16200"/>
    <s v="11+298"/>
    <s v="Yes"/>
    <m/>
    <s v="Yes"/>
    <m/>
    <s v="Yes"/>
    <m/>
    <s v="Yes"/>
    <m/>
    <s v="N/A"/>
    <m/>
    <s v="Yes"/>
    <m/>
    <s v="Yes"/>
    <m/>
    <s v="New"/>
    <s v="INFASCO"/>
    <n v="97.85"/>
    <n v="97.85"/>
  </r>
  <r>
    <x v="1079"/>
    <x v="10"/>
    <x v="10"/>
    <n v="36"/>
    <n v="450"/>
    <n v="16200"/>
    <s v="188+171"/>
    <s v="Yes"/>
    <m/>
    <s v="Yes"/>
    <m/>
    <s v="Yes"/>
    <m/>
    <s v="Yes"/>
    <m/>
    <s v="N/A"/>
    <m/>
    <s v="Yes"/>
    <m/>
    <s v="Yes"/>
    <m/>
    <s v="New"/>
    <s v="INFASCO"/>
    <n v="97.85"/>
    <n v="97.85"/>
  </r>
  <r>
    <x v="1080"/>
    <x v="8"/>
    <x v="10"/>
    <n v="36"/>
    <n v="450"/>
    <n v="16200"/>
    <s v="11+298"/>
    <s v="Yes"/>
    <m/>
    <s v="Yes"/>
    <m/>
    <s v="Yes"/>
    <m/>
    <s v="Yes"/>
    <m/>
    <s v="N/A"/>
    <m/>
    <s v="Yes"/>
    <m/>
    <s v="Yes"/>
    <m/>
    <s v="New"/>
    <s v="INFASCO"/>
    <n v="97.85"/>
    <n v="97.85"/>
  </r>
  <r>
    <x v="1081"/>
    <x v="10"/>
    <x v="10"/>
    <n v="36"/>
    <n v="450"/>
    <n v="16200"/>
    <s v="171+188"/>
    <s v="Yes"/>
    <m/>
    <s v="Yes"/>
    <m/>
    <s v="Yes"/>
    <m/>
    <s v="Yes"/>
    <m/>
    <s v="N/A"/>
    <m/>
    <s v="Yes"/>
    <m/>
    <s v="Yes"/>
    <m/>
    <s v="New"/>
    <s v="INFASCO"/>
    <n v="97.85"/>
    <n v="97.85"/>
  </r>
  <r>
    <x v="1082"/>
    <x v="8"/>
    <x v="10"/>
    <n v="36"/>
    <n v="450"/>
    <n v="16200"/>
    <s v="11+298"/>
    <s v="Yes"/>
    <m/>
    <s v="Yes"/>
    <m/>
    <s v="Yes"/>
    <m/>
    <s v="Yes"/>
    <m/>
    <s v="N/A"/>
    <m/>
    <s v="Yes"/>
    <m/>
    <s v="Yes"/>
    <m/>
    <s v="New"/>
    <s v="INFASCO"/>
    <n v="97.85"/>
    <n v="97.85"/>
  </r>
  <r>
    <x v="1083"/>
    <x v="8"/>
    <x v="10"/>
    <n v="35"/>
    <n v="450"/>
    <n v="15750"/>
    <s v="11+298"/>
    <s v="Yes"/>
    <m/>
    <s v="Yes"/>
    <m/>
    <s v="Yes"/>
    <m/>
    <s v="Yes"/>
    <m/>
    <s v="N/A"/>
    <m/>
    <s v="Yes"/>
    <m/>
    <s v="Yes"/>
    <m/>
    <s v="New"/>
    <s v="INFASCO"/>
    <n v="97.85"/>
    <n v="97.85"/>
  </r>
  <r>
    <x v="1084"/>
    <x v="10"/>
    <x v="10"/>
    <n v="36"/>
    <n v="450"/>
    <n v="16200"/>
    <s v="188+171"/>
    <s v="Yes"/>
    <m/>
    <s v="Yes"/>
    <m/>
    <s v="Yes"/>
    <m/>
    <s v="Yes"/>
    <m/>
    <s v="N/A"/>
    <m/>
    <s v="Yes"/>
    <m/>
    <s v="Yes"/>
    <m/>
    <s v="New"/>
    <s v="INFASCO"/>
    <n v="97.85"/>
    <n v="97.85"/>
  </r>
  <r>
    <x v="1085"/>
    <x v="8"/>
    <x v="10"/>
    <n v="36"/>
    <n v="450"/>
    <n v="16200"/>
    <s v="11+298"/>
    <s v="Yes"/>
    <m/>
    <s v="Yes"/>
    <m/>
    <s v="Yes"/>
    <m/>
    <s v="Yes"/>
    <m/>
    <s v="N/A"/>
    <m/>
    <s v="Yes"/>
    <m/>
    <s v="Yes"/>
    <m/>
    <s v="New"/>
    <s v="INFASCO"/>
    <n v="97.85"/>
    <n v="97.85"/>
  </r>
  <r>
    <x v="1086"/>
    <x v="10"/>
    <x v="10"/>
    <n v="36"/>
    <n v="450"/>
    <n v="16200"/>
    <n v="298"/>
    <s v="Yes"/>
    <m/>
    <s v="Yes"/>
    <m/>
    <s v="Yes"/>
    <m/>
    <s v="Yes"/>
    <m/>
    <s v="N/A"/>
    <m/>
    <s v="Yes"/>
    <m/>
    <s v="Yes"/>
    <m/>
    <s v="New"/>
    <s v="INFASCO"/>
    <n v="97.85"/>
    <n v="97.85"/>
  </r>
  <r>
    <x v="1087"/>
    <x v="17"/>
    <x v="104"/>
    <n v="21"/>
    <n v="550"/>
    <n v="11550"/>
    <n v="187"/>
    <s v="Yes"/>
    <m/>
    <s v="Yes"/>
    <m/>
    <s v="Yes"/>
    <m/>
    <s v="Yes"/>
    <m/>
    <s v="N/A"/>
    <m/>
    <s v="Yes"/>
    <m/>
    <s v="Yes"/>
    <m/>
    <s v="New"/>
    <s v="INFASCO"/>
    <n v="123.6"/>
    <n v="123.6"/>
  </r>
  <r>
    <x v="1088"/>
    <x v="10"/>
    <x v="10"/>
    <n v="36"/>
    <n v="450"/>
    <n v="16200"/>
    <s v="187+298"/>
    <s v="Yes"/>
    <m/>
    <s v="Yes"/>
    <m/>
    <s v="Yes"/>
    <m/>
    <s v="Yes"/>
    <m/>
    <s v="N/A"/>
    <m/>
    <s v="Yes"/>
    <m/>
    <s v="Yes"/>
    <m/>
    <s v="New"/>
    <s v="INFASCO"/>
    <n v="97.85"/>
    <n v="97.85"/>
  </r>
  <r>
    <x v="1089"/>
    <x v="10"/>
    <x v="10"/>
    <n v="8"/>
    <n v="450"/>
    <n v="3600"/>
    <s v="187+298"/>
    <s v="Yes"/>
    <m/>
    <s v="Yes"/>
    <m/>
    <s v="Yes"/>
    <m/>
    <s v="Yes"/>
    <m/>
    <s v="N/A"/>
    <m/>
    <s v="Yes"/>
    <m/>
    <s v="Yes"/>
    <m/>
    <s v="New"/>
    <s v="INFASCO"/>
    <n v="97.85"/>
    <n v="97.85"/>
  </r>
  <r>
    <x v="1090"/>
    <x v="8"/>
    <x v="10"/>
    <n v="36"/>
    <n v="450"/>
    <n v="16200"/>
    <s v="011+190"/>
    <s v="Yes"/>
    <m/>
    <s v="Yes"/>
    <m/>
    <s v="Yes"/>
    <m/>
    <s v="Yes"/>
    <m/>
    <s v="N/A"/>
    <m/>
    <s v="Yes"/>
    <m/>
    <s v="Yes"/>
    <m/>
    <s v="New"/>
    <s v="INFASCO"/>
    <n v="97.85"/>
    <n v="97.85"/>
  </r>
  <r>
    <x v="1091"/>
    <x v="8"/>
    <x v="10"/>
    <n v="36"/>
    <n v="450"/>
    <n v="16200"/>
    <s v="011+190"/>
    <s v="Yes"/>
    <m/>
    <s v="Yes"/>
    <m/>
    <s v="Yes"/>
    <m/>
    <s v="Yes"/>
    <m/>
    <s v="N/A"/>
    <m/>
    <s v="Yes"/>
    <m/>
    <s v="Yes"/>
    <m/>
    <s v="New"/>
    <s v="INFASCO"/>
    <n v="97.85"/>
    <n v="97.85"/>
  </r>
  <r>
    <x v="1092"/>
    <x v="8"/>
    <x v="49"/>
    <n v="27"/>
    <n v="1400"/>
    <n v="37800"/>
    <s v="011+190"/>
    <s v="Yes"/>
    <m/>
    <s v="Yes"/>
    <m/>
    <s v="Yes"/>
    <m/>
    <s v="Yes"/>
    <m/>
    <s v="N/A"/>
    <m/>
    <s v="Yes"/>
    <m/>
    <s v="Yes"/>
    <m/>
    <s v="New"/>
    <s v="INFASCO"/>
    <n v="97.85"/>
    <n v="97.85"/>
  </r>
  <r>
    <x v="1093"/>
    <x v="8"/>
    <x v="49"/>
    <n v="35"/>
    <n v="1400"/>
    <n v="49000"/>
    <s v="011+190"/>
    <s v="Yes"/>
    <m/>
    <s v="Yes"/>
    <m/>
    <s v="Yes"/>
    <m/>
    <s v="Yes"/>
    <m/>
    <s v="N/A"/>
    <m/>
    <s v="Yes"/>
    <m/>
    <s v="Yes"/>
    <m/>
    <s v="New"/>
    <s v="INFASCO"/>
    <n v="97.85"/>
    <n v="97.85"/>
  </r>
  <r>
    <x v="1094"/>
    <x v="10"/>
    <x v="49"/>
    <n v="36"/>
    <n v="1400"/>
    <n v="50400"/>
    <s v="187+298"/>
    <s v="Yes"/>
    <m/>
    <s v="Yes"/>
    <m/>
    <s v="Yes"/>
    <m/>
    <s v="Yes"/>
    <m/>
    <s v="N/A"/>
    <m/>
    <s v="Yes"/>
    <m/>
    <s v="Yes"/>
    <m/>
    <s v="New"/>
    <s v="INFASCO"/>
    <n v="97.85"/>
    <n v="97.85"/>
  </r>
  <r>
    <x v="1095"/>
    <x v="10"/>
    <x v="49"/>
    <n v="36"/>
    <n v="1400"/>
    <n v="50400"/>
    <s v="187+298"/>
    <s v="Yes"/>
    <m/>
    <s v="Yes"/>
    <m/>
    <s v="Yes"/>
    <m/>
    <s v="Yes"/>
    <m/>
    <s v="N/A"/>
    <m/>
    <s v="Yes"/>
    <m/>
    <s v="Yes"/>
    <m/>
    <s v="New"/>
    <s v="INFASCO"/>
    <n v="97.85"/>
    <n v="97.85"/>
  </r>
  <r>
    <x v="1096"/>
    <x v="8"/>
    <x v="49"/>
    <n v="33"/>
    <n v="1400"/>
    <n v="46200"/>
    <s v="011+190"/>
    <s v="Yes"/>
    <m/>
    <s v="Yes"/>
    <m/>
    <s v="Yes"/>
    <m/>
    <s v="Yes"/>
    <m/>
    <s v="N/A"/>
    <m/>
    <s v="Yes"/>
    <m/>
    <s v="Yes"/>
    <m/>
    <s v="New"/>
    <s v="INFASCO"/>
    <n v="97.85"/>
    <n v="97.85"/>
  </r>
  <r>
    <x v="1097"/>
    <x v="10"/>
    <x v="49"/>
    <n v="37"/>
    <n v="1400"/>
    <n v="51800"/>
    <s v="187+298"/>
    <s v="Yes"/>
    <m/>
    <s v="Yes"/>
    <m/>
    <s v="Yes"/>
    <m/>
    <s v="Yes"/>
    <m/>
    <s v="N/A"/>
    <m/>
    <s v="Yes"/>
    <m/>
    <s v="Yes"/>
    <m/>
    <s v="New"/>
    <s v="INFASCO"/>
    <n v="97.85"/>
    <n v="97.85"/>
  </r>
  <r>
    <x v="1098"/>
    <x v="8"/>
    <x v="171"/>
    <n v="36"/>
    <n v="1100"/>
    <n v="39600"/>
    <s v="011+190"/>
    <s v="Yes"/>
    <m/>
    <s v="Yes"/>
    <m/>
    <s v="Yes"/>
    <m/>
    <s v="Yes"/>
    <m/>
    <s v="N/A"/>
    <m/>
    <s v="Yes"/>
    <m/>
    <s v="Yes"/>
    <m/>
    <s v="New"/>
    <s v="INFASCO"/>
    <n v="97.85"/>
    <n v="97.85"/>
  </r>
  <r>
    <x v="1099"/>
    <x v="8"/>
    <x v="36"/>
    <n v="31"/>
    <n v="4000"/>
    <n v="124000"/>
    <s v="011+190"/>
    <s v="Yes"/>
    <m/>
    <s v="Yes"/>
    <m/>
    <s v="Yes"/>
    <m/>
    <s v="Yes"/>
    <m/>
    <s v="N/A"/>
    <m/>
    <s v="Yes"/>
    <m/>
    <s v="Yes"/>
    <m/>
    <s v="New"/>
    <s v="INFASCO"/>
    <n v="123.6"/>
    <n v="123.6"/>
  </r>
  <r>
    <x v="1100"/>
    <x v="10"/>
    <x v="36"/>
    <n v="36"/>
    <n v="4000"/>
    <n v="144000"/>
    <s v="187+298"/>
    <s v="Yes"/>
    <m/>
    <s v="Yes"/>
    <m/>
    <s v="Yes"/>
    <m/>
    <s v="Yes"/>
    <m/>
    <s v="N/A"/>
    <m/>
    <s v="Yes"/>
    <m/>
    <s v="Yes"/>
    <m/>
    <s v="New"/>
    <s v="INFASCO"/>
    <n v="123.6"/>
    <n v="123.6"/>
  </r>
  <r>
    <x v="1101"/>
    <x v="18"/>
    <x v="0"/>
    <n v="24"/>
    <n v="2500"/>
    <n v="60000"/>
    <n v="185"/>
    <s v="Yes"/>
    <m/>
    <s v="Yes"/>
    <m/>
    <s v="Yes"/>
    <m/>
    <s v="Yes"/>
    <m/>
    <s v="N/A"/>
    <m/>
    <s v="Yes"/>
    <m/>
    <s v="Yes"/>
    <m/>
    <s v="New"/>
    <s v="INFASCO"/>
    <n v="97.85"/>
    <n v="97.85"/>
  </r>
  <r>
    <x v="1102"/>
    <x v="8"/>
    <x v="45"/>
    <n v="1"/>
    <n v="1850"/>
    <n v="1850"/>
    <s v="11+190"/>
    <s v="Yes"/>
    <m/>
    <s v="Yes"/>
    <m/>
    <s v="Yes"/>
    <m/>
    <s v="Yes"/>
    <m/>
    <s v="N/A"/>
    <m/>
    <s v="Yes"/>
    <m/>
    <s v="Yes"/>
    <m/>
    <s v="New"/>
    <s v="INFASCO"/>
    <n v="226.6"/>
    <n v="226.6"/>
  </r>
  <r>
    <x v="1103"/>
    <x v="8"/>
    <x v="36"/>
    <n v="36"/>
    <n v="4000"/>
    <n v="144000"/>
    <s v="11+190"/>
    <s v="Yes"/>
    <m/>
    <s v="Yes"/>
    <m/>
    <s v="Yes"/>
    <m/>
    <s v="Yes"/>
    <m/>
    <s v="N/A"/>
    <m/>
    <s v="Yes"/>
    <m/>
    <s v="Yes"/>
    <m/>
    <s v="New"/>
    <s v="INFASCO"/>
    <n v="123.6"/>
    <n v="123.6"/>
  </r>
  <r>
    <x v="1104"/>
    <x v="18"/>
    <x v="0"/>
    <n v="19"/>
    <n v="2500"/>
    <n v="47500"/>
    <n v="185"/>
    <s v="Yes"/>
    <m/>
    <s v="Yes"/>
    <m/>
    <s v="Yes"/>
    <m/>
    <s v="Yes"/>
    <m/>
    <s v="N/A"/>
    <m/>
    <s v="Yes"/>
    <m/>
    <s v="Yes"/>
    <m/>
    <s v="New"/>
    <s v="INFASCO"/>
    <n v="97.85"/>
    <n v="97.85"/>
  </r>
  <r>
    <x v="1104"/>
    <x v="3"/>
    <x v="10"/>
    <n v="42"/>
    <n v="450"/>
    <n v="18900"/>
    <n v="156"/>
    <m/>
    <m/>
    <m/>
    <m/>
    <m/>
    <m/>
    <m/>
    <m/>
    <m/>
    <m/>
    <m/>
    <m/>
    <m/>
    <m/>
    <m/>
    <s v="INFASCO"/>
    <m/>
    <n v="97.85"/>
  </r>
  <r>
    <x v="1104"/>
    <x v="13"/>
    <x v="5"/>
    <n v="42"/>
    <n v="1000"/>
    <n v="42000"/>
    <n v="156"/>
    <m/>
    <m/>
    <m/>
    <m/>
    <m/>
    <m/>
    <m/>
    <m/>
    <m/>
    <m/>
    <m/>
    <m/>
    <m/>
    <m/>
    <m/>
    <s v="INFASCO"/>
    <m/>
    <n v="97.85"/>
  </r>
  <r>
    <x v="1104"/>
    <x v="26"/>
    <x v="10"/>
    <n v="36"/>
    <n v="150"/>
    <n v="5400"/>
    <n v="156"/>
    <m/>
    <m/>
    <m/>
    <m/>
    <m/>
    <m/>
    <m/>
    <m/>
    <m/>
    <m/>
    <m/>
    <m/>
    <m/>
    <m/>
    <m/>
    <s v="INFASCO"/>
    <m/>
    <n v="97.85"/>
  </r>
  <r>
    <x v="1104"/>
    <x v="26"/>
    <x v="10"/>
    <n v="36"/>
    <n v="450"/>
    <n v="16200"/>
    <n v="156"/>
    <m/>
    <m/>
    <m/>
    <m/>
    <m/>
    <m/>
    <m/>
    <m/>
    <m/>
    <m/>
    <m/>
    <m/>
    <m/>
    <m/>
    <m/>
    <s v="INFASCO"/>
    <m/>
    <n v="97.85"/>
  </r>
  <r>
    <x v="1104"/>
    <x v="26"/>
    <x v="10"/>
    <n v="36"/>
    <n v="450"/>
    <n v="16200"/>
    <n v="156"/>
    <m/>
    <m/>
    <m/>
    <m/>
    <m/>
    <m/>
    <m/>
    <m/>
    <m/>
    <m/>
    <m/>
    <m/>
    <m/>
    <m/>
    <m/>
    <s v="INFASCO"/>
    <m/>
    <n v="97.85"/>
  </r>
  <r>
    <x v="1104"/>
    <x v="26"/>
    <x v="10"/>
    <n v="36"/>
    <n v="450"/>
    <n v="16200"/>
    <n v="156"/>
    <m/>
    <m/>
    <m/>
    <m/>
    <m/>
    <m/>
    <m/>
    <m/>
    <m/>
    <m/>
    <m/>
    <m/>
    <m/>
    <m/>
    <m/>
    <s v="INFASCO"/>
    <m/>
    <n v="97.85"/>
  </r>
  <r>
    <x v="1104"/>
    <x v="14"/>
    <x v="5"/>
    <n v="36"/>
    <n v="1000"/>
    <n v="36000"/>
    <n v="156"/>
    <m/>
    <m/>
    <m/>
    <m/>
    <m/>
    <m/>
    <m/>
    <m/>
    <m/>
    <m/>
    <m/>
    <m/>
    <m/>
    <m/>
    <m/>
    <s v="INFASCO"/>
    <m/>
    <n v="97.85"/>
  </r>
  <r>
    <x v="1104"/>
    <x v="18"/>
    <x v="0"/>
    <n v="9"/>
    <n v="2500"/>
    <n v="22500"/>
    <n v="185"/>
    <m/>
    <m/>
    <m/>
    <m/>
    <m/>
    <m/>
    <m/>
    <m/>
    <m/>
    <m/>
    <m/>
    <m/>
    <m/>
    <m/>
    <m/>
    <s v="INFASCO"/>
    <m/>
    <n v="97.85"/>
  </r>
  <r>
    <x v="1104"/>
    <x v="15"/>
    <x v="0"/>
    <n v="33"/>
    <n v="2500"/>
    <n v="82500"/>
    <n v="136"/>
    <m/>
    <m/>
    <m/>
    <m/>
    <m/>
    <m/>
    <m/>
    <m/>
    <m/>
    <m/>
    <m/>
    <m/>
    <m/>
    <m/>
    <m/>
    <s v="INFASCO"/>
    <m/>
    <n v="97.85"/>
  </r>
  <r>
    <x v="1104"/>
    <x v="12"/>
    <x v="2"/>
    <n v="36"/>
    <n v="2700"/>
    <n v="97200"/>
    <n v="136"/>
    <m/>
    <m/>
    <m/>
    <m/>
    <m/>
    <m/>
    <m/>
    <m/>
    <m/>
    <m/>
    <m/>
    <m/>
    <m/>
    <m/>
    <m/>
    <s v="INFASCO"/>
    <m/>
    <n v="97.85"/>
  </r>
  <r>
    <x v="1104"/>
    <x v="5"/>
    <x v="157"/>
    <n v="36"/>
    <n v="2300"/>
    <n v="82800"/>
    <n v="136"/>
    <m/>
    <m/>
    <m/>
    <m/>
    <m/>
    <m/>
    <m/>
    <m/>
    <m/>
    <m/>
    <m/>
    <m/>
    <m/>
    <m/>
    <m/>
    <s v="INFASCO"/>
    <m/>
    <n v="97.85"/>
  </r>
  <r>
    <x v="1104"/>
    <x v="11"/>
    <x v="76"/>
    <n v="28"/>
    <n v="4500"/>
    <n v="126000"/>
    <n v="136"/>
    <m/>
    <m/>
    <m/>
    <m/>
    <m/>
    <m/>
    <m/>
    <m/>
    <m/>
    <m/>
    <m/>
    <m/>
    <m/>
    <m/>
    <m/>
    <s v="INFASCO"/>
    <m/>
    <n v="97.85"/>
  </r>
  <r>
    <x v="1104"/>
    <x v="11"/>
    <x v="46"/>
    <n v="36"/>
    <n v="2150"/>
    <n v="77400"/>
    <n v="136"/>
    <m/>
    <m/>
    <m/>
    <m/>
    <m/>
    <m/>
    <m/>
    <m/>
    <m/>
    <m/>
    <m/>
    <m/>
    <m/>
    <m/>
    <m/>
    <s v="INFASCO"/>
    <m/>
    <n v="97.85"/>
  </r>
  <r>
    <x v="1104"/>
    <x v="7"/>
    <x v="5"/>
    <n v="36"/>
    <n v="1000"/>
    <n v="36000"/>
    <n v="38"/>
    <m/>
    <m/>
    <m/>
    <m/>
    <m/>
    <m/>
    <m/>
    <m/>
    <m/>
    <m/>
    <m/>
    <m/>
    <m/>
    <m/>
    <m/>
    <s v="INFASCO"/>
    <m/>
    <n v="97.85"/>
  </r>
  <r>
    <x v="1104"/>
    <x v="7"/>
    <x v="5"/>
    <n v="36"/>
    <n v="1000"/>
    <n v="36000"/>
    <n v="38"/>
    <m/>
    <m/>
    <m/>
    <m/>
    <m/>
    <m/>
    <m/>
    <m/>
    <m/>
    <m/>
    <m/>
    <m/>
    <m/>
    <m/>
    <m/>
    <s v="INFASCO"/>
    <m/>
    <n v="97.85"/>
  </r>
  <r>
    <x v="1104"/>
    <x v="2"/>
    <x v="108"/>
    <n v="36"/>
    <n v="3500"/>
    <n v="126000"/>
    <n v="38"/>
    <m/>
    <m/>
    <m/>
    <m/>
    <m/>
    <m/>
    <m/>
    <m/>
    <m/>
    <m/>
    <m/>
    <m/>
    <m/>
    <m/>
    <m/>
    <s v="INFASCO"/>
    <m/>
    <n v="97.85"/>
  </r>
  <r>
    <x v="1104"/>
    <x v="4"/>
    <x v="5"/>
    <n v="36"/>
    <n v="1000"/>
    <n v="36000"/>
    <n v="38"/>
    <m/>
    <m/>
    <m/>
    <m/>
    <m/>
    <m/>
    <m/>
    <m/>
    <m/>
    <m/>
    <m/>
    <m/>
    <m/>
    <m/>
    <m/>
    <s v="INFASCO"/>
    <m/>
    <n v="97.85"/>
  </r>
  <r>
    <x v="1104"/>
    <x v="4"/>
    <x v="5"/>
    <n v="22"/>
    <n v="1000"/>
    <n v="22000"/>
    <n v="38"/>
    <m/>
    <m/>
    <m/>
    <m/>
    <m/>
    <m/>
    <m/>
    <m/>
    <m/>
    <m/>
    <m/>
    <m/>
    <m/>
    <m/>
    <m/>
    <s v="INFASCO"/>
    <m/>
    <n v="97.85"/>
  </r>
  <r>
    <x v="1104"/>
    <x v="16"/>
    <x v="5"/>
    <n v="36"/>
    <n v="1000"/>
    <n v="36000"/>
    <n v="38"/>
    <m/>
    <m/>
    <m/>
    <m/>
    <m/>
    <m/>
    <m/>
    <m/>
    <m/>
    <m/>
    <m/>
    <m/>
    <m/>
    <m/>
    <m/>
    <s v="INFASCO"/>
    <m/>
    <n v="97.85"/>
  </r>
  <r>
    <x v="1104"/>
    <x v="6"/>
    <x v="55"/>
    <n v="36"/>
    <n v="400"/>
    <n v="14400"/>
    <n v="38"/>
    <m/>
    <m/>
    <m/>
    <m/>
    <m/>
    <m/>
    <m/>
    <m/>
    <m/>
    <m/>
    <m/>
    <m/>
    <m/>
    <m/>
    <m/>
    <s v="INFASCO"/>
    <m/>
    <n v="97.85"/>
  </r>
  <r>
    <x v="1104"/>
    <x v="6"/>
    <x v="55"/>
    <n v="36"/>
    <n v="400"/>
    <n v="14400"/>
    <n v="38"/>
    <m/>
    <m/>
    <m/>
    <m/>
    <m/>
    <m/>
    <m/>
    <m/>
    <m/>
    <m/>
    <m/>
    <m/>
    <m/>
    <m/>
    <m/>
    <s v="INFASCO"/>
    <m/>
    <n v="97.85"/>
  </r>
  <r>
    <x v="1104"/>
    <x v="6"/>
    <x v="55"/>
    <n v="36"/>
    <n v="400"/>
    <n v="14400"/>
    <n v="38"/>
    <m/>
    <m/>
    <m/>
    <m/>
    <m/>
    <m/>
    <m/>
    <m/>
    <m/>
    <m/>
    <m/>
    <m/>
    <m/>
    <m/>
    <m/>
    <s v="INFASCO"/>
    <m/>
    <n v="97.85"/>
  </r>
  <r>
    <x v="1104"/>
    <x v="6"/>
    <x v="55"/>
    <n v="36"/>
    <n v="400"/>
    <n v="14400"/>
    <n v="38"/>
    <m/>
    <m/>
    <m/>
    <m/>
    <m/>
    <m/>
    <m/>
    <m/>
    <m/>
    <m/>
    <m/>
    <m/>
    <m/>
    <m/>
    <m/>
    <s v="INFASCO"/>
    <m/>
    <n v="97.85"/>
  </r>
  <r>
    <x v="1104"/>
    <x v="6"/>
    <x v="55"/>
    <n v="35"/>
    <n v="400"/>
    <n v="14000"/>
    <n v="38"/>
    <m/>
    <m/>
    <m/>
    <m/>
    <m/>
    <m/>
    <m/>
    <m/>
    <m/>
    <m/>
    <m/>
    <m/>
    <m/>
    <m/>
    <m/>
    <s v="INFASCO"/>
    <m/>
    <n v="97.85"/>
  </r>
  <r>
    <x v="1105"/>
    <x v="10"/>
    <x v="36"/>
    <n v="24"/>
    <n v="4000"/>
    <n v="96000"/>
    <s v="187+298"/>
    <s v="Yes"/>
    <m/>
    <s v="Yes"/>
    <m/>
    <s v="Yes"/>
    <m/>
    <s v="Yes"/>
    <m/>
    <s v="N/A"/>
    <m/>
    <s v="Yes"/>
    <m/>
    <s v="Yes"/>
    <m/>
    <s v="New"/>
    <s v="INFASCO"/>
    <n v="123.6"/>
    <n v="123.6"/>
  </r>
  <r>
    <x v="1106"/>
    <x v="10"/>
    <x v="36"/>
    <n v="30"/>
    <n v="4000"/>
    <n v="120000"/>
    <s v="187+298"/>
    <s v="Yes"/>
    <m/>
    <s v="Yes"/>
    <m/>
    <s v="Yes"/>
    <m/>
    <s v="Yes"/>
    <m/>
    <s v="N/A"/>
    <m/>
    <s v="Yes"/>
    <m/>
    <s v="Yes"/>
    <m/>
    <s v="New"/>
    <s v="INFASCO"/>
    <n v="123.6"/>
    <n v="123.6"/>
  </r>
  <r>
    <x v="1107"/>
    <x v="8"/>
    <x v="36"/>
    <n v="23"/>
    <n v="4000"/>
    <n v="92000"/>
    <s v="11+298"/>
    <s v="Yes"/>
    <m/>
    <s v="Yes"/>
    <m/>
    <s v="Yes"/>
    <m/>
    <s v="Yes"/>
    <m/>
    <s v="N/A"/>
    <m/>
    <s v="Yes"/>
    <m/>
    <s v="Yes"/>
    <m/>
    <s v="New"/>
    <s v="INFASCO"/>
    <n v="123.6"/>
    <n v="123.6"/>
  </r>
  <r>
    <x v="1108"/>
    <x v="8"/>
    <x v="95"/>
    <n v="17"/>
    <n v="100"/>
    <n v="1700"/>
    <s v="11+298"/>
    <s v="Yes"/>
    <m/>
    <s v="Yes"/>
    <m/>
    <s v="Yes"/>
    <m/>
    <s v="Yes"/>
    <m/>
    <s v="N/A"/>
    <m/>
    <s v="Yes"/>
    <m/>
    <s v="Yes"/>
    <m/>
    <s v="New"/>
    <s v="INFASCO"/>
    <n v="123.6"/>
    <n v="123.6"/>
  </r>
  <r>
    <x v="1109"/>
    <x v="8"/>
    <x v="95"/>
    <n v="36"/>
    <n v="100"/>
    <n v="3600"/>
    <s v="11+298"/>
    <s v="Yes"/>
    <m/>
    <s v="Yes"/>
    <m/>
    <s v="Yes"/>
    <m/>
    <s v="Yes"/>
    <m/>
    <s v="N/A"/>
    <m/>
    <s v="Yes"/>
    <m/>
    <s v="Yes"/>
    <m/>
    <s v="New"/>
    <s v="INFASCO"/>
    <n v="123.6"/>
    <n v="123.6"/>
  </r>
  <r>
    <x v="1110"/>
    <x v="8"/>
    <x v="95"/>
    <n v="31"/>
    <n v="100"/>
    <n v="3100"/>
    <s v="11+298"/>
    <s v="Yes"/>
    <m/>
    <s v="Yes"/>
    <m/>
    <s v="Yes"/>
    <m/>
    <s v="Yes"/>
    <m/>
    <s v="N/A"/>
    <m/>
    <s v="Yes"/>
    <m/>
    <s v="Yes"/>
    <m/>
    <s v="New"/>
    <s v="INFASCO"/>
    <n v="123.6"/>
    <n v="123.6"/>
  </r>
  <r>
    <x v="1111"/>
    <x v="8"/>
    <x v="125"/>
    <n v="1"/>
    <n v="48272"/>
    <n v="48272"/>
    <s v="11+298"/>
    <s v="Yes"/>
    <m/>
    <s v="Yes"/>
    <m/>
    <s v="Yes"/>
    <m/>
    <s v="Yes"/>
    <m/>
    <s v="N/A"/>
    <m/>
    <s v="Yes"/>
    <m/>
    <s v="Yes"/>
    <m/>
    <s v="New"/>
    <s v="INFASCO"/>
    <n v="47.38"/>
    <n v="47.38"/>
  </r>
  <r>
    <x v="1112"/>
    <x v="17"/>
    <x v="104"/>
    <n v="7"/>
    <n v="550"/>
    <n v="3850"/>
    <s v="187+190"/>
    <s v="Yes"/>
    <m/>
    <s v="Yes"/>
    <m/>
    <s v="Yes"/>
    <m/>
    <s v="Yes"/>
    <m/>
    <s v="N/A"/>
    <m/>
    <s v="Yes"/>
    <m/>
    <s v="Yes"/>
    <m/>
    <s v="New"/>
    <s v="INFASCO"/>
    <n v="123.6"/>
    <n v="123.6"/>
  </r>
  <r>
    <x v="1113"/>
    <x v="18"/>
    <x v="0"/>
    <n v="36"/>
    <n v="2500"/>
    <n v="90000"/>
    <n v="69"/>
    <s v="Yes"/>
    <m/>
    <s v="Yes"/>
    <m/>
    <s v="Yes"/>
    <m/>
    <s v="Yes"/>
    <m/>
    <s v="N/A"/>
    <m/>
    <s v="Yes"/>
    <m/>
    <s v="Yes"/>
    <m/>
    <s v="New"/>
    <s v="INFASCO"/>
    <n v="97.85"/>
    <n v="97.85"/>
  </r>
  <r>
    <x v="1114"/>
    <x v="18"/>
    <x v="0"/>
    <n v="36"/>
    <n v="2500"/>
    <n v="90000"/>
    <n v="69"/>
    <s v="Yes"/>
    <m/>
    <s v="Yes"/>
    <m/>
    <s v="Yes"/>
    <m/>
    <s v="Yes"/>
    <m/>
    <s v="N/A"/>
    <m/>
    <s v="Yes"/>
    <m/>
    <s v="Yes"/>
    <m/>
    <s v="New"/>
    <s v="INFASCO"/>
    <n v="97.85"/>
    <n v="97.85"/>
  </r>
  <r>
    <x v="1115"/>
    <x v="10"/>
    <x v="36"/>
    <n v="36"/>
    <n v="4000"/>
    <n v="144000"/>
    <n v="168"/>
    <s v="Yes"/>
    <m/>
    <s v="Yes"/>
    <m/>
    <s v="Yes"/>
    <m/>
    <s v="Yes"/>
    <m/>
    <s v="N/A"/>
    <m/>
    <s v="Yes"/>
    <m/>
    <s v="Yes"/>
    <m/>
    <s v="New"/>
    <s v="INFASCO"/>
    <n v="123.6"/>
    <n v="123.6"/>
  </r>
  <r>
    <x v="1116"/>
    <x v="8"/>
    <x v="125"/>
    <n v="1"/>
    <n v="71760"/>
    <n v="71760"/>
    <s v="11+298"/>
    <s v="Yes"/>
    <m/>
    <s v="Yes"/>
    <m/>
    <s v="Yes"/>
    <m/>
    <s v="Yes"/>
    <m/>
    <s v="N/A"/>
    <m/>
    <s v="Yes"/>
    <m/>
    <s v="Yes"/>
    <m/>
    <s v="New"/>
    <s v="INFASCO"/>
    <n v="47.38"/>
    <n v="47.38"/>
  </r>
  <r>
    <x v="1117"/>
    <x v="8"/>
    <x v="125"/>
    <n v="1"/>
    <n v="56346"/>
    <n v="56346"/>
    <s v="11+298"/>
    <s v="Yes"/>
    <m/>
    <s v="Yes"/>
    <m/>
    <s v="Yes"/>
    <m/>
    <s v="Yes"/>
    <m/>
    <s v="N/A"/>
    <m/>
    <s v="Yes"/>
    <m/>
    <s v="Yes"/>
    <m/>
    <s v="New"/>
    <s v="INFASCO"/>
    <n v="47.38"/>
    <n v="47.38"/>
  </r>
  <r>
    <x v="1118"/>
    <x v="8"/>
    <x v="125"/>
    <n v="1"/>
    <n v="73182"/>
    <n v="73182"/>
    <s v="11+298"/>
    <s v="Yes"/>
    <m/>
    <s v="Yes"/>
    <m/>
    <s v="Yes"/>
    <m/>
    <s v="Yes"/>
    <m/>
    <s v="N/A"/>
    <m/>
    <s v="Yes"/>
    <m/>
    <s v="Yes"/>
    <m/>
    <s v="New"/>
    <s v="INFASCO"/>
    <n v="47.38"/>
    <n v="47.38"/>
  </r>
  <r>
    <x v="1119"/>
    <x v="18"/>
    <x v="0"/>
    <n v="36"/>
    <n v="2500"/>
    <n v="90000"/>
    <n v="69"/>
    <s v="Yes"/>
    <m/>
    <s v="Yes"/>
    <m/>
    <s v="Yes"/>
    <m/>
    <s v="Yes"/>
    <m/>
    <s v="N/A"/>
    <m/>
    <s v="Yes"/>
    <m/>
    <s v="Yes"/>
    <m/>
    <s v="New"/>
    <s v="INFASCO"/>
    <n v="97.85"/>
    <n v="97.85"/>
  </r>
  <r>
    <x v="1120"/>
    <x v="10"/>
    <x v="36"/>
    <n v="33"/>
    <n v="4000"/>
    <n v="132000"/>
    <n v="168"/>
    <s v="Yes"/>
    <m/>
    <s v="Yes"/>
    <m/>
    <s v="Yes"/>
    <m/>
    <s v="Yes"/>
    <m/>
    <s v="N/A"/>
    <m/>
    <s v="Yes"/>
    <m/>
    <s v="Yes"/>
    <m/>
    <s v="New"/>
    <s v="INFASCO"/>
    <n v="123.6"/>
    <n v="123.6"/>
  </r>
  <r>
    <x v="1121"/>
    <x v="10"/>
    <x v="43"/>
    <n v="33"/>
    <n v="200"/>
    <n v="6600"/>
    <n v="168"/>
    <s v="Yes"/>
    <m/>
    <s v="Yes"/>
    <m/>
    <s v="Yes"/>
    <m/>
    <s v="Yes"/>
    <m/>
    <s v="N/A"/>
    <m/>
    <s v="Yes"/>
    <m/>
    <s v="Yes"/>
    <m/>
    <s v="New"/>
    <s v="INFASCO"/>
    <n v="97.85"/>
    <n v="97.85"/>
  </r>
  <r>
    <x v="1122"/>
    <x v="8"/>
    <x v="43"/>
    <n v="34"/>
    <n v="200"/>
    <n v="6800"/>
    <s v="11+298"/>
    <s v="Yes"/>
    <m/>
    <s v="Yes"/>
    <m/>
    <s v="Yes"/>
    <m/>
    <s v="Yes"/>
    <m/>
    <s v="N/A"/>
    <m/>
    <s v="Yes"/>
    <m/>
    <s v="Yes"/>
    <m/>
    <s v="New"/>
    <s v="INFASCO"/>
    <n v="97.85"/>
    <n v="97.85"/>
  </r>
  <r>
    <x v="1123"/>
    <x v="18"/>
    <x v="0"/>
    <n v="36"/>
    <n v="2500"/>
    <n v="90000"/>
    <n v="69"/>
    <s v="Yes"/>
    <m/>
    <s v="Yes"/>
    <m/>
    <s v="Yes"/>
    <m/>
    <s v="Yes"/>
    <m/>
    <s v="N/A"/>
    <m/>
    <s v="Yes"/>
    <m/>
    <s v="Yes"/>
    <m/>
    <s v="New"/>
    <s v="INFASCO"/>
    <n v="97.85"/>
    <n v="97.85"/>
  </r>
  <r>
    <x v="1124"/>
    <x v="8"/>
    <x v="32"/>
    <n v="35"/>
    <n v="220"/>
    <n v="7700"/>
    <s v="11+298"/>
    <s v="Yes"/>
    <m/>
    <s v="Yes"/>
    <m/>
    <s v="Yes"/>
    <m/>
    <s v="Yes"/>
    <m/>
    <s v="N/A"/>
    <m/>
    <s v="Yes"/>
    <m/>
    <s v="Yes"/>
    <m/>
    <s v="New"/>
    <s v="INFASCO"/>
    <n v="97.85"/>
    <n v="97.85"/>
  </r>
  <r>
    <x v="1125"/>
    <x v="8"/>
    <x v="32"/>
    <n v="28"/>
    <n v="220"/>
    <n v="6160"/>
    <s v="11+298"/>
    <s v="Yes"/>
    <m/>
    <s v="Yes"/>
    <m/>
    <s v="Yes"/>
    <m/>
    <s v="Yes"/>
    <m/>
    <s v="N/A"/>
    <m/>
    <s v="Yes"/>
    <m/>
    <s v="Yes"/>
    <m/>
    <s v="New"/>
    <s v="INFASCO"/>
    <n v="97.85"/>
    <n v="97.85"/>
  </r>
  <r>
    <x v="1126"/>
    <x v="10"/>
    <x v="95"/>
    <n v="36"/>
    <n v="100"/>
    <n v="3600"/>
    <n v="168"/>
    <s v="Yes"/>
    <m/>
    <s v="Yes"/>
    <m/>
    <s v="Yes"/>
    <m/>
    <s v="Yes"/>
    <m/>
    <s v="N/A"/>
    <m/>
    <s v="Yes"/>
    <m/>
    <s v="Yes"/>
    <m/>
    <s v="New"/>
    <s v="INFASCO"/>
    <n v="123.6"/>
    <n v="123.6"/>
  </r>
  <r>
    <x v="1127"/>
    <x v="8"/>
    <x v="95"/>
    <n v="29"/>
    <n v="100"/>
    <n v="2900"/>
    <s v="11+298"/>
    <s v="Yes"/>
    <m/>
    <s v="Yes"/>
    <m/>
    <s v="Yes"/>
    <m/>
    <s v="Yes"/>
    <m/>
    <s v="N/A"/>
    <m/>
    <s v="Yes"/>
    <m/>
    <s v="Yes"/>
    <m/>
    <s v="New"/>
    <s v="INFASCO"/>
    <n v="123.6"/>
    <n v="123.6"/>
  </r>
  <r>
    <x v="1128"/>
    <x v="10"/>
    <x v="95"/>
    <n v="36"/>
    <n v="100"/>
    <n v="3600"/>
    <n v="168"/>
    <s v="Yes"/>
    <m/>
    <s v="Yes"/>
    <m/>
    <s v="Yes"/>
    <m/>
    <s v="Yes"/>
    <m/>
    <s v="N/A"/>
    <m/>
    <s v="Yes"/>
    <m/>
    <s v="Yes"/>
    <m/>
    <s v="New"/>
    <s v="INFASCO"/>
    <n v="123.6"/>
    <n v="123.6"/>
  </r>
  <r>
    <x v="1129"/>
    <x v="18"/>
    <x v="71"/>
    <n v="36"/>
    <n v="1500"/>
    <n v="54000"/>
    <n v="69"/>
    <s v="Yes"/>
    <m/>
    <s v="Yes"/>
    <m/>
    <s v="Yes"/>
    <m/>
    <s v="Yes"/>
    <m/>
    <s v="N/A"/>
    <m/>
    <s v="Yes"/>
    <m/>
    <s v="Yes"/>
    <m/>
    <s v="New"/>
    <s v="INFASCO"/>
    <n v="97.85"/>
    <n v="97.85"/>
  </r>
  <r>
    <x v="1130"/>
    <x v="18"/>
    <x v="71"/>
    <n v="36"/>
    <n v="1500"/>
    <n v="54000"/>
    <n v="69"/>
    <s v="Yes"/>
    <m/>
    <s v="Yes"/>
    <m/>
    <s v="Yes"/>
    <m/>
    <s v="Yes"/>
    <m/>
    <s v="N/A"/>
    <m/>
    <s v="Yes"/>
    <m/>
    <s v="Yes"/>
    <m/>
    <s v="New"/>
    <s v="INFASCO"/>
    <n v="97.85"/>
    <n v="97.85"/>
  </r>
  <r>
    <x v="1131"/>
    <x v="18"/>
    <x v="0"/>
    <n v="36"/>
    <n v="2500"/>
    <n v="90000"/>
    <n v="69"/>
    <s v="Yes"/>
    <m/>
    <s v="Yes"/>
    <m/>
    <s v="Yes"/>
    <m/>
    <s v="Yes"/>
    <m/>
    <s v="N/A"/>
    <m/>
    <s v="Yes"/>
    <m/>
    <s v="Yes"/>
    <m/>
    <s v="New"/>
    <s v="INFASCO"/>
    <n v="97.85"/>
    <n v="97.85"/>
  </r>
  <r>
    <x v="1131"/>
    <x v="16"/>
    <x v="5"/>
    <n v="36"/>
    <n v="1000"/>
    <n v="36000"/>
    <n v="38"/>
    <m/>
    <m/>
    <m/>
    <m/>
    <m/>
    <m/>
    <m/>
    <m/>
    <m/>
    <m/>
    <m/>
    <m/>
    <m/>
    <m/>
    <m/>
    <s v="INFASCO"/>
    <m/>
    <n v="97.85"/>
  </r>
  <r>
    <x v="1131"/>
    <x v="6"/>
    <x v="55"/>
    <n v="36"/>
    <n v="400"/>
    <n v="14400"/>
    <n v="38"/>
    <m/>
    <m/>
    <m/>
    <m/>
    <m/>
    <m/>
    <m/>
    <m/>
    <m/>
    <m/>
    <m/>
    <m/>
    <m/>
    <m/>
    <m/>
    <s v="INFASCO"/>
    <m/>
    <n v="97.85"/>
  </r>
  <r>
    <x v="1131"/>
    <x v="6"/>
    <x v="55"/>
    <n v="36"/>
    <n v="400"/>
    <n v="14400"/>
    <n v="38"/>
    <m/>
    <m/>
    <m/>
    <m/>
    <m/>
    <m/>
    <m/>
    <m/>
    <m/>
    <m/>
    <m/>
    <m/>
    <m/>
    <m/>
    <m/>
    <s v="INFASCO"/>
    <m/>
    <n v="97.85"/>
  </r>
  <r>
    <x v="1131"/>
    <x v="6"/>
    <x v="55"/>
    <n v="36"/>
    <n v="400"/>
    <n v="14400"/>
    <n v="38"/>
    <m/>
    <m/>
    <m/>
    <m/>
    <m/>
    <m/>
    <m/>
    <m/>
    <m/>
    <m/>
    <m/>
    <m/>
    <m/>
    <m/>
    <m/>
    <s v="INFASCO"/>
    <m/>
    <n v="97.85"/>
  </r>
  <r>
    <x v="1131"/>
    <x v="4"/>
    <x v="5"/>
    <n v="36"/>
    <n v="1000"/>
    <n v="36000"/>
    <n v="38"/>
    <m/>
    <m/>
    <m/>
    <m/>
    <m/>
    <m/>
    <m/>
    <m/>
    <m/>
    <m/>
    <m/>
    <m/>
    <m/>
    <m/>
    <m/>
    <s v="INFASCO"/>
    <m/>
    <n v="97.85"/>
  </r>
  <r>
    <x v="1131"/>
    <x v="4"/>
    <x v="5"/>
    <n v="21"/>
    <n v="1000"/>
    <n v="21000"/>
    <n v="38"/>
    <m/>
    <m/>
    <m/>
    <m/>
    <m/>
    <m/>
    <m/>
    <m/>
    <m/>
    <m/>
    <m/>
    <m/>
    <m/>
    <m/>
    <m/>
    <s v="INFASCO"/>
    <m/>
    <n v="97.85"/>
  </r>
  <r>
    <x v="1131"/>
    <x v="7"/>
    <x v="5"/>
    <n v="36"/>
    <n v="1000"/>
    <n v="36000"/>
    <n v="38"/>
    <m/>
    <m/>
    <m/>
    <m/>
    <m/>
    <m/>
    <m/>
    <m/>
    <m/>
    <m/>
    <m/>
    <m/>
    <m/>
    <m/>
    <m/>
    <s v="INFASCO"/>
    <m/>
    <n v="97.85"/>
  </r>
  <r>
    <x v="1131"/>
    <x v="7"/>
    <x v="5"/>
    <n v="36"/>
    <n v="1000"/>
    <n v="36000"/>
    <n v="38"/>
    <m/>
    <m/>
    <m/>
    <m/>
    <m/>
    <m/>
    <m/>
    <m/>
    <m/>
    <m/>
    <m/>
    <m/>
    <m/>
    <m/>
    <m/>
    <s v="INFASCO"/>
    <m/>
    <n v="97.85"/>
  </r>
  <r>
    <x v="1131"/>
    <x v="2"/>
    <x v="7"/>
    <n v="36"/>
    <n v="3500"/>
    <n v="126000"/>
    <n v="38"/>
    <m/>
    <m/>
    <m/>
    <m/>
    <m/>
    <m/>
    <m/>
    <m/>
    <m/>
    <m/>
    <m/>
    <m/>
    <m/>
    <m/>
    <m/>
    <s v="INFASCO"/>
    <m/>
    <n v="97.85"/>
  </r>
  <r>
    <x v="1131"/>
    <x v="3"/>
    <x v="10"/>
    <n v="36"/>
    <n v="450"/>
    <n v="16200"/>
    <n v="156"/>
    <m/>
    <m/>
    <m/>
    <m/>
    <m/>
    <m/>
    <m/>
    <m/>
    <m/>
    <m/>
    <m/>
    <m/>
    <m/>
    <m/>
    <m/>
    <s v="INFASCO"/>
    <m/>
    <n v="97.85"/>
  </r>
  <r>
    <x v="1131"/>
    <x v="3"/>
    <x v="10"/>
    <n v="27"/>
    <n v="450"/>
    <n v="12150"/>
    <n v="156"/>
    <m/>
    <m/>
    <m/>
    <m/>
    <m/>
    <m/>
    <m/>
    <m/>
    <m/>
    <m/>
    <m/>
    <m/>
    <m/>
    <m/>
    <m/>
    <s v="INFASCO"/>
    <m/>
    <n v="97.85"/>
  </r>
  <r>
    <x v="1131"/>
    <x v="14"/>
    <x v="5"/>
    <n v="36"/>
    <n v="1000"/>
    <n v="36000"/>
    <n v="156"/>
    <m/>
    <m/>
    <m/>
    <m/>
    <m/>
    <m/>
    <m/>
    <m/>
    <m/>
    <m/>
    <m/>
    <m/>
    <m/>
    <m/>
    <m/>
    <s v="INFASCO"/>
    <m/>
    <n v="97.85"/>
  </r>
  <r>
    <x v="1131"/>
    <x v="26"/>
    <x v="10"/>
    <n v="36"/>
    <n v="450"/>
    <n v="16200"/>
    <n v="156"/>
    <m/>
    <m/>
    <m/>
    <m/>
    <m/>
    <m/>
    <m/>
    <m/>
    <m/>
    <m/>
    <m/>
    <m/>
    <m/>
    <m/>
    <m/>
    <s v="INFASCO"/>
    <m/>
    <n v="97.85"/>
  </r>
  <r>
    <x v="1131"/>
    <x v="26"/>
    <x v="10"/>
    <n v="36"/>
    <n v="450"/>
    <n v="16200"/>
    <n v="156"/>
    <m/>
    <m/>
    <m/>
    <m/>
    <m/>
    <m/>
    <m/>
    <m/>
    <m/>
    <m/>
    <m/>
    <m/>
    <m/>
    <m/>
    <m/>
    <s v="INFASCO"/>
    <m/>
    <n v="97.85"/>
  </r>
  <r>
    <x v="1131"/>
    <x v="26"/>
    <x v="10"/>
    <n v="36"/>
    <n v="450"/>
    <n v="16200"/>
    <n v="156"/>
    <m/>
    <m/>
    <m/>
    <m/>
    <m/>
    <m/>
    <m/>
    <m/>
    <m/>
    <m/>
    <m/>
    <m/>
    <m/>
    <m/>
    <m/>
    <s v="INFASCO"/>
    <m/>
    <n v="97.85"/>
  </r>
  <r>
    <x v="1131"/>
    <x v="26"/>
    <x v="10"/>
    <n v="36"/>
    <n v="450"/>
    <n v="16200"/>
    <n v="156"/>
    <m/>
    <m/>
    <m/>
    <m/>
    <m/>
    <m/>
    <m/>
    <m/>
    <m/>
    <m/>
    <m/>
    <m/>
    <m/>
    <m/>
    <m/>
    <s v="INFASCO"/>
    <m/>
    <n v="97.85"/>
  </r>
  <r>
    <x v="1131"/>
    <x v="26"/>
    <x v="10"/>
    <n v="36"/>
    <n v="450"/>
    <n v="16200"/>
    <n v="156"/>
    <m/>
    <m/>
    <m/>
    <m/>
    <m/>
    <m/>
    <m/>
    <m/>
    <m/>
    <m/>
    <m/>
    <m/>
    <m/>
    <m/>
    <m/>
    <s v="INFASCO"/>
    <m/>
    <n v="97.85"/>
  </r>
  <r>
    <x v="1131"/>
    <x v="12"/>
    <x v="2"/>
    <n v="20"/>
    <n v="2700"/>
    <n v="54000"/>
    <n v="136"/>
    <m/>
    <m/>
    <m/>
    <m/>
    <m/>
    <m/>
    <m/>
    <m/>
    <m/>
    <m/>
    <m/>
    <m/>
    <m/>
    <m/>
    <m/>
    <s v="INFASCO"/>
    <m/>
    <n v="97.85"/>
  </r>
  <r>
    <x v="1131"/>
    <x v="15"/>
    <x v="0"/>
    <n v="36"/>
    <n v="2500"/>
    <n v="90000"/>
    <n v="136"/>
    <m/>
    <m/>
    <m/>
    <m/>
    <m/>
    <m/>
    <m/>
    <m/>
    <m/>
    <m/>
    <m/>
    <m/>
    <m/>
    <m/>
    <m/>
    <s v="INFASCO"/>
    <m/>
    <n v="97.85"/>
  </r>
  <r>
    <x v="1131"/>
    <x v="5"/>
    <x v="157"/>
    <n v="34"/>
    <n v="2300"/>
    <n v="78200"/>
    <n v="136"/>
    <m/>
    <m/>
    <m/>
    <m/>
    <m/>
    <m/>
    <m/>
    <m/>
    <m/>
    <m/>
    <m/>
    <m/>
    <m/>
    <m/>
    <m/>
    <s v="INFASCO"/>
    <m/>
    <n v="97.85"/>
  </r>
  <r>
    <x v="1131"/>
    <x v="1"/>
    <x v="0"/>
    <n v="36"/>
    <n v="2500"/>
    <n v="90000"/>
    <n v="136"/>
    <m/>
    <m/>
    <m/>
    <m/>
    <m/>
    <m/>
    <m/>
    <m/>
    <m/>
    <m/>
    <m/>
    <m/>
    <m/>
    <m/>
    <m/>
    <s v="INFASCO"/>
    <m/>
    <n v="97.85"/>
  </r>
  <r>
    <x v="1131"/>
    <x v="17"/>
    <x v="209"/>
    <n v="8"/>
    <n v="135"/>
    <n v="1080"/>
    <s v="187-190"/>
    <m/>
    <m/>
    <m/>
    <m/>
    <m/>
    <m/>
    <m/>
    <m/>
    <m/>
    <m/>
    <m/>
    <m/>
    <m/>
    <m/>
    <m/>
    <e v="#N/A"/>
    <m/>
    <s v="97-85"/>
  </r>
  <r>
    <x v="1131"/>
    <x v="17"/>
    <x v="43"/>
    <n v="36"/>
    <n v="200"/>
    <n v="7200"/>
    <s v="187-190"/>
    <m/>
    <m/>
    <m/>
    <m/>
    <m/>
    <m/>
    <m/>
    <m/>
    <m/>
    <m/>
    <m/>
    <m/>
    <m/>
    <m/>
    <m/>
    <s v="INFASCO"/>
    <m/>
    <n v="97.85"/>
  </r>
  <r>
    <x v="1131"/>
    <x v="17"/>
    <x v="43"/>
    <n v="36"/>
    <n v="200"/>
    <n v="7200"/>
    <s v="187-190"/>
    <m/>
    <m/>
    <m/>
    <m/>
    <m/>
    <m/>
    <m/>
    <m/>
    <m/>
    <m/>
    <m/>
    <m/>
    <m/>
    <m/>
    <m/>
    <s v="INFASCO"/>
    <m/>
    <n v="97.85"/>
  </r>
  <r>
    <x v="1131"/>
    <x v="17"/>
    <x v="36"/>
    <n v="36"/>
    <n v="4000"/>
    <n v="144000"/>
    <s v="187-190"/>
    <m/>
    <m/>
    <m/>
    <m/>
    <m/>
    <m/>
    <m/>
    <m/>
    <m/>
    <m/>
    <m/>
    <m/>
    <m/>
    <m/>
    <m/>
    <s v="INFASCO"/>
    <m/>
    <n v="123.6"/>
  </r>
  <r>
    <x v="1131"/>
    <x v="17"/>
    <x v="36"/>
    <n v="36"/>
    <n v="4000"/>
    <n v="144000"/>
    <s v="187-190"/>
    <m/>
    <m/>
    <m/>
    <m/>
    <m/>
    <m/>
    <m/>
    <m/>
    <m/>
    <m/>
    <m/>
    <m/>
    <m/>
    <m/>
    <m/>
    <s v="INFASCO"/>
    <m/>
    <n v="123.6"/>
  </r>
  <r>
    <x v="1131"/>
    <x v="17"/>
    <x v="36"/>
    <n v="36"/>
    <n v="4000"/>
    <n v="144000"/>
    <s v="187-190"/>
    <m/>
    <m/>
    <m/>
    <m/>
    <m/>
    <m/>
    <m/>
    <m/>
    <m/>
    <m/>
    <m/>
    <m/>
    <m/>
    <m/>
    <m/>
    <s v="INFASCO"/>
    <m/>
    <n v="123.6"/>
  </r>
  <r>
    <x v="1131"/>
    <x v="11"/>
    <x v="46"/>
    <n v="36"/>
    <n v="2150"/>
    <n v="77400"/>
    <n v="136"/>
    <m/>
    <m/>
    <m/>
    <m/>
    <m/>
    <m/>
    <m/>
    <m/>
    <m/>
    <m/>
    <m/>
    <m/>
    <m/>
    <m/>
    <m/>
    <s v="INFASCO"/>
    <m/>
    <n v="97.85"/>
  </r>
  <r>
    <x v="1131"/>
    <x v="11"/>
    <x v="46"/>
    <n v="36"/>
    <n v="2150"/>
    <n v="77400"/>
    <n v="136"/>
    <m/>
    <m/>
    <m/>
    <m/>
    <m/>
    <m/>
    <m/>
    <m/>
    <m/>
    <m/>
    <m/>
    <m/>
    <m/>
    <m/>
    <m/>
    <s v="INFASCO"/>
    <m/>
    <n v="97.85"/>
  </r>
  <r>
    <x v="1132"/>
    <x v="17"/>
    <x v="179"/>
    <n v="36"/>
    <n v="525"/>
    <n v="18900"/>
    <s v="190-187"/>
    <m/>
    <m/>
    <m/>
    <m/>
    <m/>
    <m/>
    <m/>
    <m/>
    <m/>
    <m/>
    <m/>
    <m/>
    <m/>
    <m/>
    <m/>
    <s v="INFASCO"/>
    <m/>
    <n v="97.85"/>
  </r>
  <r>
    <x v="1132"/>
    <x v="17"/>
    <x v="179"/>
    <n v="36"/>
    <n v="525"/>
    <n v="18900"/>
    <s v="190-187"/>
    <m/>
    <m/>
    <m/>
    <m/>
    <m/>
    <m/>
    <m/>
    <m/>
    <m/>
    <m/>
    <m/>
    <m/>
    <m/>
    <m/>
    <m/>
    <s v="INFASCO"/>
    <m/>
    <n v="97.85"/>
  </r>
  <r>
    <x v="1132"/>
    <x v="17"/>
    <x v="112"/>
    <n v="36"/>
    <n v="170"/>
    <n v="6120"/>
    <s v="190-187"/>
    <m/>
    <m/>
    <m/>
    <m/>
    <m/>
    <m/>
    <m/>
    <m/>
    <m/>
    <m/>
    <m/>
    <m/>
    <m/>
    <m/>
    <m/>
    <s v="INFASCO"/>
    <m/>
    <n v="123.6"/>
  </r>
  <r>
    <x v="1132"/>
    <x v="17"/>
    <x v="112"/>
    <n v="36"/>
    <n v="170"/>
    <n v="6120"/>
    <s v="190-187"/>
    <m/>
    <m/>
    <m/>
    <m/>
    <m/>
    <m/>
    <m/>
    <m/>
    <m/>
    <m/>
    <m/>
    <m/>
    <m/>
    <m/>
    <m/>
    <s v="INFASCO"/>
    <m/>
    <n v="123.6"/>
  </r>
  <r>
    <x v="1132"/>
    <x v="17"/>
    <x v="200"/>
    <n v="36"/>
    <n v="700"/>
    <n v="25200"/>
    <s v="190-187"/>
    <m/>
    <m/>
    <m/>
    <m/>
    <m/>
    <m/>
    <m/>
    <m/>
    <m/>
    <m/>
    <m/>
    <m/>
    <m/>
    <m/>
    <m/>
    <s v="INFASCO"/>
    <m/>
    <n v="97.85"/>
  </r>
  <r>
    <x v="1132"/>
    <x v="17"/>
    <x v="36"/>
    <n v="36"/>
    <n v="4000"/>
    <n v="144000"/>
    <s v="190-187"/>
    <m/>
    <m/>
    <m/>
    <m/>
    <m/>
    <m/>
    <m/>
    <m/>
    <m/>
    <m/>
    <m/>
    <m/>
    <m/>
    <m/>
    <m/>
    <s v="INFASCO"/>
    <m/>
    <n v="123.6"/>
  </r>
  <r>
    <x v="1132"/>
    <x v="17"/>
    <x v="36"/>
    <n v="36"/>
    <n v="4000"/>
    <n v="144000"/>
    <s v="190-187"/>
    <m/>
    <m/>
    <m/>
    <m/>
    <m/>
    <m/>
    <m/>
    <m/>
    <m/>
    <m/>
    <m/>
    <m/>
    <m/>
    <m/>
    <m/>
    <s v="INFASCO"/>
    <m/>
    <n v="123.6"/>
  </r>
  <r>
    <x v="1132"/>
    <x v="17"/>
    <x v="32"/>
    <n v="36"/>
    <n v="220"/>
    <n v="7920"/>
    <s v="190-187"/>
    <m/>
    <m/>
    <m/>
    <m/>
    <m/>
    <m/>
    <m/>
    <m/>
    <m/>
    <m/>
    <m/>
    <m/>
    <m/>
    <m/>
    <m/>
    <s v="INFASCO"/>
    <m/>
    <n v="97.85"/>
  </r>
  <r>
    <x v="1132"/>
    <x v="17"/>
    <x v="32"/>
    <n v="20"/>
    <n v="220"/>
    <n v="4400"/>
    <s v="190-187"/>
    <m/>
    <m/>
    <m/>
    <m/>
    <m/>
    <m/>
    <m/>
    <m/>
    <m/>
    <m/>
    <m/>
    <m/>
    <m/>
    <m/>
    <m/>
    <s v="INFASCO"/>
    <m/>
    <n v="97.85"/>
  </r>
  <r>
    <x v="1132"/>
    <x v="17"/>
    <x v="112"/>
    <n v="36"/>
    <n v="170"/>
    <n v="6120"/>
    <s v="190-187"/>
    <m/>
    <m/>
    <m/>
    <m/>
    <m/>
    <m/>
    <m/>
    <m/>
    <m/>
    <m/>
    <m/>
    <m/>
    <m/>
    <m/>
    <m/>
    <s v="INFASCO"/>
    <m/>
    <n v="123.6"/>
  </r>
  <r>
    <x v="1132"/>
    <x v="16"/>
    <x v="5"/>
    <n v="36"/>
    <n v="1000"/>
    <n v="36000"/>
    <n v="38"/>
    <m/>
    <m/>
    <m/>
    <m/>
    <m/>
    <m/>
    <m/>
    <m/>
    <m/>
    <m/>
    <m/>
    <m/>
    <m/>
    <m/>
    <m/>
    <s v="INFASCO"/>
    <m/>
    <n v="97.85"/>
  </r>
  <r>
    <x v="1132"/>
    <x v="16"/>
    <x v="109"/>
    <n v="22"/>
    <n v="660"/>
    <n v="14520"/>
    <n v="38"/>
    <m/>
    <m/>
    <m/>
    <m/>
    <m/>
    <m/>
    <m/>
    <m/>
    <m/>
    <m/>
    <m/>
    <m/>
    <m/>
    <m/>
    <m/>
    <s v="INFASCO"/>
    <m/>
    <n v="97.85"/>
  </r>
  <r>
    <x v="1132"/>
    <x v="6"/>
    <x v="55"/>
    <n v="36"/>
    <n v="400"/>
    <n v="14400"/>
    <n v="38"/>
    <m/>
    <m/>
    <m/>
    <m/>
    <m/>
    <m/>
    <m/>
    <m/>
    <m/>
    <m/>
    <m/>
    <m/>
    <m/>
    <m/>
    <m/>
    <s v="INFASCO"/>
    <m/>
    <n v="97.85"/>
  </r>
  <r>
    <x v="1132"/>
    <x v="6"/>
    <x v="55"/>
    <n v="36"/>
    <n v="400"/>
    <n v="14400"/>
    <n v="38"/>
    <m/>
    <m/>
    <m/>
    <m/>
    <m/>
    <m/>
    <m/>
    <m/>
    <m/>
    <m/>
    <m/>
    <m/>
    <m/>
    <m/>
    <m/>
    <s v="INFASCO"/>
    <m/>
    <n v="97.85"/>
  </r>
  <r>
    <x v="1132"/>
    <x v="6"/>
    <x v="55"/>
    <n v="36"/>
    <n v="400"/>
    <n v="14400"/>
    <n v="38"/>
    <m/>
    <m/>
    <m/>
    <m/>
    <m/>
    <m/>
    <m/>
    <m/>
    <m/>
    <m/>
    <m/>
    <m/>
    <m/>
    <m/>
    <m/>
    <s v="INFASCO"/>
    <m/>
    <n v="97.85"/>
  </r>
  <r>
    <x v="1132"/>
    <x v="7"/>
    <x v="5"/>
    <n v="36"/>
    <n v="1000"/>
    <n v="36000"/>
    <n v="38"/>
    <m/>
    <m/>
    <m/>
    <m/>
    <m/>
    <m/>
    <m/>
    <m/>
    <m/>
    <m/>
    <m/>
    <m/>
    <m/>
    <m/>
    <m/>
    <s v="INFASCO"/>
    <m/>
    <n v="97.85"/>
  </r>
  <r>
    <x v="1132"/>
    <x v="26"/>
    <x v="10"/>
    <n v="36"/>
    <n v="450"/>
    <n v="16200"/>
    <n v="156"/>
    <m/>
    <m/>
    <m/>
    <m/>
    <m/>
    <m/>
    <m/>
    <m/>
    <m/>
    <m/>
    <m/>
    <m/>
    <m/>
    <m/>
    <m/>
    <s v="INFASCO"/>
    <m/>
    <n v="97.85"/>
  </r>
  <r>
    <x v="1132"/>
    <x v="26"/>
    <x v="10"/>
    <n v="36"/>
    <n v="450"/>
    <n v="16200"/>
    <n v="156"/>
    <m/>
    <m/>
    <m/>
    <m/>
    <m/>
    <m/>
    <m/>
    <m/>
    <m/>
    <m/>
    <m/>
    <m/>
    <m/>
    <m/>
    <m/>
    <s v="INFASCO"/>
    <m/>
    <n v="97.85"/>
  </r>
  <r>
    <x v="1132"/>
    <x v="26"/>
    <x v="10"/>
    <n v="36"/>
    <n v="450"/>
    <n v="16200"/>
    <n v="156"/>
    <m/>
    <m/>
    <m/>
    <m/>
    <m/>
    <m/>
    <m/>
    <m/>
    <m/>
    <m/>
    <m/>
    <m/>
    <m/>
    <m/>
    <m/>
    <s v="INFASCO"/>
    <m/>
    <n v="97.85"/>
  </r>
  <r>
    <x v="1132"/>
    <x v="26"/>
    <x v="10"/>
    <n v="36"/>
    <n v="450"/>
    <n v="16200"/>
    <n v="156"/>
    <m/>
    <m/>
    <m/>
    <m/>
    <m/>
    <m/>
    <m/>
    <m/>
    <m/>
    <m/>
    <m/>
    <m/>
    <m/>
    <m/>
    <m/>
    <s v="INFASCO"/>
    <m/>
    <n v="97.85"/>
  </r>
  <r>
    <x v="1132"/>
    <x v="13"/>
    <x v="5"/>
    <n v="24"/>
    <n v="1000"/>
    <n v="24000"/>
    <n v="156"/>
    <m/>
    <m/>
    <m/>
    <m/>
    <m/>
    <m/>
    <m/>
    <m/>
    <m/>
    <m/>
    <m/>
    <m/>
    <m/>
    <m/>
    <m/>
    <s v="INFASCO"/>
    <m/>
    <n v="97.85"/>
  </r>
  <r>
    <x v="1132"/>
    <x v="14"/>
    <x v="7"/>
    <n v="36"/>
    <n v="700"/>
    <n v="25200"/>
    <n v="156"/>
    <m/>
    <m/>
    <m/>
    <m/>
    <m/>
    <m/>
    <m/>
    <m/>
    <m/>
    <m/>
    <m/>
    <m/>
    <m/>
    <m/>
    <m/>
    <s v="INFASCO"/>
    <m/>
    <n v="97.85"/>
  </r>
  <r>
    <x v="1132"/>
    <x v="3"/>
    <x v="10"/>
    <n v="36"/>
    <n v="450"/>
    <n v="16200"/>
    <n v="156"/>
    <m/>
    <m/>
    <m/>
    <m/>
    <m/>
    <m/>
    <m/>
    <m/>
    <m/>
    <m/>
    <m/>
    <m/>
    <m/>
    <m/>
    <m/>
    <s v="INFASCO"/>
    <m/>
    <n v="97.85"/>
  </r>
  <r>
    <x v="1132"/>
    <x v="3"/>
    <x v="10"/>
    <n v="33"/>
    <n v="450"/>
    <n v="14850"/>
    <n v="156"/>
    <m/>
    <m/>
    <m/>
    <m/>
    <m/>
    <m/>
    <m/>
    <m/>
    <m/>
    <m/>
    <m/>
    <m/>
    <m/>
    <m/>
    <m/>
    <s v="INFASCO"/>
    <m/>
    <n v="97.85"/>
  </r>
  <r>
    <x v="1132"/>
    <x v="24"/>
    <x v="45"/>
    <n v="36"/>
    <n v="1850"/>
    <n v="66600"/>
    <n v="185"/>
    <m/>
    <m/>
    <m/>
    <m/>
    <m/>
    <m/>
    <m/>
    <m/>
    <m/>
    <m/>
    <m/>
    <m/>
    <m/>
    <m/>
    <m/>
    <s v="INFASCO"/>
    <m/>
    <n v="226.6"/>
  </r>
  <r>
    <x v="1132"/>
    <x v="15"/>
    <x v="0"/>
    <n v="36"/>
    <n v="2500"/>
    <n v="90000"/>
    <n v="136"/>
    <m/>
    <m/>
    <m/>
    <m/>
    <m/>
    <m/>
    <m/>
    <m/>
    <m/>
    <m/>
    <m/>
    <m/>
    <m/>
    <m/>
    <m/>
    <s v="INFASCO"/>
    <m/>
    <n v="97.85"/>
  </r>
  <r>
    <x v="1132"/>
    <x v="11"/>
    <x v="46"/>
    <n v="36"/>
    <n v="2150"/>
    <n v="77400"/>
    <n v="136"/>
    <m/>
    <m/>
    <m/>
    <m/>
    <m/>
    <m/>
    <m/>
    <m/>
    <m/>
    <m/>
    <m/>
    <m/>
    <m/>
    <m/>
    <m/>
    <s v="INFASCO"/>
    <m/>
    <n v="97.85"/>
  </r>
  <r>
    <x v="1132"/>
    <x v="11"/>
    <x v="46"/>
    <n v="36"/>
    <n v="2150"/>
    <n v="77400"/>
    <n v="136"/>
    <m/>
    <m/>
    <m/>
    <m/>
    <m/>
    <m/>
    <m/>
    <m/>
    <m/>
    <m/>
    <m/>
    <m/>
    <m/>
    <m/>
    <m/>
    <s v="INFASCO"/>
    <m/>
    <n v="97.85"/>
  </r>
  <r>
    <x v="1132"/>
    <x v="1"/>
    <x v="0"/>
    <n v="36"/>
    <n v="2500"/>
    <n v="90000"/>
    <n v="136"/>
    <m/>
    <m/>
    <m/>
    <m/>
    <m/>
    <m/>
    <m/>
    <m/>
    <m/>
    <m/>
    <m/>
    <m/>
    <m/>
    <m/>
    <m/>
    <s v="INFASCO"/>
    <m/>
    <n v="97.85"/>
  </r>
  <r>
    <x v="1132"/>
    <x v="5"/>
    <x v="19"/>
    <n v="36"/>
    <n v="1200"/>
    <n v="43200"/>
    <n v="136"/>
    <m/>
    <m/>
    <m/>
    <m/>
    <m/>
    <m/>
    <m/>
    <m/>
    <m/>
    <m/>
    <m/>
    <m/>
    <m/>
    <m/>
    <m/>
    <s v="INFASCO"/>
    <m/>
    <n v="97.85"/>
  </r>
  <r>
    <x v="1133"/>
    <x v="18"/>
    <x v="71"/>
    <n v="36"/>
    <n v="1500"/>
    <n v="54000"/>
    <n v="69"/>
    <s v="Yes"/>
    <m/>
    <s v="Yes"/>
    <m/>
    <s v="Yes"/>
    <m/>
    <s v="Yes"/>
    <m/>
    <s v="N/A"/>
    <m/>
    <s v="Yes"/>
    <m/>
    <s v="Yes"/>
    <m/>
    <s v="New"/>
    <s v="INFASCO"/>
    <n v="97.85"/>
    <n v="97.85"/>
  </r>
  <r>
    <x v="1134"/>
    <x v="8"/>
    <x v="32"/>
    <n v="36"/>
    <n v="220"/>
    <n v="7920"/>
    <s v="11+298"/>
    <s v="Yes"/>
    <m/>
    <s v="Yes"/>
    <m/>
    <s v="Yes"/>
    <m/>
    <s v="Yes"/>
    <m/>
    <s v="N/A"/>
    <m/>
    <s v="Yes"/>
    <m/>
    <s v="Yes"/>
    <m/>
    <s v="New"/>
    <s v="INFASCO"/>
    <n v="97.85"/>
    <n v="97.85"/>
  </r>
  <r>
    <x v="1135"/>
    <x v="18"/>
    <x v="71"/>
    <n v="36"/>
    <n v="1500"/>
    <n v="54000"/>
    <n v="69"/>
    <s v="Yes"/>
    <m/>
    <s v="Yes"/>
    <m/>
    <s v="Yes"/>
    <m/>
    <s v="Yes"/>
    <m/>
    <s v="N/A"/>
    <m/>
    <s v="Yes"/>
    <m/>
    <s v="Yes"/>
    <m/>
    <s v="New"/>
    <s v="INFASCO"/>
    <n v="97.85"/>
    <n v="97.85"/>
  </r>
  <r>
    <x v="1136"/>
    <x v="8"/>
    <x v="32"/>
    <n v="27"/>
    <n v="220"/>
    <n v="5940"/>
    <s v="11+298"/>
    <s v="Yes"/>
    <m/>
    <s v="Yes"/>
    <m/>
    <s v="Yes"/>
    <m/>
    <s v="Yes"/>
    <m/>
    <s v="N/A"/>
    <m/>
    <s v="Yes"/>
    <m/>
    <s v="Yes"/>
    <m/>
    <s v="New"/>
    <s v="INFASCO"/>
    <n v="97.85"/>
    <n v="97.85"/>
  </r>
  <r>
    <x v="1137"/>
    <x v="18"/>
    <x v="71"/>
    <n v="36"/>
    <n v="1500"/>
    <n v="54000"/>
    <n v="69"/>
    <s v="Yes"/>
    <m/>
    <s v="Yes"/>
    <m/>
    <s v="Yes"/>
    <m/>
    <s v="Yes"/>
    <m/>
    <s v="N/A"/>
    <m/>
    <s v="Yes"/>
    <m/>
    <s v="Yes"/>
    <m/>
    <s v="New"/>
    <s v="INFASCO"/>
    <n v="97.85"/>
    <n v="97.85"/>
  </r>
  <r>
    <x v="1138"/>
    <x v="10"/>
    <x v="32"/>
    <n v="36"/>
    <n v="220"/>
    <n v="7920"/>
    <n v="168"/>
    <s v="Yes"/>
    <m/>
    <s v="Yes"/>
    <m/>
    <s v="Yes"/>
    <m/>
    <s v="Yes"/>
    <m/>
    <s v="N/A"/>
    <m/>
    <s v="Yes"/>
    <m/>
    <s v="Yes"/>
    <m/>
    <s v="New"/>
    <s v="INFASCO"/>
    <n v="97.85"/>
    <n v="97.85"/>
  </r>
  <r>
    <x v="1139"/>
    <x v="10"/>
    <x v="95"/>
    <n v="29"/>
    <n v="100"/>
    <n v="2900"/>
    <n v="168"/>
    <s v="Yes"/>
    <m/>
    <s v="Yes"/>
    <m/>
    <s v="Yes"/>
    <m/>
    <s v="Yes"/>
    <m/>
    <s v="N/A"/>
    <m/>
    <s v="Yes"/>
    <m/>
    <s v="Yes"/>
    <m/>
    <s v="New"/>
    <s v="INFASCO"/>
    <n v="123.6"/>
    <n v="123.6"/>
  </r>
  <r>
    <x v="1140"/>
    <x v="8"/>
    <x v="32"/>
    <n v="34"/>
    <n v="220"/>
    <n v="7480"/>
    <s v="11+298"/>
    <s v="Yes"/>
    <m/>
    <s v="Yes"/>
    <m/>
    <s v="Yes"/>
    <m/>
    <s v="Yes"/>
    <m/>
    <s v="N/A"/>
    <m/>
    <s v="Yes"/>
    <m/>
    <s v="Yes"/>
    <m/>
    <s v="New"/>
    <s v="INFASCO"/>
    <n v="97.85"/>
    <n v="97.85"/>
  </r>
  <r>
    <x v="1141"/>
    <x v="18"/>
    <x v="71"/>
    <n v="36"/>
    <n v="1500"/>
    <n v="54000"/>
    <n v="69"/>
    <s v="Yes"/>
    <m/>
    <s v="Yes"/>
    <m/>
    <s v="Yes"/>
    <m/>
    <s v="Yes"/>
    <m/>
    <s v="N/A"/>
    <m/>
    <s v="Yes"/>
    <m/>
    <s v="Yes"/>
    <m/>
    <s v="New"/>
    <s v="INFASCO"/>
    <n v="97.85"/>
    <n v="97.85"/>
  </r>
  <r>
    <x v="1142"/>
    <x v="8"/>
    <x v="32"/>
    <n v="35"/>
    <n v="220"/>
    <n v="7700"/>
    <s v="11+298"/>
    <s v="Yes"/>
    <m/>
    <s v="Yes"/>
    <m/>
    <s v="Yes"/>
    <m/>
    <s v="Yes"/>
    <m/>
    <s v="N/A"/>
    <m/>
    <s v="Yes"/>
    <m/>
    <s v="Yes"/>
    <m/>
    <s v="New"/>
    <s v="INFASCO"/>
    <n v="97.85"/>
    <n v="97.85"/>
  </r>
  <r>
    <x v="1143"/>
    <x v="10"/>
    <x v="32"/>
    <n v="30"/>
    <n v="220"/>
    <n v="6600"/>
    <n v="168"/>
    <s v="Yes"/>
    <m/>
    <s v="Yes"/>
    <m/>
    <s v="Yes"/>
    <m/>
    <s v="Yes"/>
    <m/>
    <s v="N/A"/>
    <m/>
    <s v="Yes"/>
    <m/>
    <s v="Yes"/>
    <m/>
    <s v="New"/>
    <s v="INFASCO"/>
    <n v="97.85"/>
    <n v="97.85"/>
  </r>
  <r>
    <x v="1144"/>
    <x v="18"/>
    <x v="71"/>
    <n v="17"/>
    <n v="1500"/>
    <n v="25500"/>
    <n v="69"/>
    <s v="Yes"/>
    <m/>
    <s v="Yes"/>
    <m/>
    <s v="Yes"/>
    <m/>
    <s v="Yes"/>
    <m/>
    <s v="N/A"/>
    <m/>
    <s v="Yes"/>
    <m/>
    <s v="Yes"/>
    <m/>
    <s v="New"/>
    <s v="INFASCO"/>
    <n v="97.85"/>
    <n v="97.85"/>
  </r>
  <r>
    <x v="1145"/>
    <x v="8"/>
    <x v="48"/>
    <n v="1"/>
    <n v="66716"/>
    <n v="66716"/>
    <s v="11+298"/>
    <s v="Yes"/>
    <m/>
    <s v="Yes"/>
    <m/>
    <s v="Yes"/>
    <m/>
    <s v="Yes"/>
    <m/>
    <s v="N/A"/>
    <m/>
    <s v="Yes"/>
    <m/>
    <s v="Yes"/>
    <m/>
    <s v="New"/>
    <s v="INFASCO"/>
    <n v="118.45"/>
    <n v="118.45"/>
  </r>
  <r>
    <x v="1146"/>
    <x v="18"/>
    <x v="0"/>
    <n v="36"/>
    <n v="2500"/>
    <n v="90000"/>
    <s v="69-014"/>
    <s v="Yes"/>
    <m/>
    <s v="Yes"/>
    <m/>
    <s v="Yes"/>
    <m/>
    <s v="Yes"/>
    <m/>
    <s v="N/A"/>
    <m/>
    <s v="Yes"/>
    <m/>
    <s v="Yes"/>
    <m/>
    <s v="New"/>
    <s v="INFASCO"/>
    <n v="97.85"/>
    <n v="97.85"/>
  </r>
  <r>
    <x v="1147"/>
    <x v="8"/>
    <x v="210"/>
    <n v="1"/>
    <n v="41596"/>
    <n v="41596"/>
    <s v="11+298"/>
    <s v="Yes"/>
    <m/>
    <s v="Yes"/>
    <m/>
    <s v="Yes"/>
    <m/>
    <s v="Yes"/>
    <m/>
    <s v="N/A"/>
    <m/>
    <s v="Yes"/>
    <m/>
    <s v="Yes"/>
    <m/>
    <s v="New"/>
    <s v="INFASCO"/>
    <n v="118.45"/>
    <n v="118.45"/>
  </r>
  <r>
    <x v="1148"/>
    <x v="10"/>
    <x v="156"/>
    <n v="1"/>
    <n v="9926"/>
    <n v="9926"/>
    <s v="168+142"/>
    <s v="Yes"/>
    <m/>
    <s v="Yes"/>
    <m/>
    <s v="Yes"/>
    <m/>
    <s v="Yes"/>
    <m/>
    <s v="N/A"/>
    <m/>
    <s v="Yes"/>
    <m/>
    <s v="Yes"/>
    <m/>
    <s v="New"/>
    <s v="INFASCO"/>
    <n v="118.45"/>
    <n v="118.45"/>
  </r>
  <r>
    <x v="1149"/>
    <x v="10"/>
    <x v="156"/>
    <n v="1"/>
    <n v="9719"/>
    <n v="9719"/>
    <s v="168+142"/>
    <s v="Yes"/>
    <m/>
    <s v="Yes"/>
    <m/>
    <s v="Yes"/>
    <m/>
    <s v="Yes"/>
    <m/>
    <s v="N/A"/>
    <m/>
    <s v="Yes"/>
    <m/>
    <s v="Yes"/>
    <m/>
    <s v="New"/>
    <s v="INFASCO"/>
    <n v="118.45"/>
    <n v="118.45"/>
  </r>
  <r>
    <x v="1150"/>
    <x v="10"/>
    <x v="156"/>
    <n v="1"/>
    <n v="10100"/>
    <n v="10100"/>
    <s v="168+142"/>
    <s v="Yes"/>
    <m/>
    <s v="Yes"/>
    <m/>
    <s v="Yes"/>
    <m/>
    <s v="Yes"/>
    <m/>
    <s v="N/A"/>
    <m/>
    <s v="Yes"/>
    <m/>
    <s v="Yes"/>
    <m/>
    <s v="New"/>
    <s v="INFASCO"/>
    <n v="118.45"/>
    <n v="118.45"/>
  </r>
  <r>
    <x v="1151"/>
    <x v="18"/>
    <x v="0"/>
    <n v="36"/>
    <n v="2500"/>
    <n v="90000"/>
    <s v="69-14"/>
    <s v="Yes"/>
    <m/>
    <s v="Yes"/>
    <m/>
    <s v="Yes"/>
    <m/>
    <s v="Yes"/>
    <m/>
    <s v="N/A"/>
    <m/>
    <s v="Yes"/>
    <m/>
    <s v="Yes"/>
    <m/>
    <s v="New"/>
    <s v="INFASCO"/>
    <n v="97.85"/>
    <n v="97.85"/>
  </r>
  <r>
    <x v="1152"/>
    <x v="10"/>
    <x v="156"/>
    <n v="1"/>
    <n v="8981"/>
    <n v="8981"/>
    <s v="168+142"/>
    <s v="Yes"/>
    <m/>
    <s v="Yes"/>
    <m/>
    <s v="Yes"/>
    <m/>
    <s v="Yes"/>
    <m/>
    <s v="N/A"/>
    <m/>
    <s v="Yes"/>
    <m/>
    <s v="Yes"/>
    <m/>
    <s v="New"/>
    <s v="INFASCO"/>
    <n v="118.45"/>
    <n v="118.45"/>
  </r>
  <r>
    <x v="1153"/>
    <x v="8"/>
    <x v="211"/>
    <n v="45"/>
    <n v="525"/>
    <n v="23625"/>
    <s v="11+298"/>
    <s v="Yes"/>
    <m/>
    <s v="Yes"/>
    <m/>
    <s v="Yes"/>
    <m/>
    <s v="Yes"/>
    <m/>
    <s v="N/A"/>
    <m/>
    <s v="Yes"/>
    <m/>
    <s v="Yes"/>
    <m/>
    <s v="New"/>
    <s v="INFASCO"/>
    <n v="97.85"/>
    <n v="97.85"/>
  </r>
  <r>
    <x v="1154"/>
    <x v="18"/>
    <x v="0"/>
    <n v="36"/>
    <n v="2500"/>
    <n v="90000"/>
    <s v="69-14"/>
    <s v="Yes"/>
    <m/>
    <s v="Yes"/>
    <m/>
    <s v="Yes"/>
    <m/>
    <s v="Yes"/>
    <m/>
    <s v="N/A"/>
    <m/>
    <s v="Yes"/>
    <m/>
    <s v="Yes"/>
    <m/>
    <s v="New"/>
    <s v="INFASCO"/>
    <n v="97.85"/>
    <n v="97.85"/>
  </r>
  <r>
    <x v="1155"/>
    <x v="8"/>
    <x v="112"/>
    <n v="36"/>
    <n v="170"/>
    <n v="6120"/>
    <s v="11+298"/>
    <s v="Yes"/>
    <m/>
    <s v="Yes"/>
    <m/>
    <s v="Yes"/>
    <m/>
    <s v="Yes"/>
    <m/>
    <s v="N/A"/>
    <m/>
    <s v="Yes"/>
    <m/>
    <s v="Yes"/>
    <m/>
    <s v="New"/>
    <s v="INFASCO"/>
    <n v="123.6"/>
    <n v="123.6"/>
  </r>
  <r>
    <x v="1156"/>
    <x v="18"/>
    <x v="0"/>
    <n v="30"/>
    <n v="2500"/>
    <n v="75000"/>
    <s v="69-14"/>
    <s v="Yes"/>
    <m/>
    <s v="Yes"/>
    <m/>
    <s v="Yes"/>
    <m/>
    <s v="Yes"/>
    <m/>
    <s v="N/A"/>
    <m/>
    <s v="Yes"/>
    <m/>
    <s v="Yes"/>
    <m/>
    <s v="New"/>
    <s v="INFASCO"/>
    <n v="97.85"/>
    <n v="97.85"/>
  </r>
  <r>
    <x v="1157"/>
    <x v="8"/>
    <x v="112"/>
    <n v="31"/>
    <n v="170"/>
    <n v="5270"/>
    <s v="11+298"/>
    <s v="Yes"/>
    <m/>
    <s v="Yes"/>
    <m/>
    <s v="Yes"/>
    <m/>
    <s v="Yes"/>
    <m/>
    <s v="N/A"/>
    <m/>
    <s v="Yes"/>
    <m/>
    <s v="Yes"/>
    <m/>
    <s v="New"/>
    <s v="INFASCO"/>
    <n v="123.6"/>
    <n v="123.6"/>
  </r>
  <r>
    <x v="1158"/>
    <x v="18"/>
    <x v="0"/>
    <n v="28"/>
    <n v="2500"/>
    <n v="70000"/>
    <s v="69-14"/>
    <s v="Yes"/>
    <m/>
    <s v="Yes"/>
    <m/>
    <s v="Yes"/>
    <m/>
    <s v="Yes"/>
    <m/>
    <s v="N/A"/>
    <m/>
    <s v="Yes"/>
    <m/>
    <s v="Yes"/>
    <m/>
    <s v="New"/>
    <s v="INFASCO"/>
    <n v="97.85"/>
    <n v="97.85"/>
  </r>
  <r>
    <x v="1159"/>
    <x v="10"/>
    <x v="112"/>
    <n v="36"/>
    <n v="170"/>
    <n v="6120"/>
    <s v="168+142"/>
    <s v="Yes"/>
    <m/>
    <s v="Yes"/>
    <m/>
    <s v="Yes"/>
    <m/>
    <s v="Yes"/>
    <m/>
    <s v="N/A"/>
    <m/>
    <s v="Yes"/>
    <m/>
    <s v="Yes"/>
    <m/>
    <s v="New"/>
    <s v="INFASCO"/>
    <n v="123.6"/>
    <n v="123.6"/>
  </r>
  <r>
    <x v="1160"/>
    <x v="10"/>
    <x v="112"/>
    <n v="21"/>
    <n v="170"/>
    <n v="3570"/>
    <s v="168+142"/>
    <s v="Yes"/>
    <m/>
    <s v="Yes"/>
    <m/>
    <s v="Yes"/>
    <m/>
    <s v="Yes"/>
    <m/>
    <s v="N/A"/>
    <m/>
    <s v="Yes"/>
    <m/>
    <s v="Yes"/>
    <m/>
    <s v="New"/>
    <s v="INFASCO"/>
    <n v="123.6"/>
    <n v="123.6"/>
  </r>
  <r>
    <x v="1161"/>
    <x v="8"/>
    <x v="200"/>
    <n v="34"/>
    <n v="700"/>
    <n v="23800"/>
    <s v="11+298"/>
    <s v="Yes"/>
    <m/>
    <s v="Yes"/>
    <m/>
    <s v="Yes"/>
    <m/>
    <s v="Yes"/>
    <m/>
    <s v="N/A"/>
    <m/>
    <s v="Yes"/>
    <m/>
    <s v="Yes"/>
    <m/>
    <s v="New"/>
    <s v="INFASCO"/>
    <n v="97.85"/>
    <n v="97.85"/>
  </r>
  <r>
    <x v="1161"/>
    <x v="8"/>
    <x v="165"/>
    <n v="32"/>
    <n v="2000"/>
    <n v="64000"/>
    <s v="11+298"/>
    <m/>
    <m/>
    <m/>
    <m/>
    <m/>
    <m/>
    <m/>
    <m/>
    <m/>
    <m/>
    <m/>
    <m/>
    <m/>
    <m/>
    <m/>
    <s v="INFASCO"/>
    <m/>
    <n v="97.85"/>
  </r>
  <r>
    <x v="1161"/>
    <x v="8"/>
    <x v="200"/>
    <n v="26"/>
    <n v="700"/>
    <n v="18200"/>
    <s v="11+298"/>
    <m/>
    <m/>
    <m/>
    <m/>
    <m/>
    <m/>
    <m/>
    <m/>
    <m/>
    <m/>
    <m/>
    <m/>
    <m/>
    <m/>
    <m/>
    <s v="INFASCO"/>
    <m/>
    <n v="97.85"/>
  </r>
  <r>
    <x v="1161"/>
    <x v="8"/>
    <x v="200"/>
    <n v="36"/>
    <n v="700"/>
    <n v="25200"/>
    <s v="11+298"/>
    <m/>
    <m/>
    <m/>
    <m/>
    <m/>
    <m/>
    <m/>
    <m/>
    <m/>
    <m/>
    <m/>
    <m/>
    <m/>
    <m/>
    <m/>
    <s v="INFASCO"/>
    <m/>
    <n v="97.85"/>
  </r>
  <r>
    <x v="1162"/>
    <x v="17"/>
    <x v="29"/>
    <n v="36"/>
    <n v="500"/>
    <n v="18000"/>
    <n v="184"/>
    <s v="Yes"/>
    <m/>
    <s v="Yes"/>
    <m/>
    <s v="Yes"/>
    <m/>
    <s v="Yes"/>
    <m/>
    <s v="N/A"/>
    <m/>
    <s v="Yes"/>
    <m/>
    <s v="Yes"/>
    <m/>
    <s v="New"/>
    <s v="INFASCO"/>
    <n v="97.85"/>
    <n v="97.85"/>
  </r>
  <r>
    <x v="1163"/>
    <x v="18"/>
    <x v="24"/>
    <n v="26"/>
    <n v="3600"/>
    <n v="93600"/>
    <s v="184+287"/>
    <s v="No"/>
    <m/>
    <s v="Yes"/>
    <m/>
    <s v="Yes"/>
    <m/>
    <s v="Yes"/>
    <m/>
    <s v="N/A"/>
    <m/>
    <s v="Yes"/>
    <m/>
    <s v="Yes"/>
    <m/>
    <s v="New"/>
    <s v="INFASCO"/>
    <n v="97.85"/>
    <n v="97.85"/>
  </r>
  <r>
    <x v="1164"/>
    <x v="8"/>
    <x v="29"/>
    <n v="36"/>
    <n v="500"/>
    <n v="18000"/>
    <s v="011+298"/>
    <s v="Yes"/>
    <m/>
    <s v="Yes"/>
    <m/>
    <s v="Yes"/>
    <m/>
    <s v="Yes"/>
    <m/>
    <s v="N/A"/>
    <m/>
    <s v="Yes"/>
    <m/>
    <s v="Yes"/>
    <m/>
    <s v="New"/>
    <s v="INFASCO"/>
    <n v="97.85"/>
    <n v="97.85"/>
  </r>
  <r>
    <x v="1165"/>
    <x v="8"/>
    <x v="29"/>
    <n v="33"/>
    <n v="500"/>
    <n v="16500"/>
    <s v="011+298"/>
    <s v="Yes"/>
    <m/>
    <s v="Yes"/>
    <m/>
    <s v="Yes"/>
    <m/>
    <s v="Yes"/>
    <m/>
    <s v="N/A"/>
    <m/>
    <s v="Yes"/>
    <m/>
    <s v="Yes"/>
    <m/>
    <s v="New"/>
    <s v="INFASCO"/>
    <n v="97.85"/>
    <n v="97.85"/>
  </r>
  <r>
    <x v="1166"/>
    <x v="8"/>
    <x v="180"/>
    <n v="36"/>
    <n v="1400"/>
    <n v="50400"/>
    <s v="011+298"/>
    <s v="Yes"/>
    <m/>
    <s v="Yes"/>
    <m/>
    <s v="Yes"/>
    <m/>
    <s v="Yes"/>
    <m/>
    <s v="N/A"/>
    <m/>
    <s v="Yes"/>
    <m/>
    <s v="Yes"/>
    <m/>
    <s v="New"/>
    <e v="#N/A"/>
    <s v="N/A"/>
    <e v="#N/A"/>
  </r>
  <r>
    <x v="1167"/>
    <x v="8"/>
    <x v="180"/>
    <n v="36"/>
    <n v="1400"/>
    <n v="50400"/>
    <s v="011+298"/>
    <s v="Yes"/>
    <m/>
    <s v="Yes"/>
    <m/>
    <s v="Yes"/>
    <m/>
    <s v="Yes"/>
    <m/>
    <s v="N/A"/>
    <m/>
    <s v="Yes"/>
    <m/>
    <s v="Yes"/>
    <m/>
    <s v="New"/>
    <e v="#N/A"/>
    <s v="N/A"/>
    <e v="#N/A"/>
  </r>
  <r>
    <x v="1168"/>
    <x v="17"/>
    <x v="51"/>
    <n v="36"/>
    <n v="1300"/>
    <n v="46800"/>
    <n v="327"/>
    <s v="Yes"/>
    <m/>
    <s v="Yes"/>
    <m/>
    <s v="Yes"/>
    <m/>
    <s v="Yes"/>
    <m/>
    <s v="N/A"/>
    <m/>
    <s v="Yes"/>
    <m/>
    <s v="Yes"/>
    <m/>
    <s v="Re-certified"/>
    <s v="INFASCO"/>
    <n v="123.6"/>
    <n v="0"/>
  </r>
  <r>
    <x v="1169"/>
    <x v="17"/>
    <x v="51"/>
    <n v="24"/>
    <n v="1300"/>
    <n v="31200"/>
    <s v="184+298"/>
    <s v="Yes"/>
    <m/>
    <s v="Yes"/>
    <m/>
    <s v="Yes"/>
    <m/>
    <s v="Yes"/>
    <m/>
    <s v="N/A"/>
    <m/>
    <s v="Yes"/>
    <m/>
    <s v="Yes"/>
    <m/>
    <s v="New"/>
    <s v="INFASCO"/>
    <n v="123.6"/>
    <n v="123.6"/>
  </r>
  <r>
    <x v="1170"/>
    <x v="8"/>
    <x v="77"/>
    <n v="36"/>
    <n v="1550"/>
    <n v="55800"/>
    <s v="327+298"/>
    <s v="Yes"/>
    <m/>
    <s v="Yes"/>
    <m/>
    <s v="Yes"/>
    <m/>
    <s v="Yes"/>
    <m/>
    <s v="N/A"/>
    <m/>
    <s v="Yes"/>
    <m/>
    <s v="Yes"/>
    <m/>
    <s v="New"/>
    <s v="INFASCO"/>
    <n v="123.6"/>
    <n v="123.6"/>
  </r>
  <r>
    <x v="1171"/>
    <x v="8"/>
    <x v="180"/>
    <n v="17"/>
    <n v="1400"/>
    <n v="23800"/>
    <s v="11+298"/>
    <s v="Yes"/>
    <m/>
    <s v="Yes"/>
    <m/>
    <s v="Yes"/>
    <m/>
    <s v="Yes"/>
    <m/>
    <s v="N/A"/>
    <m/>
    <s v="Yes"/>
    <m/>
    <s v="Yes"/>
    <m/>
    <s v="Re-certified"/>
    <e v="#N/A"/>
    <s v="N/A"/>
    <n v="0"/>
  </r>
  <r>
    <x v="1172"/>
    <x v="8"/>
    <x v="77"/>
    <n v="28"/>
    <n v="1550"/>
    <n v="43400"/>
    <s v="11+298"/>
    <s v="Yes"/>
    <m/>
    <s v="Yes"/>
    <m/>
    <s v="Yes"/>
    <m/>
    <s v="Yes"/>
    <m/>
    <s v="N/A"/>
    <m/>
    <s v="Yes"/>
    <m/>
    <s v="Yes"/>
    <m/>
    <s v="New"/>
    <s v="INFASCO"/>
    <n v="123.6"/>
    <n v="123.6"/>
  </r>
  <r>
    <x v="1173"/>
    <x v="8"/>
    <x v="50"/>
    <n v="16"/>
    <n v="2500"/>
    <n v="40000"/>
    <s v="11+298"/>
    <s v="Yes"/>
    <m/>
    <s v="Yes"/>
    <m/>
    <s v="Yes"/>
    <m/>
    <s v="Yes"/>
    <m/>
    <s v="N/A"/>
    <m/>
    <s v="Yes"/>
    <m/>
    <s v="Yes"/>
    <m/>
    <s v="New"/>
    <s v="INFASCO"/>
    <n v="123.6"/>
    <n v="123.6"/>
  </r>
  <r>
    <x v="1174"/>
    <x v="8"/>
    <x v="50"/>
    <n v="20"/>
    <n v="2500"/>
    <n v="50000"/>
    <s v="11+298"/>
    <s v="Yes"/>
    <m/>
    <s v="Yes"/>
    <m/>
    <s v="Yes"/>
    <m/>
    <s v="Yes"/>
    <m/>
    <s v="N/A"/>
    <m/>
    <s v="Yes"/>
    <m/>
    <s v="Yes"/>
    <m/>
    <s v="New"/>
    <s v="INFASCO"/>
    <n v="123.6"/>
    <n v="123.6"/>
  </r>
  <r>
    <x v="1175"/>
    <x v="8"/>
    <x v="50"/>
    <n v="5"/>
    <n v="2500"/>
    <n v="12500"/>
    <s v="11+298"/>
    <s v="Yes"/>
    <m/>
    <s v="Yes"/>
    <m/>
    <s v="Yes"/>
    <m/>
    <s v="Yes"/>
    <m/>
    <s v="N/A"/>
    <m/>
    <s v="Yes"/>
    <m/>
    <s v="Yes"/>
    <m/>
    <s v="New"/>
    <s v="INFASCO"/>
    <n v="123.6"/>
    <n v="123.6"/>
  </r>
  <r>
    <x v="1176"/>
    <x v="17"/>
    <x v="212"/>
    <n v="24"/>
    <n v="800"/>
    <n v="19200"/>
    <s v="184+327"/>
    <s v="Yes"/>
    <m/>
    <s v="Yes"/>
    <m/>
    <s v="Yes"/>
    <m/>
    <s v="Yes"/>
    <m/>
    <s v="N/A"/>
    <m/>
    <s v="Yes"/>
    <m/>
    <s v="Yes"/>
    <m/>
    <s v="New"/>
    <s v="INFASCO"/>
    <n v="97.85"/>
    <n v="97.85"/>
  </r>
  <r>
    <x v="1177"/>
    <x v="8"/>
    <x v="65"/>
    <n v="25"/>
    <n v="300"/>
    <n v="7500"/>
    <s v="11+298"/>
    <s v="Yes"/>
    <m/>
    <s v="Yes"/>
    <m/>
    <s v="Yes"/>
    <m/>
    <s v="Yes"/>
    <m/>
    <s v="N/A"/>
    <m/>
    <s v="Yes"/>
    <m/>
    <s v="Yes"/>
    <m/>
    <s v="New"/>
    <s v="INFASCO"/>
    <n v="123.6"/>
    <n v="123.6"/>
  </r>
  <r>
    <x v="1178"/>
    <x v="8"/>
    <x v="65"/>
    <n v="11"/>
    <n v="300"/>
    <n v="3300"/>
    <s v="11+298"/>
    <s v="Yes"/>
    <m/>
    <s v="Yes"/>
    <m/>
    <s v="Yes"/>
    <m/>
    <s v="Yes"/>
    <m/>
    <s v="N/A"/>
    <m/>
    <s v="Yes"/>
    <m/>
    <s v="Yes"/>
    <m/>
    <s v="New"/>
    <s v="INFASCO"/>
    <n v="123.6"/>
    <n v="123.6"/>
  </r>
  <r>
    <x v="1179"/>
    <x v="8"/>
    <x v="65"/>
    <n v="14"/>
    <n v="300"/>
    <n v="4200"/>
    <s v="11+298"/>
    <s v="Yes"/>
    <m/>
    <s v="Yes"/>
    <m/>
    <s v="Yes"/>
    <m/>
    <s v="Yes"/>
    <m/>
    <s v="N/A"/>
    <m/>
    <s v="Yes"/>
    <m/>
    <s v="Yes"/>
    <m/>
    <s v="New"/>
    <s v="INFASCO"/>
    <n v="123.6"/>
    <n v="123.6"/>
  </r>
  <r>
    <x v="1180"/>
    <x v="8"/>
    <x v="77"/>
    <n v="18"/>
    <n v="1550"/>
    <n v="27900"/>
    <s v="11+298"/>
    <s v="Yes"/>
    <m/>
    <s v="Yes"/>
    <m/>
    <s v="Yes"/>
    <m/>
    <s v="Yes"/>
    <m/>
    <s v="N/A"/>
    <m/>
    <s v="Yes"/>
    <m/>
    <s v="Yes"/>
    <m/>
    <s v="New"/>
    <s v="INFASCO"/>
    <n v="123.6"/>
    <n v="123.6"/>
  </r>
  <r>
    <x v="1181"/>
    <x v="17"/>
    <x v="65"/>
    <n v="36"/>
    <n v="300"/>
    <n v="10800"/>
    <n v="184"/>
    <s v="Yes"/>
    <m/>
    <s v="Yes"/>
    <m/>
    <s v="Yes"/>
    <m/>
    <s v="Yes"/>
    <m/>
    <s v="N/A"/>
    <m/>
    <s v="Yes"/>
    <m/>
    <s v="Yes"/>
    <m/>
    <s v="New"/>
    <s v="INFASCO"/>
    <n v="123.6"/>
    <n v="123.6"/>
  </r>
  <r>
    <x v="1182"/>
    <x v="17"/>
    <x v="65"/>
    <n v="13"/>
    <n v="300"/>
    <n v="3900"/>
    <n v="184"/>
    <s v="Yes"/>
    <m/>
    <s v="Yes"/>
    <m/>
    <s v="Yes"/>
    <m/>
    <s v="Yes"/>
    <m/>
    <s v="N/A"/>
    <m/>
    <s v="Yes"/>
    <m/>
    <s v="Yes"/>
    <m/>
    <s v="New"/>
    <s v="INFASCO"/>
    <n v="123.6"/>
    <n v="123.6"/>
  </r>
  <r>
    <x v="1183"/>
    <x v="10"/>
    <x v="29"/>
    <n v="36"/>
    <n v="500"/>
    <n v="18000"/>
    <s v="190+187"/>
    <s v="Yes"/>
    <m/>
    <s v="Yes"/>
    <m/>
    <s v="Yes"/>
    <m/>
    <s v="Yes"/>
    <m/>
    <s v="N/A"/>
    <m/>
    <s v="Yes"/>
    <m/>
    <s v="Yes"/>
    <m/>
    <s v="New"/>
    <s v="INFASCO"/>
    <n v="97.85"/>
    <n v="97.85"/>
  </r>
  <r>
    <x v="1184"/>
    <x v="8"/>
    <x v="77"/>
    <n v="22"/>
    <n v="1550"/>
    <n v="34100"/>
    <s v="11+298"/>
    <s v="Yes"/>
    <m/>
    <s v="Yes"/>
    <m/>
    <s v="Yes"/>
    <m/>
    <s v="Yes"/>
    <m/>
    <s v="N/A"/>
    <m/>
    <s v="Yes"/>
    <m/>
    <s v="Yes"/>
    <m/>
    <s v="New"/>
    <s v="INFASCO"/>
    <n v="123.6"/>
    <n v="123.6"/>
  </r>
  <r>
    <x v="1185"/>
    <x v="8"/>
    <x v="47"/>
    <n v="21"/>
    <n v="4000"/>
    <n v="84000"/>
    <s v="11+298"/>
    <s v="Yes"/>
    <m/>
    <s v="Yes"/>
    <m/>
    <s v="Yes"/>
    <m/>
    <s v="Yes"/>
    <m/>
    <s v="N/A"/>
    <m/>
    <s v="Yes"/>
    <m/>
    <s v="Yes"/>
    <m/>
    <s v="New"/>
    <s v="INFASCO"/>
    <n v="97.85"/>
    <n v="97.85"/>
  </r>
  <r>
    <x v="1186"/>
    <x v="8"/>
    <x v="47"/>
    <n v="30"/>
    <n v="4000"/>
    <n v="120000"/>
    <s v="11+298"/>
    <s v="Yes"/>
    <m/>
    <s v="Yes"/>
    <m/>
    <s v="Yes"/>
    <m/>
    <s v="Yes"/>
    <m/>
    <s v="N/A"/>
    <m/>
    <s v="Yes"/>
    <m/>
    <s v="Yes"/>
    <m/>
    <s v="New"/>
    <s v="INFASCO"/>
    <n v="97.85"/>
    <n v="97.85"/>
  </r>
  <r>
    <x v="1187"/>
    <x v="18"/>
    <x v="71"/>
    <n v="36"/>
    <n v="1500"/>
    <n v="54000"/>
    <n v="69"/>
    <s v="Yes"/>
    <m/>
    <s v="Yes"/>
    <m/>
    <s v="Yes"/>
    <m/>
    <s v="Yes"/>
    <m/>
    <s v="N/A"/>
    <m/>
    <s v="Yes"/>
    <m/>
    <s v="Yes"/>
    <m/>
    <s v="New"/>
    <s v="INFASCO"/>
    <n v="97.85"/>
    <n v="97.85"/>
  </r>
  <r>
    <x v="1188"/>
    <x v="18"/>
    <x v="71"/>
    <n v="24"/>
    <n v="1500"/>
    <n v="36000"/>
    <n v="69"/>
    <s v="Yes"/>
    <m/>
    <s v="Yes"/>
    <m/>
    <s v="Yes"/>
    <m/>
    <s v="Yes"/>
    <m/>
    <s v="N/A"/>
    <m/>
    <s v="Yes"/>
    <m/>
    <s v="Yes"/>
    <m/>
    <s v="New"/>
    <s v="INFASCO"/>
    <n v="97.85"/>
    <n v="97.85"/>
  </r>
  <r>
    <x v="1189"/>
    <x v="17"/>
    <x v="30"/>
    <n v="33"/>
    <n v="425"/>
    <n v="14025"/>
    <n v="184"/>
    <s v="Yes"/>
    <m/>
    <s v="Yes"/>
    <m/>
    <s v="Yes"/>
    <m/>
    <s v="Yes"/>
    <m/>
    <s v="N/A"/>
    <m/>
    <s v="Yes"/>
    <m/>
    <s v="Yes"/>
    <m/>
    <s v="New"/>
    <s v="INFASCO"/>
    <n v="97.85"/>
    <n v="97.85"/>
  </r>
  <r>
    <x v="1190"/>
    <x v="8"/>
    <x v="178"/>
    <n v="35"/>
    <n v="300"/>
    <n v="10500"/>
    <s v="011+298"/>
    <s v="Yes"/>
    <m/>
    <s v="Yes"/>
    <m/>
    <s v="Yes"/>
    <m/>
    <s v="Yes"/>
    <m/>
    <s v="N/A"/>
    <m/>
    <s v="Yes"/>
    <m/>
    <s v="Yes"/>
    <m/>
    <s v="New"/>
    <s v="INFASCO"/>
    <n v="97.85"/>
    <n v="97.85"/>
  </r>
  <r>
    <x v="1191"/>
    <x v="18"/>
    <x v="71"/>
    <n v="36"/>
    <n v="1500"/>
    <n v="54000"/>
    <n v="69"/>
    <s v="Yes"/>
    <m/>
    <s v="Yes"/>
    <m/>
    <s v="Yes"/>
    <m/>
    <s v="Yes"/>
    <m/>
    <s v="N/A"/>
    <m/>
    <s v="Yes"/>
    <m/>
    <s v="Yes"/>
    <m/>
    <s v="New"/>
    <s v="INFASCO"/>
    <n v="97.85"/>
    <n v="97.85"/>
  </r>
  <r>
    <x v="1192"/>
    <x v="8"/>
    <x v="213"/>
    <n v="27"/>
    <n v="625"/>
    <n v="16875"/>
    <s v="11+298"/>
    <s v="Yes"/>
    <m/>
    <s v="Yes"/>
    <m/>
    <s v="Yes"/>
    <m/>
    <s v="Yes"/>
    <m/>
    <s v="N/A"/>
    <m/>
    <s v="Yes"/>
    <m/>
    <s v="Yes"/>
    <m/>
    <s v="New"/>
    <e v="#N/A"/>
    <s v="N/A"/>
    <e v="#N/A"/>
  </r>
  <r>
    <x v="1193"/>
    <x v="8"/>
    <x v="214"/>
    <n v="36"/>
    <n v="450"/>
    <n v="16200"/>
    <s v="11+298"/>
    <s v="Yes"/>
    <m/>
    <s v="Yes"/>
    <m/>
    <s v="Yes"/>
    <m/>
    <s v="Yes"/>
    <m/>
    <s v="N/A"/>
    <m/>
    <s v="Yes"/>
    <m/>
    <s v="Yes"/>
    <m/>
    <s v="New"/>
    <e v="#N/A"/>
    <s v="N/A"/>
    <e v="#N/A"/>
  </r>
  <r>
    <x v="1194"/>
    <x v="8"/>
    <x v="214"/>
    <n v="3"/>
    <n v="450"/>
    <n v="1350"/>
    <s v="11+298"/>
    <s v="Yes"/>
    <m/>
    <s v="Yes"/>
    <m/>
    <s v="Yes"/>
    <m/>
    <s v="Yes"/>
    <m/>
    <s v="N/A"/>
    <m/>
    <s v="Yes"/>
    <m/>
    <s v="Yes"/>
    <m/>
    <s v="New"/>
    <e v="#N/A"/>
    <s v="N/A"/>
    <e v="#N/A"/>
  </r>
  <r>
    <x v="1195"/>
    <x v="18"/>
    <x v="71"/>
    <n v="19"/>
    <n v="1500"/>
    <n v="28500"/>
    <n v="69"/>
    <s v="Yes"/>
    <m/>
    <s v="Yes"/>
    <m/>
    <s v="Yes"/>
    <m/>
    <s v="Yes"/>
    <m/>
    <s v="N/A"/>
    <m/>
    <s v="Yes"/>
    <m/>
    <s v="Yes"/>
    <m/>
    <s v="New"/>
    <s v="INFASCO"/>
    <n v="97.85"/>
    <n v="97.85"/>
  </r>
  <r>
    <x v="1196"/>
    <x v="8"/>
    <x v="178"/>
    <n v="36"/>
    <n v="300"/>
    <n v="10800"/>
    <s v="11+298"/>
    <s v="Yes"/>
    <m/>
    <s v="Yes"/>
    <m/>
    <s v="Yes"/>
    <m/>
    <s v="Yes"/>
    <m/>
    <s v="N/A"/>
    <m/>
    <s v="Yes"/>
    <m/>
    <s v="Yes"/>
    <m/>
    <s v="New"/>
    <s v="INFASCO"/>
    <n v="97.85"/>
    <n v="97.85"/>
  </r>
  <r>
    <x v="1197"/>
    <x v="8"/>
    <x v="178"/>
    <n v="6"/>
    <n v="300"/>
    <n v="1800"/>
    <s v="11+298"/>
    <s v="Yes"/>
    <m/>
    <s v="Yes"/>
    <m/>
    <s v="Yes"/>
    <m/>
    <s v="Yes"/>
    <m/>
    <s v="N/A"/>
    <m/>
    <s v="Yes"/>
    <m/>
    <s v="Yes"/>
    <m/>
    <s v="New"/>
    <s v="INFASCO"/>
    <n v="97.85"/>
    <n v="97.85"/>
  </r>
  <r>
    <x v="1198"/>
    <x v="8"/>
    <x v="215"/>
    <n v="36"/>
    <n v="450"/>
    <n v="16200"/>
    <s v="11+298"/>
    <s v="Yes"/>
    <m/>
    <s v="Yes"/>
    <m/>
    <s v="Yes"/>
    <m/>
    <s v="Yes"/>
    <m/>
    <s v="N/A"/>
    <m/>
    <s v="Yes"/>
    <m/>
    <s v="Yes"/>
    <m/>
    <s v="New"/>
    <s v="INFASCO"/>
    <n v="97.85"/>
    <n v="97.85"/>
  </r>
  <r>
    <x v="1199"/>
    <x v="8"/>
    <x v="216"/>
    <n v="36"/>
    <n v="450"/>
    <n v="16200"/>
    <s v="11+298"/>
    <s v="Yes"/>
    <m/>
    <s v="Yes"/>
    <m/>
    <s v="Yes"/>
    <m/>
    <s v="Yes"/>
    <m/>
    <s v="N/A"/>
    <m/>
    <s v="Yes"/>
    <m/>
    <s v="Yes"/>
    <m/>
    <s v="New"/>
    <e v="#N/A"/>
    <s v="N/A"/>
    <e v="#N/A"/>
  </r>
  <r>
    <x v="1200"/>
    <x v="17"/>
    <x v="178"/>
    <n v="36"/>
    <n v="300"/>
    <n v="10800"/>
    <n v="184"/>
    <s v="Yes"/>
    <m/>
    <s v="Yes"/>
    <m/>
    <s v="Yes"/>
    <m/>
    <s v="Yes"/>
    <m/>
    <s v="N/A"/>
    <m/>
    <s v="Yes"/>
    <m/>
    <s v="Yes"/>
    <m/>
    <s v="New"/>
    <s v="INFASCO"/>
    <n v="97.85"/>
    <n v="97.85"/>
  </r>
  <r>
    <x v="1201"/>
    <x v="17"/>
    <x v="178"/>
    <n v="3"/>
    <n v="300"/>
    <n v="900"/>
    <n v="184"/>
    <s v="Yes"/>
    <m/>
    <s v="Yes"/>
    <m/>
    <s v="Yes"/>
    <m/>
    <s v="Yes"/>
    <m/>
    <s v="N/A"/>
    <m/>
    <s v="Yes"/>
    <m/>
    <s v="Yes"/>
    <m/>
    <s v="New"/>
    <s v="INFASCO"/>
    <n v="97.85"/>
    <n v="97.85"/>
  </r>
  <r>
    <x v="1202"/>
    <x v="8"/>
    <x v="217"/>
    <n v="33"/>
    <n v="450"/>
    <n v="14850"/>
    <s v="11+298"/>
    <s v="Yes"/>
    <m/>
    <s v="Yes"/>
    <m/>
    <s v="Yes"/>
    <m/>
    <s v="Yes"/>
    <m/>
    <s v="N/A"/>
    <m/>
    <s v="Yes"/>
    <m/>
    <s v="Yes"/>
    <m/>
    <s v="New"/>
    <e v="#N/A"/>
    <s v="N/A"/>
    <e v="#N/A"/>
  </r>
  <r>
    <x v="1203"/>
    <x v="18"/>
    <x v="86"/>
    <n v="36"/>
    <n v="2500"/>
    <n v="90000"/>
    <n v="69"/>
    <s v="Yes"/>
    <m/>
    <s v="Yes"/>
    <m/>
    <s v="Yes"/>
    <m/>
    <s v="Yes"/>
    <m/>
    <s v="N/A"/>
    <m/>
    <s v="Yes"/>
    <m/>
    <s v="Yes"/>
    <m/>
    <s v="New"/>
    <s v="INFASCO"/>
    <n v="97.85"/>
    <n v="97.85"/>
  </r>
  <r>
    <x v="1204"/>
    <x v="8"/>
    <x v="54"/>
    <n v="36"/>
    <n v="700"/>
    <n v="25200"/>
    <s v="11+298"/>
    <s v="Yes"/>
    <m/>
    <s v="Yes"/>
    <m/>
    <s v="Yes"/>
    <m/>
    <s v="Yes"/>
    <m/>
    <s v="N/A"/>
    <m/>
    <s v="Yes"/>
    <m/>
    <s v="Yes"/>
    <m/>
    <s v="New"/>
    <s v="INFASCO"/>
    <n v="97.85"/>
    <n v="97.85"/>
  </r>
  <r>
    <x v="1205"/>
    <x v="17"/>
    <x v="218"/>
    <n v="1"/>
    <n v="74000"/>
    <n v="74000"/>
    <n v="185"/>
    <s v="Yes"/>
    <m/>
    <s v="Yes"/>
    <m/>
    <s v="Yes"/>
    <m/>
    <s v="Yes"/>
    <m/>
    <s v="N/A"/>
    <m/>
    <s v="Yes"/>
    <m/>
    <s v="Yes"/>
    <m/>
    <s v="New"/>
    <e v="#N/A"/>
    <s v="N/A"/>
    <e v="#N/A"/>
  </r>
  <r>
    <x v="1206"/>
    <x v="17"/>
    <x v="54"/>
    <n v="36"/>
    <n v="700"/>
    <n v="25200"/>
    <n v="185"/>
    <s v="Yes"/>
    <m/>
    <s v="Yes"/>
    <m/>
    <s v="Yes"/>
    <m/>
    <s v="Yes"/>
    <m/>
    <s v="N/A"/>
    <m/>
    <s v="Yes"/>
    <m/>
    <s v="Yes"/>
    <m/>
    <s v="New"/>
    <s v="INFASCO"/>
    <n v="97.85"/>
    <n v="97.85"/>
  </r>
  <r>
    <x v="1207"/>
    <x v="8"/>
    <x v="77"/>
    <n v="36"/>
    <n v="1550"/>
    <n v="55800"/>
    <s v="11+298"/>
    <s v="Yes"/>
    <m/>
    <s v="Yes"/>
    <m/>
    <s v="Yes"/>
    <m/>
    <s v="Yes"/>
    <m/>
    <s v="N/A"/>
    <m/>
    <s v="Yes"/>
    <m/>
    <s v="Yes"/>
    <m/>
    <s v="New"/>
    <s v="INFASCO"/>
    <n v="123.6"/>
    <n v="123.6"/>
  </r>
  <r>
    <x v="1208"/>
    <x v="8"/>
    <x v="54"/>
    <n v="36"/>
    <n v="700"/>
    <n v="25200"/>
    <s v="11+298"/>
    <s v="Yes"/>
    <m/>
    <s v="Yes"/>
    <m/>
    <s v="Yes"/>
    <m/>
    <s v="Yes"/>
    <m/>
    <s v="N/A"/>
    <m/>
    <s v="Yes"/>
    <m/>
    <s v="Yes"/>
    <m/>
    <s v="New"/>
    <s v="INFASCO"/>
    <n v="97.85"/>
    <n v="97.85"/>
  </r>
  <r>
    <x v="1209"/>
    <x v="17"/>
    <x v="77"/>
    <n v="32"/>
    <n v="1550"/>
    <n v="49600"/>
    <n v="185"/>
    <s v="Yes"/>
    <m/>
    <s v="Yes"/>
    <m/>
    <s v="Yes"/>
    <m/>
    <s v="Yes"/>
    <m/>
    <s v="N/A"/>
    <m/>
    <s v="Yes"/>
    <m/>
    <s v="Yes"/>
    <m/>
    <s v="New"/>
    <s v="INFASCO"/>
    <n v="123.6"/>
    <n v="123.6"/>
  </r>
  <r>
    <x v="1210"/>
    <x v="8"/>
    <x v="77"/>
    <n v="27"/>
    <n v="1550"/>
    <n v="41850"/>
    <s v="011+298"/>
    <s v="Yes"/>
    <m/>
    <s v="Yes"/>
    <m/>
    <s v="Yes"/>
    <m/>
    <s v="Yes"/>
    <m/>
    <s v="N/A"/>
    <m/>
    <s v="Yes"/>
    <m/>
    <s v="Yes"/>
    <m/>
    <s v="New"/>
    <s v="INFASCO"/>
    <n v="123.6"/>
    <n v="123.6"/>
  </r>
  <r>
    <x v="1211"/>
    <x v="8"/>
    <x v="77"/>
    <n v="36"/>
    <n v="1550"/>
    <n v="55800"/>
    <s v="11+298"/>
    <s v="Yes"/>
    <m/>
    <s v="Yes"/>
    <m/>
    <s v="Yes"/>
    <m/>
    <s v="Yes"/>
    <m/>
    <s v="N/A"/>
    <m/>
    <s v="Yes"/>
    <m/>
    <s v="Yes"/>
    <m/>
    <s v="New"/>
    <s v="INFASCO"/>
    <n v="123.6"/>
    <n v="123.6"/>
  </r>
  <r>
    <x v="1212"/>
    <x v="17"/>
    <x v="77"/>
    <n v="36"/>
    <n v="1550"/>
    <n v="55800"/>
    <n v="185"/>
    <s v="Yes"/>
    <m/>
    <s v="Yes"/>
    <m/>
    <s v="Yes"/>
    <m/>
    <s v="Yes"/>
    <m/>
    <s v="N/A"/>
    <m/>
    <s v="Yes"/>
    <m/>
    <s v="Yes"/>
    <m/>
    <s v="New"/>
    <s v="INFASCO"/>
    <n v="123.6"/>
    <n v="123.6"/>
  </r>
  <r>
    <x v="1213"/>
    <x v="8"/>
    <x v="78"/>
    <n v="1"/>
    <n v="38114"/>
    <n v="38114"/>
    <s v="11+298"/>
    <s v="Yes"/>
    <m/>
    <s v="Yes"/>
    <m/>
    <s v="Yes"/>
    <m/>
    <s v="Yes"/>
    <m/>
    <s v="N/A"/>
    <m/>
    <s v="Yes"/>
    <m/>
    <s v="Yes"/>
    <m/>
    <s v="New"/>
    <s v="INFASCO"/>
    <n v="118.45"/>
    <n v="118.45"/>
  </r>
  <r>
    <x v="1214"/>
    <x v="8"/>
    <x v="77"/>
    <n v="20"/>
    <n v="1550"/>
    <n v="31000"/>
    <s v="11+298"/>
    <s v="Yes"/>
    <m/>
    <s v="Yes"/>
    <m/>
    <s v="Yes"/>
    <m/>
    <s v="Yes"/>
    <m/>
    <s v="N/A"/>
    <m/>
    <s v="Yes"/>
    <m/>
    <s v="Yes"/>
    <m/>
    <s v="New"/>
    <s v="INFASCO"/>
    <n v="123.6"/>
    <n v="123.6"/>
  </r>
  <r>
    <x v="1215"/>
    <x v="17"/>
    <x v="77"/>
    <n v="27"/>
    <n v="1550"/>
    <n v="41850"/>
    <n v="185"/>
    <s v="Yes"/>
    <m/>
    <s v="Yes"/>
    <m/>
    <s v="Yes"/>
    <m/>
    <s v="Yes"/>
    <m/>
    <s v="N/A"/>
    <m/>
    <s v="Yes"/>
    <m/>
    <s v="Yes"/>
    <m/>
    <s v="New"/>
    <s v="INFASCO"/>
    <n v="123.6"/>
    <n v="123.6"/>
  </r>
  <r>
    <x v="1216"/>
    <x v="8"/>
    <x v="77"/>
    <n v="36"/>
    <n v="1550"/>
    <n v="55800"/>
    <s v="11+298"/>
    <s v="Yes"/>
    <m/>
    <s v="Yes"/>
    <m/>
    <s v="Yes"/>
    <m/>
    <s v="Yes"/>
    <m/>
    <s v="N/A"/>
    <m/>
    <s v="Yes"/>
    <m/>
    <s v="Yes"/>
    <m/>
    <s v="New"/>
    <s v="INFASCO"/>
    <n v="123.6"/>
    <n v="123.6"/>
  </r>
  <r>
    <x v="1217"/>
    <x v="8"/>
    <x v="219"/>
    <n v="32"/>
    <n v="1550"/>
    <n v="49600"/>
    <s v="11+298"/>
    <s v="Yes"/>
    <m/>
    <s v="Yes"/>
    <m/>
    <s v="Yes"/>
    <m/>
    <s v="Yes"/>
    <m/>
    <s v="N/A"/>
    <m/>
    <s v="Yes"/>
    <m/>
    <s v="Yes"/>
    <m/>
    <s v="New"/>
    <e v="#N/A"/>
    <s v="N/A"/>
    <e v="#N/A"/>
  </r>
  <r>
    <x v="1218"/>
    <x v="17"/>
    <x v="57"/>
    <n v="35"/>
    <n v="270"/>
    <n v="9450"/>
    <n v="185"/>
    <s v="Yes"/>
    <m/>
    <s v="Yes"/>
    <m/>
    <s v="Yes"/>
    <m/>
    <s v="Yes"/>
    <m/>
    <s v="N/A"/>
    <m/>
    <s v="Yes"/>
    <m/>
    <s v="Yes"/>
    <m/>
    <s v="New"/>
    <s v="INFASCO"/>
    <n v="97.85"/>
    <n v="97.85"/>
  </r>
  <r>
    <x v="1219"/>
    <x v="17"/>
    <x v="220"/>
    <n v="1"/>
    <n v="35000"/>
    <n v="35000"/>
    <n v="185"/>
    <s v="Yes"/>
    <m/>
    <s v="Yes"/>
    <m/>
    <s v="Yes"/>
    <m/>
    <s v="Yes"/>
    <m/>
    <s v="N/A"/>
    <m/>
    <s v="Yes"/>
    <m/>
    <s v="Yes"/>
    <m/>
    <s v="New"/>
    <e v="#N/A"/>
    <s v="N/A"/>
    <e v="#N/A"/>
  </r>
  <r>
    <x v="1220"/>
    <x v="8"/>
    <x v="77"/>
    <n v="36"/>
    <n v="1550"/>
    <n v="55800"/>
    <n v="11"/>
    <s v="Yes"/>
    <m/>
    <s v="Yes"/>
    <m/>
    <s v="Yes"/>
    <m/>
    <s v="Yes"/>
    <m/>
    <s v="N/A"/>
    <m/>
    <s v="Yes"/>
    <m/>
    <s v="Yes"/>
    <m/>
    <s v="New"/>
    <s v="INFASCO"/>
    <n v="123.6"/>
    <n v="123.6"/>
  </r>
  <r>
    <x v="1221"/>
    <x v="17"/>
    <x v="220"/>
    <n v="1"/>
    <n v="35000"/>
    <n v="35000"/>
    <n v="185"/>
    <s v="Yes"/>
    <m/>
    <s v="Yes"/>
    <m/>
    <s v="Yes"/>
    <m/>
    <s v="Yes"/>
    <m/>
    <s v="N/A"/>
    <m/>
    <s v="Yes"/>
    <m/>
    <s v="Yes"/>
    <m/>
    <s v="New"/>
    <e v="#N/A"/>
    <s v="N/A"/>
    <e v="#N/A"/>
  </r>
  <r>
    <x v="1222"/>
    <x v="8"/>
    <x v="77"/>
    <n v="36"/>
    <n v="1550"/>
    <n v="55800"/>
    <n v="11"/>
    <s v="Yes"/>
    <m/>
    <s v="Yes"/>
    <m/>
    <s v="Yes"/>
    <m/>
    <s v="Yes"/>
    <m/>
    <s v="N/A"/>
    <m/>
    <s v="Yes"/>
    <m/>
    <s v="Yes"/>
    <m/>
    <s v="New"/>
    <s v="INFASCO"/>
    <n v="123.6"/>
    <n v="123.6"/>
  </r>
  <r>
    <x v="1223"/>
    <x v="8"/>
    <x v="78"/>
    <n v="1"/>
    <n v="35000"/>
    <n v="35000"/>
    <n v="11"/>
    <s v="Yes"/>
    <m/>
    <s v="Yes"/>
    <m/>
    <s v="Yes"/>
    <m/>
    <s v="Yes"/>
    <m/>
    <s v="N/A"/>
    <m/>
    <s v="Yes"/>
    <m/>
    <s v="Yes"/>
    <m/>
    <s v="New"/>
    <s v="INFASCO"/>
    <n v="118.45"/>
    <n v="118.45"/>
  </r>
  <r>
    <x v="1224"/>
    <x v="8"/>
    <x v="78"/>
    <n v="1"/>
    <n v="8618"/>
    <n v="8618"/>
    <n v="11"/>
    <s v="Yes"/>
    <m/>
    <s v="Yes"/>
    <m/>
    <s v="Yes"/>
    <m/>
    <s v="Yes"/>
    <m/>
    <s v="N/A"/>
    <m/>
    <s v="Yes"/>
    <m/>
    <s v="Yes"/>
    <m/>
    <s v="New"/>
    <s v="INFASCO"/>
    <n v="118.45"/>
    <n v="118.45"/>
  </r>
  <r>
    <x v="1225"/>
    <x v="17"/>
    <x v="48"/>
    <n v="1"/>
    <n v="61045"/>
    <n v="61045"/>
    <s v="168+185"/>
    <s v="Yes"/>
    <m/>
    <s v="Yes"/>
    <m/>
    <s v="Yes"/>
    <m/>
    <s v="Yes"/>
    <m/>
    <s v="N/A"/>
    <m/>
    <s v="Yes"/>
    <m/>
    <s v="Yes"/>
    <m/>
    <s v="New"/>
    <s v="INFASCO"/>
    <n v="118.45"/>
    <n v="118.45"/>
  </r>
  <r>
    <x v="1226"/>
    <x v="17"/>
    <x v="221"/>
    <n v="1"/>
    <n v="61864"/>
    <n v="61864"/>
    <s v="185+168"/>
    <s v="Yes"/>
    <m/>
    <s v="Yes"/>
    <m/>
    <s v="Yes"/>
    <m/>
    <s v="Yes"/>
    <m/>
    <s v="N/A"/>
    <m/>
    <s v="Yes"/>
    <m/>
    <s v="Yes"/>
    <m/>
    <s v="New"/>
    <e v="#N/A"/>
    <s v="N/A"/>
    <e v="#N/A"/>
  </r>
  <r>
    <x v="1227"/>
    <x v="17"/>
    <x v="49"/>
    <n v="36"/>
    <n v="1400"/>
    <n v="50400"/>
    <s v="185+168"/>
    <s v="Yes"/>
    <m/>
    <s v="Yes"/>
    <m/>
    <s v="Yes"/>
    <m/>
    <s v="Yes"/>
    <m/>
    <s v="N/A"/>
    <m/>
    <s v="Yes"/>
    <m/>
    <s v="Yes"/>
    <m/>
    <s v="New"/>
    <s v="INFASCO"/>
    <n v="97.85"/>
    <n v="97.85"/>
  </r>
  <r>
    <x v="1228"/>
    <x v="10"/>
    <x v="174"/>
    <n v="21"/>
    <n v="1125"/>
    <n v="23625"/>
    <s v="190+187"/>
    <s v="Yes"/>
    <m/>
    <s v="Yes"/>
    <m/>
    <s v="Yes"/>
    <m/>
    <s v="Yes"/>
    <m/>
    <s v="N/A"/>
    <m/>
    <s v="Yes"/>
    <m/>
    <s v="Yes"/>
    <m/>
    <s v="New"/>
    <s v="INFASCO"/>
    <n v="123.6"/>
    <n v="123.6"/>
  </r>
  <r>
    <x v="1229"/>
    <x v="10"/>
    <x v="221"/>
    <n v="1"/>
    <n v="69040"/>
    <n v="69040"/>
    <s v="190+187"/>
    <s v="Yes"/>
    <m/>
    <s v="Yes"/>
    <m/>
    <s v="Yes"/>
    <m/>
    <s v="Yes"/>
    <m/>
    <s v="N/A"/>
    <m/>
    <s v="Yes"/>
    <m/>
    <s v="Yes"/>
    <m/>
    <s v="New"/>
    <e v="#N/A"/>
    <s v="N/A"/>
    <e v="#N/A"/>
  </r>
  <r>
    <x v="1230"/>
    <x v="10"/>
    <x v="49"/>
    <n v="36"/>
    <n v="1400"/>
    <n v="50400"/>
    <s v="187+190"/>
    <s v="Yes"/>
    <m/>
    <s v="Yes"/>
    <m/>
    <s v="Yes"/>
    <m/>
    <s v="Yes"/>
    <m/>
    <s v="N/A"/>
    <m/>
    <s v="Yes"/>
    <m/>
    <s v="Yes"/>
    <m/>
    <s v="New"/>
    <s v="INFASCO"/>
    <n v="97.85"/>
    <n v="97.85"/>
  </r>
  <r>
    <x v="1231"/>
    <x v="10"/>
    <x v="45"/>
    <n v="1"/>
    <n v="67000"/>
    <n v="67000"/>
    <s v="190+187"/>
    <s v="Yes"/>
    <m/>
    <s v="Yes"/>
    <m/>
    <s v="Yes"/>
    <m/>
    <s v="Yes"/>
    <m/>
    <s v="N/A"/>
    <m/>
    <s v="Yes"/>
    <m/>
    <s v="Yes"/>
    <m/>
    <s v="New"/>
    <s v="INFASCO"/>
    <n v="226.6"/>
    <n v="226.6"/>
  </r>
  <r>
    <x v="1232"/>
    <x v="17"/>
    <x v="49"/>
    <n v="21"/>
    <n v="1400"/>
    <n v="29400"/>
    <s v="185+168"/>
    <s v="Yes"/>
    <m/>
    <s v="Yes"/>
    <m/>
    <s v="Yes"/>
    <m/>
    <s v="Yes"/>
    <m/>
    <s v="N/A"/>
    <m/>
    <s v="Yes"/>
    <m/>
    <s v="Yes"/>
    <m/>
    <s v="New"/>
    <s v="INFASCO"/>
    <n v="97.85"/>
    <n v="97.85"/>
  </r>
  <r>
    <x v="1233"/>
    <x v="8"/>
    <x v="48"/>
    <n v="1"/>
    <n v="65779"/>
    <n v="65779"/>
    <s v="011+298"/>
    <s v="Yes"/>
    <m/>
    <s v="Yes"/>
    <m/>
    <s v="Yes"/>
    <m/>
    <s v="Yes"/>
    <m/>
    <s v="N/A"/>
    <m/>
    <s v="Yes"/>
    <m/>
    <s v="Yes"/>
    <m/>
    <s v="New"/>
    <s v="INFASCO"/>
    <n v="118.45"/>
    <n v="118.45"/>
  </r>
  <r>
    <x v="1234"/>
    <x v="8"/>
    <x v="72"/>
    <n v="36"/>
    <n v="1150"/>
    <n v="41400"/>
    <s v="011+298"/>
    <s v="Yes"/>
    <m/>
    <s v="Yes"/>
    <m/>
    <s v="Yes"/>
    <m/>
    <s v="Yes"/>
    <m/>
    <s v="N/A"/>
    <m/>
    <s v="Yes"/>
    <m/>
    <s v="Yes"/>
    <m/>
    <s v="New"/>
    <s v="INFASCO"/>
    <n v="97.85"/>
    <n v="97.85"/>
  </r>
  <r>
    <x v="1235"/>
    <x v="8"/>
    <x v="72"/>
    <n v="7"/>
    <n v="1150"/>
    <n v="8050"/>
    <s v="011+298"/>
    <s v="Yes"/>
    <m/>
    <s v="Yes"/>
    <m/>
    <s v="Yes"/>
    <m/>
    <s v="Yes"/>
    <m/>
    <s v="N/A"/>
    <m/>
    <s v="Yes"/>
    <m/>
    <s v="Yes"/>
    <m/>
    <s v="New"/>
    <s v="INFASCO"/>
    <n v="97.85"/>
    <n v="97.85"/>
  </r>
  <r>
    <x v="1236"/>
    <x v="8"/>
    <x v="49"/>
    <n v="36"/>
    <n v="1400"/>
    <n v="50400"/>
    <s v="011+298"/>
    <s v="Yes"/>
    <m/>
    <s v="Yes"/>
    <m/>
    <s v="Yes"/>
    <m/>
    <s v="Yes"/>
    <m/>
    <s v="N/A"/>
    <m/>
    <s v="Yes"/>
    <m/>
    <s v="Yes"/>
    <m/>
    <s v="New"/>
    <s v="INFASCO"/>
    <n v="97.85"/>
    <n v="97.85"/>
  </r>
  <r>
    <x v="1237"/>
    <x v="8"/>
    <x v="85"/>
    <n v="36"/>
    <n v="485"/>
    <n v="17460"/>
    <s v="011+298"/>
    <s v="Yes"/>
    <m/>
    <s v="Yes"/>
    <m/>
    <s v="Yes"/>
    <m/>
    <s v="Yes"/>
    <m/>
    <s v="N/A"/>
    <m/>
    <s v="Yes"/>
    <m/>
    <s v="Yes"/>
    <m/>
    <s v="New"/>
    <s v="INFASCO"/>
    <n v="97.85"/>
    <n v="97.85"/>
  </r>
  <r>
    <x v="1238"/>
    <x v="17"/>
    <x v="85"/>
    <n v="36"/>
    <n v="485"/>
    <n v="17460"/>
    <s v="185+168"/>
    <s v="Yes"/>
    <m/>
    <s v="Yes"/>
    <m/>
    <s v="Yes"/>
    <m/>
    <s v="Yes"/>
    <m/>
    <s v="N/A"/>
    <m/>
    <s v="Yes"/>
    <m/>
    <s v="Yes"/>
    <m/>
    <s v="New"/>
    <s v="INFASCO"/>
    <n v="97.85"/>
    <n v="97.85"/>
  </r>
  <r>
    <x v="1239"/>
    <x v="8"/>
    <x v="85"/>
    <n v="35"/>
    <n v="485"/>
    <n v="16975"/>
    <s v="11+298"/>
    <s v="Yes"/>
    <m/>
    <s v="Yes"/>
    <m/>
    <s v="Yes"/>
    <m/>
    <s v="Yes"/>
    <m/>
    <s v="N/A"/>
    <m/>
    <s v="Yes"/>
    <m/>
    <s v="Yes"/>
    <m/>
    <s v="New"/>
    <s v="INFASCO"/>
    <n v="97.85"/>
    <n v="97.85"/>
  </r>
  <r>
    <x v="1240"/>
    <x v="10"/>
    <x v="85"/>
    <n v="36"/>
    <n v="485"/>
    <n v="17460"/>
    <s v="187+190"/>
    <s v="Yes"/>
    <m/>
    <s v="Yes"/>
    <m/>
    <s v="Yes"/>
    <m/>
    <s v="Yes"/>
    <m/>
    <s v="N/A"/>
    <m/>
    <s v="Yes"/>
    <m/>
    <s v="Yes"/>
    <m/>
    <s v="New"/>
    <s v="INFASCO"/>
    <n v="97.85"/>
    <n v="97.85"/>
  </r>
  <r>
    <x v="1241"/>
    <x v="17"/>
    <x v="222"/>
    <n v="36"/>
    <n v="485"/>
    <n v="17460"/>
    <s v="185+168"/>
    <s v="Yes"/>
    <m/>
    <s v="Yes"/>
    <m/>
    <s v="Yes"/>
    <m/>
    <s v="Yes"/>
    <m/>
    <s v="N/A"/>
    <m/>
    <s v="Yes"/>
    <m/>
    <s v="Yes"/>
    <m/>
    <s v="New"/>
    <e v="#N/A"/>
    <s v="N/A"/>
    <e v="#N/A"/>
  </r>
  <r>
    <x v="1242"/>
    <x v="17"/>
    <x v="85"/>
    <n v="36"/>
    <n v="485"/>
    <n v="17460"/>
    <s v="185+168"/>
    <s v="Yes"/>
    <m/>
    <s v="Yes"/>
    <m/>
    <s v="Yes"/>
    <m/>
    <s v="Yes"/>
    <m/>
    <s v="N/A"/>
    <m/>
    <s v="Yes"/>
    <m/>
    <s v="Yes"/>
    <m/>
    <s v="New"/>
    <s v="INFASCO"/>
    <n v="97.85"/>
    <n v="97.85"/>
  </r>
  <r>
    <x v="1243"/>
    <x v="8"/>
    <x v="85"/>
    <n v="36"/>
    <n v="485"/>
    <n v="17460"/>
    <s v="11+298"/>
    <s v="Yes"/>
    <m/>
    <s v="Yes"/>
    <m/>
    <s v="Yes"/>
    <m/>
    <s v="Yes"/>
    <m/>
    <s v="N/A"/>
    <m/>
    <s v="Yes"/>
    <m/>
    <s v="Yes"/>
    <m/>
    <s v="New"/>
    <s v="INFASCO"/>
    <n v="97.85"/>
    <n v="97.85"/>
  </r>
  <r>
    <x v="1244"/>
    <x v="8"/>
    <x v="85"/>
    <n v="28"/>
    <n v="485"/>
    <n v="13580"/>
    <s v="11+298"/>
    <s v="Yes"/>
    <m/>
    <s v="Yes"/>
    <m/>
    <s v="Yes"/>
    <m/>
    <s v="Yes"/>
    <m/>
    <s v="N/A"/>
    <m/>
    <s v="Yes"/>
    <m/>
    <s v="Yes"/>
    <m/>
    <s v="New"/>
    <s v="INFASCO"/>
    <n v="97.85"/>
    <n v="97.85"/>
  </r>
  <r>
    <x v="1245"/>
    <x v="8"/>
    <x v="73"/>
    <n v="36"/>
    <n v="350"/>
    <n v="12600"/>
    <s v="11+298"/>
    <s v="Yes"/>
    <m/>
    <s v="Yes"/>
    <m/>
    <s v="Yes"/>
    <m/>
    <s v="Yes"/>
    <m/>
    <s v="N/A"/>
    <m/>
    <s v="Yes"/>
    <m/>
    <s v="Yes"/>
    <m/>
    <s v="New"/>
    <s v="INFASCO"/>
    <n v="97.85"/>
    <n v="97.85"/>
  </r>
  <r>
    <x v="1246"/>
    <x v="8"/>
    <x v="73"/>
    <n v="36"/>
    <n v="350"/>
    <n v="12600"/>
    <s v="11+298"/>
    <s v="Yes"/>
    <m/>
    <s v="Yes"/>
    <m/>
    <s v="Yes"/>
    <m/>
    <s v="Yes"/>
    <m/>
    <s v="N/A"/>
    <m/>
    <s v="Yes"/>
    <m/>
    <s v="Yes"/>
    <m/>
    <s v="New"/>
    <s v="INFASCO"/>
    <n v="97.85"/>
    <n v="97.85"/>
  </r>
  <r>
    <x v="1247"/>
    <x v="8"/>
    <x v="73"/>
    <n v="34"/>
    <n v="350"/>
    <n v="11900"/>
    <s v="11+298"/>
    <s v="Yes"/>
    <m/>
    <s v="Yes"/>
    <m/>
    <s v="Yes"/>
    <m/>
    <s v="Yes"/>
    <m/>
    <s v="N/A"/>
    <m/>
    <s v="Yes"/>
    <m/>
    <s v="Yes"/>
    <m/>
    <s v="New"/>
    <s v="INFASCO"/>
    <n v="97.85"/>
    <n v="97.85"/>
  </r>
  <r>
    <x v="1248"/>
    <x v="17"/>
    <x v="169"/>
    <n v="36"/>
    <n v="875"/>
    <n v="31500"/>
    <n v="185"/>
    <s v="Yes"/>
    <m/>
    <s v="Yes"/>
    <m/>
    <s v="Yes"/>
    <m/>
    <s v="Yes"/>
    <m/>
    <s v="N/A"/>
    <m/>
    <s v="Yes"/>
    <m/>
    <s v="Yes"/>
    <m/>
    <s v="New"/>
    <s v="INFASCO"/>
    <n v="97.85"/>
    <n v="97.85"/>
  </r>
  <r>
    <x v="1249"/>
    <x v="8"/>
    <x v="79"/>
    <n v="28"/>
    <n v="830"/>
    <n v="23240"/>
    <s v="011+298"/>
    <s v="Yes"/>
    <m/>
    <s v="Yes"/>
    <m/>
    <s v="Yes"/>
    <m/>
    <s v="Yes"/>
    <m/>
    <s v="N/A"/>
    <m/>
    <s v="Yes"/>
    <m/>
    <s v="Yes"/>
    <m/>
    <s v="New"/>
    <s v="INFASCO"/>
    <n v="97.85"/>
    <n v="97.85"/>
  </r>
  <r>
    <x v="1250"/>
    <x v="10"/>
    <x v="85"/>
    <n v="36"/>
    <n v="485"/>
    <n v="17460"/>
    <s v="190+187"/>
    <s v="Yes"/>
    <m/>
    <s v="Yes"/>
    <m/>
    <s v="Yes"/>
    <m/>
    <s v="Yes"/>
    <m/>
    <s v="N/A"/>
    <m/>
    <s v="Yes"/>
    <m/>
    <s v="Yes"/>
    <m/>
    <s v="New"/>
    <s v="INFASCO"/>
    <n v="97.85"/>
    <n v="97.85"/>
  </r>
  <r>
    <x v="1251"/>
    <x v="10"/>
    <x v="73"/>
    <n v="36"/>
    <n v="350"/>
    <n v="12600"/>
    <s v="190+187"/>
    <s v="Yes"/>
    <m/>
    <s v="Yes"/>
    <m/>
    <s v="Yes"/>
    <m/>
    <s v="Yes"/>
    <m/>
    <s v="N/A"/>
    <m/>
    <s v="Yes"/>
    <m/>
    <s v="Yes"/>
    <m/>
    <s v="New"/>
    <s v="INFASCO"/>
    <n v="97.85"/>
    <n v="97.85"/>
  </r>
  <r>
    <x v="1252"/>
    <x v="10"/>
    <x v="73"/>
    <n v="36"/>
    <n v="350"/>
    <n v="12600"/>
    <s v="190+187"/>
    <s v="Yes"/>
    <m/>
    <s v="Yes"/>
    <m/>
    <s v="Yes"/>
    <m/>
    <s v="Yes"/>
    <m/>
    <s v="N/A"/>
    <m/>
    <s v="Yes"/>
    <m/>
    <s v="Yes"/>
    <m/>
    <s v="New"/>
    <s v="INFASCO"/>
    <n v="97.85"/>
    <n v="97.85"/>
  </r>
  <r>
    <x v="1253"/>
    <x v="10"/>
    <x v="73"/>
    <n v="36"/>
    <n v="350"/>
    <n v="12600"/>
    <s v="190+187"/>
    <s v="Yes"/>
    <m/>
    <s v="Yes"/>
    <m/>
    <s v="Yes"/>
    <m/>
    <s v="Yes"/>
    <m/>
    <s v="N/A"/>
    <m/>
    <s v="Yes"/>
    <m/>
    <s v="Yes"/>
    <m/>
    <s v="New"/>
    <s v="INFASCO"/>
    <n v="97.85"/>
    <n v="97.85"/>
  </r>
  <r>
    <x v="1254"/>
    <x v="10"/>
    <x v="223"/>
    <n v="36"/>
    <n v="1500"/>
    <n v="54000"/>
    <s v="190+187"/>
    <s v="Yes"/>
    <m/>
    <s v="Yes"/>
    <m/>
    <s v="Yes"/>
    <m/>
    <s v="Yes"/>
    <m/>
    <s v="N/A"/>
    <m/>
    <s v="Yes"/>
    <m/>
    <s v="Yes"/>
    <m/>
    <s v="New"/>
    <s v="INFASCO"/>
    <n v="26"/>
    <n v="26"/>
  </r>
  <r>
    <x v="1255"/>
    <x v="17"/>
    <x v="36"/>
    <n v="36"/>
    <n v="4000"/>
    <n v="144000"/>
    <s v="185+168"/>
    <s v="Yes"/>
    <m/>
    <s v="Yes"/>
    <m/>
    <s v="Yes"/>
    <m/>
    <s v="Yes"/>
    <m/>
    <s v="N/A"/>
    <m/>
    <s v="Yes"/>
    <m/>
    <s v="Yes"/>
    <m/>
    <s v="New"/>
    <s v="INFASCO"/>
    <n v="123.6"/>
    <n v="123.6"/>
  </r>
  <r>
    <x v="1256"/>
    <x v="8"/>
    <x v="36"/>
    <n v="36"/>
    <n v="4000"/>
    <n v="144000"/>
    <s v="11+298"/>
    <s v="Yes"/>
    <m/>
    <s v="Yes"/>
    <m/>
    <s v="Yes"/>
    <m/>
    <s v="Yes"/>
    <m/>
    <s v="N/A"/>
    <m/>
    <s v="Yes"/>
    <m/>
    <s v="Yes"/>
    <m/>
    <s v="New"/>
    <s v="INFASCO"/>
    <n v="123.6"/>
    <n v="123.6"/>
  </r>
  <r>
    <x v="1257"/>
    <x v="17"/>
    <x v="36"/>
    <n v="27"/>
    <n v="4000"/>
    <n v="108000"/>
    <s v="185+168"/>
    <s v="Yes"/>
    <m/>
    <s v="Yes"/>
    <m/>
    <s v="Yes"/>
    <m/>
    <s v="Yes"/>
    <m/>
    <s v="N/A"/>
    <m/>
    <s v="Yes"/>
    <m/>
    <s v="Yes"/>
    <m/>
    <s v="New"/>
    <s v="INFASCO"/>
    <n v="123.6"/>
    <n v="123.6"/>
  </r>
  <r>
    <x v="1258"/>
    <x v="8"/>
    <x v="36"/>
    <n v="27"/>
    <n v="4000"/>
    <n v="108000"/>
    <s v="11+298"/>
    <s v="Yes"/>
    <m/>
    <s v="Yes"/>
    <m/>
    <s v="Yes"/>
    <m/>
    <s v="Yes"/>
    <m/>
    <s v="N/A"/>
    <m/>
    <s v="Yes"/>
    <m/>
    <s v="Yes"/>
    <m/>
    <s v="New"/>
    <s v="INFASCO"/>
    <n v="123.6"/>
    <n v="123.6"/>
  </r>
  <r>
    <x v="1259"/>
    <x v="17"/>
    <x v="197"/>
    <n v="31"/>
    <n v="850"/>
    <n v="26350"/>
    <s v="185+168"/>
    <s v="Yes"/>
    <m/>
    <s v="Yes"/>
    <m/>
    <s v="Yes"/>
    <m/>
    <s v="Yes"/>
    <m/>
    <s v="N/A"/>
    <m/>
    <s v="Yes"/>
    <m/>
    <s v="Yes"/>
    <m/>
    <s v="New"/>
    <s v="INFASCO"/>
    <s v="N/A"/>
    <n v="97.85"/>
  </r>
  <r>
    <x v="1260"/>
    <x v="10"/>
    <x v="79"/>
    <n v="36"/>
    <n v="830"/>
    <n v="29880"/>
    <s v="190+187"/>
    <s v="Yes"/>
    <m/>
    <s v="Yes"/>
    <m/>
    <s v="Yes"/>
    <m/>
    <s v="Yes"/>
    <m/>
    <s v="N/A"/>
    <m/>
    <s v="Yes"/>
    <m/>
    <s v="Yes"/>
    <m/>
    <s v="New"/>
    <s v="INFASCO"/>
    <n v="97.85"/>
    <n v="97.85"/>
  </r>
  <r>
    <x v="1261"/>
    <x v="10"/>
    <x v="36"/>
    <n v="36"/>
    <n v="4000"/>
    <n v="144000"/>
    <s v="190+187"/>
    <s v="Yes"/>
    <m/>
    <s v="Yes"/>
    <m/>
    <s v="Yes"/>
    <m/>
    <s v="Yes"/>
    <m/>
    <s v="N/A"/>
    <m/>
    <s v="Yes"/>
    <m/>
    <s v="Yes"/>
    <m/>
    <s v="New"/>
    <s v="INFASCO"/>
    <n v="123.6"/>
    <n v="123.6"/>
  </r>
  <r>
    <x v="1262"/>
    <x v="10"/>
    <x v="224"/>
    <n v="36"/>
    <n v="850"/>
    <n v="30600"/>
    <s v="187+190"/>
    <s v="Yes"/>
    <m/>
    <s v="Yes"/>
    <m/>
    <s v="Yes"/>
    <m/>
    <s v="Yes"/>
    <m/>
    <s v="N/A"/>
    <m/>
    <s v="Yes"/>
    <m/>
    <s v="Yes"/>
    <m/>
    <s v="New"/>
    <e v="#N/A"/>
    <s v="N/A"/>
    <e v="#N/A"/>
  </r>
  <r>
    <x v="1263"/>
    <x v="10"/>
    <x v="45"/>
    <n v="1"/>
    <n v="72000"/>
    <n v="72000"/>
    <s v="190+187"/>
    <s v="Yes"/>
    <m/>
    <s v="Yes"/>
    <m/>
    <s v="Yes"/>
    <m/>
    <s v="Yes"/>
    <m/>
    <s v="N/A"/>
    <m/>
    <s v="Yes"/>
    <m/>
    <s v="Yes"/>
    <m/>
    <s v="New"/>
    <s v="INFASCO"/>
    <n v="226.6"/>
    <n v="226.6"/>
  </r>
  <r>
    <x v="1264"/>
    <x v="8"/>
    <x v="225"/>
    <n v="18"/>
    <n v="275"/>
    <n v="4950"/>
    <s v="011+298"/>
    <s v="Yes"/>
    <m/>
    <s v="Yes"/>
    <m/>
    <s v="Yes"/>
    <m/>
    <s v="Yes"/>
    <m/>
    <s v="N/A"/>
    <m/>
    <s v="Yes"/>
    <m/>
    <s v="Yes"/>
    <m/>
    <s v="New"/>
    <s v="INFASCO"/>
    <n v="97.85"/>
    <n v="97.85"/>
  </r>
  <r>
    <x v="1265"/>
    <x v="8"/>
    <x v="32"/>
    <n v="36"/>
    <n v="220"/>
    <n v="7920"/>
    <s v="011+298"/>
    <s v="Yes"/>
    <m/>
    <s v="Yes"/>
    <m/>
    <s v="Yes"/>
    <m/>
    <s v="Yes"/>
    <m/>
    <s v="N/A"/>
    <m/>
    <s v="Yes"/>
    <m/>
    <s v="Yes"/>
    <m/>
    <s v="New"/>
    <s v="INFASCO"/>
    <n v="97.85"/>
    <n v="97.85"/>
  </r>
  <r>
    <x v="1266"/>
    <x v="8"/>
    <x v="32"/>
    <n v="36"/>
    <n v="220"/>
    <n v="7920"/>
    <s v="11+298"/>
    <s v="Yes"/>
    <m/>
    <s v="Yes"/>
    <m/>
    <s v="Yes"/>
    <m/>
    <s v="Yes"/>
    <m/>
    <s v="N/A"/>
    <m/>
    <s v="Yes"/>
    <m/>
    <s v="Yes"/>
    <m/>
    <s v="New"/>
    <s v="INFASCO"/>
    <n v="97.85"/>
    <n v="97.85"/>
  </r>
  <r>
    <x v="1267"/>
    <x v="8"/>
    <x v="32"/>
    <n v="36"/>
    <n v="220"/>
    <n v="7920"/>
    <s v="11+298"/>
    <s v="Yes"/>
    <m/>
    <s v="Yes"/>
    <m/>
    <s v="Yes"/>
    <m/>
    <s v="Yes"/>
    <m/>
    <s v="N/A"/>
    <m/>
    <s v="Yes"/>
    <m/>
    <s v="Yes"/>
    <m/>
    <s v="New"/>
    <s v="INFASCO"/>
    <n v="97.85"/>
    <n v="97.85"/>
  </r>
  <r>
    <x v="1268"/>
    <x v="8"/>
    <x v="32"/>
    <n v="16"/>
    <n v="220"/>
    <n v="3520"/>
    <s v="011+298"/>
    <s v="Yes"/>
    <m/>
    <s v="Yes"/>
    <m/>
    <s v="Yes"/>
    <m/>
    <s v="Yes"/>
    <m/>
    <s v="N/A"/>
    <m/>
    <s v="Yes"/>
    <m/>
    <s v="Yes"/>
    <m/>
    <s v="New"/>
    <s v="INFASCO"/>
    <n v="97.85"/>
    <n v="97.8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3">
  <r>
    <x v="0"/>
    <x v="0"/>
    <s v="11546378-my-ak"/>
    <n v="714028"/>
    <n v="14"/>
    <n v="1250"/>
    <n v="17500"/>
    <n v="156"/>
    <s v="Yes"/>
    <m/>
    <s v="Yes"/>
    <m/>
    <s v="Yes"/>
    <m/>
    <s v="Yes"/>
    <m/>
    <s v="N/A"/>
    <m/>
    <s v="Yes"/>
    <m/>
    <s v="Yes"/>
    <m/>
    <s v="New"/>
    <s v="infasco"/>
    <n v="106.94"/>
    <n v="106.94"/>
  </r>
  <r>
    <x v="0"/>
    <x v="0"/>
    <s v="11546378-my-ak"/>
    <n v="714029"/>
    <n v="11"/>
    <n v="1250"/>
    <n v="13750"/>
    <n v="156"/>
    <s v="Yes"/>
    <m/>
    <s v="Yes"/>
    <m/>
    <s v="Yes"/>
    <m/>
    <s v="Yes"/>
    <m/>
    <s v="N/A"/>
    <m/>
    <s v="Yes"/>
    <m/>
    <s v="Yes"/>
    <m/>
    <s v="Re-certified"/>
    <s v="infasco"/>
    <n v="0"/>
    <n v="0"/>
  </r>
  <r>
    <x v="0"/>
    <x v="1"/>
    <s v="NU5108"/>
    <n v="713727"/>
    <n v="1"/>
    <n v="24000"/>
    <n v="24000"/>
    <n v="156"/>
    <s v="Yes"/>
    <m/>
    <s v="Yes"/>
    <m/>
    <s v="Yes"/>
    <m/>
    <s v="Yes"/>
    <m/>
    <s v="N/A"/>
    <m/>
    <s v="Yes"/>
    <m/>
    <s v="Yes"/>
    <m/>
    <s v="Re-certified"/>
    <s v="infasco"/>
    <n v="0"/>
    <n v="0"/>
  </r>
  <r>
    <x v="0"/>
    <x v="2"/>
    <s v="06101831-A"/>
    <n v="714511"/>
    <n v="29"/>
    <n v="1000"/>
    <n v="29000"/>
    <n v="156"/>
    <s v="Yes"/>
    <m/>
    <s v="Yes"/>
    <m/>
    <s v="Yes"/>
    <m/>
    <s v="Yes"/>
    <m/>
    <s v="N/A"/>
    <m/>
    <s v="Yes"/>
    <m/>
    <s v="Yes"/>
    <m/>
    <s v="Re-certified"/>
    <s v="infasco"/>
    <n v="0"/>
    <n v="0"/>
  </r>
  <r>
    <x v="0"/>
    <x v="3"/>
    <s v="11546367-MY-AK"/>
    <n v="714112"/>
    <n v="14"/>
    <n v="700"/>
    <n v="9800"/>
    <n v="156"/>
    <s v="Yes"/>
    <m/>
    <s v="Yes"/>
    <m/>
    <s v="Yes"/>
    <m/>
    <s v="Yes"/>
    <m/>
    <s v="N/A"/>
    <m/>
    <s v="Yes"/>
    <m/>
    <s v="Yes"/>
    <m/>
    <s v="New"/>
    <s v="infasco"/>
    <n v="106.94"/>
    <n v="106.94"/>
  </r>
  <r>
    <x v="0"/>
    <x v="3"/>
    <s v="11546367-MY-AK"/>
    <n v="714114"/>
    <n v="36"/>
    <n v="700"/>
    <n v="25200"/>
    <n v="156"/>
    <s v="Yes"/>
    <m/>
    <s v="Yes"/>
    <m/>
    <s v="Yes"/>
    <m/>
    <s v="Yes"/>
    <m/>
    <s v="N/A"/>
    <m/>
    <s v="Yes"/>
    <m/>
    <s v="Yes"/>
    <m/>
    <s v="New"/>
    <s v="infasco"/>
    <n v="106.94"/>
    <n v="106.94"/>
  </r>
  <r>
    <x v="0"/>
    <x v="3"/>
    <s v="11546367-MY-AK"/>
    <n v="714110"/>
    <n v="36"/>
    <n v="700"/>
    <n v="25200"/>
    <n v="156"/>
    <s v="Yes"/>
    <m/>
    <s v="Yes"/>
    <m/>
    <s v="Yes"/>
    <m/>
    <s v="Yes"/>
    <m/>
    <s v="N/A"/>
    <m/>
    <s v="Yes"/>
    <m/>
    <s v="Yes"/>
    <m/>
    <s v="New"/>
    <s v="infasco"/>
    <n v="106.94"/>
    <n v="106.94"/>
  </r>
  <r>
    <x v="0"/>
    <x v="3"/>
    <s v="11546367-MY-AK"/>
    <n v="714117"/>
    <n v="8"/>
    <n v="700"/>
    <n v="5600"/>
    <n v="156"/>
    <s v="Yes"/>
    <m/>
    <s v="Yes"/>
    <m/>
    <s v="Yes"/>
    <m/>
    <s v="Yes"/>
    <m/>
    <s v="N/A"/>
    <m/>
    <s v="Yes"/>
    <m/>
    <s v="Yes"/>
    <m/>
    <s v="Re-certified"/>
    <s v="infasco"/>
    <n v="0"/>
    <n v="0"/>
  </r>
  <r>
    <x v="0"/>
    <x v="4"/>
    <s v="11546377BR"/>
    <n v="714503"/>
    <n v="19"/>
    <n v="2000"/>
    <n v="38000"/>
    <n v="156"/>
    <s v="Yes"/>
    <m/>
    <s v="Yes"/>
    <m/>
    <s v="Yes"/>
    <m/>
    <s v="Yes"/>
    <m/>
    <s v="N/A"/>
    <m/>
    <s v="Yes"/>
    <m/>
    <s v="Yes"/>
    <m/>
    <s v="New"/>
    <s v="infasco"/>
    <n v="106.94"/>
    <n v="106.94"/>
  </r>
  <r>
    <x v="0"/>
    <x v="4"/>
    <s v="11546377BR"/>
    <n v="714502"/>
    <n v="5"/>
    <n v="2000"/>
    <n v="10000"/>
    <n v="156"/>
    <s v="Yes"/>
    <m/>
    <s v="Yes"/>
    <m/>
    <s v="Yes"/>
    <m/>
    <s v="Yes"/>
    <m/>
    <s v="N/A"/>
    <m/>
    <s v="Yes"/>
    <m/>
    <s v="Yes"/>
    <m/>
    <s v="Re-certified"/>
    <s v="infasco"/>
    <n v="0"/>
    <n v="0"/>
  </r>
  <r>
    <x v="0"/>
    <x v="5"/>
    <s v="W520113-S441"/>
    <n v="713540"/>
    <n v="7"/>
    <n v="1050"/>
    <n v="7350"/>
    <n v="156"/>
    <s v="Yes"/>
    <m/>
    <s v="Yes"/>
    <m/>
    <s v="Yes"/>
    <m/>
    <s v="Yes"/>
    <m/>
    <s v="N/A"/>
    <m/>
    <s v="Yes"/>
    <m/>
    <s v="Yes"/>
    <m/>
    <s v="New"/>
    <s v="infasco"/>
    <n v="106.94"/>
    <n v="106.94"/>
  </r>
  <r>
    <x v="0"/>
    <x v="5"/>
    <n v="11549168"/>
    <n v="713692"/>
    <n v="36"/>
    <n v="1000"/>
    <n v="36000"/>
    <n v="156"/>
    <s v="Yes"/>
    <m/>
    <s v="Yes"/>
    <m/>
    <s v="Yes"/>
    <m/>
    <s v="Yes"/>
    <m/>
    <s v="N/A"/>
    <m/>
    <s v="Yes"/>
    <m/>
    <s v="Yes"/>
    <m/>
    <s v="New"/>
    <s v="infasco"/>
    <n v="106.94"/>
    <n v="106.94"/>
  </r>
  <r>
    <x v="0"/>
    <x v="5"/>
    <n v="11549168"/>
    <n v="713691"/>
    <n v="16"/>
    <n v="1000"/>
    <n v="16000"/>
    <n v="156"/>
    <s v="Yes"/>
    <m/>
    <s v="Yes"/>
    <m/>
    <s v="Yes"/>
    <m/>
    <s v="Yes"/>
    <m/>
    <s v="N/A"/>
    <m/>
    <s v="Yes"/>
    <m/>
    <s v="Yes"/>
    <m/>
    <s v="Re-certified"/>
    <s v="infasco"/>
    <n v="0"/>
    <n v="0"/>
  </r>
  <r>
    <x v="0"/>
    <x v="6"/>
    <n v="11546377"/>
    <n v="714315"/>
    <n v="2"/>
    <n v="2150"/>
    <n v="4300"/>
    <n v="275"/>
    <s v="Yes"/>
    <m/>
    <s v="Yes"/>
    <m/>
    <s v="Yes"/>
    <m/>
    <s v="Yes"/>
    <m/>
    <s v="N/A"/>
    <m/>
    <s v="Yes"/>
    <m/>
    <s v="Yes"/>
    <m/>
    <s v="New"/>
    <s v="infasco"/>
    <n v="106.94"/>
    <n v="106.94"/>
  </r>
  <r>
    <x v="0"/>
    <x v="6"/>
    <n v="11546377"/>
    <n v="714313"/>
    <n v="20"/>
    <n v="2150"/>
    <n v="43000"/>
    <n v="275"/>
    <s v="Yes"/>
    <m/>
    <s v="Yes"/>
    <m/>
    <s v="Yes"/>
    <m/>
    <s v="Yes"/>
    <m/>
    <s v="N/A"/>
    <m/>
    <s v="Yes"/>
    <m/>
    <s v="Yes"/>
    <m/>
    <s v="Re-certified"/>
    <s v="infasco"/>
    <n v="0"/>
    <n v="0"/>
  </r>
  <r>
    <x v="0"/>
    <x v="7"/>
    <s v="06104388AA"/>
    <n v="714340"/>
    <n v="23"/>
    <n v="660"/>
    <n v="15180"/>
    <n v="275"/>
    <s v="Yes"/>
    <m/>
    <s v="Yes"/>
    <m/>
    <s v="Yes"/>
    <m/>
    <s v="Yes"/>
    <m/>
    <s v="N/A"/>
    <m/>
    <s v="Yes"/>
    <m/>
    <s v="Yes"/>
    <m/>
    <s v="Re-certified"/>
    <s v="infasco"/>
    <n v="0"/>
    <n v="0"/>
  </r>
  <r>
    <x v="0"/>
    <x v="8"/>
    <s v="NU1510"/>
    <n v="714469"/>
    <n v="1"/>
    <n v="10000"/>
    <n v="10000"/>
    <n v="275"/>
    <s v="Yes"/>
    <m/>
    <s v="Yes"/>
    <m/>
    <s v="Yes"/>
    <m/>
    <s v="Yes"/>
    <m/>
    <s v="N/A"/>
    <m/>
    <s v="Yes"/>
    <m/>
    <s v="Yes"/>
    <m/>
    <s v="New"/>
    <s v="infasco"/>
    <n v="129.44999999999999"/>
    <n v="129.44999999999999"/>
  </r>
  <r>
    <x v="0"/>
    <x v="8"/>
    <s v="NU1510"/>
    <n v="714471"/>
    <n v="1"/>
    <n v="26000"/>
    <n v="26000"/>
    <n v="275"/>
    <s v="Yes"/>
    <m/>
    <s v="Yes"/>
    <m/>
    <s v="Yes"/>
    <m/>
    <s v="Yes"/>
    <m/>
    <s v="N/A"/>
    <m/>
    <s v="Yes"/>
    <m/>
    <s v="Yes"/>
    <m/>
    <s v="Re-certified"/>
    <s v="infasco"/>
    <n v="0"/>
    <n v="0"/>
  </r>
  <r>
    <x v="0"/>
    <x v="9"/>
    <n v="11546389"/>
    <n v="715609"/>
    <n v="18"/>
    <n v="4500"/>
    <n v="81000"/>
    <n v="275"/>
    <s v="Yes"/>
    <m/>
    <s v="Yes"/>
    <m/>
    <s v="Yes"/>
    <m/>
    <s v="Yes"/>
    <m/>
    <s v="N/A"/>
    <m/>
    <s v="Yes"/>
    <m/>
    <s v="Yes"/>
    <m/>
    <s v="Re-certified"/>
    <s v="infasco"/>
    <n v="0"/>
    <n v="0"/>
  </r>
  <r>
    <x v="0"/>
    <x v="10"/>
    <s v="W520111-S440"/>
    <n v="714082"/>
    <n v="1"/>
    <n v="3500"/>
    <n v="3500"/>
    <n v="275"/>
    <s v="Yes"/>
    <m/>
    <s v="Yes"/>
    <m/>
    <s v="Yes"/>
    <m/>
    <s v="Yes"/>
    <m/>
    <s v="N/A"/>
    <m/>
    <s v="Yes"/>
    <m/>
    <s v="Yes"/>
    <m/>
    <s v="New"/>
    <s v="infasco"/>
    <n v="106.94"/>
    <n v="106.94"/>
  </r>
  <r>
    <x v="0"/>
    <x v="10"/>
    <s v="11546437-MY-AK"/>
    <n v="714150"/>
    <n v="32"/>
    <n v="1500"/>
    <n v="48000"/>
    <n v="275"/>
    <s v="Yes"/>
    <m/>
    <s v="Yes"/>
    <m/>
    <s v="Yes"/>
    <m/>
    <s v="Yes"/>
    <m/>
    <s v="N/A"/>
    <m/>
    <s v="Yes"/>
    <m/>
    <s v="Yes"/>
    <m/>
    <s v="Re-certified"/>
    <s v="infasco"/>
    <n v="0"/>
    <n v="0"/>
  </r>
  <r>
    <x v="0"/>
    <x v="11"/>
    <s v="11546437-MY-AK"/>
    <n v="714151"/>
    <n v="44"/>
    <n v="1500"/>
    <n v="66000"/>
    <n v="275"/>
    <s v="Yes"/>
    <m/>
    <s v="Yes"/>
    <m/>
    <s v="Yes"/>
    <m/>
    <s v="Yes"/>
    <m/>
    <s v="N/A"/>
    <m/>
    <s v="Yes"/>
    <m/>
    <s v="Yes"/>
    <m/>
    <s v="Re-certified"/>
    <s v="infasco"/>
    <n v="0"/>
    <n v="0"/>
  </r>
  <r>
    <x v="0"/>
    <x v="12"/>
    <s v="W711468-S437"/>
    <n v="712574"/>
    <n v="18"/>
    <n v="1600"/>
    <n v="28800"/>
    <n v="275"/>
    <s v="Yes"/>
    <m/>
    <s v="Yes"/>
    <m/>
    <s v="Yes"/>
    <m/>
    <s v="Yes"/>
    <m/>
    <s v="N/A"/>
    <m/>
    <s v="Yes"/>
    <m/>
    <s v="Yes"/>
    <m/>
    <s v="New"/>
    <s v="infasco"/>
    <n v="106.94"/>
    <n v="106.94"/>
  </r>
  <r>
    <x v="0"/>
    <x v="12"/>
    <s v="W711468-S437"/>
    <n v="712570"/>
    <n v="15"/>
    <n v="1600"/>
    <n v="24000"/>
    <n v="275"/>
    <s v="Yes"/>
    <m/>
    <s v="Yes"/>
    <m/>
    <s v="Yes"/>
    <m/>
    <s v="Yes"/>
    <m/>
    <s v="N/A"/>
    <m/>
    <s v="Yes"/>
    <m/>
    <s v="Yes"/>
    <m/>
    <s v="New"/>
    <s v="infasco"/>
    <n v="106.94"/>
    <n v="106.94"/>
  </r>
  <r>
    <x v="0"/>
    <x v="12"/>
    <n v="11549170"/>
    <n v="713828"/>
    <n v="12"/>
    <n v="400"/>
    <n v="4800"/>
    <n v="275"/>
    <s v="Yes"/>
    <m/>
    <s v="Yes"/>
    <m/>
    <s v="Yes"/>
    <m/>
    <s v="Yes"/>
    <m/>
    <s v="N/A"/>
    <m/>
    <s v="Yes"/>
    <m/>
    <s v="Yes"/>
    <m/>
    <s v="Re-certified"/>
    <s v="infasco"/>
    <n v="0"/>
    <n v="0"/>
  </r>
  <r>
    <x v="0"/>
    <x v="13"/>
    <s v="HL3W-4320-AA"/>
    <n v="713050"/>
    <n v="19"/>
    <n v="200"/>
    <n v="3800"/>
    <s v="011+292"/>
    <s v="Yes"/>
    <m/>
    <s v="Yes"/>
    <m/>
    <s v="Yes"/>
    <m/>
    <s v="Yes"/>
    <m/>
    <s v="N/A"/>
    <m/>
    <s v="Yes"/>
    <m/>
    <s v="Yes"/>
    <m/>
    <s v="New"/>
    <s v="infasco"/>
    <n v="129.44999999999999"/>
    <n v="129.44999999999999"/>
  </r>
  <r>
    <x v="0"/>
    <x v="13"/>
    <n v="11549170"/>
    <n v="713834"/>
    <n v="36"/>
    <n v="400"/>
    <n v="14400"/>
    <s v="011+292"/>
    <s v="Yes"/>
    <m/>
    <s v="Yes"/>
    <m/>
    <s v="Yes"/>
    <m/>
    <s v="Yes"/>
    <m/>
    <s v="N/A"/>
    <m/>
    <s v="Yes"/>
    <m/>
    <s v="Yes"/>
    <m/>
    <s v="New"/>
    <s v="infasco"/>
    <n v="106.94"/>
    <n v="106.94"/>
  </r>
  <r>
    <x v="0"/>
    <x v="13"/>
    <n v="11549170"/>
    <n v="713823"/>
    <n v="35"/>
    <n v="400"/>
    <n v="14000"/>
    <s v="011+292"/>
    <s v="Yes"/>
    <m/>
    <s v="Yes"/>
    <m/>
    <s v="Yes"/>
    <m/>
    <s v="Yes"/>
    <m/>
    <s v="N/A"/>
    <m/>
    <s v="Yes"/>
    <m/>
    <s v="Yes"/>
    <m/>
    <s v="New"/>
    <s v="infasco"/>
    <n v="106.94"/>
    <n v="106.94"/>
  </r>
  <r>
    <x v="0"/>
    <x v="13"/>
    <s v="06509967AA"/>
    <n v="713925"/>
    <n v="18"/>
    <n v="825"/>
    <n v="14850"/>
    <s v="011+292"/>
    <s v="Yes"/>
    <m/>
    <s v="Yes"/>
    <m/>
    <s v="Yes"/>
    <m/>
    <s v="Yes"/>
    <m/>
    <s v="N/A"/>
    <m/>
    <s v="Yes"/>
    <m/>
    <s v="Yes"/>
    <m/>
    <s v="New"/>
    <s v="infasco"/>
    <n v="280.16000000000003"/>
    <n v="280.16000000000003"/>
  </r>
  <r>
    <x v="0"/>
    <x v="13"/>
    <n v="11549170"/>
    <n v="713714"/>
    <n v="40"/>
    <n v="400"/>
    <n v="16000"/>
    <s v="011+292"/>
    <s v="Yes"/>
    <m/>
    <s v="Yes"/>
    <m/>
    <s v="Yes"/>
    <m/>
    <s v="Yes"/>
    <m/>
    <s v="N/A"/>
    <m/>
    <s v="Yes"/>
    <m/>
    <s v="Yes"/>
    <m/>
    <s v="New"/>
    <s v="infasco"/>
    <n v="106.94"/>
    <n v="106.94"/>
  </r>
  <r>
    <x v="0"/>
    <x v="13"/>
    <s v="06101736-A"/>
    <n v="713386"/>
    <n v="5"/>
    <n v="3200"/>
    <n v="16000"/>
    <s v="011+292"/>
    <s v="Yes"/>
    <m/>
    <s v="Yes"/>
    <m/>
    <s v="Yes"/>
    <m/>
    <s v="Yes"/>
    <m/>
    <s v="N/A"/>
    <m/>
    <s v="Yes"/>
    <m/>
    <s v="Yes"/>
    <m/>
    <s v="New"/>
    <s v="infasco"/>
    <n v="106.94"/>
    <n v="106.94"/>
  </r>
  <r>
    <x v="0"/>
    <x v="14"/>
    <n v="11612078"/>
    <n v="707323"/>
    <n v="6"/>
    <n v="1850"/>
    <n v="11100"/>
    <n v="4"/>
    <s v="Yes"/>
    <m/>
    <s v="Yes"/>
    <m/>
    <s v="Yes"/>
    <m/>
    <s v="Yes"/>
    <m/>
    <s v="N/A"/>
    <m/>
    <s v="Yes"/>
    <m/>
    <s v="Yes"/>
    <m/>
    <s v="New"/>
    <s v="infasco"/>
    <n v="247.64"/>
    <n v="247.64"/>
  </r>
  <r>
    <x v="0"/>
    <x v="14"/>
    <n v="11612078"/>
    <n v="706812"/>
    <n v="7"/>
    <n v="1850"/>
    <n v="12950"/>
    <n v="4"/>
    <s v="Yes"/>
    <m/>
    <s v="Yes"/>
    <m/>
    <s v="Yes"/>
    <m/>
    <s v="Yes"/>
    <m/>
    <s v="N/A"/>
    <m/>
    <s v="Yes"/>
    <m/>
    <s v="Yes"/>
    <m/>
    <s v="Re-certified"/>
    <s v="infasco"/>
    <n v="0"/>
    <n v="0"/>
  </r>
  <r>
    <x v="0"/>
    <x v="15"/>
    <s v="06104388AA"/>
    <n v="714349"/>
    <n v="17"/>
    <n v="660"/>
    <n v="11220"/>
    <s v="157+293"/>
    <s v="Yes"/>
    <m/>
    <s v="Yes"/>
    <m/>
    <s v="Yes"/>
    <m/>
    <s v="Yes"/>
    <m/>
    <s v="N/A"/>
    <m/>
    <s v="Yes"/>
    <m/>
    <s v="Yes"/>
    <m/>
    <s v="New"/>
    <s v="infasco"/>
    <n v="135.08000000000001"/>
    <n v="135.08000000000001"/>
  </r>
  <r>
    <x v="0"/>
    <x v="15"/>
    <s v="F1302AB"/>
    <n v="712966"/>
    <n v="30"/>
    <n v="700"/>
    <n v="21000"/>
    <s v="157+293"/>
    <s v="Yes"/>
    <m/>
    <s v="Yes"/>
    <m/>
    <s v="Yes"/>
    <m/>
    <s v="Yes"/>
    <m/>
    <s v="N/A"/>
    <m/>
    <s v="Yes"/>
    <m/>
    <s v="Yes"/>
    <m/>
    <s v="New"/>
    <s v="infasco"/>
    <n v="135.07999999999998"/>
    <n v="135.07999999999998"/>
  </r>
  <r>
    <x v="0"/>
    <x v="15"/>
    <s v="06105102AA"/>
    <n v="714405"/>
    <n v="28"/>
    <n v="670"/>
    <n v="18760"/>
    <s v="157+293"/>
    <s v="Yes"/>
    <m/>
    <s v="Yes"/>
    <m/>
    <s v="Yes"/>
    <m/>
    <s v="Yes"/>
    <m/>
    <s v="N/A"/>
    <m/>
    <s v="Yes"/>
    <m/>
    <s v="Yes"/>
    <m/>
    <s v="New"/>
    <s v="infasco"/>
    <n v="280.16000000000003"/>
    <n v="280.16000000000003"/>
  </r>
  <r>
    <x v="0"/>
    <x v="15"/>
    <s v="06105048AA"/>
    <n v="714407"/>
    <n v="26"/>
    <n v="800"/>
    <n v="20800"/>
    <s v="157+293"/>
    <s v="Yes"/>
    <m/>
    <s v="Yes"/>
    <m/>
    <s v="Yes"/>
    <m/>
    <s v="Yes"/>
    <m/>
    <s v="N/A"/>
    <m/>
    <s v="Yes"/>
    <m/>
    <s v="Yes"/>
    <m/>
    <s v="New"/>
    <s v="infasco"/>
    <n v="280.15999999999997"/>
    <n v="280.15999999999997"/>
  </r>
  <r>
    <x v="0"/>
    <x v="15"/>
    <s v="06509967AA"/>
    <n v="713924"/>
    <n v="20"/>
    <n v="825"/>
    <n v="16500"/>
    <s v="157+293"/>
    <s v="Yes"/>
    <m/>
    <s v="Yes"/>
    <m/>
    <s v="Yes"/>
    <m/>
    <s v="Yes"/>
    <m/>
    <s v="N/A"/>
    <m/>
    <s v="Yes"/>
    <m/>
    <s v="Yes"/>
    <m/>
    <s v="New"/>
    <s v="infasco"/>
    <n v="280.16000000000003"/>
    <n v="280.16000000000003"/>
  </r>
  <r>
    <x v="0"/>
    <x v="15"/>
    <n v="11549168"/>
    <n v="712002"/>
    <n v="8"/>
    <n v="1000"/>
    <n v="8000"/>
    <s v="157+293"/>
    <s v="Yes"/>
    <m/>
    <s v="Yes"/>
    <m/>
    <s v="Yes"/>
    <m/>
    <s v="Yes"/>
    <m/>
    <s v="N/A"/>
    <m/>
    <s v="Yes"/>
    <m/>
    <s v="Yes"/>
    <m/>
    <s v="New"/>
    <s v="infasco"/>
    <n v="106.94"/>
    <n v="106.94"/>
  </r>
  <r>
    <x v="0"/>
    <x v="16"/>
    <s v="06513555AA"/>
    <n v="714164"/>
    <n v="30"/>
    <n v="440"/>
    <n v="13200"/>
    <s v="285+391"/>
    <s v="Yes"/>
    <m/>
    <s v="Yes"/>
    <m/>
    <s v="Yes"/>
    <m/>
    <s v="Yes"/>
    <m/>
    <s v="N/A"/>
    <m/>
    <s v="Yes"/>
    <m/>
    <s v="Yes"/>
    <m/>
    <s v="New"/>
    <s v="infasco"/>
    <n v="106.94"/>
    <n v="106.94"/>
  </r>
  <r>
    <x v="0"/>
    <x v="16"/>
    <s v="06509967AA"/>
    <n v="713927"/>
    <n v="23"/>
    <n v="825"/>
    <n v="18975"/>
    <s v="285+391"/>
    <s v="Yes"/>
    <m/>
    <s v="Yes"/>
    <m/>
    <s v="Yes"/>
    <m/>
    <s v="Yes"/>
    <m/>
    <s v="N/A"/>
    <m/>
    <s v="Yes"/>
    <m/>
    <s v="Yes"/>
    <m/>
    <s v="New"/>
    <s v="infasco"/>
    <n v="280.16000000000003"/>
    <n v="280.16000000000003"/>
  </r>
  <r>
    <x v="0"/>
    <x v="16"/>
    <s v="06105102AA"/>
    <n v="714404"/>
    <n v="31"/>
    <n v="670"/>
    <n v="20770"/>
    <s v="285+391"/>
    <s v="Yes"/>
    <m/>
    <s v="Yes"/>
    <m/>
    <s v="Yes"/>
    <m/>
    <s v="Yes"/>
    <m/>
    <s v="N/A"/>
    <m/>
    <s v="Yes"/>
    <m/>
    <s v="Yes"/>
    <m/>
    <s v="New"/>
    <s v="infasco"/>
    <n v="280.16000000000003"/>
    <n v="280.16000000000003"/>
  </r>
  <r>
    <x v="0"/>
    <x v="16"/>
    <s v="HL3W-4320-AA"/>
    <n v="713046"/>
    <n v="30"/>
    <n v="200"/>
    <n v="6000"/>
    <s v="285+391"/>
    <s v="Yes"/>
    <m/>
    <s v="Yes"/>
    <m/>
    <s v="Yes"/>
    <m/>
    <s v="Yes"/>
    <m/>
    <s v="N/A"/>
    <m/>
    <s v="Yes"/>
    <m/>
    <s v="Yes"/>
    <m/>
    <s v="New"/>
    <s v="infasco"/>
    <n v="129.44999999999999"/>
    <n v="129.44999999999999"/>
  </r>
  <r>
    <x v="0"/>
    <x v="16"/>
    <n v="91054"/>
    <n v="711591"/>
    <n v="35"/>
    <n v="1700"/>
    <n v="59500"/>
    <s v="285+391"/>
    <s v="Yes"/>
    <m/>
    <s v="Yes"/>
    <m/>
    <s v="Yes"/>
    <m/>
    <s v="Yes"/>
    <m/>
    <s v="N/A"/>
    <m/>
    <s v="Yes"/>
    <m/>
    <s v="Yes"/>
    <m/>
    <s v="New"/>
    <s v="infasco"/>
    <n v="106.94"/>
    <n v="106.94"/>
  </r>
  <r>
    <x v="0"/>
    <x v="17"/>
    <s v="06104388AA"/>
    <n v="714344"/>
    <n v="23"/>
    <n v="660"/>
    <n v="15180"/>
    <s v="190+268"/>
    <s v="Yes"/>
    <m/>
    <s v="Yes"/>
    <m/>
    <s v="Yes"/>
    <m/>
    <s v="Yes"/>
    <m/>
    <s v="N/A"/>
    <m/>
    <s v="Yes"/>
    <m/>
    <s v="Yes"/>
    <m/>
    <s v="New"/>
    <s v="infasco"/>
    <n v="135.08000000000001"/>
    <n v="135.08000000000001"/>
  </r>
  <r>
    <x v="0"/>
    <x v="17"/>
    <s v="F1302AB"/>
    <n v="712964"/>
    <n v="36"/>
    <n v="700"/>
    <n v="25200"/>
    <s v="190+268"/>
    <s v="Yes"/>
    <m/>
    <s v="Yes"/>
    <m/>
    <s v="Yes"/>
    <m/>
    <s v="Yes"/>
    <m/>
    <s v="N/A"/>
    <m/>
    <s v="Yes"/>
    <m/>
    <s v="Yes"/>
    <m/>
    <s v="New"/>
    <s v="infasco"/>
    <n v="135.07999999999998"/>
    <n v="135.07999999999998"/>
  </r>
  <r>
    <x v="0"/>
    <x v="17"/>
    <s v="06509967AA"/>
    <n v="713929"/>
    <n v="19"/>
    <n v="825"/>
    <n v="15675"/>
    <s v="190+268"/>
    <s v="Yes"/>
    <m/>
    <s v="Yes"/>
    <m/>
    <s v="Yes"/>
    <m/>
    <s v="Yes"/>
    <m/>
    <s v="N/A"/>
    <m/>
    <s v="Yes"/>
    <m/>
    <s v="Yes"/>
    <m/>
    <s v="New"/>
    <s v="infasco"/>
    <n v="280.16000000000003"/>
    <n v="280.16000000000003"/>
  </r>
  <r>
    <x v="0"/>
    <x v="17"/>
    <s v="06105048AA"/>
    <n v="714406"/>
    <n v="23"/>
    <n v="800"/>
    <n v="18400"/>
    <s v="190+268"/>
    <s v="Yes"/>
    <m/>
    <s v="Yes"/>
    <m/>
    <s v="Yes"/>
    <m/>
    <s v="Yes"/>
    <m/>
    <s v="N/A"/>
    <m/>
    <s v="Yes"/>
    <m/>
    <s v="Yes"/>
    <m/>
    <s v="New"/>
    <s v="infasco"/>
    <n v="280.15999999999997"/>
    <n v="280.15999999999997"/>
  </r>
  <r>
    <x v="0"/>
    <x v="17"/>
    <n v="11549170"/>
    <n v="713698"/>
    <n v="36"/>
    <n v="400"/>
    <n v="14400"/>
    <s v="190+268"/>
    <s v="Yes"/>
    <m/>
    <s v="Yes"/>
    <m/>
    <s v="Yes"/>
    <m/>
    <s v="Yes"/>
    <m/>
    <s v="N/A"/>
    <m/>
    <s v="Yes"/>
    <m/>
    <s v="Yes"/>
    <m/>
    <s v="New"/>
    <s v="infasco"/>
    <n v="106.94"/>
    <n v="106.94"/>
  </r>
  <r>
    <x v="0"/>
    <x v="17"/>
    <n v="11549170"/>
    <n v="713711"/>
    <n v="36"/>
    <n v="400"/>
    <n v="14400"/>
    <s v="190+268"/>
    <s v="Yes"/>
    <m/>
    <s v="Yes"/>
    <m/>
    <s v="Yes"/>
    <m/>
    <s v="Yes"/>
    <m/>
    <s v="N/A"/>
    <m/>
    <s v="Yes"/>
    <m/>
    <s v="Yes"/>
    <m/>
    <s v="New"/>
    <s v="infasco"/>
    <n v="106.94"/>
    <n v="106.94"/>
  </r>
  <r>
    <x v="0"/>
    <x v="17"/>
    <n v="11549170"/>
    <n v="713850"/>
    <n v="36"/>
    <n v="400"/>
    <n v="14400"/>
    <s v="190+268"/>
    <s v="Yes"/>
    <m/>
    <s v="Yes"/>
    <m/>
    <s v="Yes"/>
    <m/>
    <s v="Yes"/>
    <m/>
    <s v="N/A"/>
    <m/>
    <s v="Yes"/>
    <m/>
    <s v="Yes"/>
    <m/>
    <s v="New"/>
    <s v="infasco"/>
    <n v="106.94"/>
    <n v="106.94"/>
  </r>
  <r>
    <x v="0"/>
    <x v="18"/>
    <s v="06101736-A"/>
    <n v="713088"/>
    <n v="12"/>
    <n v="3200"/>
    <n v="38400"/>
    <n v="240"/>
    <s v="Yes"/>
    <m/>
    <s v="Yes"/>
    <m/>
    <s v="Yes"/>
    <m/>
    <s v="Yes"/>
    <m/>
    <s v="N/A"/>
    <m/>
    <s v="Yes"/>
    <m/>
    <s v="Yes"/>
    <m/>
    <s v="Re-certified"/>
    <s v="infasco"/>
    <n v="0"/>
    <n v="0"/>
  </r>
  <r>
    <x v="0"/>
    <x v="19"/>
    <s v="11549168-CA-IN"/>
    <n v="710686"/>
    <n v="9"/>
    <n v="1000"/>
    <n v="9000"/>
    <n v="272"/>
    <s v="Yes"/>
    <m/>
    <s v="Yes"/>
    <m/>
    <s v="Yes"/>
    <m/>
    <s v="Yes"/>
    <m/>
    <s v="N/A"/>
    <m/>
    <s v="Yes"/>
    <m/>
    <s v="Yes"/>
    <m/>
    <s v="New"/>
    <s v="infasco"/>
    <n v="213.88"/>
    <n v="213.88"/>
  </r>
  <r>
    <x v="0"/>
    <x v="19"/>
    <s v="11549168-CA-IN"/>
    <n v="711865"/>
    <n v="36"/>
    <n v="1000"/>
    <n v="36000"/>
    <n v="272"/>
    <s v="Yes"/>
    <m/>
    <s v="Yes"/>
    <m/>
    <s v="Yes"/>
    <m/>
    <s v="Yes"/>
    <m/>
    <s v="N/A"/>
    <m/>
    <s v="Yes"/>
    <m/>
    <s v="Yes"/>
    <m/>
    <s v="Re-certified"/>
    <s v="infasco"/>
    <n v="0"/>
    <n v="0"/>
  </r>
  <r>
    <x v="0"/>
    <x v="20"/>
    <s v="06101831-A"/>
    <n v="714514"/>
    <n v="18"/>
    <n v="1000"/>
    <n v="18000"/>
    <n v="280"/>
    <s v="Yes"/>
    <m/>
    <s v="Yes"/>
    <m/>
    <s v="Yes"/>
    <m/>
    <s v="Yes"/>
    <m/>
    <s v="N/A"/>
    <m/>
    <s v="Yes"/>
    <m/>
    <s v="Yes"/>
    <m/>
    <s v="New"/>
    <s v="infasco"/>
    <n v="106.94"/>
    <n v="106.94"/>
  </r>
  <r>
    <x v="0"/>
    <x v="21"/>
    <s v="11546437-MY-AK"/>
    <n v="714144"/>
    <n v="25"/>
    <n v="1500"/>
    <n v="37500"/>
    <n v="280"/>
    <s v="Yes"/>
    <m/>
    <s v="Yes"/>
    <m/>
    <s v="Yes"/>
    <m/>
    <s v="Yes"/>
    <m/>
    <s v="N/A"/>
    <m/>
    <s v="Yes"/>
    <m/>
    <s v="Yes"/>
    <m/>
    <s v="New"/>
    <s v="infasco"/>
    <n v="106.94"/>
    <n v="106.94"/>
  </r>
  <r>
    <x v="0"/>
    <x v="21"/>
    <s v="11546437-MY-AK"/>
    <n v="714147"/>
    <n v="20"/>
    <n v="1500"/>
    <n v="30000"/>
    <n v="280"/>
    <s v="Yes"/>
    <m/>
    <s v="Yes"/>
    <m/>
    <s v="Yes"/>
    <m/>
    <s v="Yes"/>
    <m/>
    <s v="N/A"/>
    <m/>
    <s v="Yes"/>
    <m/>
    <s v="Yes"/>
    <m/>
    <s v="Re-certified"/>
    <s v="infasco"/>
    <n v="0"/>
    <n v="0"/>
  </r>
  <r>
    <x v="0"/>
    <x v="22"/>
    <n v="11546377"/>
    <n v="714314"/>
    <n v="12"/>
    <n v="2150"/>
    <n v="25800"/>
    <n v="280"/>
    <s v="Yes"/>
    <m/>
    <s v="Yes"/>
    <m/>
    <s v="Yes"/>
    <m/>
    <s v="Yes"/>
    <m/>
    <s v="N/A"/>
    <m/>
    <s v="Yes"/>
    <m/>
    <s v="Yes"/>
    <m/>
    <s v="New"/>
    <s v="infasco"/>
    <n v="106.94"/>
    <n v="106.94"/>
  </r>
  <r>
    <x v="0"/>
    <x v="23"/>
    <s v="11546437-MY-AK"/>
    <n v="714149"/>
    <n v="41"/>
    <n v="1500"/>
    <n v="61500"/>
    <n v="280"/>
    <s v="Yes"/>
    <m/>
    <s v="Yes"/>
    <m/>
    <s v="Yes"/>
    <m/>
    <s v="Yes"/>
    <m/>
    <s v="N/A"/>
    <m/>
    <s v="Yes"/>
    <m/>
    <s v="Yes"/>
    <m/>
    <s v="New"/>
    <s v="infasco"/>
    <n v="106.94"/>
    <n v="106.94"/>
  </r>
  <r>
    <x v="0"/>
    <x v="23"/>
    <s v="11546437-MY-AK"/>
    <n v="714148"/>
    <n v="15"/>
    <n v="1500"/>
    <n v="22500"/>
    <n v="280"/>
    <s v="Yes"/>
    <m/>
    <s v="Yes"/>
    <m/>
    <s v="Yes"/>
    <m/>
    <s v="Yes"/>
    <m/>
    <s v="N/A"/>
    <m/>
    <s v="Yes"/>
    <m/>
    <s v="Yes"/>
    <m/>
    <s v="Re-certified"/>
    <s v="infasco"/>
    <n v="0"/>
    <n v="0"/>
  </r>
  <r>
    <x v="0"/>
    <x v="24"/>
    <n v="11546389"/>
    <n v="715608"/>
    <n v="20"/>
    <n v="4500"/>
    <n v="90000"/>
    <n v="280"/>
    <s v="Yes"/>
    <m/>
    <s v="Yes"/>
    <m/>
    <s v="Yes"/>
    <m/>
    <s v="Yes"/>
    <m/>
    <s v="N/A"/>
    <m/>
    <s v="Yes"/>
    <m/>
    <s v="Yes"/>
    <m/>
    <s v="Re-certified"/>
    <s v="infasco"/>
    <n v="0"/>
    <n v="0"/>
  </r>
  <r>
    <x v="0"/>
    <x v="25"/>
    <s v="11546366-MY-AK"/>
    <n v="714023"/>
    <n v="22"/>
    <n v="1000"/>
    <n v="22000"/>
    <n v="280"/>
    <s v="Yes"/>
    <m/>
    <s v="Yes"/>
    <m/>
    <s v="Yes"/>
    <m/>
    <s v="Yes"/>
    <m/>
    <s v="N/A"/>
    <m/>
    <s v="Yes"/>
    <m/>
    <s v="Yes"/>
    <m/>
    <s v="Re-certified"/>
    <s v="infasco"/>
    <n v="0"/>
    <n v="0"/>
  </r>
  <r>
    <x v="0"/>
    <x v="26"/>
    <n v="11546440"/>
    <n v="714505"/>
    <n v="31"/>
    <n v="1550"/>
    <n v="48050"/>
    <n v="290"/>
    <s v="Yes"/>
    <m/>
    <s v="Yes"/>
    <m/>
    <s v="Yes"/>
    <m/>
    <s v="Yes"/>
    <m/>
    <s v="N/A"/>
    <m/>
    <s v="Yes"/>
    <m/>
    <s v="Yes"/>
    <m/>
    <s v="New"/>
    <s v="infasco"/>
    <n v="106.94"/>
    <n v="106.94"/>
  </r>
  <r>
    <x v="0"/>
    <x v="26"/>
    <n v="11546440"/>
    <n v="714504"/>
    <n v="15"/>
    <n v="1550"/>
    <n v="23250"/>
    <n v="290"/>
    <s v="Yes"/>
    <m/>
    <s v="Yes"/>
    <m/>
    <s v="Yes"/>
    <m/>
    <s v="Yes"/>
    <m/>
    <s v="N/A"/>
    <m/>
    <s v="Yes"/>
    <m/>
    <s v="Yes"/>
    <m/>
    <s v="Re-certified"/>
    <s v="infasco"/>
    <n v="0"/>
    <n v="0"/>
  </r>
  <r>
    <x v="0"/>
    <x v="27"/>
    <s v="11546367-MY-AK"/>
    <n v="714115"/>
    <n v="22"/>
    <n v="700"/>
    <n v="15400"/>
    <n v="290"/>
    <s v="Yes"/>
    <m/>
    <s v="Yes"/>
    <m/>
    <s v="Yes"/>
    <m/>
    <s v="Yes"/>
    <m/>
    <s v="N/A"/>
    <m/>
    <s v="Yes"/>
    <m/>
    <s v="Yes"/>
    <m/>
    <s v="New"/>
    <s v="infasco"/>
    <n v="106.94"/>
    <n v="106.94"/>
  </r>
  <r>
    <x v="0"/>
    <x v="27"/>
    <s v="11546367-MY-AK"/>
    <n v="714106"/>
    <n v="25"/>
    <n v="700"/>
    <n v="17500"/>
    <n v="290"/>
    <s v="Yes"/>
    <m/>
    <s v="Yes"/>
    <m/>
    <s v="Yes"/>
    <m/>
    <s v="Yes"/>
    <m/>
    <s v="N/A"/>
    <m/>
    <s v="Yes"/>
    <m/>
    <s v="Yes"/>
    <m/>
    <s v="Re-certified"/>
    <s v="infasco"/>
    <n v="0"/>
    <n v="0"/>
  </r>
  <r>
    <x v="0"/>
    <x v="28"/>
    <s v="06509967AA"/>
    <n v="714412"/>
    <n v="20"/>
    <n v="825"/>
    <n v="16500"/>
    <n v="290"/>
    <s v="Yes"/>
    <m/>
    <s v="Yes"/>
    <m/>
    <s v="Yes"/>
    <m/>
    <s v="Yes"/>
    <m/>
    <s v="N/A"/>
    <m/>
    <s v="Yes"/>
    <m/>
    <s v="Yes"/>
    <m/>
    <s v="New"/>
    <s v="infasco"/>
    <n v="280.16000000000003"/>
    <n v="280.16000000000003"/>
  </r>
  <r>
    <x v="0"/>
    <x v="28"/>
    <s v="06509967AA"/>
    <n v="714413"/>
    <n v="2"/>
    <n v="825"/>
    <n v="1650"/>
    <n v="290"/>
    <s v="Yes"/>
    <m/>
    <s v="Yes"/>
    <m/>
    <s v="Yes"/>
    <m/>
    <s v="Yes"/>
    <m/>
    <s v="N/A"/>
    <m/>
    <s v="Yes"/>
    <m/>
    <s v="Yes"/>
    <m/>
    <s v="Re-certified"/>
    <s v="infasco"/>
    <n v="0"/>
    <n v="0"/>
  </r>
  <r>
    <x v="0"/>
    <x v="29"/>
    <s v="11546437-MY-AK"/>
    <n v="714142"/>
    <n v="40"/>
    <n v="1500"/>
    <n v="60000"/>
    <n v="290"/>
    <s v="Yes"/>
    <m/>
    <s v="Yes"/>
    <m/>
    <s v="Yes"/>
    <m/>
    <s v="Yes"/>
    <m/>
    <s v="N/A"/>
    <m/>
    <s v="Yes"/>
    <m/>
    <s v="Yes"/>
    <m/>
    <s v="Re-certified"/>
    <s v="infasco"/>
    <n v="0"/>
    <n v="0"/>
  </r>
  <r>
    <x v="0"/>
    <x v="30"/>
    <s v="11546367-MY-AK"/>
    <n v="714116"/>
    <n v="18"/>
    <n v="700"/>
    <n v="12600"/>
    <n v="290"/>
    <s v="Yes"/>
    <m/>
    <s v="Yes"/>
    <m/>
    <s v="Yes"/>
    <m/>
    <s v="Yes"/>
    <m/>
    <s v="N/A"/>
    <m/>
    <s v="Yes"/>
    <m/>
    <s v="Yes"/>
    <m/>
    <s v="New"/>
    <s v="infasco"/>
    <n v="106.94"/>
    <n v="106.94"/>
  </r>
  <r>
    <x v="0"/>
    <x v="30"/>
    <s v="11546367-MY-AK"/>
    <n v="714107"/>
    <n v="34"/>
    <n v="700"/>
    <n v="23800"/>
    <n v="290"/>
    <s v="Yes"/>
    <m/>
    <s v="Yes"/>
    <m/>
    <s v="Yes"/>
    <m/>
    <s v="Yes"/>
    <m/>
    <s v="N/A"/>
    <m/>
    <s v="Yes"/>
    <m/>
    <s v="Yes"/>
    <m/>
    <s v="New"/>
    <s v="infasco"/>
    <n v="106.94"/>
    <n v="106.94"/>
  </r>
  <r>
    <x v="0"/>
    <x v="30"/>
    <n v="11549170"/>
    <n v="713835"/>
    <n v="6"/>
    <n v="400"/>
    <n v="2400"/>
    <n v="290"/>
    <s v="Yes"/>
    <m/>
    <s v="Yes"/>
    <m/>
    <s v="Yes"/>
    <m/>
    <s v="Yes"/>
    <m/>
    <s v="N/A"/>
    <m/>
    <s v="Yes"/>
    <m/>
    <s v="Yes"/>
    <m/>
    <s v="Re-certified"/>
    <s v="infasco"/>
    <n v="0"/>
    <n v="0"/>
  </r>
  <r>
    <x v="0"/>
    <x v="31"/>
    <s v="06101831-A"/>
    <n v="714508"/>
    <n v="16"/>
    <n v="1000"/>
    <n v="16000"/>
    <n v="290"/>
    <s v="Yes"/>
    <m/>
    <s v="Yes"/>
    <m/>
    <s v="Yes"/>
    <m/>
    <s v="Yes"/>
    <m/>
    <s v="N/A"/>
    <m/>
    <s v="Yes"/>
    <m/>
    <s v="Yes"/>
    <m/>
    <s v="New"/>
    <s v="infasco"/>
    <n v="106.94"/>
    <n v="106.94"/>
  </r>
  <r>
    <x v="0"/>
    <x v="31"/>
    <s v="06101831-A"/>
    <n v="714512"/>
    <n v="40"/>
    <n v="1000"/>
    <n v="40000"/>
    <n v="290"/>
    <s v="Yes"/>
    <m/>
    <s v="Yes"/>
    <m/>
    <s v="Yes"/>
    <m/>
    <s v="Yes"/>
    <m/>
    <s v="N/A"/>
    <m/>
    <s v="Yes"/>
    <m/>
    <s v="Yes"/>
    <m/>
    <s v="Re-certified"/>
    <s v="infasco"/>
    <n v="0"/>
    <n v="0"/>
  </r>
  <r>
    <x v="0"/>
    <x v="32"/>
    <n v="11549168"/>
    <n v="712008"/>
    <n v="31"/>
    <n v="1000"/>
    <n v="31000"/>
    <s v="294+252"/>
    <s v="Yes"/>
    <m/>
    <s v="Yes"/>
    <m/>
    <s v="Yes"/>
    <m/>
    <s v="Yes"/>
    <m/>
    <s v="N/A"/>
    <m/>
    <s v="Yes"/>
    <m/>
    <s v="Yes"/>
    <m/>
    <s v="New"/>
    <s v="infasco"/>
    <n v="106.94"/>
    <n v="106.94"/>
  </r>
  <r>
    <x v="0"/>
    <x v="32"/>
    <s v="06509967AA"/>
    <n v="713928"/>
    <n v="30"/>
    <n v="825"/>
    <n v="24750"/>
    <s v="294+252"/>
    <s v="Yes"/>
    <m/>
    <s v="Yes"/>
    <m/>
    <s v="Yes"/>
    <m/>
    <s v="Yes"/>
    <m/>
    <s v="N/A"/>
    <m/>
    <s v="Yes"/>
    <m/>
    <s v="Yes"/>
    <m/>
    <s v="New"/>
    <s v="infasco"/>
    <n v="280.16000000000003"/>
    <n v="280.16000000000003"/>
  </r>
  <r>
    <x v="0"/>
    <x v="32"/>
    <s v="06104388AA"/>
    <n v="714388"/>
    <n v="39"/>
    <n v="660"/>
    <n v="25740"/>
    <s v="294+252"/>
    <s v="Yes"/>
    <m/>
    <s v="Yes"/>
    <m/>
    <s v="Yes"/>
    <m/>
    <s v="Yes"/>
    <m/>
    <s v="N/A"/>
    <m/>
    <s v="Yes"/>
    <m/>
    <s v="Yes"/>
    <m/>
    <s v="New"/>
    <s v="infasco"/>
    <n v="135.08000000000001"/>
    <n v="135.08000000000001"/>
  </r>
  <r>
    <x v="0"/>
    <x v="32"/>
    <n v="11549168"/>
    <n v="712778"/>
    <n v="35"/>
    <n v="1000"/>
    <n v="35000"/>
    <s v="294+252"/>
    <s v="Yes"/>
    <m/>
    <s v="Yes"/>
    <m/>
    <s v="Yes"/>
    <m/>
    <s v="Yes"/>
    <m/>
    <s v="N/A"/>
    <m/>
    <s v="Yes"/>
    <m/>
    <s v="Yes"/>
    <m/>
    <s v="New"/>
    <s v="infasco"/>
    <n v="106.94"/>
    <n v="106.94"/>
  </r>
  <r>
    <x v="0"/>
    <x v="32"/>
    <n v="11549168"/>
    <n v="712008"/>
    <n v="13"/>
    <n v="1000"/>
    <n v="13000"/>
    <s v="294+252"/>
    <s v="Yes"/>
    <m/>
    <s v="Yes"/>
    <m/>
    <s v="Yes"/>
    <m/>
    <s v="Yes"/>
    <m/>
    <s v="N/A"/>
    <m/>
    <s v="Yes"/>
    <m/>
    <s v="Yes"/>
    <m/>
    <s v="New"/>
    <s v="infasco"/>
    <n v="106.94"/>
    <n v="106.94"/>
  </r>
  <r>
    <x v="0"/>
    <x v="32"/>
    <n v="11549170"/>
    <n v="713697"/>
    <n v="17"/>
    <n v="400"/>
    <n v="6800"/>
    <s v="294+252"/>
    <s v="Yes"/>
    <m/>
    <s v="Yes"/>
    <m/>
    <s v="Yes"/>
    <m/>
    <s v="Yes"/>
    <m/>
    <s v="N/A"/>
    <m/>
    <s v="Yes"/>
    <m/>
    <s v="Yes"/>
    <m/>
    <s v="Re-certified"/>
    <s v="infasco"/>
    <n v="0"/>
    <n v="0"/>
  </r>
  <r>
    <x v="0"/>
    <x v="33"/>
    <s v="06513555AA"/>
    <n v="714165"/>
    <n v="11"/>
    <n v="440"/>
    <n v="4840"/>
    <s v="279+245"/>
    <s v="Yes"/>
    <m/>
    <s v="Yes"/>
    <m/>
    <s v="Yes"/>
    <m/>
    <s v="Yes"/>
    <m/>
    <s v="N/A"/>
    <m/>
    <s v="Yes"/>
    <m/>
    <s v="Yes"/>
    <m/>
    <s v="New"/>
    <s v="infasco"/>
    <n v="106.94"/>
    <n v="106.94"/>
  </r>
  <r>
    <x v="0"/>
    <x v="33"/>
    <s v="06104388AA"/>
    <n v="714346"/>
    <n v="28"/>
    <n v="660"/>
    <n v="18480"/>
    <s v="279+245"/>
    <s v="Yes"/>
    <m/>
    <s v="Yes"/>
    <m/>
    <s v="Yes"/>
    <m/>
    <s v="Yes"/>
    <m/>
    <s v="N/A"/>
    <m/>
    <s v="Yes"/>
    <m/>
    <s v="Yes"/>
    <m/>
    <s v="New"/>
    <s v="infasco"/>
    <n v="135.08000000000001"/>
    <n v="135.08000000000001"/>
  </r>
  <r>
    <x v="0"/>
    <x v="33"/>
    <s v="06509967AA"/>
    <n v="713926"/>
    <n v="33"/>
    <n v="825"/>
    <n v="27225"/>
    <s v="279+245"/>
    <s v="Yes"/>
    <m/>
    <s v="Yes"/>
    <m/>
    <s v="Yes"/>
    <m/>
    <s v="Yes"/>
    <m/>
    <s v="N/A"/>
    <m/>
    <s v="Yes"/>
    <m/>
    <s v="Yes"/>
    <m/>
    <s v="New"/>
    <s v="infasco"/>
    <n v="280.16000000000003"/>
    <n v="280.16000000000003"/>
  </r>
  <r>
    <x v="0"/>
    <x v="33"/>
    <s v="11546368-MY-AK"/>
    <n v="713342"/>
    <n v="36"/>
    <n v="450"/>
    <n v="16200"/>
    <s v="279+245"/>
    <s v="Yes"/>
    <m/>
    <s v="Yes"/>
    <m/>
    <s v="Yes"/>
    <m/>
    <s v="Yes"/>
    <m/>
    <s v="N/A"/>
    <m/>
    <s v="Yes"/>
    <m/>
    <s v="Yes"/>
    <m/>
    <s v="New"/>
    <s v="infasco"/>
    <n v="106.94"/>
    <n v="106.94"/>
  </r>
  <r>
    <x v="0"/>
    <x v="33"/>
    <n v="91054"/>
    <n v="711580"/>
    <n v="17"/>
    <n v="1700"/>
    <n v="28900"/>
    <s v="279+245"/>
    <s v="Yes"/>
    <m/>
    <s v="Yes"/>
    <m/>
    <s v="Yes"/>
    <m/>
    <s v="Yes"/>
    <m/>
    <s v="N/A"/>
    <m/>
    <s v="Yes"/>
    <m/>
    <s v="Yes"/>
    <m/>
    <s v="Re-certified"/>
    <s v="infasco"/>
    <n v="0"/>
    <n v="0"/>
  </r>
  <r>
    <x v="1"/>
    <x v="10"/>
    <s v="11546437-MY-AK"/>
    <n v="714150"/>
    <n v="26"/>
    <n v="1500"/>
    <n v="39000"/>
    <n v="275"/>
    <s v="Yes"/>
    <m/>
    <s v="Yes"/>
    <m/>
    <s v="Yes"/>
    <m/>
    <s v="Yes"/>
    <m/>
    <s v="N/A"/>
    <m/>
    <s v="Yes"/>
    <m/>
    <s v="Yes"/>
    <m/>
    <s v="New"/>
    <s v="infasco"/>
    <n v="106.94"/>
    <n v="106.94"/>
  </r>
  <r>
    <x v="1"/>
    <x v="10"/>
    <s v="11546437-MY-AK"/>
    <n v="714145"/>
    <n v="16"/>
    <n v="1500"/>
    <n v="24000"/>
    <n v="275"/>
    <s v="Yes"/>
    <m/>
    <s v="Yes"/>
    <m/>
    <s v="Yes"/>
    <m/>
    <s v="Yes"/>
    <m/>
    <s v="N/A"/>
    <m/>
    <s v="Yes"/>
    <m/>
    <s v="Yes"/>
    <m/>
    <s v="Re-certified"/>
    <s v="infasco"/>
    <n v="0"/>
    <n v="0"/>
  </r>
  <r>
    <x v="1"/>
    <x v="7"/>
    <s v="06104388AA"/>
    <n v="714340"/>
    <n v="13"/>
    <n v="660"/>
    <n v="8580"/>
    <n v="275"/>
    <s v="Yes"/>
    <m/>
    <s v="Yes"/>
    <m/>
    <s v="Yes"/>
    <m/>
    <s v="Yes"/>
    <m/>
    <s v="N/A"/>
    <m/>
    <s v="Yes"/>
    <m/>
    <s v="Yes"/>
    <m/>
    <s v="New"/>
    <s v="infasco"/>
    <n v="135.08000000000001"/>
    <n v="135.08000000000001"/>
  </r>
  <r>
    <x v="1"/>
    <x v="7"/>
    <s v="06104388AA"/>
    <n v="714348"/>
    <n v="24"/>
    <n v="660"/>
    <n v="15840"/>
    <n v="275"/>
    <s v="Yes"/>
    <m/>
    <s v="Yes"/>
    <m/>
    <s v="Yes"/>
    <m/>
    <s v="Yes"/>
    <m/>
    <s v="N/A"/>
    <m/>
    <s v="Yes"/>
    <m/>
    <s v="Yes"/>
    <m/>
    <s v="Re-certified"/>
    <s v="infasco"/>
    <n v="0"/>
    <n v="0"/>
  </r>
  <r>
    <x v="1"/>
    <x v="8"/>
    <s v="NU1510"/>
    <n v="714471"/>
    <n v="1"/>
    <n v="20500"/>
    <n v="20500"/>
    <n v="275"/>
    <s v="Yes"/>
    <m/>
    <s v="Yes"/>
    <m/>
    <s v="Yes"/>
    <m/>
    <s v="Yes"/>
    <m/>
    <s v="N/A"/>
    <m/>
    <s v="Yes"/>
    <m/>
    <s v="Yes"/>
    <m/>
    <s v="New"/>
    <s v="infasco"/>
    <n v="129.44999999999999"/>
    <n v="129.44999999999999"/>
  </r>
  <r>
    <x v="1"/>
    <x v="8"/>
    <n v="11549170"/>
    <n v="713845"/>
    <n v="33"/>
    <n v="400"/>
    <n v="13200"/>
    <n v="275"/>
    <s v="Yes"/>
    <m/>
    <s v="Yes"/>
    <m/>
    <s v="Yes"/>
    <m/>
    <s v="Yes"/>
    <m/>
    <s v="N/A"/>
    <m/>
    <s v="Yes"/>
    <m/>
    <s v="Yes"/>
    <m/>
    <s v="Re-certified"/>
    <s v="infasco"/>
    <n v="0"/>
    <n v="0"/>
  </r>
  <r>
    <x v="1"/>
    <x v="9"/>
    <n v="11546389"/>
    <n v="715609"/>
    <n v="4"/>
    <n v="4500"/>
    <n v="18000"/>
    <n v="275"/>
    <s v="Yes"/>
    <m/>
    <s v="Yes"/>
    <m/>
    <s v="Yes"/>
    <m/>
    <s v="Yes"/>
    <m/>
    <s v="N/A"/>
    <m/>
    <s v="Yes"/>
    <m/>
    <s v="Yes"/>
    <m/>
    <s v="New"/>
    <s v="infasco"/>
    <n v="106.94"/>
    <n v="106.94"/>
  </r>
  <r>
    <x v="1"/>
    <x v="9"/>
    <s v="11546389BR"/>
    <n v="715611"/>
    <n v="21"/>
    <n v="3900"/>
    <n v="81900"/>
    <n v="275"/>
    <s v="Yes"/>
    <m/>
    <s v="Yes"/>
    <m/>
    <s v="Yes"/>
    <m/>
    <s v="Yes"/>
    <m/>
    <s v="N/A"/>
    <m/>
    <s v="Yes"/>
    <m/>
    <s v="Yes"/>
    <m/>
    <s v="New"/>
    <s v="infasco"/>
    <n v="106.94"/>
    <n v="106.94"/>
  </r>
  <r>
    <x v="1"/>
    <x v="11"/>
    <s v="11546437-MY-AK"/>
    <n v="714151"/>
    <n v="28"/>
    <n v="1500"/>
    <n v="42000"/>
    <n v="275"/>
    <s v="Yes"/>
    <m/>
    <s v="Yes"/>
    <m/>
    <s v="Yes"/>
    <m/>
    <s v="Yes"/>
    <m/>
    <s v="N/A"/>
    <m/>
    <s v="Yes"/>
    <m/>
    <s v="Yes"/>
    <m/>
    <s v="New"/>
    <s v="infasco"/>
    <n v="106.94"/>
    <n v="106.94"/>
  </r>
  <r>
    <x v="1"/>
    <x v="11"/>
    <s v="11546437-MY-AK"/>
    <n v="714141"/>
    <n v="41"/>
    <n v="1500"/>
    <n v="61500"/>
    <n v="275"/>
    <s v="Yes"/>
    <m/>
    <s v="Yes"/>
    <m/>
    <s v="Yes"/>
    <m/>
    <s v="Yes"/>
    <m/>
    <s v="N/A"/>
    <m/>
    <s v="Yes"/>
    <m/>
    <s v="Yes"/>
    <m/>
    <s v="Re-certified"/>
    <s v="infasco"/>
    <n v="0"/>
    <n v="0"/>
  </r>
  <r>
    <x v="1"/>
    <x v="6"/>
    <n v="11546377"/>
    <n v="714313"/>
    <n v="24"/>
    <n v="2150"/>
    <n v="51600"/>
    <n v="275"/>
    <s v="Yes"/>
    <m/>
    <s v="Yes"/>
    <m/>
    <s v="Yes"/>
    <m/>
    <s v="Yes"/>
    <m/>
    <s v="N/A"/>
    <m/>
    <s v="Yes"/>
    <m/>
    <s v="Yes"/>
    <m/>
    <s v="New"/>
    <s v="infasco"/>
    <n v="106.94"/>
    <n v="106.94"/>
  </r>
  <r>
    <x v="1"/>
    <x v="6"/>
    <n v="11546456"/>
    <n v="715619"/>
    <n v="11"/>
    <n v="2700"/>
    <n v="29700"/>
    <n v="275"/>
    <s v="Yes"/>
    <m/>
    <s v="Yes"/>
    <m/>
    <s v="Yes"/>
    <m/>
    <s v="Yes"/>
    <m/>
    <s v="N/A"/>
    <m/>
    <s v="Yes"/>
    <m/>
    <s v="Yes"/>
    <m/>
    <s v="Re-certified"/>
    <s v="infasco"/>
    <n v="0"/>
    <n v="0"/>
  </r>
  <r>
    <x v="1"/>
    <x v="12"/>
    <n v="11549170"/>
    <n v="713828"/>
    <n v="24"/>
    <n v="400"/>
    <n v="9600"/>
    <n v="275"/>
    <s v="Yes"/>
    <m/>
    <s v="Yes"/>
    <m/>
    <s v="Yes"/>
    <m/>
    <s v="Yes"/>
    <m/>
    <s v="N/A"/>
    <m/>
    <s v="Yes"/>
    <m/>
    <s v="Yes"/>
    <m/>
    <s v="New"/>
    <s v="infasco"/>
    <n v="106.94"/>
    <n v="106.94"/>
  </r>
  <r>
    <x v="1"/>
    <x v="12"/>
    <n v="11549170"/>
    <n v="713830"/>
    <n v="36"/>
    <n v="400"/>
    <n v="14400"/>
    <n v="275"/>
    <s v="Yes"/>
    <m/>
    <s v="Yes"/>
    <m/>
    <s v="Yes"/>
    <m/>
    <s v="Yes"/>
    <m/>
    <s v="N/A"/>
    <m/>
    <s v="Yes"/>
    <m/>
    <s v="Yes"/>
    <m/>
    <s v="New"/>
    <s v="infasco"/>
    <n v="106.94"/>
    <n v="106.94"/>
  </r>
  <r>
    <x v="1"/>
    <x v="12"/>
    <n v="11549170"/>
    <n v="713848"/>
    <n v="15"/>
    <n v="400"/>
    <n v="6000"/>
    <n v="275"/>
    <s v="Yes"/>
    <m/>
    <s v="Yes"/>
    <m/>
    <s v="Yes"/>
    <m/>
    <s v="Yes"/>
    <m/>
    <s v="N/A"/>
    <m/>
    <s v="Yes"/>
    <m/>
    <s v="Yes"/>
    <m/>
    <s v="Re-certified"/>
    <s v="infasco"/>
    <n v="0"/>
    <n v="0"/>
  </r>
  <r>
    <x v="1"/>
    <x v="23"/>
    <s v="11546437-MY-AK"/>
    <n v="714148"/>
    <n v="21"/>
    <n v="1500"/>
    <n v="31500"/>
    <n v="280"/>
    <s v="Yes"/>
    <m/>
    <s v="Yes"/>
    <m/>
    <s v="Yes"/>
    <m/>
    <s v="Yes"/>
    <m/>
    <s v="N/A"/>
    <m/>
    <s v="Yes"/>
    <m/>
    <s v="Yes"/>
    <m/>
    <s v="New"/>
    <s v="infasco"/>
    <n v="106.94"/>
    <n v="106.94"/>
  </r>
  <r>
    <x v="1"/>
    <x v="23"/>
    <s v="11546437-MY-AK"/>
    <n v="714140"/>
    <n v="60"/>
    <n v="1500"/>
    <n v="90000"/>
    <n v="280"/>
    <s v="Yes"/>
    <m/>
    <s v="Yes"/>
    <m/>
    <s v="Yes"/>
    <m/>
    <s v="Yes"/>
    <m/>
    <s v="N/A"/>
    <m/>
    <s v="Yes"/>
    <m/>
    <s v="Yes"/>
    <m/>
    <s v="Re-certified"/>
    <s v="infasco"/>
    <n v="0"/>
    <n v="0"/>
  </r>
  <r>
    <x v="1"/>
    <x v="20"/>
    <s v="06101831-A"/>
    <n v="714514"/>
    <n v="13"/>
    <n v="1000"/>
    <n v="13000"/>
    <n v="280"/>
    <s v="Yes"/>
    <m/>
    <s v="Yes"/>
    <m/>
    <s v="Yes"/>
    <m/>
    <s v="Yes"/>
    <m/>
    <s v="N/A"/>
    <m/>
    <s v="Yes"/>
    <m/>
    <s v="Yes"/>
    <m/>
    <s v="New"/>
    <s v="infasco"/>
    <n v="106.94"/>
    <n v="106.94"/>
  </r>
  <r>
    <x v="1"/>
    <x v="20"/>
    <n v="11546367"/>
    <n v="714552"/>
    <n v="28"/>
    <n v="700"/>
    <n v="19600"/>
    <n v="280"/>
    <s v="Yes"/>
    <m/>
    <s v="Yes"/>
    <m/>
    <s v="Yes"/>
    <m/>
    <s v="Yes"/>
    <m/>
    <s v="N/A"/>
    <m/>
    <s v="Yes"/>
    <m/>
    <s v="Yes"/>
    <m/>
    <s v="Re-certified"/>
    <s v="infasco"/>
    <n v="0"/>
    <n v="0"/>
  </r>
  <r>
    <x v="1"/>
    <x v="21"/>
    <s v="11546437-MY-AK"/>
    <n v="714147"/>
    <n v="16"/>
    <n v="1500"/>
    <n v="24000"/>
    <n v="280"/>
    <s v="Yes"/>
    <m/>
    <s v="Yes"/>
    <m/>
    <s v="Yes"/>
    <m/>
    <s v="Yes"/>
    <m/>
    <s v="N/A"/>
    <m/>
    <s v="Yes"/>
    <m/>
    <s v="Yes"/>
    <m/>
    <s v="New"/>
    <s v="infasco"/>
    <n v="106.94"/>
    <n v="106.94"/>
  </r>
  <r>
    <x v="1"/>
    <x v="21"/>
    <s v="11546437-MY-AK"/>
    <n v="714143"/>
    <n v="58"/>
    <n v="1500"/>
    <n v="87000"/>
    <n v="280"/>
    <s v="Yes"/>
    <m/>
    <s v="Yes"/>
    <m/>
    <s v="Yes"/>
    <m/>
    <s v="Yes"/>
    <m/>
    <s v="N/A"/>
    <m/>
    <s v="Yes"/>
    <m/>
    <s v="Yes"/>
    <m/>
    <s v="New"/>
    <s v="infasco"/>
    <n v="106.94"/>
    <n v="106.94"/>
  </r>
  <r>
    <x v="1"/>
    <x v="21"/>
    <n v="11546456"/>
    <n v="715618"/>
    <n v="28"/>
    <n v="2700"/>
    <n v="75600"/>
    <n v="280"/>
    <s v="Yes"/>
    <m/>
    <s v="Yes"/>
    <m/>
    <s v="Yes"/>
    <m/>
    <s v="Yes"/>
    <m/>
    <s v="N/A"/>
    <m/>
    <s v="Yes"/>
    <m/>
    <s v="Yes"/>
    <m/>
    <s v="New"/>
    <s v="infasco"/>
    <n v="106.94"/>
    <n v="106.94"/>
  </r>
  <r>
    <x v="1"/>
    <x v="24"/>
    <n v="11546389"/>
    <n v="715608"/>
    <n v="9"/>
    <n v="4500"/>
    <n v="40500"/>
    <n v="280"/>
    <s v="Yes"/>
    <m/>
    <s v="Yes"/>
    <m/>
    <s v="Yes"/>
    <m/>
    <s v="Yes"/>
    <m/>
    <s v="N/A"/>
    <m/>
    <s v="Yes"/>
    <m/>
    <s v="Yes"/>
    <m/>
    <s v="New"/>
    <s v="infasco"/>
    <n v="106.94"/>
    <n v="106.94"/>
  </r>
  <r>
    <x v="1"/>
    <x v="24"/>
    <s v="11546366-MY-AK"/>
    <n v="714024"/>
    <n v="24"/>
    <n v="1000"/>
    <n v="24000"/>
    <n v="280"/>
    <s v="Yes"/>
    <m/>
    <s v="Yes"/>
    <m/>
    <s v="Yes"/>
    <m/>
    <s v="Yes"/>
    <m/>
    <s v="N/A"/>
    <m/>
    <s v="Yes"/>
    <m/>
    <s v="Yes"/>
    <m/>
    <s v="Re-certified"/>
    <s v="infasco"/>
    <n v="0"/>
    <n v="0"/>
  </r>
  <r>
    <x v="1"/>
    <x v="25"/>
    <s v="11546366-MY-AK"/>
    <n v="714023"/>
    <n v="14"/>
    <n v="1000"/>
    <n v="14000"/>
    <n v="280"/>
    <s v="Yes"/>
    <m/>
    <s v="Yes"/>
    <m/>
    <s v="Yes"/>
    <m/>
    <s v="Yes"/>
    <m/>
    <s v="N/A"/>
    <m/>
    <s v="Yes"/>
    <m/>
    <s v="Yes"/>
    <m/>
    <s v="New"/>
    <s v="infasco"/>
    <n v="106.94"/>
    <n v="106.94"/>
  </r>
  <r>
    <x v="1"/>
    <x v="25"/>
    <s v="11546366-MY-AK"/>
    <n v="714025"/>
    <n v="25"/>
    <n v="1000"/>
    <n v="25000"/>
    <n v="280"/>
    <s v="Yes"/>
    <m/>
    <s v="Yes"/>
    <m/>
    <s v="Yes"/>
    <m/>
    <s v="Yes"/>
    <m/>
    <s v="N/A"/>
    <m/>
    <s v="Yes"/>
    <m/>
    <s v="Yes"/>
    <m/>
    <s v="Re-certified"/>
    <s v="infasco"/>
    <n v="0"/>
    <n v="0"/>
  </r>
  <r>
    <x v="1"/>
    <x v="31"/>
    <s v="06101831-A"/>
    <n v="714512"/>
    <n v="7"/>
    <n v="1000"/>
    <n v="7000"/>
    <n v="290"/>
    <s v="Yes"/>
    <m/>
    <s v="Yes"/>
    <m/>
    <s v="Yes"/>
    <m/>
    <s v="Yes"/>
    <m/>
    <s v="N/A"/>
    <m/>
    <s v="Yes"/>
    <m/>
    <s v="Yes"/>
    <m/>
    <s v="New"/>
    <s v="infasco"/>
    <n v="106.94"/>
    <n v="106.94"/>
  </r>
  <r>
    <x v="1"/>
    <x v="31"/>
    <s v="06101831-A"/>
    <n v="714509"/>
    <n v="39"/>
    <n v="1000"/>
    <n v="39000"/>
    <n v="290"/>
    <s v="Yes"/>
    <m/>
    <s v="Yes"/>
    <m/>
    <s v="Yes"/>
    <m/>
    <s v="Yes"/>
    <m/>
    <s v="N/A"/>
    <m/>
    <s v="Yes"/>
    <m/>
    <s v="Yes"/>
    <m/>
    <s v="New"/>
    <s v="infasco"/>
    <n v="106.94"/>
    <n v="106.94"/>
  </r>
  <r>
    <x v="1"/>
    <x v="31"/>
    <s v="11546367-MY-AK"/>
    <n v="714543"/>
    <n v="36"/>
    <n v="700"/>
    <n v="25200"/>
    <n v="290"/>
    <s v="Yes"/>
    <m/>
    <s v="Yes"/>
    <m/>
    <s v="Yes"/>
    <m/>
    <s v="Yes"/>
    <m/>
    <s v="N/A"/>
    <m/>
    <s v="Yes"/>
    <m/>
    <s v="Yes"/>
    <m/>
    <s v="New"/>
    <s v="infasco"/>
    <n v="106.94"/>
    <n v="106.94"/>
  </r>
  <r>
    <x v="1"/>
    <x v="26"/>
    <n v="11546440"/>
    <n v="714504"/>
    <n v="21"/>
    <n v="1550"/>
    <n v="32550"/>
    <n v="290"/>
    <s v="Yes"/>
    <m/>
    <s v="Yes"/>
    <m/>
    <s v="Yes"/>
    <m/>
    <s v="Yes"/>
    <m/>
    <s v="N/A"/>
    <m/>
    <s v="Yes"/>
    <m/>
    <s v="Yes"/>
    <m/>
    <s v="New"/>
    <s v="infasco"/>
    <n v="106.94"/>
    <n v="106.94"/>
  </r>
  <r>
    <x v="1"/>
    <x v="26"/>
    <n v="11549170"/>
    <n v="713840"/>
    <n v="36"/>
    <n v="400"/>
    <n v="14400"/>
    <n v="290"/>
    <s v="Yes"/>
    <m/>
    <s v="Yes"/>
    <m/>
    <s v="Yes"/>
    <m/>
    <s v="Yes"/>
    <m/>
    <s v="N/A"/>
    <m/>
    <s v="Yes"/>
    <m/>
    <s v="Yes"/>
    <m/>
    <s v="New"/>
    <s v="infasco"/>
    <n v="106.94"/>
    <n v="106.94"/>
  </r>
  <r>
    <x v="1"/>
    <x v="26"/>
    <n v="11549170"/>
    <n v="713829"/>
    <n v="44"/>
    <n v="400"/>
    <n v="17600"/>
    <n v="290"/>
    <s v="Yes"/>
    <m/>
    <s v="Yes"/>
    <m/>
    <s v="Yes"/>
    <m/>
    <s v="Yes"/>
    <m/>
    <s v="N/A"/>
    <m/>
    <s v="Yes"/>
    <m/>
    <s v="Yes"/>
    <m/>
    <s v="New"/>
    <s v="infasco"/>
    <n v="106.94"/>
    <n v="106.94"/>
  </r>
  <r>
    <x v="1"/>
    <x v="26"/>
    <n v="11549170"/>
    <n v="713825"/>
    <n v="24"/>
    <n v="400"/>
    <n v="9600"/>
    <n v="290"/>
    <s v="Yes"/>
    <m/>
    <s v="Yes"/>
    <m/>
    <s v="Yes"/>
    <m/>
    <s v="Yes"/>
    <m/>
    <s v="N/A"/>
    <m/>
    <s v="Yes"/>
    <m/>
    <s v="Yes"/>
    <m/>
    <s v="Re-certified"/>
    <s v="infasco"/>
    <n v="0"/>
    <n v="0"/>
  </r>
  <r>
    <x v="1"/>
    <x v="27"/>
    <s v="11546367-MY-AK"/>
    <n v="714106"/>
    <n v="11"/>
    <n v="700"/>
    <n v="7700"/>
    <n v="290"/>
    <s v="Yes"/>
    <m/>
    <s v="Yes"/>
    <m/>
    <s v="Yes"/>
    <m/>
    <s v="Yes"/>
    <m/>
    <s v="N/A"/>
    <m/>
    <s v="Yes"/>
    <m/>
    <s v="Yes"/>
    <m/>
    <s v="New"/>
    <s v="infasco"/>
    <n v="106.94"/>
    <n v="106.94"/>
  </r>
  <r>
    <x v="1"/>
    <x v="27"/>
    <s v="11546367-MY-AK"/>
    <n v="714550"/>
    <n v="36"/>
    <n v="700"/>
    <n v="25200"/>
    <n v="290"/>
    <s v="Yes"/>
    <m/>
    <s v="Yes"/>
    <m/>
    <s v="Yes"/>
    <m/>
    <s v="Yes"/>
    <m/>
    <s v="N/A"/>
    <m/>
    <s v="Yes"/>
    <m/>
    <s v="Yes"/>
    <m/>
    <s v="New"/>
    <s v="infasco"/>
    <n v="106.94"/>
    <n v="106.94"/>
  </r>
  <r>
    <x v="1"/>
    <x v="27"/>
    <s v="11546367-MY-AK"/>
    <n v="714546"/>
    <n v="5"/>
    <n v="700"/>
    <n v="3500"/>
    <n v="290"/>
    <s v="Yes"/>
    <m/>
    <s v="Yes"/>
    <m/>
    <s v="Yes"/>
    <m/>
    <s v="Yes"/>
    <m/>
    <s v="N/A"/>
    <m/>
    <s v="Yes"/>
    <m/>
    <s v="Yes"/>
    <m/>
    <s v="Re-certified"/>
    <s v="infasco"/>
    <n v="0"/>
    <n v="0"/>
  </r>
  <r>
    <x v="1"/>
    <x v="28"/>
    <s v="06509967AA"/>
    <n v="714413"/>
    <n v="21"/>
    <n v="825"/>
    <n v="17325"/>
    <n v="290"/>
    <s v="Yes"/>
    <m/>
    <s v="Yes"/>
    <m/>
    <s v="Yes"/>
    <m/>
    <s v="Yes"/>
    <m/>
    <s v="N/A"/>
    <m/>
    <s v="Yes"/>
    <m/>
    <s v="Yes"/>
    <m/>
    <s v="New"/>
    <s v="infasco"/>
    <n v="280.16000000000003"/>
    <n v="280.16000000000003"/>
  </r>
  <r>
    <x v="1"/>
    <x v="29"/>
    <s v="11546437-MY-AK"/>
    <n v="714142"/>
    <n v="3"/>
    <n v="1500"/>
    <n v="4500"/>
    <n v="290"/>
    <s v="Yes"/>
    <m/>
    <s v="Yes"/>
    <m/>
    <s v="Yes"/>
    <m/>
    <s v="Yes"/>
    <m/>
    <s v="N/A"/>
    <m/>
    <s v="Yes"/>
    <m/>
    <s v="Yes"/>
    <m/>
    <s v="New"/>
    <s v="infasco"/>
    <n v="106.94"/>
    <n v="106.94"/>
  </r>
  <r>
    <x v="1"/>
    <x v="29"/>
    <s v="11546437-MY-AK"/>
    <n v="714146"/>
    <n v="51"/>
    <n v="1500"/>
    <n v="76500"/>
    <n v="290"/>
    <s v="Yes"/>
    <m/>
    <s v="Yes"/>
    <m/>
    <s v="Yes"/>
    <m/>
    <s v="Yes"/>
    <m/>
    <s v="N/A"/>
    <m/>
    <s v="Yes"/>
    <m/>
    <s v="Yes"/>
    <m/>
    <s v="Re-certified"/>
    <s v="infasco"/>
    <n v="0"/>
    <n v="0"/>
  </r>
  <r>
    <x v="1"/>
    <x v="30"/>
    <n v="11549170"/>
    <n v="713835"/>
    <n v="30"/>
    <n v="400"/>
    <n v="12000"/>
    <n v="290"/>
    <s v="Yes"/>
    <m/>
    <s v="Yes"/>
    <m/>
    <s v="Yes"/>
    <m/>
    <s v="Yes"/>
    <m/>
    <s v="N/A"/>
    <m/>
    <s v="Yes"/>
    <m/>
    <s v="Yes"/>
    <m/>
    <s v="New"/>
    <s v="infasco"/>
    <n v="106.94"/>
    <n v="106.94"/>
  </r>
  <r>
    <x v="1"/>
    <x v="30"/>
    <n v="11549170"/>
    <n v="713841"/>
    <n v="36"/>
    <n v="400"/>
    <n v="14400"/>
    <n v="290"/>
    <s v="Yes"/>
    <m/>
    <s v="Yes"/>
    <m/>
    <s v="Yes"/>
    <m/>
    <s v="Yes"/>
    <m/>
    <s v="N/A"/>
    <m/>
    <s v="Yes"/>
    <m/>
    <s v="Yes"/>
    <m/>
    <s v="New"/>
    <s v="infasco"/>
    <n v="106.94"/>
    <n v="106.94"/>
  </r>
  <r>
    <x v="1"/>
    <x v="30"/>
    <n v="11549170"/>
    <n v="713833"/>
    <n v="60"/>
    <n v="400"/>
    <n v="24000"/>
    <n v="290"/>
    <s v="Yes"/>
    <m/>
    <s v="Yes"/>
    <m/>
    <s v="Yes"/>
    <m/>
    <s v="Yes"/>
    <m/>
    <s v="N/A"/>
    <m/>
    <s v="Yes"/>
    <m/>
    <s v="Yes"/>
    <m/>
    <s v="New"/>
    <s v="infasco"/>
    <n v="106.94"/>
    <n v="106.94"/>
  </r>
  <r>
    <x v="1"/>
    <x v="30"/>
    <n v="11549170"/>
    <n v="713837"/>
    <n v="8"/>
    <n v="400"/>
    <n v="3200"/>
    <n v="290"/>
    <s v="Yes"/>
    <m/>
    <s v="Yes"/>
    <m/>
    <s v="Yes"/>
    <m/>
    <s v="Yes"/>
    <m/>
    <s v="N/A"/>
    <m/>
    <s v="Yes"/>
    <m/>
    <s v="Yes"/>
    <m/>
    <s v="Re-certified"/>
    <s v="infasco"/>
    <n v="0"/>
    <n v="0"/>
  </r>
  <r>
    <x v="1"/>
    <x v="4"/>
    <s v="11546377BR"/>
    <n v="714502"/>
    <n v="25"/>
    <n v="2000"/>
    <n v="50000"/>
    <n v="4"/>
    <s v="Yes"/>
    <m/>
    <s v="Yes"/>
    <m/>
    <s v="Yes"/>
    <m/>
    <s v="Yes"/>
    <m/>
    <s v="N/A"/>
    <m/>
    <s v="Yes"/>
    <m/>
    <s v="Yes"/>
    <m/>
    <s v="New"/>
    <s v="infasco"/>
    <n v="106.94"/>
    <n v="106.94"/>
  </r>
  <r>
    <x v="1"/>
    <x v="5"/>
    <n v="11549168"/>
    <n v="713691"/>
    <n v="32"/>
    <n v="1000"/>
    <n v="32000"/>
    <n v="4"/>
    <s v="Yes"/>
    <m/>
    <s v="Yes"/>
    <m/>
    <s v="Yes"/>
    <m/>
    <s v="Yes"/>
    <m/>
    <s v="N/A"/>
    <m/>
    <s v="Yes"/>
    <m/>
    <s v="Yes"/>
    <m/>
    <s v="New"/>
    <s v="infasco"/>
    <n v="106.94"/>
    <n v="106.94"/>
  </r>
  <r>
    <x v="1"/>
    <x v="5"/>
    <n v="11549168"/>
    <n v="712774"/>
    <n v="45"/>
    <n v="1000"/>
    <n v="45000"/>
    <n v="4"/>
    <s v="Yes"/>
    <m/>
    <s v="Yes"/>
    <m/>
    <s v="Yes"/>
    <m/>
    <s v="Yes"/>
    <m/>
    <s v="N/A"/>
    <m/>
    <s v="Yes"/>
    <m/>
    <s v="Yes"/>
    <m/>
    <s v="New"/>
    <s v="infasco"/>
    <n v="106.94"/>
    <n v="106.94"/>
  </r>
  <r>
    <x v="1"/>
    <x v="5"/>
    <n v="11549168"/>
    <n v="712773"/>
    <n v="14"/>
    <n v="1000"/>
    <n v="14000"/>
    <n v="4"/>
    <s v="Yes"/>
    <m/>
    <s v="Yes"/>
    <m/>
    <s v="Yes"/>
    <m/>
    <s v="Yes"/>
    <m/>
    <s v="N/A"/>
    <m/>
    <s v="Yes"/>
    <m/>
    <s v="Yes"/>
    <m/>
    <s v="Re-certified"/>
    <s v="infasco"/>
    <n v="0"/>
    <n v="0"/>
  </r>
  <r>
    <x v="1"/>
    <x v="3"/>
    <s v="11546367-MY-AK"/>
    <n v="714117"/>
    <n v="30"/>
    <n v="700"/>
    <n v="21000"/>
    <n v="4"/>
    <s v="Yes"/>
    <m/>
    <s v="Yes"/>
    <m/>
    <s v="Yes"/>
    <m/>
    <s v="Yes"/>
    <m/>
    <s v="N/A"/>
    <m/>
    <s v="Yes"/>
    <m/>
    <s v="Yes"/>
    <m/>
    <s v="New"/>
    <s v="infasco"/>
    <n v="106.94"/>
    <n v="106.94"/>
  </r>
  <r>
    <x v="1"/>
    <x v="3"/>
    <s v="11546367-MY-AK"/>
    <n v="714553"/>
    <n v="36"/>
    <n v="700"/>
    <n v="25200"/>
    <n v="4"/>
    <s v="Yes"/>
    <m/>
    <s v="Yes"/>
    <m/>
    <s v="Yes"/>
    <m/>
    <s v="Yes"/>
    <m/>
    <s v="N/A"/>
    <m/>
    <s v="Yes"/>
    <m/>
    <s v="Yes"/>
    <m/>
    <s v="New"/>
    <s v="infasco"/>
    <n v="106.94"/>
    <n v="106.94"/>
  </r>
  <r>
    <x v="1"/>
    <x v="3"/>
    <s v="11546367-MY-AK"/>
    <n v="714548"/>
    <n v="36"/>
    <n v="700"/>
    <n v="25200"/>
    <n v="4"/>
    <s v="Yes"/>
    <m/>
    <s v="Yes"/>
    <m/>
    <s v="Yes"/>
    <m/>
    <s v="Yes"/>
    <m/>
    <s v="N/A"/>
    <m/>
    <s v="Yes"/>
    <m/>
    <s v="Yes"/>
    <m/>
    <s v="New"/>
    <s v="infasco"/>
    <n v="106.94"/>
    <n v="106.94"/>
  </r>
  <r>
    <x v="1"/>
    <x v="3"/>
    <s v="11546367-MY-AK"/>
    <n v="714549"/>
    <n v="36"/>
    <n v="700"/>
    <n v="25200"/>
    <n v="4"/>
    <s v="Yes"/>
    <m/>
    <s v="Yes"/>
    <m/>
    <s v="Yes"/>
    <m/>
    <s v="Yes"/>
    <m/>
    <s v="N/A"/>
    <m/>
    <s v="Yes"/>
    <m/>
    <s v="Yes"/>
    <m/>
    <s v="New"/>
    <s v="infasco"/>
    <n v="106.94"/>
    <n v="106.94"/>
  </r>
  <r>
    <x v="1"/>
    <x v="0"/>
    <s v="11546378-my-ak"/>
    <n v="714029"/>
    <n v="24"/>
    <n v="1250"/>
    <n v="30000"/>
    <n v="4"/>
    <s v="Yes"/>
    <m/>
    <s v="Yes"/>
    <m/>
    <s v="Yes"/>
    <m/>
    <s v="Yes"/>
    <m/>
    <s v="N/A"/>
    <m/>
    <s v="Yes"/>
    <m/>
    <s v="Yes"/>
    <m/>
    <s v="New"/>
    <s v="infasco"/>
    <n v="106.94"/>
    <n v="106.94"/>
  </r>
  <r>
    <x v="1"/>
    <x v="2"/>
    <s v="06101831-A"/>
    <n v="714511"/>
    <n v="7"/>
    <n v="1000"/>
    <n v="7000"/>
    <n v="4"/>
    <s v="Yes"/>
    <m/>
    <s v="Yes"/>
    <m/>
    <s v="Yes"/>
    <m/>
    <s v="Yes"/>
    <m/>
    <s v="N/A"/>
    <m/>
    <s v="Yes"/>
    <m/>
    <s v="Yes"/>
    <m/>
    <s v="New"/>
    <s v="infasco"/>
    <n v="106.94"/>
    <n v="106.94"/>
  </r>
  <r>
    <x v="1"/>
    <x v="2"/>
    <s v="06101831-A"/>
    <n v="714506"/>
    <n v="12"/>
    <n v="1000"/>
    <n v="12000"/>
    <n v="4"/>
    <s v="Yes"/>
    <m/>
    <s v="Yes"/>
    <m/>
    <s v="Yes"/>
    <m/>
    <s v="Yes"/>
    <m/>
    <s v="N/A"/>
    <m/>
    <s v="Yes"/>
    <m/>
    <s v="Yes"/>
    <m/>
    <s v="Re-certified"/>
    <s v="infasco"/>
    <n v="0"/>
    <n v="0"/>
  </r>
  <r>
    <x v="1"/>
    <x v="1"/>
    <s v="NU5108"/>
    <n v="713727"/>
    <n v="1"/>
    <n v="3861"/>
    <n v="3861"/>
    <n v="4"/>
    <s v="Yes"/>
    <m/>
    <s v="Yes"/>
    <m/>
    <s v="Yes"/>
    <m/>
    <s v="Yes"/>
    <m/>
    <s v="N/A"/>
    <m/>
    <s v="Yes"/>
    <m/>
    <s v="Yes"/>
    <m/>
    <s v="New"/>
    <s v="infasco"/>
    <n v="129.44999999999999"/>
    <n v="129.44999999999999"/>
  </r>
  <r>
    <x v="1"/>
    <x v="1"/>
    <n v="11546456"/>
    <n v="715616"/>
    <n v="20"/>
    <n v="2700"/>
    <n v="54000"/>
    <n v="4"/>
    <s v="Yes"/>
    <m/>
    <s v="Yes"/>
    <m/>
    <s v="Yes"/>
    <m/>
    <s v="Yes"/>
    <m/>
    <s v="N/A"/>
    <m/>
    <s v="Yes"/>
    <m/>
    <s v="Yes"/>
    <m/>
    <s v="Re-certified"/>
    <s v="infasco"/>
    <n v="0"/>
    <n v="0"/>
  </r>
  <r>
    <x v="1"/>
    <x v="33"/>
    <n v="91054"/>
    <n v="711580"/>
    <n v="20"/>
    <n v="1700"/>
    <n v="34000"/>
    <s v="279+245"/>
    <s v="Yes"/>
    <m/>
    <s v="Yes"/>
    <m/>
    <s v="Yes"/>
    <m/>
    <s v="Yes"/>
    <m/>
    <s v="N/A"/>
    <m/>
    <s v="Yes"/>
    <m/>
    <s v="Yes"/>
    <m/>
    <s v="New"/>
    <s v="infasco"/>
    <n v="106.94"/>
    <n v="106.94"/>
  </r>
  <r>
    <x v="1"/>
    <x v="33"/>
    <s v="11516078-CA-IN"/>
    <n v="705865"/>
    <n v="32"/>
    <n v="700"/>
    <n v="22400"/>
    <s v="279+245"/>
    <s v="Yes"/>
    <m/>
    <s v="Yes"/>
    <m/>
    <s v="Yes"/>
    <m/>
    <s v="Yes"/>
    <m/>
    <s v="N/A"/>
    <m/>
    <s v="Yes"/>
    <m/>
    <s v="Yes"/>
    <m/>
    <s v="New"/>
    <s v="infasco"/>
    <n v="106.94"/>
    <n v="106.94"/>
  </r>
  <r>
    <x v="1"/>
    <x v="33"/>
    <s v="11549168-CA-IN"/>
    <n v="710691"/>
    <n v="10"/>
    <n v="1000"/>
    <n v="10000"/>
    <s v="279+245"/>
    <s v="Yes"/>
    <m/>
    <s v="Yes"/>
    <m/>
    <s v="Yes"/>
    <m/>
    <s v="Yes"/>
    <m/>
    <s v="N/A"/>
    <m/>
    <s v="Yes"/>
    <m/>
    <s v="Yes"/>
    <m/>
    <s v="Re-certified"/>
    <s v="infasco"/>
    <n v="0"/>
    <n v="0"/>
  </r>
  <r>
    <x v="1"/>
    <x v="19"/>
    <s v="11549168-CA-IN"/>
    <n v="708738"/>
    <n v="36"/>
    <n v="1000"/>
    <n v="36000"/>
    <n v="272"/>
    <s v="Yes"/>
    <m/>
    <s v="Yes"/>
    <m/>
    <s v="Yes"/>
    <m/>
    <s v="Yes"/>
    <m/>
    <s v="N/A"/>
    <m/>
    <s v="Yes"/>
    <m/>
    <s v="Yes"/>
    <m/>
    <s v="New"/>
    <s v="infasco"/>
    <n v="213.88"/>
    <n v="213.88"/>
  </r>
  <r>
    <x v="1"/>
    <x v="19"/>
    <s v="11549168-CA-IN"/>
    <n v="708737"/>
    <n v="36"/>
    <n v="1000"/>
    <n v="36000"/>
    <n v="272"/>
    <s v="Yes"/>
    <m/>
    <s v="Yes"/>
    <m/>
    <s v="Yes"/>
    <m/>
    <s v="Yes"/>
    <m/>
    <s v="N/A"/>
    <m/>
    <s v="Yes"/>
    <m/>
    <s v="Yes"/>
    <m/>
    <s v="Re-certified"/>
    <s v="infasco"/>
    <n v="0"/>
    <n v="0"/>
  </r>
  <r>
    <x v="1"/>
    <x v="14"/>
    <n v="11612078"/>
    <n v="706812"/>
    <n v="21"/>
    <n v="1850"/>
    <n v="38850"/>
    <n v="240"/>
    <s v="Yes"/>
    <m/>
    <s v="Yes"/>
    <m/>
    <s v="Yes"/>
    <m/>
    <s v="Yes"/>
    <m/>
    <s v="N/A"/>
    <m/>
    <s v="Yes"/>
    <m/>
    <s v="Yes"/>
    <m/>
    <s v="Re-certified"/>
    <s v="infasco"/>
    <n v="0"/>
    <n v="0"/>
  </r>
  <r>
    <x v="1"/>
    <x v="13"/>
    <s v="06101736-A"/>
    <n v="713386"/>
    <n v="16"/>
    <n v="3200"/>
    <n v="51200"/>
    <n v="11"/>
    <s v="Yes"/>
    <m/>
    <s v="Yes"/>
    <m/>
    <s v="Yes"/>
    <m/>
    <s v="Yes"/>
    <m/>
    <s v="N/A"/>
    <m/>
    <s v="Yes"/>
    <m/>
    <s v="Yes"/>
    <m/>
    <s v="New"/>
    <s v="infasco"/>
    <n v="106.94"/>
    <n v="106.94"/>
  </r>
  <r>
    <x v="1"/>
    <x v="13"/>
    <n v="11549170"/>
    <n v="713836"/>
    <n v="38"/>
    <n v="400"/>
    <n v="15200"/>
    <n v="11"/>
    <s v="Yes"/>
    <m/>
    <s v="Yes"/>
    <m/>
    <s v="Yes"/>
    <m/>
    <s v="Yes"/>
    <m/>
    <s v="N/A"/>
    <m/>
    <s v="Yes"/>
    <m/>
    <s v="Yes"/>
    <m/>
    <s v="New"/>
    <s v="infasco"/>
    <n v="106.94"/>
    <n v="106.94"/>
  </r>
  <r>
    <x v="1"/>
    <x v="13"/>
    <s v="11516078-CA-IN"/>
    <n v="707150"/>
    <n v="17"/>
    <n v="700"/>
    <n v="11900"/>
    <n v="11"/>
    <s v="Yes"/>
    <m/>
    <s v="Yes"/>
    <m/>
    <s v="Yes"/>
    <m/>
    <s v="Yes"/>
    <m/>
    <s v="N/A"/>
    <m/>
    <s v="Yes"/>
    <m/>
    <s v="Yes"/>
    <m/>
    <s v="Re-certified"/>
    <s v="infasco"/>
    <n v="0"/>
    <n v="0"/>
  </r>
  <r>
    <x v="1"/>
    <x v="32"/>
    <n v="11549170"/>
    <n v="713697"/>
    <n v="23"/>
    <n v="400"/>
    <n v="9200"/>
    <s v="294+252"/>
    <s v="Yes"/>
    <m/>
    <s v="Yes"/>
    <m/>
    <s v="Yes"/>
    <m/>
    <s v="Yes"/>
    <m/>
    <s v="N/A"/>
    <m/>
    <s v="Yes"/>
    <m/>
    <s v="Yes"/>
    <m/>
    <s v="New"/>
    <s v="infasco"/>
    <n v="106.94"/>
    <n v="106.94"/>
  </r>
  <r>
    <x v="1"/>
    <x v="32"/>
    <n v="11549170"/>
    <n v="713704"/>
    <n v="40"/>
    <n v="400"/>
    <n v="16000"/>
    <s v="294+252"/>
    <s v="Yes"/>
    <m/>
    <s v="Yes"/>
    <m/>
    <s v="Yes"/>
    <m/>
    <s v="Yes"/>
    <m/>
    <s v="N/A"/>
    <m/>
    <s v="Yes"/>
    <m/>
    <s v="Yes"/>
    <m/>
    <s v="New"/>
    <s v="infasco"/>
    <n v="106.94"/>
    <n v="106.94"/>
  </r>
  <r>
    <x v="1"/>
    <x v="32"/>
    <n v="11549204"/>
    <n v="714270"/>
    <n v="33"/>
    <n v="210"/>
    <n v="6930"/>
    <s v="294+252"/>
    <s v="Yes"/>
    <m/>
    <s v="Yes"/>
    <m/>
    <s v="Yes"/>
    <m/>
    <s v="Yes"/>
    <m/>
    <s v="N/A"/>
    <m/>
    <s v="Yes"/>
    <m/>
    <s v="Yes"/>
    <m/>
    <s v="New"/>
    <s v="infasco"/>
    <n v="106.94"/>
    <n v="106.94"/>
  </r>
  <r>
    <x v="1"/>
    <x v="32"/>
    <s v="06512106AA"/>
    <n v="715612"/>
    <n v="30"/>
    <n v="200"/>
    <n v="6000"/>
    <s v="294+252"/>
    <s v="Yes"/>
    <m/>
    <s v="Yes"/>
    <m/>
    <s v="Yes"/>
    <m/>
    <s v="Yes"/>
    <m/>
    <s v="N/A"/>
    <m/>
    <s v="Yes"/>
    <m/>
    <s v="Yes"/>
    <m/>
    <s v="New"/>
    <s v="infasco"/>
    <n v="135.07999999999998"/>
    <n v="135.07999999999998"/>
  </r>
  <r>
    <x v="1"/>
    <x v="32"/>
    <n v="15047163"/>
    <n v="714214"/>
    <n v="33"/>
    <n v="2000"/>
    <n v="66000"/>
    <s v="294+252"/>
    <s v="Yes"/>
    <m/>
    <s v="Yes"/>
    <m/>
    <s v="Yes"/>
    <m/>
    <s v="Yes"/>
    <m/>
    <s v="N/A"/>
    <m/>
    <s v="Yes"/>
    <m/>
    <s v="Yes"/>
    <m/>
    <s v="New"/>
    <s v="infasco"/>
    <n v="106.94"/>
    <n v="106.94"/>
  </r>
  <r>
    <x v="1"/>
    <x v="32"/>
    <n v="11588714"/>
    <n v="715677"/>
    <n v="25"/>
    <n v="1400"/>
    <n v="35000"/>
    <s v="294+252"/>
    <s v="Yes"/>
    <m/>
    <s v="Yes"/>
    <m/>
    <s v="Yes"/>
    <m/>
    <s v="Yes"/>
    <m/>
    <s v="N/A"/>
    <m/>
    <s v="Yes"/>
    <m/>
    <s v="Yes"/>
    <m/>
    <s v="New"/>
    <s v="infasco"/>
    <n v="280.15999999999997"/>
    <n v="280.15999999999997"/>
  </r>
  <r>
    <x v="1"/>
    <x v="32"/>
    <n v="11549170"/>
    <n v="713832"/>
    <n v="35"/>
    <n v="400"/>
    <n v="14000"/>
    <s v="294+252"/>
    <s v="Yes"/>
    <m/>
    <s v="Yes"/>
    <m/>
    <s v="Yes"/>
    <m/>
    <s v="Yes"/>
    <m/>
    <s v="N/A"/>
    <m/>
    <s v="Yes"/>
    <m/>
    <s v="Yes"/>
    <m/>
    <s v="New"/>
    <s v="infasco"/>
    <n v="106.94"/>
    <n v="106.94"/>
  </r>
  <r>
    <x v="1"/>
    <x v="32"/>
    <s v="11549168-CA-IN"/>
    <n v="708641"/>
    <n v="7"/>
    <n v="1000"/>
    <n v="7000"/>
    <s v="294+252"/>
    <s v="Yes"/>
    <m/>
    <s v="Yes"/>
    <m/>
    <s v="Yes"/>
    <m/>
    <s v="Yes"/>
    <m/>
    <s v="N/A"/>
    <m/>
    <s v="Yes"/>
    <m/>
    <s v="Yes"/>
    <m/>
    <s v="Re-certified"/>
    <s v="infasco"/>
    <n v="0"/>
    <n v="0"/>
  </r>
  <r>
    <x v="1"/>
    <x v="17"/>
    <n v="11549170"/>
    <n v="713712"/>
    <n v="36"/>
    <n v="400"/>
    <n v="14400"/>
    <s v="190+268"/>
    <s v="Yes"/>
    <m/>
    <s v="Yes"/>
    <m/>
    <s v="Yes"/>
    <m/>
    <s v="Yes"/>
    <m/>
    <s v="N/A"/>
    <m/>
    <s v="Yes"/>
    <m/>
    <s v="Yes"/>
    <m/>
    <s v="New"/>
    <s v="infasco"/>
    <n v="106.94"/>
    <n v="106.94"/>
  </r>
  <r>
    <x v="1"/>
    <x v="17"/>
    <n v="11549170"/>
    <n v="713703"/>
    <n v="45"/>
    <n v="400"/>
    <n v="18000"/>
    <s v="190+268"/>
    <s v="Yes"/>
    <m/>
    <s v="Yes"/>
    <m/>
    <s v="Yes"/>
    <m/>
    <s v="Yes"/>
    <m/>
    <s v="N/A"/>
    <m/>
    <s v="Yes"/>
    <m/>
    <s v="Yes"/>
    <m/>
    <s v="New"/>
    <s v="infasco"/>
    <n v="106.94"/>
    <n v="106.94"/>
  </r>
  <r>
    <x v="1"/>
    <x v="17"/>
    <s v="06512106AA"/>
    <n v="715613"/>
    <n v="29"/>
    <n v="200"/>
    <n v="5800"/>
    <s v="190+268"/>
    <s v="Yes"/>
    <m/>
    <s v="Yes"/>
    <m/>
    <s v="Yes"/>
    <m/>
    <s v="Yes"/>
    <m/>
    <s v="N/A"/>
    <m/>
    <s v="Yes"/>
    <m/>
    <s v="Yes"/>
    <m/>
    <s v="New"/>
    <s v="infasco"/>
    <n v="135.07999999999998"/>
    <n v="135.07999999999998"/>
  </r>
  <r>
    <x v="1"/>
    <x v="17"/>
    <n v="15047163"/>
    <n v="714217"/>
    <n v="29"/>
    <n v="2000"/>
    <n v="58000"/>
    <s v="190+268"/>
    <s v="Yes"/>
    <m/>
    <s v="Yes"/>
    <m/>
    <s v="Yes"/>
    <m/>
    <s v="Yes"/>
    <m/>
    <s v="N/A"/>
    <m/>
    <s v="Yes"/>
    <m/>
    <s v="Yes"/>
    <m/>
    <s v="New"/>
    <s v="infasco"/>
    <n v="106.94"/>
    <n v="106.94"/>
  </r>
  <r>
    <x v="1"/>
    <x v="17"/>
    <n v="11588714"/>
    <n v="715678"/>
    <n v="22"/>
    <n v="1400"/>
    <n v="30800"/>
    <s v="190+268"/>
    <s v="Yes"/>
    <m/>
    <s v="Yes"/>
    <m/>
    <s v="Yes"/>
    <m/>
    <s v="Yes"/>
    <m/>
    <s v="N/A"/>
    <m/>
    <s v="Yes"/>
    <m/>
    <s v="Yes"/>
    <m/>
    <s v="New"/>
    <s v="infasco"/>
    <n v="280.15999999999997"/>
    <n v="280.15999999999997"/>
  </r>
  <r>
    <x v="1"/>
    <x v="17"/>
    <n v="11549170"/>
    <n v="713820"/>
    <n v="41"/>
    <n v="400"/>
    <n v="16400"/>
    <s v="190+268"/>
    <s v="Yes"/>
    <m/>
    <s v="Yes"/>
    <m/>
    <s v="Yes"/>
    <m/>
    <s v="Yes"/>
    <m/>
    <s v="N/A"/>
    <m/>
    <s v="Yes"/>
    <m/>
    <s v="Yes"/>
    <m/>
    <s v="New"/>
    <s v="infasco"/>
    <n v="106.94"/>
    <n v="106.94"/>
  </r>
  <r>
    <x v="1"/>
    <x v="17"/>
    <s v="11549168-CA-IN"/>
    <n v="705484"/>
    <n v="5"/>
    <n v="1000"/>
    <n v="5000"/>
    <s v="190+268"/>
    <s v="Yes"/>
    <m/>
    <s v="Yes"/>
    <m/>
    <s v="Yes"/>
    <m/>
    <s v="Yes"/>
    <m/>
    <s v="N/A"/>
    <m/>
    <s v="Yes"/>
    <m/>
    <s v="Yes"/>
    <m/>
    <s v="Re-certified"/>
    <s v="infasco"/>
    <n v="0"/>
    <n v="0"/>
  </r>
  <r>
    <x v="1"/>
    <x v="15"/>
    <n v="11549168"/>
    <n v="712002"/>
    <n v="19"/>
    <n v="1000"/>
    <n v="19000"/>
    <s v="157+293"/>
    <s v="Yes"/>
    <m/>
    <s v="Yes"/>
    <m/>
    <s v="Yes"/>
    <m/>
    <s v="Yes"/>
    <m/>
    <s v="N/A"/>
    <m/>
    <s v="Yes"/>
    <m/>
    <s v="Yes"/>
    <m/>
    <s v="New"/>
    <s v="infasco"/>
    <n v="106.94"/>
    <n v="106.94"/>
  </r>
  <r>
    <x v="1"/>
    <x v="15"/>
    <n v="11549170"/>
    <n v="713846"/>
    <n v="40"/>
    <n v="400"/>
    <n v="16000"/>
    <s v="157+293"/>
    <s v="Yes"/>
    <m/>
    <s v="Yes"/>
    <m/>
    <s v="Yes"/>
    <m/>
    <s v="Yes"/>
    <m/>
    <s v="N/A"/>
    <m/>
    <s v="Yes"/>
    <m/>
    <s v="Yes"/>
    <m/>
    <s v="New"/>
    <s v="infasco"/>
    <n v="106.94"/>
    <n v="106.94"/>
  </r>
  <r>
    <x v="1"/>
    <x v="15"/>
    <s v="11549168-CA-IN"/>
    <n v="705485"/>
    <n v="7"/>
    <n v="1000"/>
    <n v="7000"/>
    <n v="157"/>
    <s v="Yes"/>
    <m/>
    <s v="Yes"/>
    <m/>
    <s v="Yes"/>
    <m/>
    <s v="Yes"/>
    <m/>
    <s v="N/A"/>
    <m/>
    <s v="Yes"/>
    <m/>
    <s v="Yes"/>
    <m/>
    <s v="Re-certified"/>
    <s v="infasco"/>
    <n v="0"/>
    <n v="0"/>
  </r>
  <r>
    <x v="1"/>
    <x v="16"/>
    <s v="E6267AB"/>
    <n v="709995"/>
    <n v="1"/>
    <n v="20000"/>
    <n v="20000"/>
    <s v="285+391"/>
    <s v="Yes"/>
    <m/>
    <s v="Yes"/>
    <m/>
    <s v="Yes"/>
    <m/>
    <s v="Yes"/>
    <m/>
    <s v="N/A"/>
    <m/>
    <s v="Yes"/>
    <m/>
    <s v="Yes"/>
    <m/>
    <s v="New"/>
    <s v="infasco"/>
    <n v="106.94"/>
    <n v="106.94"/>
  </r>
  <r>
    <x v="1"/>
    <x v="16"/>
    <n v="11549204"/>
    <n v="714271"/>
    <n v="19"/>
    <n v="210"/>
    <n v="3990"/>
    <s v="285+391"/>
    <s v="Yes"/>
    <m/>
    <s v="Yes"/>
    <m/>
    <s v="Yes"/>
    <m/>
    <s v="Yes"/>
    <m/>
    <s v="N/A"/>
    <m/>
    <s v="Yes"/>
    <m/>
    <s v="Yes"/>
    <m/>
    <s v="New"/>
    <s v="infasco"/>
    <n v="106.94"/>
    <n v="106.94"/>
  </r>
  <r>
    <x v="1"/>
    <x v="16"/>
    <s v="06511834AA"/>
    <n v="715605"/>
    <n v="36"/>
    <n v="100"/>
    <n v="3600"/>
    <s v="285+391"/>
    <s v="Yes"/>
    <m/>
    <s v="Yes"/>
    <m/>
    <s v="Yes"/>
    <m/>
    <s v="Yes"/>
    <m/>
    <s v="N/A"/>
    <m/>
    <s v="Yes"/>
    <m/>
    <s v="Yes"/>
    <m/>
    <s v="New"/>
    <s v="infasco"/>
    <n v="135.07999999999998"/>
    <n v="135.07999999999998"/>
  </r>
  <r>
    <x v="1"/>
    <x v="16"/>
    <s v="06511834AA"/>
    <n v="715604"/>
    <n v="23"/>
    <n v="100"/>
    <n v="2300"/>
    <s v="285+391"/>
    <s v="Yes"/>
    <m/>
    <s v="Yes"/>
    <m/>
    <s v="Yes"/>
    <m/>
    <s v="Yes"/>
    <m/>
    <s v="N/A"/>
    <m/>
    <s v="Yes"/>
    <m/>
    <s v="Yes"/>
    <m/>
    <s v="New"/>
    <s v="infasco"/>
    <n v="135.07999999999998"/>
    <n v="135.07999999999998"/>
  </r>
  <r>
    <x v="1"/>
    <x v="16"/>
    <n v="11588714"/>
    <n v="715679"/>
    <n v="36"/>
    <n v="1400"/>
    <n v="50400"/>
    <s v="285+391"/>
    <s v="Yes"/>
    <m/>
    <s v="Yes"/>
    <m/>
    <s v="Yes"/>
    <m/>
    <s v="Yes"/>
    <m/>
    <s v="N/A"/>
    <m/>
    <s v="Yes"/>
    <m/>
    <s v="Yes"/>
    <m/>
    <s v="New"/>
    <s v="infasco"/>
    <n v="280.15999999999997"/>
    <n v="280.15999999999997"/>
  </r>
  <r>
    <x v="1"/>
    <x v="16"/>
    <n v="11588714"/>
    <n v="715676"/>
    <n v="16"/>
    <n v="1400"/>
    <n v="22400"/>
    <s v="285+391"/>
    <s v="Yes"/>
    <m/>
    <s v="Yes"/>
    <m/>
    <s v="Yes"/>
    <m/>
    <s v="Yes"/>
    <m/>
    <s v="N/A"/>
    <m/>
    <s v="Yes"/>
    <m/>
    <s v="Yes"/>
    <m/>
    <s v="New"/>
    <s v="infasco"/>
    <n v="280.15999999999997"/>
    <n v="280.15999999999997"/>
  </r>
  <r>
    <x v="1"/>
    <x v="16"/>
    <s v="11516078-CA-IN"/>
    <n v="707148"/>
    <n v="24"/>
    <n v="700"/>
    <n v="16800"/>
    <s v="285+391"/>
    <s v="Yes"/>
    <m/>
    <s v="Yes"/>
    <m/>
    <s v="Yes"/>
    <m/>
    <s v="Yes"/>
    <m/>
    <s v="N/A"/>
    <m/>
    <s v="Yes"/>
    <m/>
    <s v="Yes"/>
    <m/>
    <s v="New"/>
    <s v="infasco"/>
    <n v="106.94"/>
    <n v="106.94"/>
  </r>
  <r>
    <x v="2"/>
    <x v="12"/>
    <n v="11549170"/>
    <n v="713848"/>
    <n v="21"/>
    <n v="400"/>
    <n v="8400"/>
    <n v="275"/>
    <s v="Yes"/>
    <m/>
    <s v="Yes"/>
    <m/>
    <s v="Yes"/>
    <m/>
    <s v="Yes"/>
    <m/>
    <s v="N/A"/>
    <m/>
    <s v="Yes"/>
    <m/>
    <s v="Yes"/>
    <m/>
    <s v="New"/>
    <s v="infasco"/>
    <n v="106.94"/>
    <n v="106.94"/>
  </r>
  <r>
    <x v="2"/>
    <x v="12"/>
    <n v="11549170"/>
    <n v="713701"/>
    <n v="36"/>
    <n v="400"/>
    <n v="14400"/>
    <n v="275"/>
    <s v="Yes"/>
    <m/>
    <s v="Yes"/>
    <m/>
    <s v="Yes"/>
    <m/>
    <s v="Yes"/>
    <m/>
    <s v="N/A"/>
    <m/>
    <s v="Yes"/>
    <m/>
    <s v="Yes"/>
    <m/>
    <s v="New"/>
    <s v="infasco"/>
    <n v="106.94"/>
    <n v="106.94"/>
  </r>
  <r>
    <x v="2"/>
    <x v="12"/>
    <n v="11549170"/>
    <n v="713821"/>
    <n v="27"/>
    <n v="400"/>
    <n v="10800"/>
    <n v="275"/>
    <s v="Yes"/>
    <m/>
    <s v="Yes"/>
    <m/>
    <s v="Yes"/>
    <m/>
    <s v="Yes"/>
    <m/>
    <s v="N/A"/>
    <m/>
    <s v="Yes"/>
    <m/>
    <s v="Yes"/>
    <m/>
    <s v="Re-certified"/>
    <s v="infasco"/>
    <n v="0"/>
    <n v="0"/>
  </r>
  <r>
    <x v="2"/>
    <x v="6"/>
    <n v="11546456"/>
    <n v="715619"/>
    <n v="25"/>
    <n v="2700"/>
    <n v="67500"/>
    <n v="275"/>
    <s v="Yes"/>
    <m/>
    <s v="Yes"/>
    <m/>
    <s v="Yes"/>
    <m/>
    <s v="Yes"/>
    <m/>
    <s v="N/A"/>
    <m/>
    <s v="Yes"/>
    <m/>
    <s v="Yes"/>
    <m/>
    <s v="New"/>
    <s v="infasco"/>
    <n v="106.94"/>
    <n v="106.94"/>
  </r>
  <r>
    <x v="2"/>
    <x v="6"/>
    <n v="11546456"/>
    <n v="715614"/>
    <n v="10"/>
    <n v="2700"/>
    <n v="27000"/>
    <n v="275"/>
    <s v="Yes"/>
    <m/>
    <s v="Yes"/>
    <m/>
    <s v="Yes"/>
    <m/>
    <s v="Yes"/>
    <m/>
    <s v="N/A"/>
    <m/>
    <s v="Yes"/>
    <m/>
    <s v="Yes"/>
    <m/>
    <s v="Re-certified"/>
    <s v="infasco"/>
    <n v="0"/>
    <n v="0"/>
  </r>
  <r>
    <x v="2"/>
    <x v="10"/>
    <s v="11546437-MY-AK"/>
    <n v="714145"/>
    <n v="38"/>
    <n v="1500"/>
    <n v="57000"/>
    <n v="275"/>
    <s v="Yes"/>
    <m/>
    <s v="Yes"/>
    <m/>
    <s v="Yes"/>
    <m/>
    <s v="Yes"/>
    <m/>
    <s v="N/A"/>
    <m/>
    <s v="Yes"/>
    <m/>
    <s v="Yes"/>
    <m/>
    <s v="Re-certified"/>
    <s v="infasco"/>
    <n v="0"/>
    <n v="0"/>
  </r>
  <r>
    <x v="2"/>
    <x v="7"/>
    <s v="06104388AA"/>
    <n v="714348"/>
    <n v="12"/>
    <n v="660"/>
    <n v="7920"/>
    <n v="275"/>
    <s v="Yes"/>
    <m/>
    <s v="Yes"/>
    <m/>
    <s v="Yes"/>
    <m/>
    <s v="Yes"/>
    <m/>
    <s v="N/A"/>
    <m/>
    <s v="Yes"/>
    <m/>
    <s v="Yes"/>
    <m/>
    <s v="New"/>
    <s v="infasco"/>
    <n v="135.08000000000001"/>
    <n v="135.08000000000001"/>
  </r>
  <r>
    <x v="2"/>
    <x v="7"/>
    <s v="06104388AA"/>
    <n v="714345"/>
    <n v="20"/>
    <n v="660"/>
    <n v="13200"/>
    <n v="275"/>
    <s v="Yes"/>
    <m/>
    <s v="Yes"/>
    <m/>
    <s v="Yes"/>
    <m/>
    <s v="Yes"/>
    <m/>
    <s v="N/A"/>
    <m/>
    <s v="Yes"/>
    <m/>
    <s v="Yes"/>
    <m/>
    <s v="Re-certified"/>
    <s v="infasco"/>
    <n v="0"/>
    <n v="0"/>
  </r>
  <r>
    <x v="2"/>
    <x v="8"/>
    <n v="11549170"/>
    <n v="713845"/>
    <n v="3"/>
    <n v="400"/>
    <n v="1200"/>
    <n v="275"/>
    <s v="Yes"/>
    <m/>
    <s v="Yes"/>
    <m/>
    <s v="Yes"/>
    <m/>
    <s v="Yes"/>
    <m/>
    <s v="N/A"/>
    <m/>
    <s v="Yes"/>
    <m/>
    <s v="Yes"/>
    <m/>
    <s v="New"/>
    <s v="infasco"/>
    <n v="106.94"/>
    <n v="106.94"/>
  </r>
  <r>
    <x v="2"/>
    <x v="8"/>
    <n v="11549170"/>
    <n v="713173"/>
    <n v="36"/>
    <n v="400"/>
    <n v="14400"/>
    <n v="275"/>
    <s v="Yes"/>
    <m/>
    <s v="Yes"/>
    <m/>
    <s v="Yes"/>
    <m/>
    <s v="Yes"/>
    <m/>
    <s v="N/A"/>
    <m/>
    <s v="Yes"/>
    <m/>
    <s v="Yes"/>
    <m/>
    <s v="New"/>
    <s v="infasco"/>
    <n v="106.94"/>
    <n v="106.94"/>
  </r>
  <r>
    <x v="2"/>
    <x v="8"/>
    <n v="11549170"/>
    <n v="713700"/>
    <n v="33"/>
    <n v="400"/>
    <n v="13200"/>
    <n v="275"/>
    <s v="Yes"/>
    <m/>
    <s v="Yes"/>
    <m/>
    <s v="Yes"/>
    <m/>
    <s v="Yes"/>
    <m/>
    <s v="N/A"/>
    <m/>
    <s v="Yes"/>
    <m/>
    <s v="Yes"/>
    <m/>
    <s v="Re-certified"/>
    <s v="infasco"/>
    <n v="0"/>
    <n v="0"/>
  </r>
  <r>
    <x v="2"/>
    <x v="9"/>
    <s v="11546389BR"/>
    <n v="715610"/>
    <n v="31"/>
    <n v="3900"/>
    <n v="120900"/>
    <n v="275"/>
    <s v="Yes"/>
    <m/>
    <s v="Yes"/>
    <m/>
    <s v="Yes"/>
    <m/>
    <s v="Yes"/>
    <m/>
    <s v="N/A"/>
    <m/>
    <s v="Yes"/>
    <m/>
    <s v="Yes"/>
    <m/>
    <s v="New"/>
    <s v="infasco"/>
    <n v="106.94"/>
    <n v="106.94"/>
  </r>
  <r>
    <x v="2"/>
    <x v="11"/>
    <s v="11546437-MY-AK"/>
    <n v="714141"/>
    <n v="6"/>
    <n v="1500"/>
    <n v="9000"/>
    <n v="275"/>
    <s v="Yes"/>
    <m/>
    <s v="Yes"/>
    <m/>
    <s v="Yes"/>
    <m/>
    <s v="Yes"/>
    <m/>
    <s v="N/A"/>
    <m/>
    <s v="Yes"/>
    <m/>
    <s v="Yes"/>
    <m/>
    <s v="New"/>
    <s v="infasco"/>
    <n v="106.94"/>
    <n v="106.94"/>
  </r>
  <r>
    <x v="2"/>
    <x v="11"/>
    <n v="11546456"/>
    <n v="713897"/>
    <n v="36"/>
    <n v="2700"/>
    <n v="97200"/>
    <n v="275"/>
    <s v="Yes"/>
    <m/>
    <s v="Yes"/>
    <m/>
    <s v="Yes"/>
    <m/>
    <s v="Yes"/>
    <m/>
    <s v="N/A"/>
    <m/>
    <s v="Yes"/>
    <m/>
    <s v="Yes"/>
    <m/>
    <s v="New"/>
    <s v="infasco"/>
    <n v="106.94"/>
    <n v="106.94"/>
  </r>
  <r>
    <x v="2"/>
    <x v="27"/>
    <s v="11546367-MY-AK"/>
    <n v="714546"/>
    <n v="31"/>
    <n v="700"/>
    <n v="21700"/>
    <n v="290"/>
    <s v="Yes"/>
    <m/>
    <s v="Yes"/>
    <m/>
    <s v="Yes"/>
    <m/>
    <s v="Yes"/>
    <m/>
    <s v="N/A"/>
    <m/>
    <s v="Yes"/>
    <m/>
    <s v="Yes"/>
    <m/>
    <s v="New"/>
    <s v="infasco"/>
    <n v="106.94"/>
    <n v="106.94"/>
  </r>
  <r>
    <x v="2"/>
    <x v="27"/>
    <s v="11546367-MY-AK"/>
    <n v="714556"/>
    <n v="33"/>
    <n v="700"/>
    <n v="23100"/>
    <n v="290"/>
    <s v="Yes"/>
    <m/>
    <s v="Yes"/>
    <m/>
    <s v="Yes"/>
    <m/>
    <s v="Yes"/>
    <m/>
    <s v="N/A"/>
    <m/>
    <s v="Yes"/>
    <m/>
    <s v="Yes"/>
    <m/>
    <s v="New"/>
    <s v="infasco"/>
    <n v="106.94"/>
    <n v="106.94"/>
  </r>
  <r>
    <x v="2"/>
    <x v="27"/>
    <n v="11549168"/>
    <n v="713693"/>
    <n v="7"/>
    <n v="1000"/>
    <n v="7000"/>
    <n v="290"/>
    <s v="Yes"/>
    <m/>
    <s v="Yes"/>
    <m/>
    <s v="Yes"/>
    <m/>
    <s v="Yes"/>
    <m/>
    <s v="N/A"/>
    <m/>
    <s v="Yes"/>
    <m/>
    <s v="Yes"/>
    <m/>
    <s v="Re-certified"/>
    <s v="infasco"/>
    <n v="0"/>
    <n v="0"/>
  </r>
  <r>
    <x v="2"/>
    <x v="30"/>
    <n v="11549170"/>
    <n v="713837"/>
    <n v="24"/>
    <n v="400"/>
    <n v="9600"/>
    <n v="290"/>
    <s v="Yes"/>
    <m/>
    <s v="Yes"/>
    <m/>
    <s v="Yes"/>
    <m/>
    <s v="Yes"/>
    <m/>
    <s v="N/A"/>
    <m/>
    <s v="Yes"/>
    <m/>
    <s v="Yes"/>
    <m/>
    <s v="New"/>
    <s v="infasco"/>
    <n v="106.94"/>
    <n v="106.94"/>
  </r>
  <r>
    <x v="2"/>
    <x v="30"/>
    <n v="11549170"/>
    <n v="713705"/>
    <n v="32"/>
    <n v="400"/>
    <n v="12800"/>
    <n v="290"/>
    <s v="Yes"/>
    <m/>
    <s v="Yes"/>
    <m/>
    <s v="Yes"/>
    <m/>
    <s v="Yes"/>
    <m/>
    <s v="N/A"/>
    <m/>
    <s v="Yes"/>
    <m/>
    <s v="Yes"/>
    <m/>
    <s v="New"/>
    <s v="infasco"/>
    <n v="106.94"/>
    <n v="106.94"/>
  </r>
  <r>
    <x v="2"/>
    <x v="30"/>
    <n v="11549170"/>
    <n v="713706"/>
    <n v="40"/>
    <n v="400"/>
    <n v="16000"/>
    <n v="290"/>
    <s v="Yes"/>
    <m/>
    <s v="Yes"/>
    <m/>
    <s v="Yes"/>
    <m/>
    <s v="Yes"/>
    <m/>
    <s v="N/A"/>
    <m/>
    <s v="Yes"/>
    <m/>
    <s v="Yes"/>
    <m/>
    <s v="New"/>
    <s v="infasco"/>
    <n v="106.94"/>
    <n v="106.94"/>
  </r>
  <r>
    <x v="2"/>
    <x v="30"/>
    <n v="11549170"/>
    <n v="713851"/>
    <n v="16"/>
    <n v="400"/>
    <n v="6400"/>
    <n v="290"/>
    <s v="Yes"/>
    <m/>
    <s v="Yes"/>
    <m/>
    <s v="Yes"/>
    <m/>
    <s v="Yes"/>
    <m/>
    <s v="N/A"/>
    <m/>
    <s v="Yes"/>
    <m/>
    <s v="Yes"/>
    <m/>
    <s v="Re-certified"/>
    <s v="infasco"/>
    <n v="0"/>
    <n v="0"/>
  </r>
  <r>
    <x v="2"/>
    <x v="29"/>
    <s v="11546437-MY-AK"/>
    <n v="714146"/>
    <n v="6"/>
    <n v="1500"/>
    <n v="9000"/>
    <n v="290"/>
    <s v="Yes"/>
    <m/>
    <s v="Yes"/>
    <m/>
    <s v="Yes"/>
    <m/>
    <s v="Yes"/>
    <m/>
    <s v="N/A"/>
    <m/>
    <s v="Yes"/>
    <m/>
    <s v="Yes"/>
    <m/>
    <s v="New"/>
    <s v="infasco"/>
    <n v="106.94"/>
    <n v="106.94"/>
  </r>
  <r>
    <x v="2"/>
    <x v="29"/>
    <n v="11546456"/>
    <n v="713894"/>
    <n v="33"/>
    <n v="2700"/>
    <n v="89100"/>
    <n v="290"/>
    <s v="Yes"/>
    <m/>
    <s v="Yes"/>
    <m/>
    <s v="Yes"/>
    <m/>
    <s v="Yes"/>
    <m/>
    <s v="N/A"/>
    <m/>
    <s v="Yes"/>
    <m/>
    <s v="Yes"/>
    <m/>
    <s v="New"/>
    <s v="infasco"/>
    <n v="106.94"/>
    <n v="106.94"/>
  </r>
  <r>
    <x v="2"/>
    <x v="26"/>
    <n v="11549170"/>
    <n v="713825"/>
    <n v="15"/>
    <n v="400"/>
    <n v="6000"/>
    <n v="290"/>
    <s v="Yes"/>
    <m/>
    <s v="Yes"/>
    <m/>
    <s v="Yes"/>
    <m/>
    <s v="Yes"/>
    <m/>
    <s v="N/A"/>
    <m/>
    <s v="Yes"/>
    <m/>
    <s v="Yes"/>
    <m/>
    <s v="New"/>
    <s v="infasco"/>
    <n v="106.94"/>
    <n v="106.94"/>
  </r>
  <r>
    <x v="2"/>
    <x v="26"/>
    <n v="11549170"/>
    <n v="713707"/>
    <n v="41"/>
    <n v="400"/>
    <n v="16400"/>
    <n v="290"/>
    <s v="Yes"/>
    <m/>
    <s v="Yes"/>
    <m/>
    <s v="Yes"/>
    <m/>
    <s v="Yes"/>
    <m/>
    <s v="N/A"/>
    <m/>
    <s v="Yes"/>
    <m/>
    <s v="Yes"/>
    <m/>
    <s v="New"/>
    <s v="infasco"/>
    <n v="106.94"/>
    <n v="106.94"/>
  </r>
  <r>
    <x v="2"/>
    <x v="26"/>
    <n v="11549170"/>
    <n v="713699"/>
    <n v="41"/>
    <n v="400"/>
    <n v="16400"/>
    <n v="290"/>
    <s v="Yes"/>
    <m/>
    <s v="Yes"/>
    <m/>
    <s v="Yes"/>
    <m/>
    <s v="Yes"/>
    <m/>
    <s v="N/A"/>
    <m/>
    <s v="Yes"/>
    <m/>
    <s v="Yes"/>
    <m/>
    <s v="New"/>
    <s v="infasco"/>
    <n v="106.94"/>
    <n v="106.94"/>
  </r>
  <r>
    <x v="2"/>
    <x v="26"/>
    <n v="11549170"/>
    <n v="713708"/>
    <n v="34"/>
    <n v="400"/>
    <n v="13600"/>
    <n v="290"/>
    <s v="Yes"/>
    <m/>
    <s v="Yes"/>
    <m/>
    <s v="Yes"/>
    <m/>
    <s v="Yes"/>
    <m/>
    <s v="N/A"/>
    <m/>
    <s v="Yes"/>
    <m/>
    <s v="Yes"/>
    <m/>
    <s v="New"/>
    <s v="infasco"/>
    <n v="106.94"/>
    <n v="106.94"/>
  </r>
  <r>
    <x v="2"/>
    <x v="31"/>
    <s v="11546367-MY-AK"/>
    <n v="714547"/>
    <n v="36"/>
    <n v="700"/>
    <n v="25200"/>
    <n v="290"/>
    <s v="Yes"/>
    <m/>
    <s v="Yes"/>
    <m/>
    <s v="Yes"/>
    <m/>
    <s v="Yes"/>
    <m/>
    <s v="N/A"/>
    <m/>
    <s v="Yes"/>
    <m/>
    <s v="Yes"/>
    <m/>
    <s v="New"/>
    <s v="infasco"/>
    <n v="106.94"/>
    <n v="106.94"/>
  </r>
  <r>
    <x v="2"/>
    <x v="31"/>
    <n v="11549168"/>
    <n v="712004"/>
    <n v="36"/>
    <n v="1000"/>
    <n v="36000"/>
    <n v="290"/>
    <s v="Yes"/>
    <m/>
    <s v="Yes"/>
    <m/>
    <s v="Yes"/>
    <m/>
    <s v="Yes"/>
    <m/>
    <s v="N/A"/>
    <m/>
    <s v="Yes"/>
    <m/>
    <s v="Yes"/>
    <m/>
    <s v="New"/>
    <s v="infasco"/>
    <n v="106.94"/>
    <n v="106.94"/>
  </r>
  <r>
    <x v="2"/>
    <x v="31"/>
    <n v="11549168"/>
    <n v="713694"/>
    <n v="26"/>
    <n v="1000"/>
    <n v="26000"/>
    <n v="290"/>
    <s v="Yes"/>
    <m/>
    <s v="Yes"/>
    <m/>
    <s v="Yes"/>
    <m/>
    <s v="Yes"/>
    <m/>
    <s v="N/A"/>
    <m/>
    <s v="Yes"/>
    <m/>
    <s v="Yes"/>
    <m/>
    <s v="Re-certified"/>
    <s v="infasco"/>
    <n v="0"/>
    <n v="0"/>
  </r>
  <r>
    <x v="2"/>
    <x v="14"/>
    <n v="11612078"/>
    <n v="706812"/>
    <n v="8"/>
    <n v="1850"/>
    <n v="14800"/>
    <n v="4"/>
    <s v="Yes"/>
    <m/>
    <s v="Yes"/>
    <m/>
    <s v="Yes"/>
    <m/>
    <s v="Yes"/>
    <m/>
    <s v="N/A"/>
    <m/>
    <s v="Yes"/>
    <m/>
    <s v="Yes"/>
    <m/>
    <s v="New"/>
    <s v="infasco"/>
    <n v="247.64"/>
    <n v="247.64"/>
  </r>
  <r>
    <x v="2"/>
    <x v="14"/>
    <n v="11612078"/>
    <n v="708875"/>
    <n v="15"/>
    <n v="1850"/>
    <n v="27750"/>
    <n v="4"/>
    <s v="Yes"/>
    <m/>
    <s v="Yes"/>
    <m/>
    <s v="Yes"/>
    <m/>
    <s v="Yes"/>
    <m/>
    <s v="N/A"/>
    <m/>
    <s v="Yes"/>
    <m/>
    <s v="Yes"/>
    <m/>
    <s v="Re-certified"/>
    <s v="infasco"/>
    <n v="0"/>
    <n v="0"/>
  </r>
  <r>
    <x v="2"/>
    <x v="18"/>
    <s v="06101736-A"/>
    <n v="713088"/>
    <n v="14"/>
    <n v="3200"/>
    <n v="44800"/>
    <n v="240"/>
    <s v="Yes"/>
    <m/>
    <s v="Yes"/>
    <m/>
    <s v="Yes"/>
    <m/>
    <s v="Yes"/>
    <m/>
    <s v="N/A"/>
    <m/>
    <s v="Yes"/>
    <m/>
    <s v="Yes"/>
    <m/>
    <s v="New"/>
    <s v="infasco"/>
    <n v="106.94"/>
    <n v="106.94"/>
  </r>
  <r>
    <x v="2"/>
    <x v="21"/>
    <n v="11546456"/>
    <n v="715620"/>
    <n v="20"/>
    <n v="2700"/>
    <n v="54000"/>
    <n v="280"/>
    <s v="Yes"/>
    <m/>
    <s v="Yes"/>
    <m/>
    <s v="Yes"/>
    <m/>
    <s v="Yes"/>
    <m/>
    <s v="N/A"/>
    <m/>
    <s v="Yes"/>
    <m/>
    <s v="Yes"/>
    <m/>
    <s v="New"/>
    <s v="infasco"/>
    <n v="106.94"/>
    <n v="106.94"/>
  </r>
  <r>
    <x v="2"/>
    <x v="21"/>
    <n v="11546456"/>
    <n v="715617"/>
    <n v="32"/>
    <n v="2700"/>
    <n v="86400"/>
    <n v="280"/>
    <s v="Yes"/>
    <m/>
    <s v="Yes"/>
    <m/>
    <s v="Yes"/>
    <m/>
    <s v="Yes"/>
    <m/>
    <s v="N/A"/>
    <m/>
    <s v="Yes"/>
    <m/>
    <s v="Yes"/>
    <m/>
    <s v="New"/>
    <s v="infasco"/>
    <n v="106.94"/>
    <n v="106.94"/>
  </r>
  <r>
    <x v="2"/>
    <x v="20"/>
    <s v="11546367-MY-AK"/>
    <n v="714552"/>
    <n v="8"/>
    <n v="700"/>
    <n v="5600"/>
    <n v="280"/>
    <s v="Yes"/>
    <m/>
    <s v="Yes"/>
    <m/>
    <s v="Yes"/>
    <m/>
    <s v="Yes"/>
    <m/>
    <s v="N/A"/>
    <m/>
    <s v="Yes"/>
    <m/>
    <s v="Yes"/>
    <m/>
    <s v="New"/>
    <s v="infasco"/>
    <n v="106.94"/>
    <n v="106.94"/>
  </r>
  <r>
    <x v="2"/>
    <x v="20"/>
    <n v="11549168"/>
    <n v="712782"/>
    <n v="42"/>
    <n v="1000"/>
    <n v="42000"/>
    <n v="280"/>
    <s v="Yes"/>
    <m/>
    <s v="Yes"/>
    <m/>
    <s v="Yes"/>
    <m/>
    <s v="Yes"/>
    <m/>
    <s v="N/A"/>
    <m/>
    <s v="Yes"/>
    <m/>
    <s v="Yes"/>
    <m/>
    <s v="New"/>
    <s v="infasco"/>
    <n v="106.94"/>
    <n v="106.94"/>
  </r>
  <r>
    <x v="2"/>
    <x v="23"/>
    <n v="11546456"/>
    <n v="713896"/>
    <n v="9"/>
    <n v="2700"/>
    <n v="24300"/>
    <n v="280"/>
    <s v="Yes"/>
    <m/>
    <s v="Yes"/>
    <m/>
    <s v="Yes"/>
    <m/>
    <s v="Yes"/>
    <m/>
    <s v="N/A"/>
    <m/>
    <s v="Yes"/>
    <m/>
    <s v="Yes"/>
    <m/>
    <s v="New"/>
    <s v="infasco"/>
    <n v="106.94"/>
    <n v="106.94"/>
  </r>
  <r>
    <x v="2"/>
    <x v="23"/>
    <n v="11546456"/>
    <n v="715621"/>
    <n v="27"/>
    <n v="2700"/>
    <n v="72900"/>
    <n v="280"/>
    <s v="Yes"/>
    <m/>
    <s v="Yes"/>
    <m/>
    <s v="Yes"/>
    <m/>
    <s v="Yes"/>
    <m/>
    <s v="N/A"/>
    <m/>
    <s v="Yes"/>
    <m/>
    <s v="Yes"/>
    <m/>
    <s v="New"/>
    <s v="infasco"/>
    <n v="106.94"/>
    <n v="106.94"/>
  </r>
  <r>
    <x v="2"/>
    <x v="23"/>
    <n v="11546456"/>
    <n v="713895"/>
    <n v="16"/>
    <n v="2700"/>
    <n v="43200"/>
    <n v="280"/>
    <s v="Yes"/>
    <m/>
    <s v="Yes"/>
    <m/>
    <s v="Yes"/>
    <m/>
    <s v="Yes"/>
    <m/>
    <s v="N/A"/>
    <m/>
    <s v="Yes"/>
    <m/>
    <s v="Yes"/>
    <m/>
    <s v="Re-certified"/>
    <s v="infasco"/>
    <n v="0"/>
    <n v="0"/>
  </r>
  <r>
    <x v="2"/>
    <x v="25"/>
    <s v="11546366-MY-AK"/>
    <n v="714025"/>
    <n v="30"/>
    <n v="1000"/>
    <n v="30000"/>
    <n v="280"/>
    <s v="Yes"/>
    <m/>
    <s v="Yes"/>
    <m/>
    <s v="Yes"/>
    <m/>
    <s v="Yes"/>
    <m/>
    <s v="N/A"/>
    <m/>
    <s v="Yes"/>
    <m/>
    <s v="Yes"/>
    <m/>
    <s v="New"/>
    <s v="infasco"/>
    <n v="106.94"/>
    <n v="106.94"/>
  </r>
  <r>
    <x v="2"/>
    <x v="25"/>
    <n v="11549168"/>
    <n v="713695"/>
    <n v="8"/>
    <n v="1000"/>
    <n v="8000"/>
    <n v="280"/>
    <s v="Yes"/>
    <m/>
    <s v="Yes"/>
    <m/>
    <s v="Yes"/>
    <m/>
    <s v="Yes"/>
    <m/>
    <s v="N/A"/>
    <m/>
    <s v="Yes"/>
    <m/>
    <s v="Yes"/>
    <m/>
    <s v="Re-certified"/>
    <s v="infasco"/>
    <n v="0"/>
    <n v="0"/>
  </r>
  <r>
    <x v="2"/>
    <x v="24"/>
    <s v="11546366-MY-AK"/>
    <n v="714024"/>
    <n v="12"/>
    <n v="1000"/>
    <n v="12000"/>
    <n v="280"/>
    <s v="Yes"/>
    <m/>
    <s v="Yes"/>
    <m/>
    <s v="Yes"/>
    <m/>
    <s v="Yes"/>
    <m/>
    <s v="N/A"/>
    <m/>
    <s v="Yes"/>
    <m/>
    <s v="Yes"/>
    <m/>
    <s v="New"/>
    <s v="infasco"/>
    <n v="106.94"/>
    <n v="106.94"/>
  </r>
  <r>
    <x v="2"/>
    <x v="24"/>
    <s v="11546366-MY-AK"/>
    <n v="714022"/>
    <n v="36"/>
    <n v="1000"/>
    <n v="36000"/>
    <n v="280"/>
    <s v="Yes"/>
    <m/>
    <s v="Yes"/>
    <m/>
    <s v="Yes"/>
    <m/>
    <s v="Yes"/>
    <m/>
    <s v="N/A"/>
    <m/>
    <s v="Yes"/>
    <m/>
    <s v="Yes"/>
    <m/>
    <s v="New"/>
    <s v="infasco"/>
    <n v="106.94"/>
    <n v="106.94"/>
  </r>
  <r>
    <x v="2"/>
    <x v="2"/>
    <s v="06101831-A"/>
    <n v="714506"/>
    <n v="2"/>
    <n v="1000"/>
    <n v="2000"/>
    <n v="292"/>
    <s v="Yes"/>
    <m/>
    <s v="Yes"/>
    <m/>
    <s v="Yes"/>
    <m/>
    <s v="Yes"/>
    <m/>
    <s v="N/A"/>
    <m/>
    <s v="Yes"/>
    <m/>
    <s v="Yes"/>
    <m/>
    <s v="New"/>
    <s v="infasco"/>
    <n v="106.94"/>
    <n v="106.94"/>
  </r>
  <r>
    <x v="2"/>
    <x v="2"/>
    <s v="06101831-A"/>
    <n v="714515"/>
    <n v="37"/>
    <n v="1000"/>
    <n v="37000"/>
    <n v="292"/>
    <s v="Yes"/>
    <m/>
    <s v="Yes"/>
    <m/>
    <s v="Yes"/>
    <m/>
    <s v="Yes"/>
    <m/>
    <s v="N/A"/>
    <m/>
    <s v="Yes"/>
    <m/>
    <s v="Yes"/>
    <m/>
    <s v="New"/>
    <s v="infasco"/>
    <n v="106.94"/>
    <n v="106.94"/>
  </r>
  <r>
    <x v="2"/>
    <x v="1"/>
    <n v="1546456"/>
    <n v="715616"/>
    <n v="16"/>
    <n v="2700"/>
    <n v="43200"/>
    <n v="292"/>
    <s v="Yes"/>
    <m/>
    <s v="Yes"/>
    <m/>
    <s v="Yes"/>
    <m/>
    <s v="Yes"/>
    <m/>
    <s v="N/A"/>
    <m/>
    <s v="Yes"/>
    <m/>
    <s v="Yes"/>
    <m/>
    <s v="New"/>
    <e v="#N/A"/>
    <e v="#N/A"/>
    <e v="#N/A"/>
  </r>
  <r>
    <x v="2"/>
    <x v="3"/>
    <s v="11546367-MY-AK"/>
    <n v="714557"/>
    <n v="36"/>
    <n v="700"/>
    <n v="25200"/>
    <n v="292"/>
    <s v="Yes"/>
    <m/>
    <s v="Yes"/>
    <m/>
    <s v="Yes"/>
    <m/>
    <s v="Yes"/>
    <m/>
    <s v="N/A"/>
    <m/>
    <s v="Yes"/>
    <m/>
    <s v="Yes"/>
    <m/>
    <s v="New"/>
    <s v="infasco"/>
    <n v="106.94"/>
    <n v="106.94"/>
  </r>
  <r>
    <x v="2"/>
    <x v="3"/>
    <s v="11546367-MY-AK"/>
    <n v="714551"/>
    <n v="36"/>
    <n v="700"/>
    <n v="25200"/>
    <n v="292"/>
    <s v="Yes"/>
    <m/>
    <s v="Yes"/>
    <m/>
    <s v="Yes"/>
    <m/>
    <s v="Yes"/>
    <m/>
    <s v="N/A"/>
    <m/>
    <s v="Yes"/>
    <m/>
    <s v="Yes"/>
    <m/>
    <s v="New"/>
    <s v="infasco"/>
    <n v="106.94"/>
    <n v="106.94"/>
  </r>
  <r>
    <x v="2"/>
    <x v="3"/>
    <s v="11546367-MY-AK"/>
    <n v="714542"/>
    <n v="32"/>
    <n v="700"/>
    <n v="22400"/>
    <n v="292"/>
    <s v="Yes"/>
    <m/>
    <s v="Yes"/>
    <m/>
    <s v="Yes"/>
    <m/>
    <s v="Yes"/>
    <m/>
    <s v="N/A"/>
    <m/>
    <s v="Yes"/>
    <m/>
    <s v="Yes"/>
    <m/>
    <s v="New"/>
    <s v="infasco"/>
    <n v="106.94"/>
    <n v="106.94"/>
  </r>
  <r>
    <x v="2"/>
    <x v="3"/>
    <n v="11549170"/>
    <n v="713702"/>
    <n v="25"/>
    <n v="400"/>
    <n v="10000"/>
    <n v="292"/>
    <s v="Yes"/>
    <m/>
    <s v="Yes"/>
    <m/>
    <s v="Yes"/>
    <m/>
    <s v="Yes"/>
    <m/>
    <s v="N/A"/>
    <m/>
    <s v="Yes"/>
    <m/>
    <s v="Yes"/>
    <m/>
    <s v="Re-certified"/>
    <s v="infasco"/>
    <n v="0"/>
    <n v="0"/>
  </r>
  <r>
    <x v="2"/>
    <x v="5"/>
    <n v="11549168"/>
    <n v="712773"/>
    <n v="23"/>
    <n v="1000"/>
    <n v="23000"/>
    <n v="292"/>
    <s v="Yes"/>
    <m/>
    <s v="Yes"/>
    <m/>
    <s v="Yes"/>
    <m/>
    <s v="Yes"/>
    <m/>
    <s v="N/A"/>
    <m/>
    <s v="Yes"/>
    <m/>
    <s v="Yes"/>
    <m/>
    <s v="New"/>
    <s v="infasco"/>
    <n v="106.94"/>
    <n v="106.94"/>
  </r>
  <r>
    <x v="2"/>
    <x v="5"/>
    <n v="11549168"/>
    <n v="713685"/>
    <n v="36"/>
    <n v="1000"/>
    <n v="36000"/>
    <n v="292"/>
    <s v="Yes"/>
    <m/>
    <s v="Yes"/>
    <m/>
    <s v="Yes"/>
    <m/>
    <s v="Yes"/>
    <m/>
    <s v="N/A"/>
    <m/>
    <s v="Yes"/>
    <m/>
    <s v="Yes"/>
    <m/>
    <s v="New"/>
    <s v="infasco"/>
    <n v="106.94"/>
    <n v="106.94"/>
  </r>
  <r>
    <x v="2"/>
    <x v="5"/>
    <n v="11549168"/>
    <n v="713696"/>
    <n v="20"/>
    <n v="1000"/>
    <n v="20000"/>
    <n v="292"/>
    <s v="Yes"/>
    <m/>
    <s v="Yes"/>
    <m/>
    <s v="Yes"/>
    <m/>
    <s v="Yes"/>
    <m/>
    <s v="N/A"/>
    <m/>
    <s v="Yes"/>
    <m/>
    <s v="Yes"/>
    <m/>
    <s v="Re-certified"/>
    <s v="infasco"/>
    <n v="0"/>
    <n v="0"/>
  </r>
  <r>
    <x v="2"/>
    <x v="0"/>
    <n v="11549168"/>
    <n v="713683"/>
    <n v="30"/>
    <n v="1000"/>
    <n v="30000"/>
    <n v="292"/>
    <s v="Yes"/>
    <m/>
    <s v="Yes"/>
    <m/>
    <s v="Yes"/>
    <m/>
    <s v="Yes"/>
    <m/>
    <s v="N/A"/>
    <m/>
    <s v="Yes"/>
    <m/>
    <s v="Yes"/>
    <m/>
    <s v="Re-certified"/>
    <s v="infasco"/>
    <n v="0"/>
    <n v="0"/>
  </r>
  <r>
    <x v="2"/>
    <x v="1"/>
    <n v="11546456"/>
    <n v="715615"/>
    <n v="8"/>
    <n v="2700"/>
    <n v="21600"/>
    <n v="292"/>
    <s v="Yes"/>
    <m/>
    <s v="Yes"/>
    <m/>
    <s v="Yes"/>
    <m/>
    <s v="Yes"/>
    <m/>
    <s v="N/A"/>
    <m/>
    <s v="Yes"/>
    <m/>
    <s v="Yes"/>
    <m/>
    <s v="Re-certified"/>
    <s v="infasco"/>
    <n v="0"/>
    <n v="0"/>
  </r>
  <r>
    <x v="2"/>
    <x v="15"/>
    <s v="11549168-CA-IN"/>
    <n v="705485"/>
    <n v="49"/>
    <n v="1000"/>
    <n v="49000"/>
    <s v="157+245"/>
    <s v="Yes"/>
    <m/>
    <s v="Yes"/>
    <m/>
    <s v="Yes"/>
    <m/>
    <s v="Yes"/>
    <m/>
    <s v="N/A"/>
    <m/>
    <s v="Yes"/>
    <m/>
    <s v="Yes"/>
    <m/>
    <s v="New"/>
    <s v="infasco"/>
    <n v="213.88"/>
    <n v="213.88"/>
  </r>
  <r>
    <x v="2"/>
    <x v="15"/>
    <s v="11549168-CA-IN"/>
    <n v="710691"/>
    <n v="26"/>
    <n v="1000"/>
    <n v="26000"/>
    <s v="157+245"/>
    <s v="Yes"/>
    <m/>
    <s v="Yes"/>
    <m/>
    <s v="Yes"/>
    <m/>
    <s v="Yes"/>
    <m/>
    <s v="N/A"/>
    <m/>
    <s v="Yes"/>
    <m/>
    <s v="Yes"/>
    <m/>
    <s v="New"/>
    <s v="infasco"/>
    <n v="213.88"/>
    <n v="213.88"/>
  </r>
  <r>
    <x v="2"/>
    <x v="16"/>
    <s v="11516078-CA-IN"/>
    <n v="707148"/>
    <n v="11"/>
    <n v="700"/>
    <n v="7700"/>
    <s v="285+391"/>
    <s v="Yes"/>
    <m/>
    <s v="Yes"/>
    <m/>
    <s v="Yes"/>
    <m/>
    <s v="Yes"/>
    <m/>
    <s v="N/A"/>
    <m/>
    <s v="Yes"/>
    <m/>
    <s v="Yes"/>
    <m/>
    <s v="New"/>
    <s v="infasco"/>
    <n v="106.94"/>
    <n v="106.94"/>
  </r>
  <r>
    <x v="2"/>
    <x v="16"/>
    <s v="W20-1028-020"/>
    <n v="715749"/>
    <n v="36"/>
    <n v="215"/>
    <n v="7740"/>
    <s v="285+391"/>
    <s v="Yes"/>
    <m/>
    <s v="Yes"/>
    <m/>
    <s v="Yes"/>
    <m/>
    <s v="Yes"/>
    <m/>
    <s v="N/A"/>
    <m/>
    <s v="Yes"/>
    <m/>
    <s v="Yes"/>
    <m/>
    <s v="New"/>
    <s v="infasco"/>
    <n v="106.94"/>
    <n v="106.94"/>
  </r>
  <r>
    <x v="2"/>
    <x v="16"/>
    <s v="W20-1028-020"/>
    <n v="715746"/>
    <n v="44"/>
    <n v="215"/>
    <n v="9460"/>
    <s v="285+391"/>
    <s v="Yes"/>
    <m/>
    <s v="Yes"/>
    <m/>
    <s v="Yes"/>
    <m/>
    <s v="Yes"/>
    <m/>
    <s v="N/A"/>
    <m/>
    <s v="Yes"/>
    <m/>
    <s v="Yes"/>
    <m/>
    <s v="New"/>
    <s v="infasco"/>
    <n v="106.94"/>
    <n v="106.94"/>
  </r>
  <r>
    <x v="2"/>
    <x v="16"/>
    <s v="NU3019"/>
    <n v="714246"/>
    <n v="1"/>
    <n v="4700"/>
    <n v="4700"/>
    <s v="285+391"/>
    <s v="Yes"/>
    <m/>
    <s v="Yes"/>
    <m/>
    <s v="Yes"/>
    <m/>
    <s v="Yes"/>
    <m/>
    <s v="N/A"/>
    <m/>
    <s v="Yes"/>
    <m/>
    <s v="Yes"/>
    <m/>
    <s v="New"/>
    <s v="infasco"/>
    <n v="129.44999999999999"/>
    <n v="129.44999999999999"/>
  </r>
  <r>
    <x v="2"/>
    <x v="16"/>
    <s v="NU3019"/>
    <n v="714244"/>
    <n v="1"/>
    <n v="6634"/>
    <n v="6634"/>
    <s v="285+391"/>
    <s v="Yes"/>
    <m/>
    <s v="Yes"/>
    <m/>
    <s v="Yes"/>
    <m/>
    <s v="Yes"/>
    <m/>
    <s v="N/A"/>
    <m/>
    <s v="Yes"/>
    <m/>
    <s v="Yes"/>
    <m/>
    <s v="New"/>
    <s v="infasco"/>
    <n v="129.44999999999999"/>
    <n v="129.44999999999999"/>
  </r>
  <r>
    <x v="2"/>
    <x v="16"/>
    <n v="40161567"/>
    <n v="715830"/>
    <n v="26"/>
    <n v="175"/>
    <n v="4550"/>
    <s v="285+391"/>
    <s v="Yes"/>
    <m/>
    <s v="Yes"/>
    <m/>
    <s v="Yes"/>
    <m/>
    <s v="Yes"/>
    <m/>
    <s v="N/A"/>
    <m/>
    <s v="Yes"/>
    <m/>
    <s v="Yes"/>
    <m/>
    <s v="New"/>
    <s v="infasco"/>
    <n v="106.94"/>
    <n v="106.94"/>
  </r>
  <r>
    <x v="2"/>
    <x v="16"/>
    <s v="W520203-S440"/>
    <n v="716083"/>
    <n v="41"/>
    <n v="960"/>
    <n v="39360"/>
    <s v="285+391"/>
    <s v="Yes"/>
    <m/>
    <s v="Yes"/>
    <m/>
    <s v="Yes"/>
    <m/>
    <s v="Yes"/>
    <m/>
    <s v="N/A"/>
    <m/>
    <s v="Yes"/>
    <m/>
    <s v="Yes"/>
    <m/>
    <s v="New"/>
    <s v="infasco"/>
    <n v="223.88"/>
    <n v="223.88"/>
  </r>
  <r>
    <x v="2"/>
    <x v="16"/>
    <n v="11549204"/>
    <n v="714655"/>
    <n v="36"/>
    <n v="210"/>
    <n v="7560"/>
    <s v="285+391"/>
    <s v="Yes"/>
    <m/>
    <s v="Yes"/>
    <m/>
    <s v="Yes"/>
    <m/>
    <s v="Yes"/>
    <m/>
    <s v="N/A"/>
    <m/>
    <s v="Yes"/>
    <m/>
    <s v="Yes"/>
    <m/>
    <s v="New"/>
    <s v="infasco"/>
    <n v="106.94"/>
    <n v="106.94"/>
  </r>
  <r>
    <x v="2"/>
    <x v="16"/>
    <n v="11549204"/>
    <n v="714659"/>
    <n v="42"/>
    <n v="210"/>
    <n v="8820"/>
    <s v="285+391"/>
    <s v="Yes"/>
    <m/>
    <s v="Yes"/>
    <m/>
    <s v="Yes"/>
    <m/>
    <s v="Yes"/>
    <m/>
    <s v="N/A"/>
    <m/>
    <s v="Yes"/>
    <m/>
    <s v="Yes"/>
    <m/>
    <s v="New"/>
    <s v="infasco"/>
    <n v="106.94"/>
    <n v="106.94"/>
  </r>
  <r>
    <x v="2"/>
    <x v="17"/>
    <s v="W20-1028-020"/>
    <n v="715748"/>
    <n v="20"/>
    <n v="215"/>
    <n v="4300"/>
    <s v="190+268"/>
    <s v="Yes"/>
    <m/>
    <s v="Yes"/>
    <m/>
    <s v="Yes"/>
    <m/>
    <s v="Yes"/>
    <m/>
    <s v="N/A"/>
    <m/>
    <s v="Yes"/>
    <m/>
    <s v="Yes"/>
    <m/>
    <s v="New"/>
    <s v="infasco"/>
    <n v="106.94"/>
    <n v="106.94"/>
  </r>
  <r>
    <x v="2"/>
    <x v="17"/>
    <s v="W20-1028-020"/>
    <n v="715747"/>
    <n v="16"/>
    <n v="215"/>
    <n v="3440"/>
    <s v="190+268"/>
    <s v="Yes"/>
    <m/>
    <s v="Yes"/>
    <m/>
    <s v="Yes"/>
    <m/>
    <s v="Yes"/>
    <m/>
    <s v="N/A"/>
    <m/>
    <s v="Yes"/>
    <m/>
    <s v="Yes"/>
    <m/>
    <s v="New"/>
    <s v="infasco"/>
    <n v="106.94"/>
    <n v="106.94"/>
  </r>
  <r>
    <x v="2"/>
    <x v="17"/>
    <s v="W20-1028-020"/>
    <n v="715751"/>
    <n v="52"/>
    <n v="215"/>
    <n v="11180"/>
    <s v="190+268"/>
    <s v="Yes"/>
    <m/>
    <s v="Yes"/>
    <m/>
    <s v="Yes"/>
    <m/>
    <s v="Yes"/>
    <m/>
    <s v="N/A"/>
    <m/>
    <s v="Yes"/>
    <m/>
    <s v="Yes"/>
    <m/>
    <s v="New"/>
    <s v="infasco"/>
    <n v="106.94"/>
    <n v="106.94"/>
  </r>
  <r>
    <x v="2"/>
    <x v="17"/>
    <s v="NU3019"/>
    <n v="714247"/>
    <n v="1"/>
    <n v="4700"/>
    <n v="4700"/>
    <s v="190+268"/>
    <s v="Yes"/>
    <m/>
    <s v="Yes"/>
    <m/>
    <s v="Yes"/>
    <m/>
    <s v="Yes"/>
    <m/>
    <s v="N/A"/>
    <m/>
    <s v="Yes"/>
    <m/>
    <s v="Yes"/>
    <m/>
    <s v="New"/>
    <s v="infasco"/>
    <n v="129.44999999999999"/>
    <n v="129.44999999999999"/>
  </r>
  <r>
    <x v="2"/>
    <x v="17"/>
    <s v="NU3019"/>
    <n v="714248"/>
    <n v="1"/>
    <n v="4980"/>
    <n v="4980"/>
    <s v="190+268"/>
    <s v="Yes"/>
    <m/>
    <s v="Yes"/>
    <m/>
    <s v="Yes"/>
    <m/>
    <s v="Yes"/>
    <m/>
    <s v="N/A"/>
    <m/>
    <s v="Yes"/>
    <m/>
    <s v="Yes"/>
    <m/>
    <s v="New"/>
    <s v="infasco"/>
    <n v="129.44999999999999"/>
    <n v="129.44999999999999"/>
  </r>
  <r>
    <x v="2"/>
    <x v="17"/>
    <n v="11549204"/>
    <n v="714664"/>
    <n v="40"/>
    <n v="210"/>
    <n v="8400"/>
    <s v="190+268"/>
    <s v="Yes"/>
    <m/>
    <s v="Yes"/>
    <m/>
    <s v="Yes"/>
    <m/>
    <s v="Yes"/>
    <m/>
    <s v="N/A"/>
    <m/>
    <s v="Yes"/>
    <m/>
    <s v="Yes"/>
    <m/>
    <s v="New"/>
    <s v="infasco"/>
    <n v="106.94"/>
    <n v="106.94"/>
  </r>
  <r>
    <x v="2"/>
    <x v="17"/>
    <s v="NU3034-02"/>
    <n v="716258"/>
    <n v="1"/>
    <n v="40400"/>
    <n v="40400"/>
    <s v="190+268"/>
    <s v="Yes"/>
    <m/>
    <s v="Yes"/>
    <m/>
    <s v="Yes"/>
    <m/>
    <s v="Yes"/>
    <m/>
    <s v="N/A"/>
    <m/>
    <s v="Yes"/>
    <m/>
    <s v="Yes"/>
    <m/>
    <s v="New"/>
    <s v="infasco"/>
    <n v="110.54"/>
    <n v="110.54"/>
  </r>
  <r>
    <x v="2"/>
    <x v="17"/>
    <s v="NU5210-03"/>
    <n v="715834"/>
    <n v="1"/>
    <n v="40000"/>
    <n v="40000"/>
    <s v="190+268"/>
    <s v="Yes"/>
    <m/>
    <s v="Yes"/>
    <m/>
    <s v="Yes"/>
    <m/>
    <s v="Yes"/>
    <m/>
    <s v="N/A"/>
    <m/>
    <s v="Yes"/>
    <m/>
    <s v="Yes"/>
    <m/>
    <s v="New"/>
    <s v="infasco"/>
    <n v="129.44999999999999"/>
    <n v="129.44999999999999"/>
  </r>
  <r>
    <x v="2"/>
    <x v="17"/>
    <s v="11549168-CA-IN"/>
    <n v="710688"/>
    <n v="11"/>
    <n v="1000"/>
    <n v="11000"/>
    <s v="190+268"/>
    <s v="Yes"/>
    <m/>
    <s v="Yes"/>
    <m/>
    <s v="Yes"/>
    <m/>
    <s v="Yes"/>
    <m/>
    <s v="N/A"/>
    <m/>
    <s v="Yes"/>
    <m/>
    <s v="Yes"/>
    <m/>
    <s v="Re-certified"/>
    <s v="infasco"/>
    <n v="0"/>
    <n v="0"/>
  </r>
  <r>
    <x v="2"/>
    <x v="32"/>
    <s v="11549168-CA-IN"/>
    <n v="708641"/>
    <n v="19"/>
    <n v="1000"/>
    <n v="19000"/>
    <s v="294+252"/>
    <s v="Yes"/>
    <m/>
    <s v="Yes"/>
    <m/>
    <s v="Yes"/>
    <m/>
    <s v="Yes"/>
    <m/>
    <s v="N/A"/>
    <m/>
    <s v="Yes"/>
    <m/>
    <s v="Yes"/>
    <m/>
    <s v="New"/>
    <s v="infasco"/>
    <n v="213.88"/>
    <n v="213.88"/>
  </r>
  <r>
    <x v="2"/>
    <x v="32"/>
    <s v="NU3019"/>
    <n v="714245"/>
    <n v="1"/>
    <n v="4270"/>
    <n v="4270"/>
    <s v="294+252"/>
    <s v="Yes"/>
    <m/>
    <s v="Yes"/>
    <m/>
    <s v="Yes"/>
    <m/>
    <s v="Yes"/>
    <m/>
    <s v="N/A"/>
    <m/>
    <s v="Yes"/>
    <m/>
    <s v="Yes"/>
    <m/>
    <s v="New"/>
    <s v="infasco"/>
    <n v="129.44999999999999"/>
    <n v="129.44999999999999"/>
  </r>
  <r>
    <x v="2"/>
    <x v="32"/>
    <s v="NU3019"/>
    <n v="714249"/>
    <n v="1"/>
    <n v="4570"/>
    <n v="4570"/>
    <s v="294+252"/>
    <s v="Yes"/>
    <m/>
    <s v="Yes"/>
    <m/>
    <s v="Yes"/>
    <m/>
    <s v="Yes"/>
    <m/>
    <s v="N/A"/>
    <m/>
    <s v="Yes"/>
    <m/>
    <s v="Yes"/>
    <m/>
    <s v="New"/>
    <s v="infasco"/>
    <n v="129.44999999999999"/>
    <n v="129.44999999999999"/>
  </r>
  <r>
    <x v="2"/>
    <x v="32"/>
    <n v="40161567"/>
    <n v="715831"/>
    <n v="31"/>
    <n v="175"/>
    <n v="5425"/>
    <s v="294+252"/>
    <s v="Yes"/>
    <m/>
    <s v="Yes"/>
    <m/>
    <s v="Yes"/>
    <m/>
    <s v="Yes"/>
    <m/>
    <s v="N/A"/>
    <m/>
    <s v="Yes"/>
    <m/>
    <s v="Yes"/>
    <m/>
    <s v="New"/>
    <s v="infasco"/>
    <n v="106.94"/>
    <n v="106.94"/>
  </r>
  <r>
    <x v="2"/>
    <x v="32"/>
    <n v="11549204"/>
    <n v="714665"/>
    <n v="36"/>
    <n v="210"/>
    <n v="7560"/>
    <s v="294+252"/>
    <s v="Yes"/>
    <m/>
    <s v="Yes"/>
    <m/>
    <s v="Yes"/>
    <m/>
    <s v="Yes"/>
    <m/>
    <s v="N/A"/>
    <m/>
    <s v="Yes"/>
    <m/>
    <s v="Yes"/>
    <m/>
    <s v="New"/>
    <s v="infasco"/>
    <n v="106.94"/>
    <n v="106.94"/>
  </r>
  <r>
    <x v="2"/>
    <x v="32"/>
    <s v="W520203-S440"/>
    <n v="716082"/>
    <n v="21"/>
    <n v="960"/>
    <n v="20160"/>
    <s v="294+252"/>
    <s v="Yes"/>
    <m/>
    <s v="Yes"/>
    <m/>
    <s v="Yes"/>
    <m/>
    <s v="Yes"/>
    <m/>
    <s v="N/A"/>
    <m/>
    <s v="Yes"/>
    <m/>
    <s v="Yes"/>
    <m/>
    <s v="New"/>
    <s v="infasco"/>
    <n v="223.88"/>
    <n v="223.88"/>
  </r>
  <r>
    <x v="2"/>
    <x v="32"/>
    <n v="11549204"/>
    <n v="714661"/>
    <n v="36"/>
    <n v="210"/>
    <n v="7560"/>
    <s v="294+252"/>
    <s v="Yes"/>
    <m/>
    <s v="Yes"/>
    <m/>
    <s v="Yes"/>
    <m/>
    <s v="Yes"/>
    <m/>
    <s v="N/A"/>
    <m/>
    <s v="Yes"/>
    <m/>
    <s v="Yes"/>
    <m/>
    <s v="New"/>
    <s v="infasco"/>
    <n v="106.94"/>
    <n v="106.94"/>
  </r>
  <r>
    <x v="2"/>
    <x v="32"/>
    <n v="11549204"/>
    <n v="714654"/>
    <n v="22"/>
    <n v="210"/>
    <n v="4620"/>
    <n v="252"/>
    <s v="Yes"/>
    <m/>
    <s v="Yes"/>
    <m/>
    <s v="Yes"/>
    <m/>
    <s v="Yes"/>
    <m/>
    <s v="N/A"/>
    <m/>
    <s v="Yes"/>
    <m/>
    <s v="Yes"/>
    <m/>
    <s v="New"/>
    <s v="infasco"/>
    <n v="106.94"/>
    <n v="106.94"/>
  </r>
  <r>
    <x v="2"/>
    <x v="32"/>
    <s v="11549168-CA-IN"/>
    <n v="705484"/>
    <n v="3"/>
    <n v="1000"/>
    <n v="3000"/>
    <n v="252"/>
    <s v="Yes"/>
    <m/>
    <s v="Yes"/>
    <m/>
    <s v="Yes"/>
    <m/>
    <s v="Yes"/>
    <m/>
    <s v="N/A"/>
    <m/>
    <s v="Yes"/>
    <m/>
    <s v="Yes"/>
    <m/>
    <s v="Re-certified"/>
    <s v="infasco"/>
    <n v="0"/>
    <n v="0"/>
  </r>
  <r>
    <x v="2"/>
    <x v="13"/>
    <n v="11549204"/>
    <n v="714662"/>
    <n v="36"/>
    <n v="210"/>
    <n v="7560"/>
    <s v="011+293"/>
    <s v="Yes"/>
    <m/>
    <s v="Yes"/>
    <m/>
    <s v="Yes"/>
    <m/>
    <s v="Yes"/>
    <m/>
    <s v="N/A"/>
    <m/>
    <s v="Yes"/>
    <m/>
    <s v="Yes"/>
    <m/>
    <s v="New"/>
    <s v="infasco"/>
    <n v="106.94"/>
    <n v="106.94"/>
  </r>
  <r>
    <x v="2"/>
    <x v="13"/>
    <n v="11549204"/>
    <n v="714658"/>
    <n v="36"/>
    <n v="210"/>
    <n v="7560"/>
    <s v="011+293"/>
    <s v="Yes"/>
    <m/>
    <s v="Yes"/>
    <m/>
    <s v="Yes"/>
    <m/>
    <s v="Yes"/>
    <m/>
    <s v="N/A"/>
    <m/>
    <s v="Yes"/>
    <m/>
    <s v="Yes"/>
    <m/>
    <s v="New"/>
    <s v="infasco"/>
    <n v="106.94"/>
    <n v="106.94"/>
  </r>
  <r>
    <x v="2"/>
    <x v="13"/>
    <n v="11549204"/>
    <n v="714660"/>
    <n v="61"/>
    <n v="210"/>
    <n v="12810"/>
    <s v="011+293"/>
    <s v="Yes"/>
    <m/>
    <s v="Yes"/>
    <m/>
    <s v="Yes"/>
    <m/>
    <s v="Yes"/>
    <m/>
    <s v="N/A"/>
    <m/>
    <s v="Yes"/>
    <m/>
    <s v="Yes"/>
    <m/>
    <s v="New"/>
    <s v="infasco"/>
    <n v="106.94"/>
    <n v="106.94"/>
  </r>
  <r>
    <x v="2"/>
    <x v="13"/>
    <n v="11549204"/>
    <n v="714663"/>
    <n v="26"/>
    <n v="210"/>
    <n v="5460"/>
    <s v="011+293"/>
    <s v="Yes"/>
    <m/>
    <s v="Yes"/>
    <m/>
    <s v="Yes"/>
    <m/>
    <s v="Yes"/>
    <m/>
    <s v="N/A"/>
    <m/>
    <s v="Yes"/>
    <m/>
    <s v="Yes"/>
    <m/>
    <s v="New"/>
    <s v="infasco"/>
    <n v="106.94"/>
    <n v="106.94"/>
  </r>
  <r>
    <x v="2"/>
    <x v="13"/>
    <n v="11549170"/>
    <n v="713828"/>
    <n v="35"/>
    <n v="400"/>
    <n v="14000"/>
    <s v="011+293"/>
    <s v="Yes"/>
    <m/>
    <s v="Yes"/>
    <m/>
    <s v="Yes"/>
    <m/>
    <s v="Yes"/>
    <m/>
    <s v="N/A"/>
    <m/>
    <s v="Yes"/>
    <m/>
    <s v="Yes"/>
    <m/>
    <s v="New"/>
    <s v="infasco"/>
    <n v="106.94"/>
    <n v="106.94"/>
  </r>
  <r>
    <x v="2"/>
    <x v="13"/>
    <s v="11516078-CA-IN"/>
    <n v="707150"/>
    <n v="35"/>
    <n v="700"/>
    <n v="24500"/>
    <s v="011+293"/>
    <s v="Yes"/>
    <m/>
    <s v="Yes"/>
    <m/>
    <s v="Yes"/>
    <m/>
    <s v="Yes"/>
    <m/>
    <s v="N/A"/>
    <m/>
    <s v="Yes"/>
    <m/>
    <s v="Yes"/>
    <m/>
    <s v="New"/>
    <s v="infasco"/>
    <n v="106.94"/>
    <n v="106.94"/>
  </r>
  <r>
    <x v="2"/>
    <x v="13"/>
    <s v="BL3W-4320-BA"/>
    <n v="712799"/>
    <n v="27"/>
    <n v="220"/>
    <n v="5940"/>
    <s v="011+293"/>
    <s v="Yes"/>
    <m/>
    <s v="Yes"/>
    <m/>
    <s v="Yes"/>
    <m/>
    <s v="Yes"/>
    <m/>
    <s v="N/A"/>
    <m/>
    <s v="Yes"/>
    <m/>
    <s v="Yes"/>
    <m/>
    <s v="New"/>
    <s v="infasco"/>
    <n v="106.94"/>
    <n v="106.94"/>
  </r>
  <r>
    <x v="2"/>
    <x v="13"/>
    <s v="BL3W-4320-BA"/>
    <n v="712798"/>
    <n v="27"/>
    <n v="220"/>
    <n v="5940"/>
    <s v="011+293"/>
    <s v="Yes"/>
    <m/>
    <s v="Yes"/>
    <m/>
    <s v="Yes"/>
    <m/>
    <s v="Yes"/>
    <m/>
    <s v="N/A"/>
    <m/>
    <s v="Yes"/>
    <m/>
    <s v="Yes"/>
    <m/>
    <s v="New"/>
    <s v="infasco"/>
    <n v="106.94"/>
    <n v="106.94"/>
  </r>
  <r>
    <x v="2"/>
    <x v="13"/>
    <s v="BL3W-4320-BA"/>
    <n v="712800"/>
    <n v="19"/>
    <n v="220"/>
    <n v="4180"/>
    <s v="011+293"/>
    <s v="Yes"/>
    <m/>
    <s v="Yes"/>
    <m/>
    <s v="Yes"/>
    <m/>
    <s v="Yes"/>
    <m/>
    <s v="N/A"/>
    <m/>
    <s v="Yes"/>
    <m/>
    <s v="Yes"/>
    <m/>
    <s v="New"/>
    <s v="infasco"/>
    <n v="106.94"/>
    <n v="106.94"/>
  </r>
  <r>
    <x v="2"/>
    <x v="13"/>
    <s v="W20-1028-020SL"/>
    <n v="715750"/>
    <n v="39"/>
    <n v="215"/>
    <n v="8385"/>
    <s v="011+293"/>
    <s v="Yes"/>
    <m/>
    <s v="Yes"/>
    <m/>
    <s v="Yes"/>
    <m/>
    <s v="Yes"/>
    <m/>
    <s v="N/A"/>
    <m/>
    <s v="Yes"/>
    <m/>
    <s v="Yes"/>
    <m/>
    <s v="New"/>
    <s v="infasco"/>
    <n v="106.94"/>
    <n v="106.94"/>
  </r>
  <r>
    <x v="2"/>
    <x v="19"/>
    <s v="11549168-CA-IN"/>
    <n v="708737"/>
    <n v="10"/>
    <n v="1000"/>
    <n v="10000"/>
    <n v="272"/>
    <s v="Yes"/>
    <m/>
    <s v="Yes"/>
    <m/>
    <s v="Yes"/>
    <m/>
    <s v="Yes"/>
    <m/>
    <s v="N/A"/>
    <m/>
    <s v="Yes"/>
    <m/>
    <s v="Yes"/>
    <m/>
    <s v="New"/>
    <s v="infasco"/>
    <n v="213.88"/>
    <n v="213.88"/>
  </r>
  <r>
    <x v="2"/>
    <x v="19"/>
    <s v="11549168-CA-IN"/>
    <n v="710399"/>
    <n v="41"/>
    <n v="1000"/>
    <n v="41000"/>
    <n v="272"/>
    <s v="Yes"/>
    <m/>
    <s v="Yes"/>
    <m/>
    <s v="Yes"/>
    <m/>
    <s v="Yes"/>
    <m/>
    <s v="N/A"/>
    <m/>
    <s v="Yes"/>
    <m/>
    <s v="Yes"/>
    <m/>
    <s v="New"/>
    <s v="infasco"/>
    <n v="213.88"/>
    <n v="213.88"/>
  </r>
  <r>
    <x v="2"/>
    <x v="19"/>
    <s v="NU5108"/>
    <n v="714133"/>
    <n v="1"/>
    <n v="24000"/>
    <n v="24000"/>
    <n v="272"/>
    <s v="Yes"/>
    <m/>
    <s v="Yes"/>
    <m/>
    <s v="Yes"/>
    <m/>
    <s v="Yes"/>
    <m/>
    <s v="N/A"/>
    <m/>
    <s v="Yes"/>
    <m/>
    <s v="Yes"/>
    <m/>
    <s v="Re-certified"/>
    <s v="infasco"/>
    <n v="0"/>
    <n v="0"/>
  </r>
  <r>
    <x v="3"/>
    <x v="4"/>
    <n v="11561645"/>
    <n v="714588"/>
    <n v="30"/>
    <n v="4000"/>
    <n v="120000"/>
    <n v="292"/>
    <s v="Yes"/>
    <m/>
    <s v="Yes"/>
    <m/>
    <s v="Yes"/>
    <m/>
    <s v="Yes"/>
    <m/>
    <s v="N/A"/>
    <m/>
    <s v="Yes"/>
    <m/>
    <s v="Yes"/>
    <m/>
    <s v="New"/>
    <s v="infasco"/>
    <n v="106.94"/>
    <n v="106.94"/>
  </r>
  <r>
    <x v="3"/>
    <x v="5"/>
    <n v="11549168"/>
    <n v="713696"/>
    <n v="31"/>
    <n v="1000"/>
    <n v="31000"/>
    <n v="292"/>
    <s v="Yes"/>
    <m/>
    <s v="Yes"/>
    <m/>
    <s v="Yes"/>
    <m/>
    <s v="Yes"/>
    <m/>
    <s v="N/A"/>
    <m/>
    <s v="Yes"/>
    <m/>
    <s v="Yes"/>
    <m/>
    <s v="New"/>
    <s v="infasco"/>
    <n v="106.94"/>
    <n v="106.94"/>
  </r>
  <r>
    <x v="3"/>
    <x v="5"/>
    <s v="06511637AA"/>
    <n v="714426"/>
    <n v="36"/>
    <n v="1200"/>
    <n v="43200"/>
    <n v="292"/>
    <s v="Yes"/>
    <m/>
    <s v="Yes"/>
    <m/>
    <s v="Yes"/>
    <m/>
    <s v="Yes"/>
    <m/>
    <s v="N/A"/>
    <m/>
    <s v="Yes"/>
    <m/>
    <s v="Yes"/>
    <m/>
    <s v="New"/>
    <s v="infasco"/>
    <n v="106.94"/>
    <n v="106.94"/>
  </r>
  <r>
    <x v="3"/>
    <x v="3"/>
    <n v="11549170"/>
    <n v="713702"/>
    <n v="11"/>
    <n v="400"/>
    <n v="4400"/>
    <n v="292"/>
    <s v="Yes"/>
    <m/>
    <s v="Yes"/>
    <m/>
    <s v="Yes"/>
    <m/>
    <s v="Yes"/>
    <m/>
    <s v="N/A"/>
    <m/>
    <s v="Yes"/>
    <m/>
    <s v="Yes"/>
    <m/>
    <s v="New"/>
    <s v="infasco"/>
    <n v="106.94"/>
    <n v="106.94"/>
  </r>
  <r>
    <x v="3"/>
    <x v="3"/>
    <n v="11549170"/>
    <n v="713824"/>
    <n v="36"/>
    <n v="400"/>
    <n v="14400"/>
    <n v="292"/>
    <s v="Yes"/>
    <m/>
    <s v="Yes"/>
    <m/>
    <s v="Yes"/>
    <m/>
    <s v="Yes"/>
    <m/>
    <s v="N/A"/>
    <m/>
    <s v="Yes"/>
    <m/>
    <s v="Yes"/>
    <m/>
    <s v="New"/>
    <s v="infasco"/>
    <n v="106.94"/>
    <n v="106.94"/>
  </r>
  <r>
    <x v="3"/>
    <x v="3"/>
    <n v="11549170"/>
    <n v="713843"/>
    <n v="36"/>
    <n v="400"/>
    <n v="14400"/>
    <n v="292"/>
    <s v="Yes"/>
    <m/>
    <s v="Yes"/>
    <m/>
    <s v="Yes"/>
    <m/>
    <s v="Yes"/>
    <m/>
    <s v="N/A"/>
    <m/>
    <s v="Yes"/>
    <m/>
    <s v="Yes"/>
    <m/>
    <s v="New"/>
    <s v="infasco"/>
    <n v="106.94"/>
    <n v="106.94"/>
  </r>
  <r>
    <x v="3"/>
    <x v="3"/>
    <n v="11546774"/>
    <n v="713587"/>
    <n v="25"/>
    <n v="450"/>
    <n v="11250"/>
    <n v="292"/>
    <s v="Yes"/>
    <m/>
    <s v="Yes"/>
    <m/>
    <s v="Yes"/>
    <m/>
    <s v="Yes"/>
    <m/>
    <s v="N/A"/>
    <m/>
    <s v="Yes"/>
    <m/>
    <s v="Yes"/>
    <m/>
    <s v="Re-certified"/>
    <s v="infasco"/>
    <n v="0"/>
    <n v="0"/>
  </r>
  <r>
    <x v="3"/>
    <x v="0"/>
    <n v="11549168"/>
    <n v="713683"/>
    <n v="6"/>
    <n v="1000"/>
    <n v="6000"/>
    <n v="292"/>
    <s v="Yes"/>
    <m/>
    <s v="Yes"/>
    <m/>
    <s v="Yes"/>
    <m/>
    <s v="Yes"/>
    <m/>
    <s v="N/A"/>
    <m/>
    <s v="Yes"/>
    <m/>
    <s v="Yes"/>
    <m/>
    <s v="New"/>
    <s v="infasco"/>
    <n v="106.94"/>
    <n v="106.94"/>
  </r>
  <r>
    <x v="3"/>
    <x v="1"/>
    <n v="11546456"/>
    <n v="715615"/>
    <n v="13"/>
    <n v="2700"/>
    <n v="35100"/>
    <n v="292"/>
    <s v="Yes"/>
    <m/>
    <s v="Yes"/>
    <m/>
    <s v="Yes"/>
    <m/>
    <s v="Yes"/>
    <m/>
    <s v="N/A"/>
    <m/>
    <s v="Yes"/>
    <m/>
    <s v="Yes"/>
    <m/>
    <s v="New"/>
    <s v="infasco"/>
    <n v="106.94"/>
    <n v="106.94"/>
  </r>
  <r>
    <x v="3"/>
    <x v="1"/>
    <n v="11546377"/>
    <n v="715737"/>
    <n v="10"/>
    <n v="2150"/>
    <n v="21500"/>
    <n v="292"/>
    <s v="Yes"/>
    <m/>
    <s v="Yes"/>
    <m/>
    <s v="Yes"/>
    <m/>
    <s v="Yes"/>
    <m/>
    <s v="N/A"/>
    <m/>
    <s v="Yes"/>
    <m/>
    <s v="Yes"/>
    <m/>
    <s v="Re-certified"/>
    <s v="infasco"/>
    <n v="0"/>
    <n v="0"/>
  </r>
  <r>
    <x v="3"/>
    <x v="2"/>
    <s v="11549168-IN-BA"/>
    <n v="705253"/>
    <n v="37"/>
    <n v="1000"/>
    <n v="37000"/>
    <n v="292"/>
    <s v="Yes"/>
    <m/>
    <s v="Yes"/>
    <m/>
    <s v="Yes"/>
    <m/>
    <s v="Yes"/>
    <m/>
    <s v="N/A"/>
    <m/>
    <s v="Yes"/>
    <m/>
    <s v="Yes"/>
    <m/>
    <s v="New"/>
    <s v="infasco"/>
    <n v="106.94"/>
    <n v="106.94"/>
  </r>
  <r>
    <x v="3"/>
    <x v="11"/>
    <n v="11546545"/>
    <n v="714666"/>
    <n v="36"/>
    <n v="2500"/>
    <n v="90000"/>
    <n v="275"/>
    <s v="Yes"/>
    <m/>
    <s v="Yes"/>
    <m/>
    <s v="Yes"/>
    <m/>
    <s v="Yes"/>
    <m/>
    <s v="N/A"/>
    <m/>
    <s v="Yes"/>
    <m/>
    <s v="Yes"/>
    <m/>
    <s v="New"/>
    <s v="infasco"/>
    <n v="106.94"/>
    <n v="106.94"/>
  </r>
  <r>
    <x v="3"/>
    <x v="11"/>
    <n v="11546545"/>
    <n v="716193"/>
    <n v="8"/>
    <n v="2500"/>
    <n v="20000"/>
    <n v="275"/>
    <s v="Yes"/>
    <m/>
    <s v="Yes"/>
    <m/>
    <s v="Yes"/>
    <m/>
    <s v="Yes"/>
    <m/>
    <s v="N/A"/>
    <m/>
    <s v="Yes"/>
    <m/>
    <s v="Yes"/>
    <m/>
    <s v="Re-certified"/>
    <s v="infasco"/>
    <n v="0"/>
    <n v="0"/>
  </r>
  <r>
    <x v="3"/>
    <x v="6"/>
    <n v="11546456"/>
    <n v="715614"/>
    <n v="7"/>
    <n v="2700"/>
    <n v="18900"/>
    <n v="275"/>
    <s v="Yes"/>
    <m/>
    <s v="Yes"/>
    <m/>
    <s v="Yes"/>
    <m/>
    <s v="Yes"/>
    <m/>
    <s v="N/A"/>
    <m/>
    <s v="Yes"/>
    <m/>
    <s v="Yes"/>
    <m/>
    <s v="New"/>
    <s v="infasco"/>
    <n v="106.94"/>
    <n v="106.94"/>
  </r>
  <r>
    <x v="3"/>
    <x v="6"/>
    <n v="11546545"/>
    <n v="714667"/>
    <n v="36"/>
    <n v="2500"/>
    <n v="90000"/>
    <n v="275"/>
    <s v="Yes"/>
    <m/>
    <s v="Yes"/>
    <m/>
    <s v="Yes"/>
    <m/>
    <s v="Yes"/>
    <m/>
    <s v="N/A"/>
    <m/>
    <s v="Yes"/>
    <m/>
    <s v="Yes"/>
    <m/>
    <s v="New"/>
    <s v="infasco"/>
    <n v="106.94"/>
    <n v="106.94"/>
  </r>
  <r>
    <x v="3"/>
    <x v="10"/>
    <s v="11546437-MY-AK"/>
    <n v="714145"/>
    <n v="9"/>
    <n v="1500"/>
    <n v="13500"/>
    <n v="275"/>
    <s v="Yes"/>
    <m/>
    <s v="Yes"/>
    <m/>
    <s v="Yes"/>
    <m/>
    <s v="Yes"/>
    <m/>
    <s v="N/A"/>
    <m/>
    <s v="Yes"/>
    <m/>
    <s v="Yes"/>
    <m/>
    <s v="New"/>
    <s v="infasco"/>
    <n v="106.94"/>
    <n v="106.94"/>
  </r>
  <r>
    <x v="3"/>
    <x v="10"/>
    <n v="11546545"/>
    <n v="714671"/>
    <n v="19"/>
    <n v="2500"/>
    <n v="47500"/>
    <n v="275"/>
    <s v="Yes"/>
    <m/>
    <s v="Yes"/>
    <m/>
    <s v="Yes"/>
    <m/>
    <s v="Yes"/>
    <m/>
    <s v="N/A"/>
    <m/>
    <s v="Yes"/>
    <m/>
    <s v="Yes"/>
    <m/>
    <s v="Re-certified"/>
    <s v="infasco"/>
    <n v="0"/>
    <n v="0"/>
  </r>
  <r>
    <x v="3"/>
    <x v="12"/>
    <n v="11549170"/>
    <n v="713821"/>
    <n v="9"/>
    <n v="400"/>
    <n v="3600"/>
    <n v="275"/>
    <s v="Yes"/>
    <m/>
    <s v="Yes"/>
    <m/>
    <s v="Yes"/>
    <m/>
    <s v="Yes"/>
    <m/>
    <s v="N/A"/>
    <m/>
    <s v="Yes"/>
    <m/>
    <s v="Yes"/>
    <m/>
    <s v="New"/>
    <s v="infasco"/>
    <n v="106.94"/>
    <n v="106.94"/>
  </r>
  <r>
    <x v="3"/>
    <x v="12"/>
    <n v="11549170"/>
    <n v="713827"/>
    <n v="59"/>
    <n v="400"/>
    <n v="23600"/>
    <n v="275"/>
    <s v="Yes"/>
    <m/>
    <s v="Yes"/>
    <m/>
    <s v="Yes"/>
    <m/>
    <s v="Yes"/>
    <m/>
    <s v="N/A"/>
    <m/>
    <s v="Yes"/>
    <m/>
    <s v="Yes"/>
    <m/>
    <s v="New"/>
    <s v="infasco"/>
    <n v="106.94"/>
    <n v="106.94"/>
  </r>
  <r>
    <x v="3"/>
    <x v="12"/>
    <n v="11516074"/>
    <n v="714303"/>
    <n v="15"/>
    <n v="700"/>
    <n v="10500"/>
    <n v="275"/>
    <s v="Yes"/>
    <m/>
    <s v="Yes"/>
    <m/>
    <s v="Yes"/>
    <m/>
    <s v="Yes"/>
    <m/>
    <s v="N/A"/>
    <m/>
    <s v="Yes"/>
    <m/>
    <s v="Yes"/>
    <m/>
    <s v="Re-certified"/>
    <s v="infasco"/>
    <n v="0"/>
    <n v="0"/>
  </r>
  <r>
    <x v="3"/>
    <x v="8"/>
    <n v="11549170"/>
    <n v="713700"/>
    <n v="3"/>
    <n v="400"/>
    <n v="1200"/>
    <n v="275"/>
    <s v="Yes"/>
    <m/>
    <s v="Yes"/>
    <m/>
    <s v="Yes"/>
    <m/>
    <s v="Yes"/>
    <m/>
    <s v="N/A"/>
    <m/>
    <s v="Yes"/>
    <m/>
    <s v="Yes"/>
    <m/>
    <s v="New"/>
    <s v="infasco"/>
    <n v="106.94"/>
    <n v="106.94"/>
  </r>
  <r>
    <x v="3"/>
    <x v="8"/>
    <n v="11549170"/>
    <n v="713849"/>
    <n v="36"/>
    <n v="400"/>
    <n v="14400"/>
    <n v="275"/>
    <s v="Yes"/>
    <m/>
    <s v="Yes"/>
    <m/>
    <s v="Yes"/>
    <m/>
    <s v="Yes"/>
    <m/>
    <s v="N/A"/>
    <m/>
    <s v="Yes"/>
    <m/>
    <s v="Yes"/>
    <m/>
    <s v="New"/>
    <s v="infasco"/>
    <n v="106.94"/>
    <n v="106.94"/>
  </r>
  <r>
    <x v="3"/>
    <x v="8"/>
    <s v="06502979-A"/>
    <n v="713986"/>
    <n v="9"/>
    <n v="750"/>
    <n v="6750"/>
    <n v="275"/>
    <s v="Yes"/>
    <m/>
    <s v="Yes"/>
    <m/>
    <s v="Yes"/>
    <m/>
    <s v="Yes"/>
    <m/>
    <s v="N/A"/>
    <m/>
    <s v="Yes"/>
    <m/>
    <s v="Yes"/>
    <m/>
    <s v="Re-certified"/>
    <s v="infasco"/>
    <n v="0"/>
    <n v="0"/>
  </r>
  <r>
    <x v="3"/>
    <x v="7"/>
    <s v="06104388AA"/>
    <n v="714345"/>
    <n v="16"/>
    <n v="660"/>
    <n v="10560"/>
    <n v="275"/>
    <s v="Yes"/>
    <m/>
    <s v="Yes"/>
    <m/>
    <s v="Yes"/>
    <m/>
    <s v="Yes"/>
    <m/>
    <s v="N/A"/>
    <m/>
    <s v="Yes"/>
    <m/>
    <s v="Yes"/>
    <m/>
    <s v="New"/>
    <s v="infasco"/>
    <n v="135.08000000000001"/>
    <n v="135.08000000000001"/>
  </r>
  <r>
    <x v="3"/>
    <x v="7"/>
    <s v="06104388AA"/>
    <n v="714347"/>
    <n v="24"/>
    <n v="660"/>
    <n v="15840"/>
    <n v="275"/>
    <s v="Yes"/>
    <m/>
    <s v="Yes"/>
    <m/>
    <s v="Yes"/>
    <m/>
    <s v="Yes"/>
    <m/>
    <s v="N/A"/>
    <m/>
    <s v="Yes"/>
    <m/>
    <s v="Yes"/>
    <m/>
    <s v="New"/>
    <s v="infasco"/>
    <n v="135.08000000000001"/>
    <n v="135.08000000000001"/>
  </r>
  <r>
    <x v="3"/>
    <x v="9"/>
    <s v="W716298-S450"/>
    <n v="714424"/>
    <n v="36"/>
    <n v="3500"/>
    <n v="126000"/>
    <n v="275"/>
    <s v="Yes"/>
    <m/>
    <s v="Yes"/>
    <m/>
    <s v="Yes"/>
    <m/>
    <s v="Yes"/>
    <m/>
    <s v="N/A"/>
    <m/>
    <s v="Yes"/>
    <m/>
    <s v="Yes"/>
    <m/>
    <s v="New"/>
    <s v="infasco"/>
    <n v="106.94"/>
    <n v="106.94"/>
  </r>
  <r>
    <x v="3"/>
    <x v="28"/>
    <n v="11546566"/>
    <n v="714434"/>
    <n v="10"/>
    <n v="1800"/>
    <n v="18000"/>
    <n v="290"/>
    <s v="Yes"/>
    <m/>
    <s v="Yes"/>
    <m/>
    <s v="Yes"/>
    <m/>
    <s v="Yes"/>
    <m/>
    <s v="N/A"/>
    <m/>
    <s v="Yes"/>
    <m/>
    <s v="Yes"/>
    <m/>
    <s v="Re-certified"/>
    <s v="infasco"/>
    <n v="0"/>
    <n v="0"/>
  </r>
  <r>
    <x v="3"/>
    <x v="29"/>
    <n v="11561645"/>
    <n v="714429"/>
    <n v="29"/>
    <n v="4000"/>
    <n v="116000"/>
    <n v="290"/>
    <s v="Yes"/>
    <m/>
    <s v="Yes"/>
    <m/>
    <s v="Yes"/>
    <m/>
    <s v="Yes"/>
    <m/>
    <s v="N/A"/>
    <m/>
    <s v="Yes"/>
    <m/>
    <s v="Yes"/>
    <m/>
    <s v="New"/>
    <s v="infasco"/>
    <n v="106.94"/>
    <n v="106.94"/>
  </r>
  <r>
    <x v="3"/>
    <x v="29"/>
    <n v="11546545"/>
    <n v="716192"/>
    <n v="13"/>
    <n v="2500"/>
    <n v="32500"/>
    <n v="290"/>
    <s v="Yes"/>
    <m/>
    <s v="Yes"/>
    <m/>
    <s v="Yes"/>
    <m/>
    <s v="Yes"/>
    <m/>
    <s v="N/A"/>
    <m/>
    <s v="Yes"/>
    <m/>
    <s v="Yes"/>
    <m/>
    <s v="Re-certified"/>
    <s v="infasco"/>
    <n v="0"/>
    <n v="0"/>
  </r>
  <r>
    <x v="3"/>
    <x v="26"/>
    <n v="11549170"/>
    <n v="713822"/>
    <n v="35"/>
    <n v="400"/>
    <n v="14000"/>
    <n v="290"/>
    <s v="Yes"/>
    <m/>
    <s v="Yes"/>
    <m/>
    <s v="Yes"/>
    <m/>
    <s v="Yes"/>
    <m/>
    <s v="N/A"/>
    <m/>
    <s v="Yes"/>
    <m/>
    <s v="Yes"/>
    <m/>
    <s v="New"/>
    <s v="infasco"/>
    <n v="106.94"/>
    <n v="106.94"/>
  </r>
  <r>
    <x v="3"/>
    <x v="26"/>
    <s v="06101831-A"/>
    <n v="715859"/>
    <n v="34"/>
    <n v="1000"/>
    <n v="34000"/>
    <n v="290"/>
    <s v="Yes"/>
    <m/>
    <s v="Yes"/>
    <m/>
    <s v="Yes"/>
    <m/>
    <s v="Yes"/>
    <m/>
    <s v="N/A"/>
    <m/>
    <s v="Yes"/>
    <m/>
    <s v="Yes"/>
    <m/>
    <s v="New"/>
    <s v="infasco"/>
    <n v="106.94"/>
    <n v="106.94"/>
  </r>
  <r>
    <x v="3"/>
    <x v="26"/>
    <s v="NU5210-03"/>
    <n v="715835"/>
    <n v="1"/>
    <n v="39000"/>
    <n v="39000"/>
    <n v="290"/>
    <s v="Yes"/>
    <m/>
    <s v="Yes"/>
    <m/>
    <s v="Yes"/>
    <m/>
    <s v="Yes"/>
    <m/>
    <s v="N/A"/>
    <m/>
    <s v="Yes"/>
    <m/>
    <s v="Yes"/>
    <m/>
    <s v="New"/>
    <s v="infasco"/>
    <n v="129.44999999999999"/>
    <n v="129.44999999999999"/>
  </r>
  <r>
    <x v="3"/>
    <x v="26"/>
    <s v="NU1510"/>
    <n v="715714"/>
    <n v="1"/>
    <n v="17000"/>
    <n v="17000"/>
    <n v="290"/>
    <s v="Yes"/>
    <m/>
    <s v="Yes"/>
    <m/>
    <s v="Yes"/>
    <m/>
    <s v="Yes"/>
    <m/>
    <s v="N/A"/>
    <m/>
    <s v="Yes"/>
    <m/>
    <s v="Yes"/>
    <m/>
    <s v="Re-certified"/>
    <s v="infasco"/>
    <n v="0"/>
    <n v="0"/>
  </r>
  <r>
    <x v="3"/>
    <x v="30"/>
    <n v="11549170"/>
    <n v="713851"/>
    <n v="24"/>
    <n v="400"/>
    <n v="9600"/>
    <n v="290"/>
    <s v="Yes"/>
    <m/>
    <s v="Yes"/>
    <m/>
    <s v="Yes"/>
    <m/>
    <s v="Yes"/>
    <m/>
    <s v="N/A"/>
    <m/>
    <s v="Yes"/>
    <m/>
    <s v="Yes"/>
    <m/>
    <s v="New"/>
    <s v="infasco"/>
    <n v="106.94"/>
    <n v="106.94"/>
  </r>
  <r>
    <x v="3"/>
    <x v="30"/>
    <n v="11549170"/>
    <n v="713826"/>
    <n v="42"/>
    <n v="400"/>
    <n v="16800"/>
    <n v="290"/>
    <s v="Yes"/>
    <m/>
    <s v="Yes"/>
    <m/>
    <s v="Yes"/>
    <m/>
    <s v="Yes"/>
    <m/>
    <s v="N/A"/>
    <m/>
    <s v="Yes"/>
    <m/>
    <s v="Yes"/>
    <m/>
    <s v="New"/>
    <s v="infasco"/>
    <n v="106.94"/>
    <n v="106.94"/>
  </r>
  <r>
    <x v="3"/>
    <x v="30"/>
    <n v="11546774"/>
    <n v="713583"/>
    <n v="22"/>
    <n v="450"/>
    <n v="9900"/>
    <n v="290"/>
    <s v="Yes"/>
    <m/>
    <s v="Yes"/>
    <m/>
    <s v="Yes"/>
    <m/>
    <s v="Yes"/>
    <m/>
    <s v="N/A"/>
    <m/>
    <s v="Yes"/>
    <m/>
    <s v="Yes"/>
    <m/>
    <s v="Re-certified"/>
    <s v="infasco"/>
    <n v="0"/>
    <n v="0"/>
  </r>
  <r>
    <x v="3"/>
    <x v="27"/>
    <n v="11549168"/>
    <n v="713693"/>
    <n v="29"/>
    <n v="1000"/>
    <n v="29000"/>
    <n v="290"/>
    <s v="Yes"/>
    <m/>
    <s v="Yes"/>
    <m/>
    <s v="Yes"/>
    <m/>
    <s v="Yes"/>
    <m/>
    <s v="N/A"/>
    <m/>
    <s v="Yes"/>
    <m/>
    <s v="Yes"/>
    <m/>
    <s v="New"/>
    <s v="infasco"/>
    <n v="106.94"/>
    <n v="106.94"/>
  </r>
  <r>
    <x v="3"/>
    <x v="27"/>
    <n v="11549168"/>
    <n v="712781"/>
    <n v="48"/>
    <n v="1000"/>
    <n v="48000"/>
    <n v="290"/>
    <s v="Yes"/>
    <m/>
    <s v="Yes"/>
    <m/>
    <s v="Yes"/>
    <m/>
    <s v="Yes"/>
    <m/>
    <s v="N/A"/>
    <m/>
    <s v="Yes"/>
    <m/>
    <s v="Yes"/>
    <m/>
    <s v="Re-certified"/>
    <s v="infasco"/>
    <n v="0"/>
    <n v="0"/>
  </r>
  <r>
    <x v="3"/>
    <x v="23"/>
    <n v="11546456"/>
    <n v="713895"/>
    <n v="23"/>
    <n v="2700"/>
    <n v="62100"/>
    <n v="280"/>
    <s v="Yes"/>
    <m/>
    <s v="Yes"/>
    <m/>
    <s v="Yes"/>
    <m/>
    <s v="Yes"/>
    <m/>
    <s v="N/A"/>
    <m/>
    <s v="Yes"/>
    <m/>
    <s v="Yes"/>
    <m/>
    <s v="New"/>
    <s v="infasco"/>
    <n v="106.94"/>
    <n v="106.94"/>
  </r>
  <r>
    <x v="3"/>
    <x v="23"/>
    <n v="11546545"/>
    <n v="716191"/>
    <n v="20"/>
    <n v="2500"/>
    <n v="50000"/>
    <n v="280"/>
    <s v="Yes"/>
    <m/>
    <s v="Yes"/>
    <m/>
    <s v="Yes"/>
    <m/>
    <s v="Yes"/>
    <m/>
    <s v="N/A"/>
    <m/>
    <s v="Yes"/>
    <m/>
    <s v="Yes"/>
    <m/>
    <s v="New"/>
    <s v="infasco"/>
    <n v="106.94"/>
    <n v="106.94"/>
  </r>
  <r>
    <x v="3"/>
    <x v="23"/>
    <n v="11546545"/>
    <n v="716190"/>
    <n v="26"/>
    <n v="2500"/>
    <n v="65000"/>
    <n v="280"/>
    <s v="Yes"/>
    <m/>
    <s v="Yes"/>
    <m/>
    <s v="Yes"/>
    <m/>
    <s v="Yes"/>
    <m/>
    <s v="N/A"/>
    <m/>
    <s v="Yes"/>
    <m/>
    <s v="Yes"/>
    <m/>
    <s v="Re-certified"/>
    <s v="infasco"/>
    <n v="0"/>
    <n v="0"/>
  </r>
  <r>
    <x v="3"/>
    <x v="22"/>
    <n v="11546377"/>
    <n v="715734"/>
    <n v="33"/>
    <n v="2150"/>
    <n v="70950"/>
    <n v="280"/>
    <s v="Yes"/>
    <m/>
    <s v="Yes"/>
    <m/>
    <s v="Yes"/>
    <m/>
    <s v="Yes"/>
    <m/>
    <s v="N/A"/>
    <m/>
    <s v="Yes"/>
    <m/>
    <s v="Yes"/>
    <m/>
    <s v="Re-certified"/>
    <s v="infasco"/>
    <n v="0"/>
    <n v="0"/>
  </r>
  <r>
    <x v="3"/>
    <x v="25"/>
    <n v="11549168"/>
    <n v="713695"/>
    <n v="28"/>
    <n v="1000"/>
    <n v="28000"/>
    <n v="280"/>
    <s v="Yes"/>
    <m/>
    <s v="Yes"/>
    <m/>
    <s v="Yes"/>
    <m/>
    <s v="Yes"/>
    <m/>
    <s v="N/A"/>
    <m/>
    <s v="Yes"/>
    <m/>
    <s v="Yes"/>
    <m/>
    <s v="New"/>
    <s v="infasco"/>
    <n v="106.94"/>
    <n v="106.94"/>
  </r>
  <r>
    <x v="3"/>
    <x v="20"/>
    <n v="11549168"/>
    <n v="712005"/>
    <n v="45"/>
    <n v="1000"/>
    <n v="45000"/>
    <n v="280"/>
    <s v="Yes"/>
    <m/>
    <s v="Yes"/>
    <m/>
    <s v="Yes"/>
    <m/>
    <s v="Yes"/>
    <m/>
    <s v="N/A"/>
    <m/>
    <s v="Yes"/>
    <m/>
    <s v="Yes"/>
    <m/>
    <s v="New"/>
    <s v="infasco"/>
    <n v="106.94"/>
    <n v="106.94"/>
  </r>
  <r>
    <x v="3"/>
    <x v="21"/>
    <s v="11561645-MY-AK"/>
    <n v="707097"/>
    <n v="3"/>
    <n v="4000"/>
    <n v="12000"/>
    <n v="280"/>
    <s v="Yes"/>
    <m/>
    <s v="Yes"/>
    <m/>
    <s v="Yes"/>
    <m/>
    <s v="Yes"/>
    <m/>
    <s v="N/A"/>
    <m/>
    <s v="Yes"/>
    <m/>
    <s v="Yes"/>
    <m/>
    <s v="New"/>
    <e v="#N/A"/>
    <e v="#N/A"/>
    <e v="#N/A"/>
  </r>
  <r>
    <x v="3"/>
    <x v="21"/>
    <n v="11546545"/>
    <n v="714673"/>
    <n v="36"/>
    <n v="2500"/>
    <n v="90000"/>
    <n v="280"/>
    <s v="Yes"/>
    <m/>
    <s v="Yes"/>
    <m/>
    <s v="Yes"/>
    <m/>
    <s v="Yes"/>
    <m/>
    <s v="N/A"/>
    <m/>
    <s v="Yes"/>
    <m/>
    <s v="Yes"/>
    <m/>
    <s v="New"/>
    <s v="infasco"/>
    <n v="106.94"/>
    <n v="106.94"/>
  </r>
  <r>
    <x v="3"/>
    <x v="21"/>
    <n v="11546545"/>
    <n v="716189"/>
    <n v="18"/>
    <n v="2500"/>
    <n v="45000"/>
    <n v="280"/>
    <s v="Yes"/>
    <m/>
    <s v="Yes"/>
    <m/>
    <s v="Yes"/>
    <m/>
    <s v="Yes"/>
    <m/>
    <s v="N/A"/>
    <m/>
    <s v="Yes"/>
    <m/>
    <s v="Yes"/>
    <m/>
    <s v="Re-certified"/>
    <s v="infasco"/>
    <n v="0"/>
    <n v="0"/>
  </r>
  <r>
    <x v="3"/>
    <x v="24"/>
    <s v="11546366-MY-AK"/>
    <n v="714022"/>
    <n v="8"/>
    <n v="1000"/>
    <n v="8000"/>
    <n v="280"/>
    <s v="Yes"/>
    <m/>
    <s v="Yes"/>
    <m/>
    <s v="Yes"/>
    <m/>
    <s v="Yes"/>
    <m/>
    <s v="N/A"/>
    <m/>
    <s v="Yes"/>
    <m/>
    <s v="Yes"/>
    <m/>
    <s v="New"/>
    <s v="infasco"/>
    <n v="106.94"/>
    <n v="106.94"/>
  </r>
  <r>
    <x v="3"/>
    <x v="24"/>
    <s v="11546364-PH-RO"/>
    <n v="713717"/>
    <n v="20"/>
    <n v="3500"/>
    <n v="70000"/>
    <n v="280"/>
    <s v="Yes"/>
    <m/>
    <s v="Yes"/>
    <m/>
    <s v="Yes"/>
    <m/>
    <s v="Yes"/>
    <m/>
    <s v="N/A"/>
    <m/>
    <s v="Yes"/>
    <m/>
    <s v="Yes"/>
    <m/>
    <s v="Re-certified"/>
    <s v="infasco"/>
    <n v="0"/>
    <n v="0"/>
  </r>
  <r>
    <x v="3"/>
    <x v="14"/>
    <n v="11612078"/>
    <n v="708875"/>
    <n v="21"/>
    <n v="1850"/>
    <n v="38850"/>
    <n v="4"/>
    <s v="Yes"/>
    <m/>
    <s v="Yes"/>
    <m/>
    <s v="Yes"/>
    <m/>
    <s v="Yes"/>
    <m/>
    <s v="N/A"/>
    <m/>
    <s v="Yes"/>
    <m/>
    <s v="Yes"/>
    <m/>
    <s v="New"/>
    <s v="infasco"/>
    <n v="247.64"/>
    <n v="247.64"/>
  </r>
  <r>
    <x v="3"/>
    <x v="14"/>
    <n v="11612078"/>
    <n v="707327"/>
    <n v="5"/>
    <n v="1850"/>
    <n v="9250"/>
    <n v="4"/>
    <s v="Yes"/>
    <m/>
    <s v="Yes"/>
    <m/>
    <s v="Yes"/>
    <m/>
    <s v="Yes"/>
    <m/>
    <s v="N/A"/>
    <m/>
    <s v="Yes"/>
    <m/>
    <s v="Yes"/>
    <m/>
    <s v="Re-certified"/>
    <s v="infasco"/>
    <n v="0"/>
    <n v="0"/>
  </r>
  <r>
    <x v="3"/>
    <x v="19"/>
    <s v="NU5108"/>
    <n v="714133"/>
    <n v="1"/>
    <n v="41000"/>
    <n v="41000"/>
    <n v="272"/>
    <s v="Yes"/>
    <m/>
    <s v="Yes"/>
    <m/>
    <s v="Yes"/>
    <m/>
    <s v="Yes"/>
    <m/>
    <s v="N/A"/>
    <m/>
    <s v="Yes"/>
    <m/>
    <s v="Yes"/>
    <m/>
    <s v="New"/>
    <s v="infasco"/>
    <n v="129.44999999999999"/>
    <n v="129.44999999999999"/>
  </r>
  <r>
    <x v="3"/>
    <x v="19"/>
    <s v="NU5108"/>
    <n v="714132"/>
    <n v="1"/>
    <n v="38000"/>
    <n v="38000"/>
    <n v="272"/>
    <s v="Yes"/>
    <m/>
    <s v="Yes"/>
    <m/>
    <s v="Yes"/>
    <m/>
    <s v="Yes"/>
    <m/>
    <s v="N/A"/>
    <m/>
    <s v="Yes"/>
    <m/>
    <s v="Yes"/>
    <m/>
    <s v="Re-certified"/>
    <s v="infasco"/>
    <n v="0"/>
    <n v="0"/>
  </r>
  <r>
    <x v="3"/>
    <x v="15"/>
    <s v="06104725AA"/>
    <n v="715706"/>
    <n v="34"/>
    <n v="2800"/>
    <n v="95200"/>
    <s v="157+245"/>
    <s v="Yes"/>
    <m/>
    <s v="Yes"/>
    <m/>
    <s v="Yes"/>
    <m/>
    <s v="Yes"/>
    <m/>
    <s v="N/A"/>
    <m/>
    <s v="Yes"/>
    <m/>
    <s v="Yes"/>
    <m/>
    <s v="New"/>
    <s v="infasco"/>
    <n v="106.94"/>
    <n v="106.94"/>
  </r>
  <r>
    <x v="3"/>
    <x v="15"/>
    <n v="11548147"/>
    <n v="714397"/>
    <n v="36"/>
    <n v="250"/>
    <n v="9000"/>
    <s v="157+245"/>
    <s v="Yes"/>
    <m/>
    <s v="Yes"/>
    <m/>
    <s v="Yes"/>
    <m/>
    <s v="Yes"/>
    <m/>
    <s v="N/A"/>
    <m/>
    <s v="Yes"/>
    <m/>
    <s v="Yes"/>
    <m/>
    <s v="New"/>
    <s v="infasco"/>
    <n v="280.15999999999997"/>
    <n v="280.15999999999997"/>
  </r>
  <r>
    <x v="3"/>
    <x v="15"/>
    <n v="11548147"/>
    <n v="714396"/>
    <n v="9"/>
    <n v="250"/>
    <n v="2250"/>
    <s v="157+245"/>
    <s v="Yes"/>
    <m/>
    <s v="Yes"/>
    <m/>
    <s v="Yes"/>
    <m/>
    <s v="Yes"/>
    <m/>
    <s v="N/A"/>
    <m/>
    <s v="Yes"/>
    <m/>
    <s v="Yes"/>
    <m/>
    <s v="New"/>
    <s v="infasco"/>
    <n v="280.15999999999997"/>
    <n v="280.15999999999997"/>
  </r>
  <r>
    <x v="3"/>
    <x v="15"/>
    <s v="06513734AA"/>
    <n v="716200"/>
    <n v="31"/>
    <n v="2900"/>
    <n v="89900"/>
    <s v="157+245"/>
    <s v="Yes"/>
    <m/>
    <s v="Yes"/>
    <m/>
    <s v="Yes"/>
    <m/>
    <s v="Yes"/>
    <m/>
    <s v="N/A"/>
    <m/>
    <s v="Yes"/>
    <m/>
    <s v="Yes"/>
    <m/>
    <s v="New"/>
    <e v="#N/A"/>
    <e v="#N/A"/>
    <e v="#N/A"/>
  </r>
  <r>
    <x v="3"/>
    <x v="15"/>
    <s v="06514720AA"/>
    <n v="714014"/>
    <n v="36"/>
    <n v="1250"/>
    <n v="45000"/>
    <s v="157+245"/>
    <s v="Yes"/>
    <m/>
    <s v="Yes"/>
    <m/>
    <s v="Yes"/>
    <m/>
    <s v="Yes"/>
    <m/>
    <s v="N/A"/>
    <m/>
    <s v="Yes"/>
    <m/>
    <s v="Yes"/>
    <m/>
    <s v="New"/>
    <s v="infasco"/>
    <n v="135.07999999999998"/>
    <n v="135.07999999999998"/>
  </r>
  <r>
    <x v="3"/>
    <x v="15"/>
    <s v="06514720AA"/>
    <n v="714584"/>
    <n v="27"/>
    <n v="1250"/>
    <n v="33750"/>
    <s v="157+245"/>
    <s v="Yes"/>
    <m/>
    <s v="Yes"/>
    <m/>
    <s v="Yes"/>
    <m/>
    <s v="Yes"/>
    <m/>
    <s v="N/A"/>
    <m/>
    <s v="Yes"/>
    <m/>
    <s v="Yes"/>
    <m/>
    <s v="New"/>
    <s v="infasco"/>
    <n v="135.07999999999998"/>
    <n v="135.07999999999998"/>
  </r>
  <r>
    <x v="3"/>
    <x v="15"/>
    <s v="55364498AA"/>
    <n v="714003"/>
    <n v="47"/>
    <n v="520"/>
    <n v="24440"/>
    <s v="157+245"/>
    <s v="Yes"/>
    <m/>
    <s v="Yes"/>
    <m/>
    <s v="Yes"/>
    <m/>
    <s v="Yes"/>
    <m/>
    <s v="N/A"/>
    <m/>
    <s v="Yes"/>
    <m/>
    <s v="Yes"/>
    <m/>
    <s v="New"/>
    <s v="infasco"/>
    <n v="135.07999999999998"/>
    <n v="135.07999999999998"/>
  </r>
  <r>
    <x v="3"/>
    <x v="15"/>
    <s v="06514720AA"/>
    <n v="714582"/>
    <n v="32"/>
    <n v="1250"/>
    <n v="40000"/>
    <s v="157+245"/>
    <s v="Yes"/>
    <m/>
    <s v="Yes"/>
    <m/>
    <s v="Yes"/>
    <m/>
    <s v="Yes"/>
    <m/>
    <s v="N/A"/>
    <m/>
    <s v="Yes"/>
    <m/>
    <s v="Yes"/>
    <m/>
    <s v="New"/>
    <s v="infasco"/>
    <n v="135.07999999999998"/>
    <n v="135.07999999999998"/>
  </r>
  <r>
    <x v="3"/>
    <x v="15"/>
    <n v="11546566"/>
    <n v="714435"/>
    <n v="24"/>
    <n v="1800"/>
    <n v="43200"/>
    <s v="157+245"/>
    <s v="Yes"/>
    <m/>
    <s v="Yes"/>
    <m/>
    <s v="Yes"/>
    <m/>
    <s v="Yes"/>
    <m/>
    <s v="N/A"/>
    <m/>
    <s v="Yes"/>
    <m/>
    <s v="Yes"/>
    <m/>
    <s v="New"/>
    <s v="infasco"/>
    <n v="135.07999999999998"/>
    <n v="135.07999999999998"/>
  </r>
  <r>
    <x v="3"/>
    <x v="16"/>
    <s v="06101447-A"/>
    <n v="713982"/>
    <n v="34"/>
    <n v="3000"/>
    <n v="102000"/>
    <s v="285+391"/>
    <s v="Yes"/>
    <m/>
    <s v="Yes"/>
    <m/>
    <s v="Yes"/>
    <m/>
    <s v="Yes"/>
    <m/>
    <s v="N/A"/>
    <m/>
    <s v="Yes"/>
    <m/>
    <s v="Yes"/>
    <m/>
    <s v="New"/>
    <s v="infasco"/>
    <n v="106.94"/>
    <n v="106.94"/>
  </r>
  <r>
    <x v="3"/>
    <x v="16"/>
    <s v="06512834AA"/>
    <n v="714561"/>
    <n v="36"/>
    <n v="290"/>
    <n v="10440"/>
    <s v="285+391"/>
    <s v="Yes"/>
    <m/>
    <s v="Yes"/>
    <m/>
    <s v="Yes"/>
    <m/>
    <s v="Yes"/>
    <m/>
    <s v="N/A"/>
    <m/>
    <s v="Yes"/>
    <m/>
    <s v="Yes"/>
    <m/>
    <s v="New"/>
    <s v="infasco"/>
    <n v="106.94"/>
    <n v="106.94"/>
  </r>
  <r>
    <x v="3"/>
    <x v="16"/>
    <s v="06512834AA"/>
    <n v="713985"/>
    <n v="8"/>
    <n v="290"/>
    <n v="2320"/>
    <s v="285+391"/>
    <s v="Yes"/>
    <m/>
    <s v="Yes"/>
    <m/>
    <s v="Yes"/>
    <m/>
    <s v="Yes"/>
    <m/>
    <s v="N/A"/>
    <m/>
    <s v="Yes"/>
    <m/>
    <s v="Yes"/>
    <m/>
    <s v="New"/>
    <s v="infasco"/>
    <n v="106.94"/>
    <n v="106.94"/>
  </r>
  <r>
    <x v="3"/>
    <x v="16"/>
    <s v="E6267AB"/>
    <n v="713553"/>
    <n v="1"/>
    <n v="20000"/>
    <n v="20000"/>
    <s v="285+391"/>
    <s v="Yes"/>
    <m/>
    <s v="Yes"/>
    <m/>
    <s v="Yes"/>
    <m/>
    <s v="Yes"/>
    <m/>
    <s v="N/A"/>
    <m/>
    <s v="Yes"/>
    <m/>
    <s v="Yes"/>
    <m/>
    <s v="New"/>
    <s v="infasco"/>
    <n v="106.94"/>
    <n v="106.94"/>
  </r>
  <r>
    <x v="3"/>
    <x v="16"/>
    <n v="92468"/>
    <n v="714431"/>
    <n v="25"/>
    <n v="1000"/>
    <n v="25000"/>
    <s v="285+391"/>
    <s v="Yes"/>
    <m/>
    <s v="Yes"/>
    <m/>
    <s v="Yes"/>
    <m/>
    <s v="Yes"/>
    <m/>
    <s v="N/A"/>
    <m/>
    <s v="Yes"/>
    <m/>
    <s v="Yes"/>
    <m/>
    <s v="New"/>
    <s v="infasco"/>
    <n v="135.07999999999998"/>
    <n v="135.07999999999998"/>
  </r>
  <r>
    <x v="3"/>
    <x v="16"/>
    <s v="06104725AA"/>
    <n v="715707"/>
    <n v="35"/>
    <n v="2800"/>
    <n v="98000"/>
    <s v="285+391"/>
    <s v="Yes"/>
    <m/>
    <s v="Yes"/>
    <m/>
    <s v="Yes"/>
    <m/>
    <s v="Yes"/>
    <m/>
    <s v="N/A"/>
    <m/>
    <s v="Yes"/>
    <m/>
    <s v="Yes"/>
    <m/>
    <s v="New"/>
    <s v="infasco"/>
    <n v="106.94"/>
    <n v="106.94"/>
  </r>
  <r>
    <x v="3"/>
    <x v="16"/>
    <s v="NU1510"/>
    <n v="715666"/>
    <n v="1"/>
    <n v="35000"/>
    <n v="35000"/>
    <s v="285+391"/>
    <s v="Yes"/>
    <m/>
    <s v="Yes"/>
    <m/>
    <s v="Yes"/>
    <m/>
    <s v="Yes"/>
    <m/>
    <s v="N/A"/>
    <m/>
    <s v="Yes"/>
    <m/>
    <s v="Yes"/>
    <m/>
    <s v="New"/>
    <s v="infasco"/>
    <n v="129.44999999999999"/>
    <n v="129.44999999999999"/>
  </r>
  <r>
    <x v="3"/>
    <x v="17"/>
    <s v="11549168-CA-IN"/>
    <n v="710688"/>
    <n v="32"/>
    <n v="1000"/>
    <n v="32000"/>
    <s v="190+268"/>
    <s v="Yes"/>
    <m/>
    <s v="Yes"/>
    <m/>
    <s v="Yes"/>
    <m/>
    <s v="Yes"/>
    <m/>
    <s v="N/A"/>
    <m/>
    <s v="Yes"/>
    <m/>
    <s v="Yes"/>
    <m/>
    <s v="New"/>
    <s v="infasco"/>
    <n v="213.88"/>
    <n v="213.88"/>
  </r>
  <r>
    <x v="3"/>
    <x v="17"/>
    <s v="06514720AA"/>
    <n v="714586"/>
    <n v="30"/>
    <n v="1250"/>
    <n v="37500"/>
    <s v="190+268"/>
    <s v="Yes"/>
    <m/>
    <s v="Yes"/>
    <m/>
    <s v="Yes"/>
    <m/>
    <s v="Yes"/>
    <m/>
    <s v="N/A"/>
    <m/>
    <s v="Yes"/>
    <m/>
    <s v="Yes"/>
    <m/>
    <s v="New"/>
    <s v="infasco"/>
    <n v="135.07999999999998"/>
    <n v="135.07999999999998"/>
  </r>
  <r>
    <x v="3"/>
    <x v="17"/>
    <s v="06101831-A"/>
    <n v="715862"/>
    <n v="8"/>
    <n v="1000"/>
    <n v="8000"/>
    <s v="190+268"/>
    <s v="Yes"/>
    <m/>
    <s v="Yes"/>
    <m/>
    <s v="Yes"/>
    <m/>
    <s v="Yes"/>
    <m/>
    <s v="N/A"/>
    <m/>
    <s v="Yes"/>
    <m/>
    <s v="Yes"/>
    <m/>
    <s v="New"/>
    <s v="infasco"/>
    <n v="106.94"/>
    <n v="106.94"/>
  </r>
  <r>
    <x v="3"/>
    <x v="17"/>
    <s v="06104725AA"/>
    <n v="715709"/>
    <n v="36"/>
    <n v="2800"/>
    <n v="100800"/>
    <s v="190+268"/>
    <s v="Yes"/>
    <m/>
    <s v="Yes"/>
    <m/>
    <s v="Yes"/>
    <m/>
    <s v="Yes"/>
    <m/>
    <s v="N/A"/>
    <m/>
    <s v="Yes"/>
    <m/>
    <s v="Yes"/>
    <m/>
    <s v="New"/>
    <s v="infasco"/>
    <n v="106.94"/>
    <n v="106.94"/>
  </r>
  <r>
    <x v="3"/>
    <x v="17"/>
    <s v="NU1510"/>
    <n v="715712"/>
    <n v="1"/>
    <n v="42900"/>
    <n v="42900"/>
    <s v="190+268"/>
    <s v="Yes"/>
    <m/>
    <s v="Yes"/>
    <m/>
    <s v="Yes"/>
    <m/>
    <s v="Yes"/>
    <m/>
    <s v="N/A"/>
    <m/>
    <s v="Yes"/>
    <m/>
    <s v="Yes"/>
    <m/>
    <s v="New"/>
    <s v="infasco"/>
    <n v="129.44999999999999"/>
    <n v="129.44999999999999"/>
  </r>
  <r>
    <x v="3"/>
    <x v="17"/>
    <s v="NU1510"/>
    <n v="715838"/>
    <n v="1"/>
    <n v="15000"/>
    <n v="15000"/>
    <s v="190+268"/>
    <s v="Yes"/>
    <m/>
    <s v="Yes"/>
    <m/>
    <s v="Yes"/>
    <m/>
    <s v="Yes"/>
    <m/>
    <s v="N/A"/>
    <m/>
    <s v="Yes"/>
    <m/>
    <s v="Yes"/>
    <m/>
    <s v="Re-certified"/>
    <s v="infasco"/>
    <n v="0"/>
    <n v="0"/>
  </r>
  <r>
    <x v="3"/>
    <x v="32"/>
    <s v="06101447-A"/>
    <n v="713983"/>
    <n v="32"/>
    <n v="3000"/>
    <n v="96000"/>
    <s v="294+252"/>
    <s v="Yes"/>
    <m/>
    <s v="Yes"/>
    <m/>
    <s v="Yes"/>
    <m/>
    <s v="Yes"/>
    <m/>
    <s v="N/A"/>
    <m/>
    <s v="Yes"/>
    <m/>
    <s v="Yes"/>
    <m/>
    <s v="New"/>
    <s v="infasco"/>
    <n v="106.94"/>
    <n v="106.94"/>
  </r>
  <r>
    <x v="3"/>
    <x v="32"/>
    <s v="06511672AA"/>
    <n v="711771"/>
    <n v="38"/>
    <n v="1400"/>
    <n v="53200"/>
    <s v="294+252"/>
    <s v="Yes"/>
    <m/>
    <s v="Yes"/>
    <m/>
    <s v="Yes"/>
    <m/>
    <s v="Yes"/>
    <m/>
    <s v="N/A"/>
    <m/>
    <s v="Yes"/>
    <m/>
    <s v="Yes"/>
    <m/>
    <s v="New"/>
    <s v="infasco"/>
    <n v="106.94"/>
    <n v="106.94"/>
  </r>
  <r>
    <x v="3"/>
    <x v="32"/>
    <s v="06514720AA"/>
    <n v="714583"/>
    <n v="36"/>
    <n v="1250"/>
    <n v="45000"/>
    <s v="294+252"/>
    <s v="Yes"/>
    <m/>
    <s v="Yes"/>
    <m/>
    <s v="Yes"/>
    <m/>
    <s v="Yes"/>
    <m/>
    <s v="N/A"/>
    <m/>
    <s v="Yes"/>
    <m/>
    <s v="Yes"/>
    <m/>
    <s v="New"/>
    <s v="infasco"/>
    <n v="135.07999999999998"/>
    <n v="135.07999999999998"/>
  </r>
  <r>
    <x v="3"/>
    <x v="32"/>
    <s v="06514720AA"/>
    <n v="714015"/>
    <n v="25"/>
    <n v="1250"/>
    <n v="31250"/>
    <s v="294+252"/>
    <s v="Yes"/>
    <m/>
    <s v="Yes"/>
    <m/>
    <s v="Yes"/>
    <m/>
    <s v="Yes"/>
    <m/>
    <s v="N/A"/>
    <m/>
    <s v="Yes"/>
    <m/>
    <s v="Yes"/>
    <m/>
    <s v="New"/>
    <s v="infasco"/>
    <n v="135.07999999999998"/>
    <n v="135.07999999999998"/>
  </r>
  <r>
    <x v="3"/>
    <x v="32"/>
    <s v="11549168-CA-IN"/>
    <n v="705484"/>
    <n v="27"/>
    <n v="1000"/>
    <n v="27000"/>
    <s v="294+252"/>
    <s v="Yes"/>
    <m/>
    <s v="Yes"/>
    <m/>
    <s v="Yes"/>
    <m/>
    <s v="Yes"/>
    <m/>
    <s v="N/A"/>
    <m/>
    <s v="Yes"/>
    <m/>
    <s v="Yes"/>
    <m/>
    <s v="Re-certified"/>
    <s v="infasco"/>
    <n v="0"/>
    <n v="0"/>
  </r>
  <r>
    <x v="3"/>
    <x v="13"/>
    <s v="06101831-A"/>
    <n v="715861"/>
    <n v="4"/>
    <n v="1000"/>
    <n v="4000"/>
    <s v="011+293"/>
    <s v="Yes"/>
    <m/>
    <s v="Yes"/>
    <m/>
    <s v="Yes"/>
    <m/>
    <s v="Yes"/>
    <m/>
    <s v="N/A"/>
    <m/>
    <s v="Yes"/>
    <m/>
    <s v="Yes"/>
    <m/>
    <s v="New"/>
    <s v="infasco"/>
    <n v="106.94"/>
    <n v="106.94"/>
  </r>
  <r>
    <x v="3"/>
    <x v="13"/>
    <s v="06101831-A"/>
    <n v="715863"/>
    <n v="27"/>
    <n v="1000"/>
    <n v="27000"/>
    <s v="011+293"/>
    <s v="Yes"/>
    <m/>
    <s v="Yes"/>
    <m/>
    <s v="Yes"/>
    <m/>
    <s v="Yes"/>
    <m/>
    <s v="N/A"/>
    <m/>
    <s v="Yes"/>
    <m/>
    <s v="Yes"/>
    <m/>
    <s v="New"/>
    <s v="infasco"/>
    <n v="106.94"/>
    <n v="106.94"/>
  </r>
  <r>
    <x v="3"/>
    <x v="13"/>
    <s v="06104725AA"/>
    <n v="715702"/>
    <n v="40"/>
    <n v="2800"/>
    <n v="112000"/>
    <s v="011+293"/>
    <s v="Yes"/>
    <m/>
    <s v="Yes"/>
    <m/>
    <s v="Yes"/>
    <m/>
    <s v="Yes"/>
    <m/>
    <s v="N/A"/>
    <m/>
    <s v="Yes"/>
    <m/>
    <s v="Yes"/>
    <m/>
    <s v="New"/>
    <s v="infasco"/>
    <n v="106.94"/>
    <n v="106.94"/>
  </r>
  <r>
    <x v="3"/>
    <x v="13"/>
    <n v="11611122"/>
    <n v="713559"/>
    <n v="5"/>
    <n v="1850"/>
    <n v="9250"/>
    <s v="011+293"/>
    <s v="Yes"/>
    <m/>
    <s v="Yes"/>
    <m/>
    <s v="Yes"/>
    <m/>
    <s v="Yes"/>
    <m/>
    <s v="N/A"/>
    <m/>
    <s v="Yes"/>
    <m/>
    <s v="Yes"/>
    <m/>
    <s v="Re-certified"/>
    <s v="infasco"/>
    <n v="0"/>
    <n v="0"/>
  </r>
  <r>
    <x v="3"/>
    <x v="13"/>
    <n v="92468"/>
    <n v="714430"/>
    <n v="24"/>
    <n v="1000"/>
    <n v="24000"/>
    <s v="011+293"/>
    <s v="Yes"/>
    <m/>
    <s v="Yes"/>
    <m/>
    <s v="Yes"/>
    <m/>
    <s v="Yes"/>
    <m/>
    <s v="N/A"/>
    <m/>
    <s v="Yes"/>
    <m/>
    <s v="Yes"/>
    <m/>
    <s v="New"/>
    <s v="infasco"/>
    <n v="135.07999999999998"/>
    <n v="135.07999999999998"/>
  </r>
  <r>
    <x v="3"/>
    <x v="13"/>
    <s v="06514720AA"/>
    <n v="714587"/>
    <n v="30"/>
    <n v="1250"/>
    <n v="37500"/>
    <s v="011+293"/>
    <s v="Yes"/>
    <m/>
    <s v="Yes"/>
    <m/>
    <s v="Yes"/>
    <m/>
    <s v="Yes"/>
    <m/>
    <s v="N/A"/>
    <m/>
    <s v="Yes"/>
    <m/>
    <s v="Yes"/>
    <m/>
    <s v="New"/>
    <s v="infasco"/>
    <n v="135.07999999999998"/>
    <n v="135.07999999999998"/>
  </r>
  <r>
    <x v="3"/>
    <x v="13"/>
    <s v="06512834AA"/>
    <n v="713984"/>
    <n v="36"/>
    <n v="290"/>
    <n v="10440"/>
    <s v="011+293"/>
    <s v="Yes"/>
    <m/>
    <s v="Yes"/>
    <m/>
    <s v="Yes"/>
    <m/>
    <s v="Yes"/>
    <m/>
    <s v="N/A"/>
    <m/>
    <s v="Yes"/>
    <m/>
    <s v="Yes"/>
    <m/>
    <s v="New"/>
    <s v="infasco"/>
    <n v="106.94"/>
    <n v="106.94"/>
  </r>
  <r>
    <x v="3"/>
    <x v="13"/>
    <s v="06512834AA"/>
    <n v="714560"/>
    <n v="30"/>
    <n v="290"/>
    <n v="8700"/>
    <s v="011+293"/>
    <s v="Yes"/>
    <m/>
    <s v="Yes"/>
    <m/>
    <s v="Yes"/>
    <m/>
    <s v="Yes"/>
    <m/>
    <s v="N/A"/>
    <m/>
    <s v="Yes"/>
    <m/>
    <s v="Yes"/>
    <m/>
    <s v="New"/>
    <s v="infasco"/>
    <n v="106.94"/>
    <n v="106.94"/>
  </r>
  <r>
    <x v="3"/>
    <x v="13"/>
    <s v="06514720AA"/>
    <n v="714585"/>
    <n v="37"/>
    <n v="1250"/>
    <n v="46250"/>
    <s v="011+293"/>
    <s v="Yes"/>
    <m/>
    <s v="Yes"/>
    <m/>
    <s v="Yes"/>
    <m/>
    <s v="Yes"/>
    <m/>
    <s v="N/A"/>
    <m/>
    <s v="Yes"/>
    <m/>
    <s v="Yes"/>
    <m/>
    <s v="New"/>
    <s v="infasco"/>
    <n v="135.07999999999998"/>
    <n v="135.07999999999998"/>
  </r>
  <r>
    <x v="3"/>
    <x v="33"/>
    <n v="11546566"/>
    <n v="714437"/>
    <n v="27"/>
    <n v="1800"/>
    <n v="48600"/>
    <n v="279"/>
    <s v="Yes"/>
    <m/>
    <s v="Yes"/>
    <m/>
    <s v="Yes"/>
    <m/>
    <s v="Yes"/>
    <m/>
    <s v="N/A"/>
    <m/>
    <s v="Yes"/>
    <m/>
    <s v="Yes"/>
    <m/>
    <s v="New"/>
    <s v="infasco"/>
    <n v="135.07999999999998"/>
    <n v="135.07999999999998"/>
  </r>
  <r>
    <x v="3"/>
    <x v="33"/>
    <s v="11610091-CA-IN"/>
    <n v="703943"/>
    <n v="33"/>
    <n v="2500"/>
    <n v="82500"/>
    <n v="279"/>
    <s v="Yes"/>
    <m/>
    <s v="Yes"/>
    <m/>
    <s v="Yes"/>
    <m/>
    <s v="Yes"/>
    <m/>
    <s v="N/A"/>
    <m/>
    <s v="Yes"/>
    <m/>
    <s v="Yes"/>
    <m/>
    <s v="Re-certified"/>
    <s v="infasco"/>
    <n v="0"/>
    <n v="0"/>
  </r>
  <r>
    <x v="3"/>
    <x v="31"/>
    <n v="11549168"/>
    <n v="713694"/>
    <n v="10"/>
    <n v="1000"/>
    <n v="10000"/>
    <n v="290"/>
    <s v="Yes"/>
    <m/>
    <s v="Yes"/>
    <m/>
    <s v="Yes"/>
    <m/>
    <s v="Yes"/>
    <m/>
    <s v="N/A"/>
    <m/>
    <s v="Yes"/>
    <m/>
    <s v="Yes"/>
    <m/>
    <s v="New"/>
    <s v="infasco"/>
    <n v="106.94"/>
    <n v="106.94"/>
  </r>
  <r>
    <x v="3"/>
    <x v="31"/>
    <n v="11549168"/>
    <n v="713684"/>
    <n v="36"/>
    <n v="1000"/>
    <n v="36000"/>
    <n v="290"/>
    <s v="Yes"/>
    <m/>
    <s v="Yes"/>
    <m/>
    <s v="Yes"/>
    <m/>
    <s v="Yes"/>
    <m/>
    <s v="N/A"/>
    <m/>
    <s v="Yes"/>
    <m/>
    <s v="Yes"/>
    <m/>
    <s v="New"/>
    <s v="infasco"/>
    <n v="106.94"/>
    <n v="106.94"/>
  </r>
  <r>
    <x v="3"/>
    <x v="31"/>
    <s v="E6267AB"/>
    <n v="711250"/>
    <n v="1"/>
    <n v="20000"/>
    <n v="20000"/>
    <n v="290"/>
    <s v="Yes"/>
    <m/>
    <s v="Yes"/>
    <m/>
    <s v="Yes"/>
    <m/>
    <s v="Yes"/>
    <m/>
    <s v="N/A"/>
    <m/>
    <s v="Yes"/>
    <m/>
    <s v="Yes"/>
    <m/>
    <s v="New"/>
    <s v="infasco"/>
    <n v="106.94"/>
    <n v="106.94"/>
  </r>
  <r>
    <x v="4"/>
    <x v="9"/>
    <s v="06104725AA"/>
    <n v="715710"/>
    <n v="36"/>
    <n v="2800"/>
    <n v="100800"/>
    <n v="275"/>
    <s v="Yes"/>
    <m/>
    <s v="Yes"/>
    <m/>
    <s v="Yes"/>
    <m/>
    <s v="Yes"/>
    <m/>
    <s v="N/A"/>
    <m/>
    <s v="Yes"/>
    <m/>
    <s v="Yes"/>
    <m/>
    <s v="New"/>
    <s v="infasco"/>
    <n v="106.94"/>
    <n v="106.94"/>
  </r>
  <r>
    <x v="4"/>
    <x v="11"/>
    <n v="11546545"/>
    <n v="716193"/>
    <n v="28"/>
    <n v="2500"/>
    <n v="70000"/>
    <n v="275"/>
    <s v="Yes"/>
    <m/>
    <s v="Yes"/>
    <m/>
    <s v="Yes"/>
    <m/>
    <s v="Yes"/>
    <m/>
    <s v="N/A"/>
    <m/>
    <s v="Yes"/>
    <m/>
    <s v="Yes"/>
    <m/>
    <s v="New"/>
    <s v="infasco"/>
    <n v="106.94"/>
    <n v="106.94"/>
  </r>
  <r>
    <x v="4"/>
    <x v="11"/>
    <n v="11546545"/>
    <n v="714668"/>
    <n v="27"/>
    <n v="2500"/>
    <n v="67500"/>
    <n v="275"/>
    <s v="Yes"/>
    <m/>
    <s v="Yes"/>
    <m/>
    <s v="Yes"/>
    <m/>
    <s v="Yes"/>
    <m/>
    <s v="N/A"/>
    <m/>
    <s v="Yes"/>
    <m/>
    <s v="Yes"/>
    <m/>
    <s v="Re-certified"/>
    <s v="infasco"/>
    <n v="0"/>
    <n v="0"/>
  </r>
  <r>
    <x v="4"/>
    <x v="8"/>
    <s v="06502979-A"/>
    <n v="713986"/>
    <n v="27"/>
    <n v="750"/>
    <n v="20250"/>
    <n v="275"/>
    <s v="Yes"/>
    <m/>
    <s v="Yes"/>
    <m/>
    <s v="Yes"/>
    <m/>
    <s v="Yes"/>
    <m/>
    <s v="N/A"/>
    <m/>
    <s v="Yes"/>
    <m/>
    <s v="Yes"/>
    <m/>
    <s v="New"/>
    <s v="infasco"/>
    <n v="106.94"/>
    <n v="106.94"/>
  </r>
  <r>
    <x v="4"/>
    <x v="8"/>
    <s v="06502979-A"/>
    <n v="714562"/>
    <n v="17"/>
    <n v="750"/>
    <n v="12750"/>
    <n v="275"/>
    <s v="Yes"/>
    <m/>
    <s v="Yes"/>
    <m/>
    <s v="Yes"/>
    <m/>
    <s v="Yes"/>
    <m/>
    <s v="N/A"/>
    <m/>
    <s v="Yes"/>
    <m/>
    <s v="Yes"/>
    <m/>
    <s v="New"/>
    <s v="infasco"/>
    <n v="106.94"/>
    <n v="106.94"/>
  </r>
  <r>
    <x v="4"/>
    <x v="8"/>
    <s v="06502979-A"/>
    <n v="713987"/>
    <n v="8"/>
    <n v="750"/>
    <n v="6000"/>
    <n v="275"/>
    <s v="Yes"/>
    <m/>
    <s v="Yes"/>
    <m/>
    <s v="Yes"/>
    <m/>
    <s v="Yes"/>
    <m/>
    <s v="N/A"/>
    <m/>
    <s v="Yes"/>
    <m/>
    <s v="Yes"/>
    <m/>
    <s v="Re-certified"/>
    <s v="infasco"/>
    <n v="0"/>
    <n v="0"/>
  </r>
  <r>
    <x v="4"/>
    <x v="10"/>
    <n v="11546545"/>
    <n v="714671"/>
    <n v="17"/>
    <n v="2500"/>
    <n v="42500"/>
    <n v="275"/>
    <s v="Yes"/>
    <m/>
    <s v="Yes"/>
    <m/>
    <s v="Yes"/>
    <m/>
    <s v="Yes"/>
    <m/>
    <s v="N/A"/>
    <m/>
    <s v="Yes"/>
    <m/>
    <s v="Yes"/>
    <m/>
    <s v="New"/>
    <s v="infasco"/>
    <n v="106.94"/>
    <n v="106.94"/>
  </r>
  <r>
    <x v="4"/>
    <x v="10"/>
    <s v="06104725AA"/>
    <n v="715711"/>
    <n v="5"/>
    <n v="2800"/>
    <n v="14000"/>
    <n v="275"/>
    <s v="Yes"/>
    <m/>
    <s v="Yes"/>
    <m/>
    <s v="Yes"/>
    <m/>
    <s v="Yes"/>
    <m/>
    <s v="N/A"/>
    <m/>
    <s v="Yes"/>
    <m/>
    <s v="Yes"/>
    <m/>
    <s v="Re-certified"/>
    <s v="infasco"/>
    <n v="0"/>
    <n v="0"/>
  </r>
  <r>
    <x v="4"/>
    <x v="12"/>
    <n v="11516074"/>
    <n v="714303"/>
    <n v="21"/>
    <n v="700"/>
    <n v="14700"/>
    <n v="275"/>
    <s v="Yes"/>
    <m/>
    <s v="Yes"/>
    <m/>
    <s v="Yes"/>
    <m/>
    <s v="Yes"/>
    <m/>
    <s v="N/A"/>
    <m/>
    <s v="Yes"/>
    <m/>
    <s v="Yes"/>
    <m/>
    <s v="New"/>
    <s v="infasco"/>
    <n v="106.94"/>
    <n v="106.94"/>
  </r>
  <r>
    <x v="4"/>
    <x v="12"/>
    <n v="11516074"/>
    <n v="714302"/>
    <n v="19"/>
    <n v="700"/>
    <n v="13300"/>
    <n v="275"/>
    <s v="Yes"/>
    <m/>
    <s v="Yes"/>
    <m/>
    <s v="Yes"/>
    <m/>
    <s v="Yes"/>
    <m/>
    <s v="N/A"/>
    <m/>
    <s v="Yes"/>
    <m/>
    <s v="Yes"/>
    <m/>
    <s v="New"/>
    <s v="infasco"/>
    <n v="106.94"/>
    <n v="106.94"/>
  </r>
  <r>
    <x v="4"/>
    <x v="6"/>
    <n v="11546545"/>
    <n v="716188"/>
    <n v="36"/>
    <n v="2500"/>
    <n v="90000"/>
    <n v="275"/>
    <s v="Yes"/>
    <m/>
    <s v="Yes"/>
    <m/>
    <s v="Yes"/>
    <m/>
    <s v="Yes"/>
    <m/>
    <s v="N/A"/>
    <m/>
    <s v="Yes"/>
    <m/>
    <s v="Yes"/>
    <m/>
    <s v="New"/>
    <s v="infasco"/>
    <n v="106.94"/>
    <n v="106.94"/>
  </r>
  <r>
    <x v="4"/>
    <x v="20"/>
    <s v="06502979-A"/>
    <n v="714563"/>
    <n v="24"/>
    <n v="750"/>
    <n v="18000"/>
    <n v="280"/>
    <s v="Yes"/>
    <m/>
    <s v="Yes"/>
    <m/>
    <s v="Yes"/>
    <m/>
    <s v="Yes"/>
    <m/>
    <s v="N/A"/>
    <m/>
    <s v="Yes"/>
    <m/>
    <s v="Yes"/>
    <m/>
    <s v="Re-certified"/>
    <s v="infasco"/>
    <n v="0"/>
    <n v="0"/>
  </r>
  <r>
    <x v="4"/>
    <x v="21"/>
    <n v="11546545"/>
    <n v="716189"/>
    <n v="18"/>
    <n v="2500"/>
    <n v="45000"/>
    <n v="280"/>
    <s v="Yes"/>
    <m/>
    <s v="Yes"/>
    <m/>
    <s v="Yes"/>
    <m/>
    <s v="Yes"/>
    <m/>
    <s v="N/A"/>
    <m/>
    <s v="Yes"/>
    <m/>
    <s v="Yes"/>
    <m/>
    <s v="New"/>
    <s v="infasco"/>
    <n v="106.94"/>
    <n v="106.94"/>
  </r>
  <r>
    <x v="4"/>
    <x v="24"/>
    <s v="11546364-PH-RO"/>
    <n v="713717"/>
    <n v="20"/>
    <n v="3500"/>
    <n v="70000"/>
    <n v="280"/>
    <s v="Yes"/>
    <m/>
    <s v="Yes"/>
    <m/>
    <s v="Yes"/>
    <m/>
    <s v="Yes"/>
    <m/>
    <s v="N/A"/>
    <m/>
    <s v="Yes"/>
    <m/>
    <s v="Yes"/>
    <m/>
    <s v="New"/>
    <s v="infasco"/>
    <n v="106.94"/>
    <n v="106.94"/>
  </r>
  <r>
    <x v="4"/>
    <x v="25"/>
    <s v="11546364-PH-RO"/>
    <n v="710966"/>
    <n v="25"/>
    <n v="3500"/>
    <n v="87500"/>
    <n v="280"/>
    <s v="Yes"/>
    <m/>
    <s v="Yes"/>
    <m/>
    <s v="Yes"/>
    <m/>
    <s v="Yes"/>
    <m/>
    <s v="N/A"/>
    <m/>
    <s v="Yes"/>
    <m/>
    <s v="Yes"/>
    <m/>
    <s v="Re-certified"/>
    <s v="infasco"/>
    <n v="0"/>
    <n v="0"/>
  </r>
  <r>
    <x v="4"/>
    <x v="22"/>
    <n v="11546377"/>
    <n v="715734"/>
    <n v="3"/>
    <n v="2150"/>
    <n v="6450"/>
    <n v="280"/>
    <s v="Yes"/>
    <m/>
    <s v="Yes"/>
    <m/>
    <s v="Yes"/>
    <m/>
    <s v="Yes"/>
    <m/>
    <s v="N/A"/>
    <m/>
    <s v="Yes"/>
    <m/>
    <s v="Yes"/>
    <m/>
    <s v="New"/>
    <s v="infasco"/>
    <n v="106.94"/>
    <n v="106.94"/>
  </r>
  <r>
    <x v="4"/>
    <x v="22"/>
    <n v="11546377"/>
    <n v="715735"/>
    <n v="28"/>
    <n v="2150"/>
    <n v="60200"/>
    <n v="280"/>
    <s v="Yes"/>
    <m/>
    <s v="Yes"/>
    <m/>
    <s v="Yes"/>
    <m/>
    <s v="Yes"/>
    <m/>
    <s v="N/A"/>
    <m/>
    <s v="Yes"/>
    <m/>
    <s v="Yes"/>
    <m/>
    <s v="New"/>
    <s v="infasco"/>
    <n v="106.94"/>
    <n v="106.94"/>
  </r>
  <r>
    <x v="4"/>
    <x v="22"/>
    <n v="11546377"/>
    <n v="715736"/>
    <n v="12"/>
    <n v="2150"/>
    <n v="25800"/>
    <n v="280"/>
    <s v="Yes"/>
    <m/>
    <s v="Yes"/>
    <m/>
    <s v="Yes"/>
    <m/>
    <s v="Yes"/>
    <m/>
    <s v="N/A"/>
    <m/>
    <s v="Yes"/>
    <m/>
    <s v="Yes"/>
    <m/>
    <s v="Re-certified"/>
    <s v="infasco"/>
    <n v="0"/>
    <n v="0"/>
  </r>
  <r>
    <x v="4"/>
    <x v="23"/>
    <n v="11546545"/>
    <n v="716190"/>
    <n v="10"/>
    <n v="2500"/>
    <n v="25000"/>
    <n v="280"/>
    <s v="Yes"/>
    <m/>
    <s v="Yes"/>
    <m/>
    <s v="Yes"/>
    <m/>
    <s v="Yes"/>
    <m/>
    <s v="N/A"/>
    <m/>
    <s v="Yes"/>
    <m/>
    <s v="Yes"/>
    <m/>
    <s v="New"/>
    <s v="infasco"/>
    <n v="106.94"/>
    <n v="106.94"/>
  </r>
  <r>
    <x v="4"/>
    <x v="23"/>
    <n v="11546545"/>
    <n v="714669"/>
    <n v="45"/>
    <n v="2500"/>
    <n v="112500"/>
    <n v="280"/>
    <s v="Yes"/>
    <m/>
    <s v="Yes"/>
    <m/>
    <s v="Yes"/>
    <m/>
    <s v="Yes"/>
    <m/>
    <s v="N/A"/>
    <m/>
    <s v="Yes"/>
    <m/>
    <s v="Yes"/>
    <m/>
    <s v="New"/>
    <s v="infasco"/>
    <n v="106.94"/>
    <n v="106.94"/>
  </r>
  <r>
    <x v="4"/>
    <x v="23"/>
    <s v="06104725AA"/>
    <n v="715704"/>
    <n v="13"/>
    <n v="2800"/>
    <n v="36400"/>
    <n v="280"/>
    <s v="Yes"/>
    <m/>
    <s v="Yes"/>
    <m/>
    <s v="Yes"/>
    <m/>
    <s v="Yes"/>
    <m/>
    <s v="N/A"/>
    <m/>
    <s v="Yes"/>
    <m/>
    <s v="Yes"/>
    <m/>
    <s v="Re-certified"/>
    <s v="infasco"/>
    <n v="0"/>
    <n v="0"/>
  </r>
  <r>
    <x v="4"/>
    <x v="14"/>
    <n v="11612078"/>
    <n v="707327"/>
    <n v="11"/>
    <n v="1850"/>
    <n v="20350"/>
    <n v="4"/>
    <s v="Yes"/>
    <m/>
    <s v="Yes"/>
    <m/>
    <s v="Yes"/>
    <m/>
    <s v="Yes"/>
    <m/>
    <s v="N/A"/>
    <m/>
    <s v="Yes"/>
    <m/>
    <s v="Yes"/>
    <m/>
    <s v="Re-certified"/>
    <s v="infasco"/>
    <n v="0"/>
    <n v="0"/>
  </r>
  <r>
    <x v="4"/>
    <x v="32"/>
    <s v="11549168-CA-IN"/>
    <n v="705484"/>
    <n v="9"/>
    <n v="1000"/>
    <n v="9000"/>
    <s v="294+252"/>
    <s v="Yes"/>
    <m/>
    <s v="Yes"/>
    <m/>
    <s v="Yes"/>
    <m/>
    <s v="Yes"/>
    <m/>
    <s v="N/A"/>
    <m/>
    <s v="Yes"/>
    <m/>
    <s v="Yes"/>
    <m/>
    <s v="New"/>
    <s v="infasco"/>
    <n v="213.88"/>
    <n v="213.88"/>
  </r>
  <r>
    <x v="4"/>
    <x v="32"/>
    <s v="11549168-CA-IN"/>
    <n v="711869"/>
    <n v="41"/>
    <n v="1000"/>
    <n v="41000"/>
    <s v="294+252"/>
    <s v="Yes"/>
    <m/>
    <s v="Yes"/>
    <m/>
    <s v="Yes"/>
    <m/>
    <s v="Yes"/>
    <m/>
    <s v="N/A"/>
    <m/>
    <s v="Yes"/>
    <m/>
    <s v="Yes"/>
    <m/>
    <s v="New"/>
    <s v="infasco"/>
    <n v="213.88"/>
    <n v="213.88"/>
  </r>
  <r>
    <x v="4"/>
    <x v="15"/>
    <n v="11548535"/>
    <n v="712839"/>
    <n v="36"/>
    <n v="150"/>
    <n v="5400"/>
    <s v="157+245"/>
    <s v="Yes"/>
    <m/>
    <s v="Yes"/>
    <m/>
    <s v="Yes"/>
    <m/>
    <s v="Yes"/>
    <m/>
    <s v="N/A"/>
    <m/>
    <s v="Yes"/>
    <m/>
    <s v="Yes"/>
    <m/>
    <s v="New"/>
    <s v="infasco"/>
    <n v="106.94"/>
    <n v="106.94"/>
  </r>
  <r>
    <x v="4"/>
    <x v="16"/>
    <n v="11548535"/>
    <n v="712840"/>
    <n v="36"/>
    <n v="150"/>
    <n v="5400"/>
    <s v="285+391"/>
    <s v="Yes"/>
    <m/>
    <s v="Yes"/>
    <m/>
    <s v="Yes"/>
    <m/>
    <s v="Yes"/>
    <m/>
    <s v="N/A"/>
    <m/>
    <s v="Yes"/>
    <m/>
    <s v="Yes"/>
    <m/>
    <s v="New"/>
    <s v="infasco"/>
    <n v="106.94"/>
    <n v="106.94"/>
  </r>
  <r>
    <x v="5"/>
    <x v="32"/>
    <n v="11548535"/>
    <n v="713506"/>
    <n v="36"/>
    <n v="150"/>
    <n v="5400"/>
    <s v="294+252"/>
    <s v="Yes"/>
    <m/>
    <s v="Yes"/>
    <m/>
    <s v="Yes"/>
    <m/>
    <s v="Yes"/>
    <m/>
    <s v="N/A"/>
    <m/>
    <s v="Yes"/>
    <m/>
    <s v="Yes"/>
    <m/>
    <s v="New"/>
    <s v="infasco"/>
    <n v="106.94"/>
    <n v="106.94"/>
  </r>
  <r>
    <x v="5"/>
    <x v="16"/>
    <n v="11548535"/>
    <n v="713507"/>
    <n v="34"/>
    <n v="150"/>
    <n v="5100"/>
    <s v="285+391"/>
    <s v="Yes"/>
    <m/>
    <s v="Yes"/>
    <m/>
    <s v="Yes"/>
    <m/>
    <s v="Yes"/>
    <m/>
    <s v="N/A"/>
    <m/>
    <s v="Yes"/>
    <m/>
    <s v="Yes"/>
    <m/>
    <s v="New"/>
    <s v="infasco"/>
    <n v="106.94"/>
    <n v="106.94"/>
  </r>
  <r>
    <x v="5"/>
    <x v="16"/>
    <n v="11611121"/>
    <n v="713557"/>
    <n v="29"/>
    <n v="900"/>
    <n v="26100"/>
    <s v="285+391"/>
    <s v="Yes"/>
    <m/>
    <s v="Yes"/>
    <m/>
    <s v="Yes"/>
    <m/>
    <s v="Yes"/>
    <m/>
    <s v="N/A"/>
    <m/>
    <s v="Yes"/>
    <m/>
    <s v="Yes"/>
    <m/>
    <s v="New"/>
    <s v="infasco"/>
    <n v="135.07999999999998"/>
    <n v="135.07999999999998"/>
  </r>
  <r>
    <x v="4"/>
    <x v="16"/>
    <s v="06503825-A"/>
    <n v="713990"/>
    <n v="36"/>
    <n v="1500"/>
    <n v="54000"/>
    <s v="285+391"/>
    <s v="Yes"/>
    <m/>
    <s v="Yes"/>
    <m/>
    <s v="Yes"/>
    <m/>
    <s v="Yes"/>
    <m/>
    <s v="N/A"/>
    <m/>
    <s v="Yes"/>
    <m/>
    <s v="Yes"/>
    <m/>
    <s v="New"/>
    <s v="infasco"/>
    <n v="226.94"/>
    <n v="226.94"/>
  </r>
  <r>
    <x v="4"/>
    <x v="26"/>
    <s v="NU1510"/>
    <n v="715714"/>
    <n v="1"/>
    <n v="25000"/>
    <n v="25000"/>
    <n v="290"/>
    <s v="Yes"/>
    <m/>
    <s v="Yes"/>
    <m/>
    <s v="Yes"/>
    <m/>
    <s v="Yes"/>
    <m/>
    <s v="N/A"/>
    <m/>
    <s v="Yes"/>
    <m/>
    <s v="Yes"/>
    <m/>
    <s v="New"/>
    <s v="infasco"/>
    <n v="129.44999999999999"/>
    <n v="129.44999999999999"/>
  </r>
  <r>
    <x v="4"/>
    <x v="26"/>
    <s v="NU1510"/>
    <n v="715713"/>
    <n v="1"/>
    <n v="41000"/>
    <n v="41000"/>
    <n v="290"/>
    <s v="Yes"/>
    <m/>
    <s v="Yes"/>
    <m/>
    <s v="Yes"/>
    <m/>
    <s v="Yes"/>
    <m/>
    <s v="N/A"/>
    <m/>
    <s v="Yes"/>
    <m/>
    <s v="Yes"/>
    <m/>
    <s v="New"/>
    <s v="infasco"/>
    <n v="129.44999999999999"/>
    <n v="129.44999999999999"/>
  </r>
  <r>
    <x v="4"/>
    <x v="26"/>
    <s v="NU1510"/>
    <n v="714467"/>
    <n v="1"/>
    <n v="47000"/>
    <n v="47000"/>
    <n v="290"/>
    <s v="Yes"/>
    <m/>
    <s v="Yes"/>
    <m/>
    <s v="Yes"/>
    <m/>
    <s v="Yes"/>
    <m/>
    <s v="N/A"/>
    <m/>
    <s v="Yes"/>
    <m/>
    <s v="Yes"/>
    <m/>
    <s v="New"/>
    <s v="infasco"/>
    <n v="129.44999999999999"/>
    <n v="129.44999999999999"/>
  </r>
  <r>
    <x v="4"/>
    <x v="31"/>
    <s v="E6267AB"/>
    <n v="711242"/>
    <n v="38"/>
    <n v="525"/>
    <n v="20000"/>
    <n v="290"/>
    <s v="Yes"/>
    <m/>
    <s v="Yes"/>
    <m/>
    <s v="Yes"/>
    <m/>
    <s v="Yes"/>
    <m/>
    <s v="N/A"/>
    <m/>
    <s v="Yes"/>
    <m/>
    <s v="Yes"/>
    <m/>
    <s v="New"/>
    <s v="infasco"/>
    <n v="106.94"/>
    <n v="106.94"/>
  </r>
  <r>
    <x v="4"/>
    <x v="31"/>
    <s v="E6267AB"/>
    <n v="711251"/>
    <n v="1"/>
    <n v="40000"/>
    <n v="40000"/>
    <n v="290"/>
    <s v="Yes"/>
    <m/>
    <s v="Yes"/>
    <m/>
    <s v="Yes"/>
    <m/>
    <s v="Yes"/>
    <m/>
    <s v="N/A"/>
    <m/>
    <s v="Yes"/>
    <m/>
    <s v="Yes"/>
    <m/>
    <s v="New"/>
    <s v="infasco"/>
    <n v="106.94"/>
    <n v="106.94"/>
  </r>
  <r>
    <x v="4"/>
    <x v="27"/>
    <n v="11549168"/>
    <n v="712781"/>
    <n v="7"/>
    <n v="1000"/>
    <n v="7000"/>
    <n v="290"/>
    <s v="Yes"/>
    <m/>
    <s v="Yes"/>
    <m/>
    <s v="Yes"/>
    <m/>
    <s v="Yes"/>
    <m/>
    <s v="N/A"/>
    <m/>
    <s v="Yes"/>
    <m/>
    <s v="Yes"/>
    <m/>
    <s v="New"/>
    <s v="infasco"/>
    <n v="106.94"/>
    <n v="106.94"/>
  </r>
  <r>
    <x v="4"/>
    <x v="27"/>
    <n v="11546545"/>
    <n v="714672"/>
    <n v="36"/>
    <n v="2500"/>
    <n v="90000"/>
    <n v="290"/>
    <s v="Yes"/>
    <m/>
    <s v="Yes"/>
    <m/>
    <s v="Yes"/>
    <m/>
    <s v="Yes"/>
    <m/>
    <s v="N/A"/>
    <m/>
    <s v="Yes"/>
    <m/>
    <s v="Yes"/>
    <m/>
    <s v="Re-certified"/>
    <s v="infasco"/>
    <n v="0"/>
    <n v="0"/>
  </r>
  <r>
    <x v="4"/>
    <x v="28"/>
    <n v="11546566"/>
    <n v="714434"/>
    <n v="10"/>
    <n v="1800"/>
    <n v="18000"/>
    <n v="290"/>
    <s v="Yes"/>
    <m/>
    <s v="Yes"/>
    <m/>
    <s v="Yes"/>
    <m/>
    <s v="Yes"/>
    <m/>
    <s v="N/A"/>
    <m/>
    <s v="Yes"/>
    <m/>
    <s v="Yes"/>
    <m/>
    <s v="Re-certified"/>
    <s v="infasco"/>
    <n v="0"/>
    <n v="0"/>
  </r>
  <r>
    <x v="4"/>
    <x v="30"/>
    <n v="11546774"/>
    <n v="713583"/>
    <n v="14"/>
    <n v="450"/>
    <n v="6300"/>
    <n v="290"/>
    <s v="Yes"/>
    <m/>
    <s v="Yes"/>
    <m/>
    <s v="Yes"/>
    <m/>
    <s v="Yes"/>
    <m/>
    <s v="N/A"/>
    <m/>
    <s v="Yes"/>
    <m/>
    <s v="Yes"/>
    <m/>
    <s v="New"/>
    <s v="infasco"/>
    <n v="106.94"/>
    <n v="106.94"/>
  </r>
  <r>
    <x v="4"/>
    <x v="30"/>
    <n v="11546774"/>
    <n v="713585"/>
    <n v="36"/>
    <n v="450"/>
    <n v="16200"/>
    <n v="290"/>
    <s v="Yes"/>
    <m/>
    <s v="Yes"/>
    <m/>
    <s v="Yes"/>
    <m/>
    <s v="Yes"/>
    <m/>
    <s v="N/A"/>
    <m/>
    <s v="Yes"/>
    <m/>
    <s v="Yes"/>
    <m/>
    <s v="New"/>
    <s v="infasco"/>
    <n v="106.94"/>
    <n v="106.94"/>
  </r>
  <r>
    <x v="4"/>
    <x v="30"/>
    <n v="11546774"/>
    <n v="713591"/>
    <n v="36"/>
    <n v="450"/>
    <n v="16200"/>
    <n v="290"/>
    <s v="Yes"/>
    <m/>
    <s v="Yes"/>
    <m/>
    <s v="Yes"/>
    <m/>
    <s v="Yes"/>
    <m/>
    <s v="N/A"/>
    <m/>
    <s v="Yes"/>
    <m/>
    <s v="Yes"/>
    <m/>
    <s v="New"/>
    <s v="infasco"/>
    <n v="106.94"/>
    <n v="106.94"/>
  </r>
  <r>
    <x v="4"/>
    <x v="30"/>
    <n v="11546774"/>
    <n v="713588"/>
    <n v="9"/>
    <n v="450"/>
    <n v="4050"/>
    <n v="290"/>
    <s v="Yes"/>
    <m/>
    <s v="Yes"/>
    <m/>
    <s v="Yes"/>
    <m/>
    <s v="Yes"/>
    <m/>
    <s v="N/A"/>
    <m/>
    <s v="Yes"/>
    <m/>
    <s v="Yes"/>
    <m/>
    <s v="Re-certified"/>
    <s v="infasco"/>
    <n v="0"/>
    <n v="0"/>
  </r>
  <r>
    <x v="4"/>
    <x v="29"/>
    <n v="11546545"/>
    <n v="716192"/>
    <n v="23"/>
    <n v="2500"/>
    <n v="57500"/>
    <n v="290"/>
    <s v="Yes"/>
    <m/>
    <s v="Yes"/>
    <m/>
    <s v="Yes"/>
    <m/>
    <s v="Yes"/>
    <m/>
    <s v="N/A"/>
    <m/>
    <s v="Yes"/>
    <m/>
    <s v="Yes"/>
    <m/>
    <s v="New"/>
    <s v="infasco"/>
    <n v="106.94"/>
    <n v="106.94"/>
  </r>
  <r>
    <x v="4"/>
    <x v="29"/>
    <n v="11546545"/>
    <n v="714670"/>
    <n v="18"/>
    <n v="2500"/>
    <n v="45000"/>
    <n v="290"/>
    <s v="Yes"/>
    <m/>
    <s v="Yes"/>
    <m/>
    <s v="Yes"/>
    <m/>
    <s v="Yes"/>
    <m/>
    <s v="N/A"/>
    <m/>
    <s v="Yes"/>
    <m/>
    <s v="Yes"/>
    <m/>
    <s v="Re-certified"/>
    <s v="infasco"/>
    <n v="0"/>
    <n v="0"/>
  </r>
  <r>
    <x v="4"/>
    <x v="33"/>
    <s v="11610091-CA-IN"/>
    <n v="703943"/>
    <n v="1"/>
    <n v="2500"/>
    <n v="2500"/>
    <n v="279"/>
    <s v="Yes"/>
    <m/>
    <s v="Yes"/>
    <m/>
    <s v="Yes"/>
    <m/>
    <s v="Yes"/>
    <m/>
    <s v="N/A"/>
    <m/>
    <s v="Yes"/>
    <m/>
    <s v="Yes"/>
    <m/>
    <s v="New"/>
    <s v="infasco"/>
    <n v="106.94"/>
    <n v="106.94"/>
  </r>
  <r>
    <x v="4"/>
    <x v="33"/>
    <n v="11546703"/>
    <n v="712581"/>
    <n v="30"/>
    <n v="4000"/>
    <n v="120000"/>
    <n v="279"/>
    <s v="Yes"/>
    <m/>
    <s v="Yes"/>
    <m/>
    <s v="Yes"/>
    <m/>
    <s v="Yes"/>
    <m/>
    <s v="N/A"/>
    <m/>
    <s v="Yes"/>
    <m/>
    <s v="Yes"/>
    <m/>
    <s v="New"/>
    <s v="infasco"/>
    <n v="135.07999999999998"/>
    <n v="135.07999999999998"/>
  </r>
  <r>
    <x v="4"/>
    <x v="33"/>
    <s v="06105051-A"/>
    <n v="714010"/>
    <n v="23"/>
    <n v="620"/>
    <n v="14260"/>
    <n v="279"/>
    <s v="Yes"/>
    <m/>
    <s v="Yes"/>
    <m/>
    <s v="Yes"/>
    <m/>
    <s v="Yes"/>
    <m/>
    <s v="N/A"/>
    <m/>
    <s v="Yes"/>
    <m/>
    <s v="Yes"/>
    <m/>
    <s v="New"/>
    <e v="#N/A"/>
    <e v="#N/A"/>
    <e v="#N/A"/>
  </r>
  <r>
    <x v="4"/>
    <x v="33"/>
    <s v="06503825-A"/>
    <n v="714564"/>
    <n v="45"/>
    <n v="1500"/>
    <n v="67500"/>
    <n v="279"/>
    <s v="Yes"/>
    <m/>
    <s v="Yes"/>
    <m/>
    <s v="Yes"/>
    <m/>
    <s v="Yes"/>
    <m/>
    <s v="N/A"/>
    <m/>
    <s v="Yes"/>
    <m/>
    <s v="Yes"/>
    <m/>
    <s v="Re-certified"/>
    <s v="infasco"/>
    <n v="0"/>
    <n v="0"/>
  </r>
  <r>
    <x v="4"/>
    <x v="16"/>
    <s v="06503825-A"/>
    <n v="713993"/>
    <n v="36"/>
    <n v="1500"/>
    <n v="54000"/>
    <s v="285+391"/>
    <s v="Yes"/>
    <m/>
    <s v="Yes"/>
    <m/>
    <s v="Yes"/>
    <m/>
    <s v="Yes"/>
    <m/>
    <s v="N/A"/>
    <m/>
    <s v="Yes"/>
    <m/>
    <s v="Yes"/>
    <m/>
    <s v="New"/>
    <s v="infasco"/>
    <n v="226.94"/>
    <n v="226.94"/>
  </r>
  <r>
    <x v="5"/>
    <x v="16"/>
    <s v="06503825-A"/>
    <n v="713993"/>
    <n v="25"/>
    <n v="1500"/>
    <n v="37500"/>
    <s v="285+391"/>
    <s v="Yes"/>
    <m/>
    <s v="Yes"/>
    <m/>
    <s v="Yes"/>
    <m/>
    <s v="Yes"/>
    <m/>
    <s v="N/A"/>
    <m/>
    <s v="Yes"/>
    <m/>
    <s v="Yes"/>
    <m/>
    <s v="Re-certified"/>
    <s v="infasco"/>
    <n v="0"/>
    <n v="0"/>
  </r>
  <r>
    <x v="4"/>
    <x v="32"/>
    <s v="06503825-A"/>
    <n v="713994"/>
    <n v="36"/>
    <n v="1500"/>
    <n v="54000"/>
    <s v="294+252"/>
    <s v="Yes"/>
    <m/>
    <s v="Yes"/>
    <m/>
    <s v="Yes"/>
    <m/>
    <s v="Yes"/>
    <m/>
    <s v="N/A"/>
    <m/>
    <s v="Yes"/>
    <m/>
    <s v="Yes"/>
    <m/>
    <s v="New"/>
    <s v="infasco"/>
    <n v="226.94"/>
    <n v="226.94"/>
  </r>
  <r>
    <x v="4"/>
    <x v="15"/>
    <s v="06503825-A"/>
    <n v="713995"/>
    <n v="30"/>
    <n v="1500"/>
    <n v="45000"/>
    <s v="157+245"/>
    <s v="Yes"/>
    <m/>
    <s v="Yes"/>
    <m/>
    <s v="Yes"/>
    <m/>
    <s v="Yes"/>
    <m/>
    <s v="N/A"/>
    <m/>
    <s v="Yes"/>
    <m/>
    <s v="Yes"/>
    <m/>
    <s v="New"/>
    <s v="infasco"/>
    <n v="226.94"/>
    <n v="226.94"/>
  </r>
  <r>
    <x v="5"/>
    <x v="16"/>
    <s v="F1302AB"/>
    <n v="714009"/>
    <n v="34"/>
    <n v="700"/>
    <n v="23800"/>
    <s v="285+391"/>
    <s v="Yes"/>
    <m/>
    <s v="Yes"/>
    <m/>
    <s v="Yes"/>
    <m/>
    <s v="Yes"/>
    <m/>
    <s v="N/A"/>
    <m/>
    <s v="Yes"/>
    <m/>
    <s v="Yes"/>
    <m/>
    <s v="New"/>
    <s v="infasco"/>
    <n v="135.07999999999998"/>
    <n v="135.07999999999998"/>
  </r>
  <r>
    <x v="5"/>
    <x v="32"/>
    <s v="06105051AA"/>
    <n v="714011"/>
    <n v="28"/>
    <n v="620"/>
    <n v="17360"/>
    <s v="294+252"/>
    <s v="Yes"/>
    <m/>
    <s v="Yes"/>
    <m/>
    <s v="Yes"/>
    <m/>
    <s v="Yes"/>
    <m/>
    <s v="N/A"/>
    <m/>
    <s v="Yes"/>
    <m/>
    <s v="Yes"/>
    <m/>
    <s v="New"/>
    <s v="infasco"/>
    <n v="135.07999999999998"/>
    <n v="135.07999999999998"/>
  </r>
  <r>
    <x v="5"/>
    <x v="15"/>
    <s v="06514720AA"/>
    <n v="714013"/>
    <n v="35"/>
    <n v="1250"/>
    <n v="43750"/>
    <s v="245+279"/>
    <s v="Yes"/>
    <m/>
    <s v="Yes"/>
    <m/>
    <s v="Yes"/>
    <m/>
    <s v="Yes"/>
    <m/>
    <s v="N/A"/>
    <m/>
    <s v="Yes"/>
    <m/>
    <s v="Yes"/>
    <m/>
    <s v="New"/>
    <s v="infasco"/>
    <n v="135.07999999999998"/>
    <n v="135.07999999999998"/>
  </r>
  <r>
    <x v="5"/>
    <x v="15"/>
    <n v="11610376"/>
    <n v="714201"/>
    <n v="2"/>
    <n v="900"/>
    <n v="1800"/>
    <s v="245+279"/>
    <s v="Yes"/>
    <m/>
    <s v="Yes"/>
    <m/>
    <s v="Yes"/>
    <m/>
    <s v="Yes"/>
    <m/>
    <s v="N/A"/>
    <m/>
    <s v="Yes"/>
    <m/>
    <s v="Yes"/>
    <m/>
    <s v="Re-certified"/>
    <s v="infasco"/>
    <n v="0"/>
    <n v="0"/>
  </r>
  <r>
    <x v="4"/>
    <x v="15"/>
    <n v="11610376"/>
    <n v="714280"/>
    <n v="8"/>
    <n v="900"/>
    <n v="7200"/>
    <s v="157+245"/>
    <s v="Yes"/>
    <m/>
    <s v="Yes"/>
    <m/>
    <s v="Yes"/>
    <m/>
    <s v="Yes"/>
    <m/>
    <s v="N/A"/>
    <m/>
    <s v="Yes"/>
    <m/>
    <s v="Yes"/>
    <m/>
    <s v="New"/>
    <s v="infasco"/>
    <n v="106.94"/>
    <n v="106.94"/>
  </r>
  <r>
    <x v="4"/>
    <x v="17"/>
    <s v="NU1510"/>
    <n v="715838"/>
    <n v="1"/>
    <n v="19800"/>
    <n v="19800"/>
    <s v="190+268"/>
    <s v="Yes"/>
    <m/>
    <s v="Yes"/>
    <m/>
    <s v="Yes"/>
    <m/>
    <s v="Yes"/>
    <m/>
    <s v="N/A"/>
    <m/>
    <s v="Yes"/>
    <m/>
    <s v="Yes"/>
    <m/>
    <s v="New"/>
    <s v="infasco"/>
    <n v="129.44999999999999"/>
    <n v="129.44999999999999"/>
  </r>
  <r>
    <x v="4"/>
    <x v="17"/>
    <n v="11548147"/>
    <n v="714398"/>
    <n v="28"/>
    <n v="250"/>
    <n v="7000"/>
    <s v="190+268"/>
    <s v="Yes"/>
    <m/>
    <s v="Yes"/>
    <m/>
    <s v="Yes"/>
    <m/>
    <s v="Yes"/>
    <m/>
    <s v="N/A"/>
    <m/>
    <s v="Yes"/>
    <m/>
    <s v="Yes"/>
    <m/>
    <s v="New"/>
    <s v="infasco"/>
    <n v="280.15999999999997"/>
    <n v="280.15999999999997"/>
  </r>
  <r>
    <x v="4"/>
    <x v="17"/>
    <s v="06508711AA"/>
    <n v="714000"/>
    <n v="36"/>
    <n v="575"/>
    <n v="20700"/>
    <s v="190+268"/>
    <s v="Yes"/>
    <m/>
    <s v="Yes"/>
    <m/>
    <s v="Yes"/>
    <m/>
    <s v="Yes"/>
    <m/>
    <s v="N/A"/>
    <m/>
    <s v="Yes"/>
    <m/>
    <s v="Yes"/>
    <m/>
    <s v="New"/>
    <s v="infasco"/>
    <n v="135.07999999999998"/>
    <n v="135.07999999999998"/>
  </r>
  <r>
    <x v="4"/>
    <x v="17"/>
    <n v="11610376"/>
    <n v="714203"/>
    <n v="25"/>
    <n v="900"/>
    <n v="22500"/>
    <s v="190+268"/>
    <s v="Yes"/>
    <m/>
    <s v="Yes"/>
    <m/>
    <s v="Yes"/>
    <m/>
    <s v="Yes"/>
    <m/>
    <s v="N/A"/>
    <m/>
    <s v="Yes"/>
    <m/>
    <s v="Yes"/>
    <m/>
    <s v="New"/>
    <s v="infasco"/>
    <n v="106.94"/>
    <n v="106.94"/>
  </r>
  <r>
    <x v="4"/>
    <x v="17"/>
    <n v="11610376"/>
    <n v="714202"/>
    <n v="26"/>
    <n v="900"/>
    <n v="23400"/>
    <s v="190+268"/>
    <s v="Yes"/>
    <m/>
    <s v="Yes"/>
    <m/>
    <s v="Yes"/>
    <m/>
    <s v="Yes"/>
    <m/>
    <s v="N/A"/>
    <m/>
    <s v="Yes"/>
    <m/>
    <s v="Yes"/>
    <m/>
    <s v="New"/>
    <s v="infasco"/>
    <n v="106.94"/>
    <n v="106.94"/>
  </r>
  <r>
    <x v="4"/>
    <x v="17"/>
    <s v="06510997AA"/>
    <n v="715843"/>
    <n v="34"/>
    <n v="75"/>
    <n v="2550"/>
    <s v="190+268"/>
    <s v="Yes"/>
    <m/>
    <s v="Yes"/>
    <m/>
    <s v="Yes"/>
    <m/>
    <s v="Yes"/>
    <m/>
    <s v="N/A"/>
    <m/>
    <s v="Yes"/>
    <m/>
    <s v="Yes"/>
    <m/>
    <s v="Re-certified"/>
    <s v="infasco"/>
    <n v="0"/>
    <n v="0"/>
  </r>
  <r>
    <x v="4"/>
    <x v="15"/>
    <n v="11548147"/>
    <n v="714399"/>
    <n v="25"/>
    <n v="250"/>
    <n v="6250"/>
    <s v="157+245"/>
    <s v="Yes"/>
    <m/>
    <s v="Yes"/>
    <m/>
    <s v="Yes"/>
    <m/>
    <s v="Yes"/>
    <m/>
    <s v="N/A"/>
    <m/>
    <s v="Yes"/>
    <m/>
    <s v="Yes"/>
    <m/>
    <s v="New"/>
    <s v="infasco"/>
    <n v="280.15999999999997"/>
    <n v="280.15999999999997"/>
  </r>
  <r>
    <x v="4"/>
    <x v="16"/>
    <s v="NU1510"/>
    <n v="714466"/>
    <n v="1"/>
    <n v="51361"/>
    <n v="51361"/>
    <s v="285+391"/>
    <s v="Yes"/>
    <m/>
    <s v="Yes"/>
    <m/>
    <s v="Yes"/>
    <m/>
    <s v="Yes"/>
    <m/>
    <s v="N/A"/>
    <m/>
    <s v="Yes"/>
    <m/>
    <s v="Yes"/>
    <m/>
    <s v="New"/>
    <s v="infasco"/>
    <n v="129.44999999999999"/>
    <n v="129.44999999999999"/>
  </r>
  <r>
    <x v="4"/>
    <x v="16"/>
    <s v="06509494AA"/>
    <n v="714558"/>
    <n v="37"/>
    <n v="750"/>
    <n v="27750"/>
    <s v="285+391"/>
    <s v="Yes"/>
    <m/>
    <s v="Yes"/>
    <m/>
    <s v="Yes"/>
    <m/>
    <s v="Yes"/>
    <m/>
    <s v="N/A"/>
    <m/>
    <s v="Yes"/>
    <m/>
    <s v="Yes"/>
    <m/>
    <s v="New"/>
    <s v="infasco"/>
    <n v="135.08000000000001"/>
    <n v="135.08000000000001"/>
  </r>
  <r>
    <x v="4"/>
    <x v="15"/>
    <s v="06503825-A"/>
    <n v="714565"/>
    <n v="36"/>
    <n v="1500"/>
    <n v="54000"/>
    <s v="157+245"/>
    <s v="Yes"/>
    <m/>
    <s v="Yes"/>
    <m/>
    <s v="Yes"/>
    <m/>
    <s v="Yes"/>
    <m/>
    <s v="N/A"/>
    <m/>
    <s v="Yes"/>
    <m/>
    <s v="Yes"/>
    <m/>
    <s v="New"/>
    <s v="infasco"/>
    <n v="226.94"/>
    <n v="226.94"/>
  </r>
  <r>
    <x v="4"/>
    <x v="16"/>
    <s v="06503825-A"/>
    <n v="714566"/>
    <n v="21"/>
    <n v="1500"/>
    <n v="31500"/>
    <s v="285+391"/>
    <s v="Yes"/>
    <m/>
    <s v="Yes"/>
    <m/>
    <s v="Yes"/>
    <m/>
    <s v="Yes"/>
    <m/>
    <s v="N/A"/>
    <m/>
    <s v="Yes"/>
    <m/>
    <s v="Yes"/>
    <m/>
    <s v="New"/>
    <s v="infasco"/>
    <n v="226.94"/>
    <n v="226.94"/>
  </r>
  <r>
    <x v="4"/>
    <x v="13"/>
    <n v="11611122"/>
    <n v="713559"/>
    <n v="35"/>
    <n v="1850"/>
    <n v="64750"/>
    <s v="011+293"/>
    <s v="Yes"/>
    <m/>
    <s v="Yes"/>
    <m/>
    <s v="Yes"/>
    <m/>
    <s v="Yes"/>
    <m/>
    <s v="N/A"/>
    <m/>
    <s v="Yes"/>
    <m/>
    <s v="Yes"/>
    <m/>
    <s v="New"/>
    <s v="infasco"/>
    <n v="135.07999999999998"/>
    <n v="135.07999999999998"/>
  </r>
  <r>
    <x v="4"/>
    <x v="13"/>
    <s v="NU1510"/>
    <n v="715715"/>
    <n v="1"/>
    <n v="43735"/>
    <n v="43735"/>
    <s v="011+293"/>
    <s v="Yes"/>
    <m/>
    <s v="Yes"/>
    <m/>
    <s v="Yes"/>
    <m/>
    <s v="Yes"/>
    <m/>
    <s v="N/A"/>
    <m/>
    <s v="Yes"/>
    <m/>
    <s v="Yes"/>
    <m/>
    <s v="New"/>
    <s v="infasco"/>
    <n v="129.44999999999999"/>
    <n v="129.44999999999999"/>
  </r>
  <r>
    <x v="4"/>
    <x v="13"/>
    <n v="11610376"/>
    <n v="714200"/>
    <n v="40"/>
    <n v="900"/>
    <n v="36000"/>
    <s v="011+293"/>
    <s v="Yes"/>
    <m/>
    <s v="Yes"/>
    <m/>
    <s v="Yes"/>
    <m/>
    <s v="Yes"/>
    <m/>
    <s v="N/A"/>
    <m/>
    <s v="Yes"/>
    <m/>
    <s v="Yes"/>
    <m/>
    <s v="New"/>
    <s v="infasco"/>
    <n v="106.94"/>
    <n v="106.94"/>
  </r>
  <r>
    <x v="4"/>
    <x v="13"/>
    <s v="06503825-A"/>
    <n v="713991"/>
    <n v="55"/>
    <n v="1500"/>
    <n v="82500"/>
    <s v="011+293"/>
    <s v="Yes"/>
    <m/>
    <s v="Yes"/>
    <m/>
    <s v="Yes"/>
    <m/>
    <s v="Yes"/>
    <m/>
    <s v="N/A"/>
    <m/>
    <s v="Yes"/>
    <m/>
    <s v="Yes"/>
    <m/>
    <s v="New"/>
    <s v="infasco"/>
    <n v="226.94"/>
    <n v="226.94"/>
  </r>
  <r>
    <x v="4"/>
    <x v="0"/>
    <n v="11546377"/>
    <n v="715738"/>
    <n v="22"/>
    <n v="2150"/>
    <n v="47300"/>
    <n v="292"/>
    <s v="Yes"/>
    <m/>
    <s v="Yes"/>
    <m/>
    <s v="Yes"/>
    <m/>
    <s v="Yes"/>
    <m/>
    <s v="N/A"/>
    <m/>
    <s v="Yes"/>
    <m/>
    <s v="Yes"/>
    <m/>
    <s v="Re-certified"/>
    <s v="infasco"/>
    <n v="0"/>
    <n v="0"/>
  </r>
  <r>
    <x v="4"/>
    <x v="2"/>
    <s v="06502979-A"/>
    <n v="713989"/>
    <n v="34"/>
    <n v="750"/>
    <n v="25500"/>
    <n v="292"/>
    <s v="Yes"/>
    <m/>
    <s v="Yes"/>
    <m/>
    <s v="Yes"/>
    <m/>
    <s v="Yes"/>
    <m/>
    <s v="N/A"/>
    <m/>
    <s v="Yes"/>
    <m/>
    <s v="Yes"/>
    <m/>
    <s v="Re-certified"/>
    <s v="infasco"/>
    <n v="0"/>
    <n v="0"/>
  </r>
  <r>
    <x v="4"/>
    <x v="1"/>
    <n v="11546377"/>
    <n v="715737"/>
    <n v="20"/>
    <n v="2150"/>
    <n v="43000"/>
    <n v="292"/>
    <s v="Yes"/>
    <m/>
    <s v="Yes"/>
    <m/>
    <s v="Yes"/>
    <m/>
    <s v="Yes"/>
    <m/>
    <s v="N/A"/>
    <m/>
    <s v="Yes"/>
    <m/>
    <s v="Yes"/>
    <m/>
    <s v="Re-certified"/>
    <s v="infasco"/>
    <n v="0"/>
    <n v="0"/>
  </r>
  <r>
    <x v="4"/>
    <x v="3"/>
    <n v="11546774"/>
    <n v="713587"/>
    <n v="11"/>
    <n v="450"/>
    <n v="4950"/>
    <n v="292"/>
    <s v="Yes"/>
    <m/>
    <s v="Yes"/>
    <m/>
    <s v="Yes"/>
    <m/>
    <s v="Yes"/>
    <m/>
    <s v="N/A"/>
    <m/>
    <s v="Yes"/>
    <m/>
    <s v="Yes"/>
    <m/>
    <s v="New"/>
    <s v="infasco"/>
    <n v="106.94"/>
    <n v="106.94"/>
  </r>
  <r>
    <x v="4"/>
    <x v="3"/>
    <n v="11546774"/>
    <n v="713589"/>
    <n v="36"/>
    <n v="450"/>
    <n v="16200"/>
    <n v="292"/>
    <s v="Yes"/>
    <m/>
    <s v="Yes"/>
    <m/>
    <s v="Yes"/>
    <m/>
    <s v="Yes"/>
    <m/>
    <s v="N/A"/>
    <m/>
    <s v="Yes"/>
    <m/>
    <s v="Yes"/>
    <m/>
    <s v="New"/>
    <s v="infasco"/>
    <n v="106.94"/>
    <n v="106.94"/>
  </r>
  <r>
    <x v="4"/>
    <x v="3"/>
    <n v="11546774"/>
    <n v="713590"/>
    <n v="16"/>
    <n v="450"/>
    <n v="7200"/>
    <n v="292"/>
    <s v="Yes"/>
    <m/>
    <s v="Yes"/>
    <m/>
    <s v="Yes"/>
    <m/>
    <s v="Yes"/>
    <m/>
    <s v="N/A"/>
    <m/>
    <s v="Yes"/>
    <m/>
    <s v="Yes"/>
    <m/>
    <s v="New"/>
    <s v="infasco"/>
    <n v="106.94"/>
    <n v="106.94"/>
  </r>
  <r>
    <x v="4"/>
    <x v="3"/>
    <s v="11549171-MY-AK"/>
    <n v="714444"/>
    <n v="5"/>
    <n v="280"/>
    <n v="1400"/>
    <n v="292"/>
    <s v="Yes"/>
    <m/>
    <s v="Yes"/>
    <m/>
    <s v="Yes"/>
    <m/>
    <s v="Yes"/>
    <m/>
    <s v="N/A"/>
    <m/>
    <s v="Yes"/>
    <m/>
    <s v="Yes"/>
    <m/>
    <s v="Re-certified"/>
    <s v="infasco"/>
    <n v="0"/>
    <n v="0"/>
  </r>
  <r>
    <x v="4"/>
    <x v="5"/>
    <s v="06511637AA"/>
    <n v="714427"/>
    <n v="34"/>
    <n v="1200"/>
    <n v="40800"/>
    <n v="292"/>
    <s v="Yes"/>
    <m/>
    <s v="Yes"/>
    <m/>
    <s v="Yes"/>
    <m/>
    <s v="Yes"/>
    <m/>
    <s v="N/A"/>
    <m/>
    <s v="Yes"/>
    <m/>
    <s v="Yes"/>
    <m/>
    <s v="New"/>
    <s v="infasco"/>
    <n v="106.94"/>
    <n v="106.94"/>
  </r>
  <r>
    <x v="4"/>
    <x v="5"/>
    <s v="06513904AA"/>
    <n v="715600"/>
    <n v="5"/>
    <n v="300"/>
    <n v="1500"/>
    <n v="292"/>
    <s v="Yes"/>
    <m/>
    <s v="Yes"/>
    <m/>
    <s v="Yes"/>
    <m/>
    <s v="Yes"/>
    <m/>
    <s v="N/A"/>
    <m/>
    <s v="Yes"/>
    <m/>
    <s v="Yes"/>
    <m/>
    <s v="Re-certified"/>
    <s v="infasco"/>
    <n v="0"/>
    <n v="0"/>
  </r>
  <r>
    <x v="4"/>
    <x v="4"/>
    <n v="11561645"/>
    <n v="714588"/>
    <n v="6"/>
    <n v="4000"/>
    <n v="24000"/>
    <n v="292"/>
    <s v="Yes"/>
    <m/>
    <s v="Yes"/>
    <m/>
    <s v="Yes"/>
    <m/>
    <s v="Yes"/>
    <m/>
    <s v="N/A"/>
    <m/>
    <s v="Yes"/>
    <m/>
    <s v="Yes"/>
    <m/>
    <s v="New"/>
    <s v="infasco"/>
    <n v="106.94"/>
    <n v="106.94"/>
  </r>
  <r>
    <x v="4"/>
    <x v="4"/>
    <n v="11561645"/>
    <n v="714589"/>
    <n v="26"/>
    <n v="4000"/>
    <n v="104000"/>
    <n v="292"/>
    <s v="Yes"/>
    <m/>
    <s v="Yes"/>
    <m/>
    <s v="Yes"/>
    <m/>
    <s v="Yes"/>
    <m/>
    <s v="N/A"/>
    <m/>
    <s v="Yes"/>
    <m/>
    <s v="Yes"/>
    <m/>
    <s v="New"/>
    <s v="infasco"/>
    <n v="106.94"/>
    <n v="106.94"/>
  </r>
  <r>
    <x v="5"/>
    <x v="11"/>
    <n v="11546545"/>
    <n v="714668"/>
    <n v="13"/>
    <n v="2500"/>
    <n v="32500"/>
    <n v="275"/>
    <s v="Yes"/>
    <m/>
    <s v="Yes"/>
    <m/>
    <s v="Yes"/>
    <m/>
    <s v="Yes"/>
    <m/>
    <s v="N/A"/>
    <m/>
    <s v="Yes"/>
    <m/>
    <s v="Yes"/>
    <m/>
    <s v="New"/>
    <s v="infasco"/>
    <s v="N/A"/>
    <n v="106.94"/>
  </r>
  <r>
    <x v="5"/>
    <x v="11"/>
    <s v="11546437-MY-AK"/>
    <n v="716079"/>
    <n v="60"/>
    <n v="1500"/>
    <n v="90000"/>
    <n v="275"/>
    <s v="Yes"/>
    <m/>
    <s v="Yes"/>
    <m/>
    <s v="Yes"/>
    <m/>
    <s v="Yes"/>
    <m/>
    <s v="N/A"/>
    <m/>
    <s v="Yes"/>
    <m/>
    <s v="Yes"/>
    <m/>
    <s v="New"/>
    <s v="infasco"/>
    <n v="106.94"/>
    <n v="106.94"/>
  </r>
  <r>
    <x v="5"/>
    <x v="9"/>
    <s v="06104725AA"/>
    <n v="715703"/>
    <n v="36"/>
    <n v="2800"/>
    <n v="100800"/>
    <n v="275"/>
    <s v="Yes"/>
    <m/>
    <s v="Yes"/>
    <m/>
    <s v="Yes"/>
    <m/>
    <s v="Yes"/>
    <m/>
    <s v="N/A"/>
    <m/>
    <s v="Yes"/>
    <m/>
    <s v="Yes"/>
    <m/>
    <s v="New"/>
    <s v="infasco"/>
    <n v="106.94"/>
    <n v="106.94"/>
  </r>
  <r>
    <x v="5"/>
    <x v="9"/>
    <s v="06104725AA"/>
    <n v="715701"/>
    <n v="5"/>
    <n v="2800"/>
    <n v="14000"/>
    <n v="25"/>
    <s v="Yes"/>
    <m/>
    <s v="Yes"/>
    <m/>
    <s v="Yes"/>
    <m/>
    <s v="Yes"/>
    <m/>
    <s v="N/A"/>
    <m/>
    <s v="Yes"/>
    <m/>
    <s v="Yes"/>
    <m/>
    <s v="Re-certified"/>
    <s v="infasco"/>
    <n v="106.94"/>
    <n v="0"/>
  </r>
  <r>
    <x v="5"/>
    <x v="8"/>
    <s v="06502979-A"/>
    <n v="713987"/>
    <n v="43"/>
    <n v="750"/>
    <n v="32250"/>
    <n v="275"/>
    <s v="Yes"/>
    <m/>
    <s v="Yes"/>
    <m/>
    <s v="Yes"/>
    <m/>
    <s v="Yes"/>
    <m/>
    <s v="N/A"/>
    <m/>
    <s v="Yes"/>
    <m/>
    <s v="Yes"/>
    <m/>
    <s v="New"/>
    <s v="infasco"/>
    <n v="106.94"/>
    <n v="106.94"/>
  </r>
  <r>
    <x v="5"/>
    <x v="8"/>
    <s v="11546367-MY-AK"/>
    <n v="714197"/>
    <n v="36"/>
    <n v="700"/>
    <n v="25200"/>
    <n v="275"/>
    <s v="Yes"/>
    <m/>
    <s v="Yes"/>
    <m/>
    <s v="Yes"/>
    <m/>
    <s v="Yes"/>
    <m/>
    <s v="N/A"/>
    <m/>
    <s v="Yes"/>
    <m/>
    <s v="Yes"/>
    <m/>
    <s v="New"/>
    <s v="infasco"/>
    <n v="106.94"/>
    <n v="106.94"/>
  </r>
  <r>
    <x v="5"/>
    <x v="34"/>
    <s v="06509967AA"/>
    <n v="715683"/>
    <n v="36"/>
    <n v="825"/>
    <n v="29700"/>
    <n v="275"/>
    <s v="Yes"/>
    <m/>
    <s v="Yes"/>
    <m/>
    <s v="Yes"/>
    <m/>
    <s v="Yes"/>
    <m/>
    <s v="N/A"/>
    <m/>
    <s v="Yes"/>
    <m/>
    <s v="Yes"/>
    <m/>
    <s v="New"/>
    <s v="infasco"/>
    <s v="N/A"/>
    <n v="280.16000000000003"/>
  </r>
  <r>
    <x v="5"/>
    <x v="10"/>
    <s v="06104725AA"/>
    <n v="715711"/>
    <n v="18"/>
    <n v="2800"/>
    <n v="50400"/>
    <n v="275"/>
    <s v="Yes"/>
    <m/>
    <s v="Yes"/>
    <m/>
    <s v="Yes"/>
    <m/>
    <s v="Yes"/>
    <m/>
    <s v="N/A"/>
    <m/>
    <s v="Yes"/>
    <m/>
    <s v="Yes"/>
    <m/>
    <s v="Re-certified"/>
    <s v="infasco"/>
    <n v="106.94"/>
    <n v="0"/>
  </r>
  <r>
    <x v="5"/>
    <x v="6"/>
    <s v="W711468-S437"/>
    <n v="71269"/>
    <n v="36"/>
    <n v="1600"/>
    <n v="57600"/>
    <n v="275"/>
    <s v="Yes"/>
    <m/>
    <s v="Yes"/>
    <m/>
    <s v="Yes"/>
    <m/>
    <s v="Yes"/>
    <m/>
    <s v="N/A"/>
    <m/>
    <s v="Yes"/>
    <m/>
    <s v="Yes"/>
    <m/>
    <s v="New"/>
    <s v="infasco"/>
    <s v="N/A"/>
    <n v="106.94"/>
  </r>
  <r>
    <x v="5"/>
    <x v="6"/>
    <s v="W711468-S437"/>
    <n v="713266"/>
    <n v="5"/>
    <n v="1600"/>
    <n v="8000"/>
    <n v="275"/>
    <s v="Yes"/>
    <m/>
    <s v="Yes"/>
    <m/>
    <s v="Yes"/>
    <m/>
    <s v="Yes"/>
    <m/>
    <s v="N/A"/>
    <m/>
    <s v="Yes"/>
    <m/>
    <s v="Yes"/>
    <m/>
    <s v="Re-certified"/>
    <s v="infasco"/>
    <s v="N/A"/>
    <n v="0"/>
  </r>
  <r>
    <x v="5"/>
    <x v="12"/>
    <s v="47336AE"/>
    <n v="714454"/>
    <n v="36"/>
    <n v="660"/>
    <n v="23760"/>
    <n v="275"/>
    <s v="Yes"/>
    <m/>
    <s v="Yes"/>
    <m/>
    <s v="Yes"/>
    <m/>
    <s v="Yes"/>
    <m/>
    <s v="N/A"/>
    <m/>
    <s v="Yes"/>
    <m/>
    <s v="Yes"/>
    <m/>
    <s v="New"/>
    <s v="infasco"/>
    <n v="106.94"/>
    <n v="106.94"/>
  </r>
  <r>
    <x v="5"/>
    <x v="12"/>
    <s v="47336AE"/>
    <n v="714455"/>
    <n v="36"/>
    <n v="660"/>
    <n v="23760"/>
    <n v="275"/>
    <s v="Yes"/>
    <m/>
    <s v="Yes"/>
    <m/>
    <s v="Yes"/>
    <m/>
    <s v="Yes"/>
    <m/>
    <s v="N/A"/>
    <m/>
    <s v="Yes"/>
    <m/>
    <s v="Yes"/>
    <m/>
    <s v="New"/>
    <s v="infasco"/>
    <n v="106.94"/>
    <n v="106.94"/>
  </r>
  <r>
    <x v="5"/>
    <x v="26"/>
    <n v="11549170"/>
    <n v="714374"/>
    <n v="36"/>
    <n v="400"/>
    <n v="14400"/>
    <n v="290"/>
    <s v="Yes"/>
    <m/>
    <s v="Yes"/>
    <m/>
    <s v="Yes"/>
    <m/>
    <s v="Yes"/>
    <m/>
    <s v="N/A"/>
    <m/>
    <s v="Yes"/>
    <m/>
    <s v="Yes"/>
    <m/>
    <s v="New"/>
    <s v="infasco"/>
    <n v="106.94"/>
    <n v="106.94"/>
  </r>
  <r>
    <x v="5"/>
    <x v="26"/>
    <n v="11549170"/>
    <n v="714387"/>
    <n v="36"/>
    <n v="400"/>
    <n v="14400"/>
    <n v="290"/>
    <s v="Yes"/>
    <m/>
    <s v="Yes"/>
    <m/>
    <s v="Yes"/>
    <m/>
    <s v="Yes"/>
    <m/>
    <s v="N/A"/>
    <m/>
    <s v="Yes"/>
    <m/>
    <s v="Yes"/>
    <m/>
    <s v="New"/>
    <s v="infasco"/>
    <n v="106.94"/>
    <n v="106.94"/>
  </r>
  <r>
    <x v="5"/>
    <x v="26"/>
    <n v="11549170"/>
    <n v="71489"/>
    <n v="36"/>
    <n v="400"/>
    <n v="14400"/>
    <n v="290"/>
    <s v="Yes"/>
    <m/>
    <s v="Yes"/>
    <m/>
    <s v="Yes"/>
    <m/>
    <s v="Yes"/>
    <m/>
    <s v="N/A"/>
    <m/>
    <s v="Yes"/>
    <m/>
    <s v="Yes"/>
    <m/>
    <s v="New"/>
    <s v="infasco"/>
    <n v="106.94"/>
    <n v="106.94"/>
  </r>
  <r>
    <x v="5"/>
    <x v="26"/>
    <n v="11549170"/>
    <n v="714377"/>
    <n v="30"/>
    <n v="400"/>
    <n v="12000"/>
    <n v="290"/>
    <s v="Yes"/>
    <m/>
    <s v="Yes"/>
    <m/>
    <s v="Yes"/>
    <m/>
    <s v="Yes"/>
    <m/>
    <s v="N/A"/>
    <m/>
    <s v="Yes"/>
    <m/>
    <s v="Yes"/>
    <m/>
    <s v="Re-certified"/>
    <s v="infasco"/>
    <n v="106.94"/>
    <n v="0"/>
  </r>
  <r>
    <x v="5"/>
    <x v="27"/>
    <n v="11546545"/>
    <n v="714672"/>
    <n v="5"/>
    <n v="2500"/>
    <n v="12500"/>
    <n v="290"/>
    <s v="Yes"/>
    <m/>
    <s v="Yes"/>
    <m/>
    <s v="Yes"/>
    <m/>
    <s v="Yes"/>
    <m/>
    <s v="N/A"/>
    <m/>
    <s v="Yes"/>
    <m/>
    <s v="Yes"/>
    <m/>
    <s v="New"/>
    <s v="infasco"/>
    <n v="106.94"/>
    <n v="106.94"/>
  </r>
  <r>
    <x v="5"/>
    <x v="27"/>
    <n v="11549170"/>
    <n v="714378"/>
    <n v="36"/>
    <n v="400"/>
    <n v="14400"/>
    <n v="290"/>
    <s v="Yes"/>
    <m/>
    <s v="Yes"/>
    <m/>
    <s v="Yes"/>
    <m/>
    <s v="Yes"/>
    <m/>
    <s v="N/A"/>
    <m/>
    <s v="Yes"/>
    <m/>
    <s v="Yes"/>
    <m/>
    <s v="New"/>
    <s v="infasco"/>
    <n v="106.94"/>
    <n v="106.94"/>
  </r>
  <r>
    <x v="5"/>
    <x v="27"/>
    <n v="11549170"/>
    <n v="714381"/>
    <n v="22"/>
    <n v="400"/>
    <n v="8800"/>
    <n v="290"/>
    <s v="Yes"/>
    <m/>
    <s v="Yes"/>
    <m/>
    <s v="Yes"/>
    <m/>
    <s v="Yes"/>
    <m/>
    <s v="N/A"/>
    <m/>
    <s v="Yes"/>
    <m/>
    <s v="Yes"/>
    <m/>
    <s v="Re-certified"/>
    <s v="infasco"/>
    <n v="106.94"/>
    <n v="0"/>
  </r>
  <r>
    <x v="5"/>
    <x v="28"/>
    <n v="11546566"/>
    <n v="714434"/>
    <n v="10"/>
    <n v="1800"/>
    <n v="18000"/>
    <n v="290"/>
    <s v="Yes"/>
    <m/>
    <s v="Yes"/>
    <m/>
    <s v="Yes"/>
    <m/>
    <s v="Yes"/>
    <m/>
    <s v="N/A"/>
    <m/>
    <s v="Yes"/>
    <m/>
    <s v="Yes"/>
    <m/>
    <s v="Re-certified"/>
    <s v="infasco"/>
    <n v="135.08000000000001"/>
    <n v="0"/>
  </r>
  <r>
    <x v="5"/>
    <x v="30"/>
    <n v="11546774"/>
    <n v="713588"/>
    <n v="2"/>
    <n v="450"/>
    <n v="900"/>
    <n v="290"/>
    <s v="Yes"/>
    <m/>
    <s v="Yes"/>
    <m/>
    <s v="Yes"/>
    <m/>
    <s v="Yes"/>
    <m/>
    <s v="N/A"/>
    <m/>
    <s v="Yes"/>
    <m/>
    <s v="Yes"/>
    <m/>
    <s v="New"/>
    <s v="infasco"/>
    <n v="106.94"/>
    <n v="106.94"/>
  </r>
  <r>
    <x v="5"/>
    <x v="30"/>
    <s v="11549171-MY-AK"/>
    <n v="714451"/>
    <n v="36"/>
    <n v="280"/>
    <n v="10080"/>
    <n v="290"/>
    <s v="Yes"/>
    <m/>
    <s v="Yes"/>
    <m/>
    <s v="Yes"/>
    <m/>
    <s v="Yes"/>
    <m/>
    <s v="N/A"/>
    <m/>
    <s v="Yes"/>
    <m/>
    <s v="Yes"/>
    <m/>
    <s v="New"/>
    <s v="infasco"/>
    <n v="106.94"/>
    <n v="106.94"/>
  </r>
  <r>
    <x v="5"/>
    <x v="30"/>
    <s v="11549171-MY-AK"/>
    <n v="714452"/>
    <n v="36"/>
    <n v="280"/>
    <n v="10080"/>
    <n v="290"/>
    <s v="Yes"/>
    <m/>
    <s v="Yes"/>
    <m/>
    <s v="Yes"/>
    <m/>
    <s v="Yes"/>
    <m/>
    <s v="N/A"/>
    <m/>
    <s v="Yes"/>
    <m/>
    <s v="Yes"/>
    <m/>
    <s v="New"/>
    <s v="infasco"/>
    <n v="106.94"/>
    <n v="106.94"/>
  </r>
  <r>
    <x v="5"/>
    <x v="30"/>
    <s v="11549171-MY-AK"/>
    <n v="714445"/>
    <n v="33"/>
    <n v="280"/>
    <n v="9240"/>
    <n v="290"/>
    <s v="Yes"/>
    <m/>
    <s v="Yes"/>
    <m/>
    <s v="Yes"/>
    <m/>
    <s v="Yes"/>
    <m/>
    <s v="N/A"/>
    <m/>
    <s v="Yes"/>
    <m/>
    <s v="Yes"/>
    <m/>
    <s v="New"/>
    <s v="infasco"/>
    <n v="106.94"/>
    <n v="106.94"/>
  </r>
  <r>
    <x v="5"/>
    <x v="30"/>
    <n v="11549170"/>
    <n v="714390"/>
    <n v="16"/>
    <n v="400"/>
    <n v="6400"/>
    <n v="290"/>
    <s v="Yes"/>
    <m/>
    <s v="Yes"/>
    <m/>
    <s v="Yes"/>
    <m/>
    <s v="Yes"/>
    <m/>
    <s v="N/A"/>
    <m/>
    <s v="Yes"/>
    <m/>
    <s v="Yes"/>
    <m/>
    <s v="Re-certified"/>
    <s v="infasco"/>
    <n v="106.94"/>
    <n v="0"/>
  </r>
  <r>
    <x v="5"/>
    <x v="29"/>
    <n v="11546545"/>
    <n v="714670"/>
    <n v="18"/>
    <n v="2500"/>
    <n v="45000"/>
    <n v="290"/>
    <s v="Yes"/>
    <m/>
    <s v="Yes"/>
    <m/>
    <s v="Yes"/>
    <m/>
    <s v="Yes"/>
    <m/>
    <s v="N/A"/>
    <m/>
    <s v="Yes"/>
    <m/>
    <s v="Yes"/>
    <m/>
    <s v="New"/>
    <s v="infasco"/>
    <n v="106.94"/>
    <n v="106.94"/>
  </r>
  <r>
    <x v="5"/>
    <x v="29"/>
    <s v="11546437-MY-AK"/>
    <n v="716077"/>
    <n v="25"/>
    <n v="1500"/>
    <n v="37500"/>
    <n v="290"/>
    <s v="Yes"/>
    <m/>
    <s v="Yes"/>
    <m/>
    <s v="Yes"/>
    <m/>
    <s v="Yes"/>
    <m/>
    <s v="N/A"/>
    <m/>
    <s v="Yes"/>
    <m/>
    <s v="Yes"/>
    <m/>
    <s v="Re-certified"/>
    <s v="infasco"/>
    <n v="106.94"/>
    <n v="0"/>
  </r>
  <r>
    <x v="5"/>
    <x v="4"/>
    <s v="11609789-IN-MR"/>
    <n v="714590"/>
    <n v="16"/>
    <n v="3000"/>
    <n v="48000"/>
    <n v="292"/>
    <s v="Yes"/>
    <m/>
    <s v="Yes"/>
    <m/>
    <s v="Yes"/>
    <m/>
    <s v="Yes"/>
    <m/>
    <s v="N/A"/>
    <m/>
    <s v="Yes"/>
    <m/>
    <s v="Yes"/>
    <m/>
    <s v="New"/>
    <s v="infasco"/>
    <s v="N/A"/>
    <n v="106.94"/>
  </r>
  <r>
    <x v="5"/>
    <x v="1"/>
    <n v="11546377"/>
    <n v="715737"/>
    <n v="5"/>
    <n v="2150"/>
    <n v="10750"/>
    <n v="292"/>
    <s v="Yes"/>
    <m/>
    <s v="Yes"/>
    <m/>
    <s v="Yes"/>
    <m/>
    <s v="Yes"/>
    <m/>
    <s v="N/A"/>
    <m/>
    <s v="Yes"/>
    <m/>
    <s v="Yes"/>
    <m/>
    <s v="New"/>
    <s v="infasco"/>
    <n v="106.94"/>
    <n v="106.94"/>
  </r>
  <r>
    <x v="5"/>
    <x v="1"/>
    <s v="11546437-MY-AK"/>
    <n v="716078"/>
    <n v="30"/>
    <n v="1500"/>
    <n v="45000"/>
    <n v="292"/>
    <s v="Yes"/>
    <m/>
    <s v="Yes"/>
    <m/>
    <s v="Yes"/>
    <m/>
    <s v="Yes"/>
    <m/>
    <s v="N/A"/>
    <m/>
    <s v="Yes"/>
    <m/>
    <s v="Yes"/>
    <m/>
    <s v="Re-certified"/>
    <s v="infasco"/>
    <n v="106.94"/>
    <n v="0"/>
  </r>
  <r>
    <x v="5"/>
    <x v="2"/>
    <s v="06502979-A"/>
    <n v="713989"/>
    <n v="2"/>
    <n v="750"/>
    <n v="1500"/>
    <n v="292"/>
    <s v="Yes"/>
    <m/>
    <s v="Yes"/>
    <m/>
    <s v="Yes"/>
    <m/>
    <s v="Yes"/>
    <m/>
    <s v="N/A"/>
    <m/>
    <s v="Yes"/>
    <m/>
    <s v="Yes"/>
    <m/>
    <s v="New"/>
    <s v="infasco"/>
    <n v="106.94"/>
    <n v="106.94"/>
  </r>
  <r>
    <x v="5"/>
    <x v="2"/>
    <s v="06502979-A"/>
    <n v="713988"/>
    <n v="16"/>
    <n v="750"/>
    <n v="12000"/>
    <n v="292"/>
    <s v="Yes"/>
    <m/>
    <s v="Yes"/>
    <m/>
    <s v="Yes"/>
    <m/>
    <s v="Yes"/>
    <m/>
    <s v="N/A"/>
    <m/>
    <s v="Yes"/>
    <m/>
    <s v="Yes"/>
    <m/>
    <s v="New"/>
    <s v="infasco"/>
    <n v="106.94"/>
    <n v="106.94"/>
  </r>
  <r>
    <x v="5"/>
    <x v="2"/>
    <n v="11546462"/>
    <n v="716184"/>
    <n v="32"/>
    <n v="650"/>
    <n v="20800"/>
    <n v="292"/>
    <s v="Yes"/>
    <m/>
    <s v="Yes"/>
    <m/>
    <s v="Yes"/>
    <m/>
    <s v="Yes"/>
    <m/>
    <s v="N/A"/>
    <m/>
    <s v="Yes"/>
    <m/>
    <s v="Yes"/>
    <m/>
    <s v="Re-certified"/>
    <s v="infasco"/>
    <n v="106.94"/>
    <n v="0"/>
  </r>
  <r>
    <x v="5"/>
    <x v="0"/>
    <n v="11546377"/>
    <n v="715738"/>
    <n v="14"/>
    <n v="2150"/>
    <n v="30100"/>
    <n v="292"/>
    <s v="Yes"/>
    <m/>
    <s v="Yes"/>
    <m/>
    <s v="Yes"/>
    <m/>
    <s v="Yes"/>
    <m/>
    <s v="N/A"/>
    <m/>
    <s v="Yes"/>
    <m/>
    <s v="Yes"/>
    <m/>
    <s v="New"/>
    <s v="infasco"/>
    <n v="106.94"/>
    <n v="106.94"/>
  </r>
  <r>
    <x v="5"/>
    <x v="0"/>
    <n v="11546377"/>
    <n v="715739"/>
    <n v="12"/>
    <n v="2150"/>
    <n v="25800"/>
    <n v="292"/>
    <s v="Yes"/>
    <m/>
    <s v="Yes"/>
    <m/>
    <s v="Yes"/>
    <m/>
    <s v="Yes"/>
    <m/>
    <s v="N/A"/>
    <m/>
    <s v="Yes"/>
    <m/>
    <s v="Yes"/>
    <m/>
    <s v="Re-certified"/>
    <s v="infasco"/>
    <n v="106.94"/>
    <n v="0"/>
  </r>
  <r>
    <x v="5"/>
    <x v="3"/>
    <s v="11549171-MY-AK"/>
    <n v="714444"/>
    <n v="31"/>
    <n v="280"/>
    <n v="8680"/>
    <n v="292"/>
    <s v="Yes"/>
    <m/>
    <s v="Yes"/>
    <m/>
    <s v="Yes"/>
    <m/>
    <s v="Yes"/>
    <m/>
    <s v="N/A"/>
    <m/>
    <s v="Yes"/>
    <m/>
    <s v="Yes"/>
    <m/>
    <s v="New"/>
    <s v="infasco"/>
    <n v="106.94"/>
    <n v="106.94"/>
  </r>
  <r>
    <x v="5"/>
    <x v="3"/>
    <s v="11549171-MY-AK"/>
    <n v="714450"/>
    <n v="36"/>
    <n v="280"/>
    <n v="10080"/>
    <n v="292"/>
    <s v="Yes"/>
    <m/>
    <s v="Yes"/>
    <m/>
    <s v="Yes"/>
    <m/>
    <s v="Yes"/>
    <m/>
    <s v="N/A"/>
    <m/>
    <s v="Yes"/>
    <m/>
    <s v="Yes"/>
    <m/>
    <s v="New"/>
    <s v="infasco"/>
    <n v="106.94"/>
    <n v="106.94"/>
  </r>
  <r>
    <x v="5"/>
    <x v="3"/>
    <s v="11549171-MY-AK"/>
    <n v="714450"/>
    <n v="36"/>
    <n v="280"/>
    <n v="10080"/>
    <n v="292"/>
    <s v="Yes"/>
    <m/>
    <s v="Yes"/>
    <m/>
    <s v="Yes"/>
    <m/>
    <s v="Yes"/>
    <m/>
    <s v="N/A"/>
    <m/>
    <s v="Yes"/>
    <m/>
    <s v="Yes"/>
    <m/>
    <s v="New"/>
    <s v="infasco"/>
    <n v="106.94"/>
    <n v="106.94"/>
  </r>
  <r>
    <x v="5"/>
    <x v="3"/>
    <s v="11549171-MY-AK"/>
    <n v="714453"/>
    <n v="24"/>
    <n v="280"/>
    <n v="6720"/>
    <n v="292"/>
    <s v="Yes"/>
    <m/>
    <s v="Yes"/>
    <m/>
    <s v="Yes"/>
    <m/>
    <s v="Yes"/>
    <m/>
    <s v="N/A"/>
    <m/>
    <s v="Yes"/>
    <m/>
    <s v="Yes"/>
    <m/>
    <s v="New"/>
    <s v="infasco"/>
    <n v="106.94"/>
    <n v="106.94"/>
  </r>
  <r>
    <x v="5"/>
    <x v="3"/>
    <s v="11549171-MY-AK"/>
    <n v="714375"/>
    <n v="36"/>
    <n v="280"/>
    <n v="10080"/>
    <n v="292"/>
    <s v="Yes"/>
    <m/>
    <s v="Yes"/>
    <m/>
    <s v="Yes"/>
    <m/>
    <s v="Yes"/>
    <m/>
    <s v="N/A"/>
    <m/>
    <s v="Yes"/>
    <m/>
    <s v="Yes"/>
    <m/>
    <s v="New"/>
    <s v="infasco"/>
    <n v="106.94"/>
    <n v="106.94"/>
  </r>
  <r>
    <x v="5"/>
    <x v="5"/>
    <s v="06513904aa"/>
    <n v="715600"/>
    <n v="36"/>
    <n v="300"/>
    <n v="10800"/>
    <n v="292"/>
    <s v="Yes"/>
    <m/>
    <s v="Yes"/>
    <m/>
    <s v="Yes"/>
    <m/>
    <s v="Yes"/>
    <m/>
    <s v="N/A"/>
    <m/>
    <s v="Yes"/>
    <m/>
    <s v="Yes"/>
    <m/>
    <s v="New"/>
    <s v="infasco"/>
    <s v="N/A"/>
    <n v="106.94"/>
  </r>
  <r>
    <x v="5"/>
    <x v="5"/>
    <s v="06513904aa"/>
    <n v="715601"/>
    <n v="36"/>
    <n v="300"/>
    <n v="10800"/>
    <n v="292"/>
    <s v="Yes"/>
    <m/>
    <s v="Yes"/>
    <m/>
    <s v="Yes"/>
    <m/>
    <s v="Yes"/>
    <m/>
    <s v="N/A"/>
    <m/>
    <s v="Yes"/>
    <m/>
    <s v="Yes"/>
    <m/>
    <s v="New"/>
    <s v="infasco"/>
    <s v="N/A"/>
    <n v="106.94"/>
  </r>
  <r>
    <x v="5"/>
    <x v="5"/>
    <n v="11546463"/>
    <n v="716171"/>
    <n v="20"/>
    <n v="450"/>
    <n v="9000"/>
    <n v="292"/>
    <s v="Yes"/>
    <m/>
    <s v="Yes"/>
    <m/>
    <s v="Yes"/>
    <m/>
    <s v="Yes"/>
    <m/>
    <s v="N/A"/>
    <m/>
    <s v="Yes"/>
    <m/>
    <s v="Yes"/>
    <m/>
    <s v="Re-certified"/>
    <s v="infasco"/>
    <n v="106.94"/>
    <n v="0"/>
  </r>
  <r>
    <x v="5"/>
    <x v="25"/>
    <s v="11546364-PH-RO"/>
    <n v="710966"/>
    <n v="25"/>
    <n v="3500"/>
    <n v="87500"/>
    <n v="280"/>
    <s v="Yes"/>
    <m/>
    <s v="Yes"/>
    <m/>
    <s v="Yes"/>
    <m/>
    <s v="Yes"/>
    <m/>
    <s v="N/A"/>
    <m/>
    <s v="Yes"/>
    <m/>
    <s v="Yes"/>
    <m/>
    <s v="New"/>
    <s v="infasco"/>
    <n v="106.94"/>
    <n v="106.94"/>
  </r>
  <r>
    <x v="5"/>
    <x v="24"/>
    <s v="W520414-S440"/>
    <n v="715990"/>
    <n v="36"/>
    <n v="1120"/>
    <n v="40320"/>
    <n v="280"/>
    <s v="Yes"/>
    <m/>
    <s v="Yes"/>
    <m/>
    <s v="Yes"/>
    <m/>
    <s v="Yes"/>
    <m/>
    <s v="N/A"/>
    <m/>
    <s v="Yes"/>
    <m/>
    <s v="Yes"/>
    <m/>
    <s v="New"/>
    <s v="infasco"/>
    <n v="106.94"/>
    <n v="106.94"/>
  </r>
  <r>
    <x v="5"/>
    <x v="24"/>
    <s v="W520414-S440"/>
    <n v="715991"/>
    <n v="4"/>
    <n v="1120"/>
    <n v="4480"/>
    <n v="280"/>
    <s v="Yes"/>
    <m/>
    <s v="Yes"/>
    <m/>
    <s v="Yes"/>
    <m/>
    <s v="Yes"/>
    <m/>
    <s v="N/A"/>
    <m/>
    <s v="Yes"/>
    <m/>
    <s v="Yes"/>
    <m/>
    <s v="Re-certified"/>
    <s v="infasco"/>
    <n v="0"/>
    <n v="0"/>
  </r>
  <r>
    <x v="5"/>
    <x v="23"/>
    <s v="06104725AA"/>
    <n v="715704"/>
    <n v="23"/>
    <n v="2800"/>
    <n v="64400"/>
    <n v="280"/>
    <s v="Yes"/>
    <m/>
    <s v="Yes"/>
    <m/>
    <s v="Yes"/>
    <m/>
    <s v="Yes"/>
    <m/>
    <s v="N/A"/>
    <m/>
    <s v="Yes"/>
    <m/>
    <s v="Yes"/>
    <m/>
    <s v="New"/>
    <s v="infasco"/>
    <n v="106.94"/>
    <n v="106.94"/>
  </r>
  <r>
    <x v="5"/>
    <x v="23"/>
    <s v="06104725AA"/>
    <n v="715705"/>
    <n v="36"/>
    <n v="2800"/>
    <n v="100800"/>
    <n v="280"/>
    <s v="Yes"/>
    <m/>
    <s v="Yes"/>
    <m/>
    <s v="Yes"/>
    <m/>
    <s v="Yes"/>
    <m/>
    <s v="N/A"/>
    <m/>
    <s v="Yes"/>
    <m/>
    <s v="Yes"/>
    <m/>
    <s v="New"/>
    <s v="infasco"/>
    <n v="106.94"/>
    <n v="106.94"/>
  </r>
  <r>
    <x v="5"/>
    <x v="23"/>
    <s v="06104725AA"/>
    <n v="715708"/>
    <n v="16"/>
    <n v="2800"/>
    <n v="44800"/>
    <n v="280"/>
    <s v="Yes"/>
    <m/>
    <s v="Yes"/>
    <m/>
    <s v="Yes"/>
    <m/>
    <s v="Yes"/>
    <m/>
    <s v="N/A"/>
    <m/>
    <s v="Yes"/>
    <m/>
    <s v="Yes"/>
    <m/>
    <s v="Re-certified"/>
    <s v="infasco"/>
    <n v="0"/>
    <n v="0"/>
  </r>
  <r>
    <x v="5"/>
    <x v="20"/>
    <s v="06502979-A"/>
    <n v="714563"/>
    <n v="13"/>
    <n v="750"/>
    <n v="9750"/>
    <n v="280"/>
    <s v="Yes"/>
    <m/>
    <s v="Yes"/>
    <m/>
    <s v="Yes"/>
    <m/>
    <s v="Yes"/>
    <m/>
    <s v="N/A"/>
    <m/>
    <s v="Yes"/>
    <m/>
    <s v="Yes"/>
    <m/>
    <s v="New"/>
    <s v="infasco"/>
    <n v="106.94"/>
    <n v="106.94"/>
  </r>
  <r>
    <x v="5"/>
    <x v="20"/>
    <n v="11546462"/>
    <n v="716187"/>
    <n v="24"/>
    <n v="650"/>
    <n v="15600"/>
    <n v="280"/>
    <s v="Yes"/>
    <m/>
    <s v="Yes"/>
    <m/>
    <s v="Yes"/>
    <m/>
    <s v="Yes"/>
    <m/>
    <s v="N/A"/>
    <m/>
    <s v="Yes"/>
    <m/>
    <s v="Yes"/>
    <m/>
    <s v="Re-certified"/>
    <s v="infasco"/>
    <n v="0"/>
    <n v="0"/>
  </r>
  <r>
    <x v="5"/>
    <x v="22"/>
    <n v="11546377"/>
    <n v="715736"/>
    <n v="24"/>
    <n v="2150"/>
    <n v="51600"/>
    <n v="280"/>
    <s v="Yes"/>
    <m/>
    <s v="Yes"/>
    <m/>
    <s v="Yes"/>
    <m/>
    <s v="Yes"/>
    <m/>
    <s v="N/A"/>
    <m/>
    <s v="Yes"/>
    <m/>
    <s v="Yes"/>
    <m/>
    <s v="New"/>
    <s v="infasco"/>
    <n v="106.94"/>
    <n v="106.94"/>
  </r>
  <r>
    <x v="5"/>
    <x v="33"/>
    <s v="06503825-A"/>
    <n v="714564"/>
    <n v="7"/>
    <n v="1500"/>
    <n v="10500"/>
    <n v="279"/>
    <s v="Yes"/>
    <m/>
    <s v="Yes"/>
    <m/>
    <s v="Yes"/>
    <m/>
    <s v="Yes"/>
    <m/>
    <s v="N/A"/>
    <m/>
    <s v="Yes"/>
    <m/>
    <s v="Yes"/>
    <m/>
    <s v="New"/>
    <s v="infasco"/>
    <n v="226.94"/>
    <n v="226.94"/>
  </r>
  <r>
    <x v="4"/>
    <x v="15"/>
    <s v="06503825-A"/>
    <n v="714567"/>
    <n v="36"/>
    <n v="1500"/>
    <n v="54000"/>
    <s v="157+245"/>
    <s v="Yes"/>
    <m/>
    <s v="Yes"/>
    <m/>
    <s v="Yes"/>
    <m/>
    <s v="Yes"/>
    <m/>
    <s v="N/A"/>
    <m/>
    <s v="Yes"/>
    <m/>
    <s v="Yes"/>
    <m/>
    <s v="New"/>
    <s v="infasco"/>
    <n v="226.94"/>
    <n v="226.94"/>
  </r>
  <r>
    <x v="5"/>
    <x v="32"/>
    <s v="06512349AA"/>
    <n v="714570"/>
    <n v="21"/>
    <n v="400"/>
    <n v="8400"/>
    <s v="294+252"/>
    <s v="Yes"/>
    <m/>
    <s v="Yes"/>
    <m/>
    <s v="Yes"/>
    <m/>
    <s v="Yes"/>
    <m/>
    <s v="N/A"/>
    <m/>
    <s v="Yes"/>
    <m/>
    <s v="Yes"/>
    <m/>
    <s v="New"/>
    <s v="infasco"/>
    <n v="135.07999999999998"/>
    <n v="135.07999999999998"/>
  </r>
  <r>
    <x v="5"/>
    <x v="15"/>
    <s v="06512349AA"/>
    <n v="714571"/>
    <n v="27"/>
    <n v="400"/>
    <n v="10800"/>
    <s v="245+279"/>
    <s v="Yes"/>
    <m/>
    <s v="Yes"/>
    <m/>
    <s v="Yes"/>
    <m/>
    <s v="Yes"/>
    <m/>
    <s v="N/A"/>
    <m/>
    <s v="Yes"/>
    <m/>
    <s v="Yes"/>
    <m/>
    <s v="New"/>
    <s v="infasco"/>
    <n v="135.07999999999998"/>
    <n v="135.07999999999998"/>
  </r>
  <r>
    <x v="4"/>
    <x v="32"/>
    <s v="55364498AA"/>
    <n v="714572"/>
    <n v="20"/>
    <n v="520"/>
    <n v="10400"/>
    <s v="294+252"/>
    <s v="Yes"/>
    <m/>
    <s v="Yes"/>
    <m/>
    <s v="Yes"/>
    <m/>
    <s v="Yes"/>
    <m/>
    <s v="N/A"/>
    <m/>
    <s v="Yes"/>
    <m/>
    <s v="Yes"/>
    <m/>
    <s v="New"/>
    <s v="infasco"/>
    <n v="135.07999999999998"/>
    <n v="135.07999999999998"/>
  </r>
  <r>
    <x v="5"/>
    <x v="32"/>
    <s v="55364498AA"/>
    <n v="714572"/>
    <n v="4"/>
    <n v="520"/>
    <n v="2080"/>
    <s v="294+252"/>
    <s v="Yes"/>
    <m/>
    <s v="Yes"/>
    <m/>
    <s v="Yes"/>
    <m/>
    <s v="Yes"/>
    <m/>
    <s v="N/A"/>
    <m/>
    <s v="Yes"/>
    <m/>
    <s v="Yes"/>
    <m/>
    <s v="Re-certified"/>
    <s v="infasco"/>
    <n v="0"/>
    <n v="0"/>
  </r>
  <r>
    <x v="5"/>
    <x v="15"/>
    <s v="55364498AA"/>
    <n v="714573"/>
    <n v="23"/>
    <n v="520"/>
    <n v="11960"/>
    <s v="245+279"/>
    <s v="Yes"/>
    <m/>
    <s v="Yes"/>
    <m/>
    <s v="Yes"/>
    <m/>
    <s v="Yes"/>
    <m/>
    <s v="N/A"/>
    <m/>
    <s v="Yes"/>
    <m/>
    <s v="Yes"/>
    <m/>
    <s v="New"/>
    <s v="infasco"/>
    <n v="135.07999999999998"/>
    <n v="135.07999999999998"/>
  </r>
  <r>
    <x v="4"/>
    <x v="15"/>
    <s v="NU1510"/>
    <n v="715665"/>
    <n v="1"/>
    <n v="36230"/>
    <n v="36230"/>
    <s v="157+245"/>
    <s v="Yes"/>
    <m/>
    <s v="Yes"/>
    <m/>
    <s v="Yes"/>
    <m/>
    <s v="Yes"/>
    <m/>
    <s v="N/A"/>
    <m/>
    <s v="Yes"/>
    <m/>
    <s v="Yes"/>
    <m/>
    <s v="New"/>
    <s v="infasco"/>
    <n v="129.44999999999999"/>
    <n v="129.44999999999999"/>
  </r>
  <r>
    <x v="4"/>
    <x v="16"/>
    <n v="61273"/>
    <n v="715674"/>
    <n v="26"/>
    <n v="300"/>
    <n v="7800"/>
    <s v="285+391"/>
    <s v="Yes"/>
    <m/>
    <s v="Yes"/>
    <m/>
    <s v="Yes"/>
    <m/>
    <s v="Yes"/>
    <m/>
    <s v="N/A"/>
    <m/>
    <s v="Yes"/>
    <m/>
    <s v="Yes"/>
    <m/>
    <s v="New"/>
    <s v="infasco"/>
    <n v="135.07999999999998"/>
    <n v="135.07999999999998"/>
  </r>
  <r>
    <x v="4"/>
    <x v="15"/>
    <n v="61273"/>
    <n v="715675"/>
    <n v="23"/>
    <n v="300"/>
    <n v="6900"/>
    <s v="157+245"/>
    <s v="Yes"/>
    <m/>
    <s v="Yes"/>
    <m/>
    <s v="Yes"/>
    <m/>
    <s v="Yes"/>
    <m/>
    <s v="N/A"/>
    <m/>
    <s v="Yes"/>
    <m/>
    <s v="Yes"/>
    <m/>
    <s v="New"/>
    <s v="infasco"/>
    <n v="135.07999999999998"/>
    <n v="135.07999999999998"/>
  </r>
  <r>
    <x v="4"/>
    <x v="32"/>
    <n v="11602292"/>
    <n v="715794"/>
    <n v="27"/>
    <n v="1000"/>
    <n v="27000"/>
    <s v="294+252"/>
    <s v="Yes"/>
    <m/>
    <s v="Yes"/>
    <m/>
    <s v="Yes"/>
    <m/>
    <s v="Yes"/>
    <m/>
    <s v="N/A"/>
    <m/>
    <s v="Yes"/>
    <m/>
    <s v="Yes"/>
    <m/>
    <s v="New"/>
    <s v="infasco"/>
    <n v="135.07999999999998"/>
    <n v="135.07999999999998"/>
  </r>
  <r>
    <x v="4"/>
    <x v="16"/>
    <n v="11602292"/>
    <n v="715795"/>
    <n v="25"/>
    <n v="1000"/>
    <n v="25000"/>
    <s v="285+391"/>
    <s v="Yes"/>
    <m/>
    <s v="Yes"/>
    <m/>
    <s v="Yes"/>
    <m/>
    <s v="Yes"/>
    <m/>
    <s v="N/A"/>
    <m/>
    <s v="Yes"/>
    <m/>
    <s v="Yes"/>
    <m/>
    <s v="New"/>
    <s v="infasco"/>
    <n v="135.07999999999998"/>
    <n v="135.07999999999998"/>
  </r>
  <r>
    <x v="5"/>
    <x v="32"/>
    <s v="06510997AA"/>
    <n v="715841"/>
    <n v="30"/>
    <n v="75"/>
    <n v="2250"/>
    <s v="294+252"/>
    <s v="Yes"/>
    <m/>
    <s v="Yes"/>
    <m/>
    <s v="Yes"/>
    <m/>
    <s v="Yes"/>
    <m/>
    <s v="N/A"/>
    <m/>
    <s v="Yes"/>
    <m/>
    <s v="Yes"/>
    <m/>
    <s v="New"/>
    <s v="infasco"/>
    <n v="135.07999999999998"/>
    <n v="135.07999999999998"/>
  </r>
  <r>
    <x v="4"/>
    <x v="15"/>
    <s v="06510997AA"/>
    <n v="715842"/>
    <n v="9"/>
    <n v="75"/>
    <n v="675"/>
    <s v="157+245"/>
    <s v="Yes"/>
    <m/>
    <s v="Yes"/>
    <m/>
    <s v="Yes"/>
    <m/>
    <s v="Yes"/>
    <m/>
    <s v="N/A"/>
    <m/>
    <s v="Yes"/>
    <m/>
    <s v="Yes"/>
    <m/>
    <s v="Re-certified"/>
    <s v="infasco"/>
    <n v="0"/>
    <n v="0"/>
  </r>
  <r>
    <x v="5"/>
    <x v="16"/>
    <s v="06510997AA"/>
    <n v="715844"/>
    <n v="33"/>
    <n v="75"/>
    <n v="2475"/>
    <s v="285+391"/>
    <s v="Yes"/>
    <m/>
    <s v="Yes"/>
    <m/>
    <s v="Yes"/>
    <m/>
    <s v="Yes"/>
    <m/>
    <s v="N/A"/>
    <m/>
    <s v="Yes"/>
    <m/>
    <s v="Yes"/>
    <m/>
    <s v="New"/>
    <s v="infasco"/>
    <n v="135.07999999999998"/>
    <n v="135.07999999999998"/>
  </r>
  <r>
    <x v="5"/>
    <x v="16"/>
    <n v="11549204"/>
    <n v="715872"/>
    <n v="20"/>
    <n v="210"/>
    <n v="4200"/>
    <s v="285+391"/>
    <s v="Yes"/>
    <m/>
    <s v="Yes"/>
    <m/>
    <s v="Yes"/>
    <m/>
    <s v="Yes"/>
    <m/>
    <s v="N/A"/>
    <m/>
    <s v="Yes"/>
    <m/>
    <s v="Yes"/>
    <m/>
    <s v="New"/>
    <s v="infasco"/>
    <n v="106.94"/>
    <n v="106.94"/>
  </r>
  <r>
    <x v="5"/>
    <x v="32"/>
    <n v="11549204"/>
    <n v="715873"/>
    <n v="42"/>
    <n v="210"/>
    <n v="8820"/>
    <s v="294+252"/>
    <s v="Yes"/>
    <m/>
    <s v="Yes"/>
    <m/>
    <s v="Yes"/>
    <m/>
    <s v="Yes"/>
    <m/>
    <s v="N/A"/>
    <m/>
    <s v="Yes"/>
    <m/>
    <s v="Yes"/>
    <m/>
    <s v="New"/>
    <s v="infasco"/>
    <n v="106.94"/>
    <n v="106.94"/>
  </r>
  <r>
    <x v="5"/>
    <x v="15"/>
    <n v="11549204"/>
    <n v="715874"/>
    <n v="50"/>
    <n v="210"/>
    <n v="10500"/>
    <s v="245+279"/>
    <s v="Yes"/>
    <m/>
    <s v="Yes"/>
    <m/>
    <s v="Yes"/>
    <m/>
    <s v="Yes"/>
    <m/>
    <s v="N/A"/>
    <m/>
    <s v="Yes"/>
    <m/>
    <s v="Yes"/>
    <m/>
    <s v="New"/>
    <s v="infasco"/>
    <n v="106.94"/>
    <n v="106.94"/>
  </r>
  <r>
    <x v="5"/>
    <x v="15"/>
    <n v="11549204"/>
    <n v="715875"/>
    <n v="36"/>
    <n v="210"/>
    <n v="7560"/>
    <s v="245+279"/>
    <s v="Yes"/>
    <m/>
    <s v="Yes"/>
    <m/>
    <s v="Yes"/>
    <m/>
    <s v="Yes"/>
    <m/>
    <s v="N/A"/>
    <m/>
    <s v="Yes"/>
    <m/>
    <s v="Yes"/>
    <m/>
    <s v="New"/>
    <s v="infasco"/>
    <n v="106.94"/>
    <n v="106.94"/>
  </r>
  <r>
    <x v="5"/>
    <x v="16"/>
    <n v="11549204"/>
    <n v="715877"/>
    <n v="36"/>
    <n v="210"/>
    <n v="7560"/>
    <s v="285+391"/>
    <s v="Yes"/>
    <m/>
    <s v="Yes"/>
    <m/>
    <s v="Yes"/>
    <m/>
    <s v="Yes"/>
    <m/>
    <s v="N/A"/>
    <m/>
    <s v="Yes"/>
    <m/>
    <s v="Yes"/>
    <m/>
    <s v="New"/>
    <s v="infasco"/>
    <n v="106.94"/>
    <n v="106.94"/>
  </r>
  <r>
    <x v="5"/>
    <x v="16"/>
    <n v="11549204"/>
    <n v="715878"/>
    <n v="20"/>
    <n v="210"/>
    <n v="4200"/>
    <s v="285+391"/>
    <s v="Yes"/>
    <m/>
    <s v="Yes"/>
    <m/>
    <s v="Yes"/>
    <m/>
    <s v="Yes"/>
    <m/>
    <s v="N/A"/>
    <m/>
    <s v="Yes"/>
    <m/>
    <s v="Yes"/>
    <m/>
    <s v="New"/>
    <s v="infasco"/>
    <n v="106.94"/>
    <n v="106.94"/>
  </r>
  <r>
    <x v="5"/>
    <x v="13"/>
    <n v="11548535"/>
    <n v="713509"/>
    <n v="37"/>
    <n v="150"/>
    <n v="5550"/>
    <s v="011+293"/>
    <s v="Yes"/>
    <m/>
    <s v="Yes"/>
    <m/>
    <s v="Yes"/>
    <m/>
    <s v="Yes"/>
    <m/>
    <s v="N/A"/>
    <m/>
    <s v="Yes"/>
    <m/>
    <s v="Yes"/>
    <m/>
    <s v="New"/>
    <s v="infasco"/>
    <n v="106.94"/>
    <n v="106.94"/>
  </r>
  <r>
    <x v="5"/>
    <x v="13"/>
    <s v="F1302AB"/>
    <n v="714074"/>
    <n v="38"/>
    <n v="700"/>
    <n v="26600"/>
    <s v="011+293"/>
    <s v="Yes"/>
    <m/>
    <s v="Yes"/>
    <m/>
    <s v="Yes"/>
    <m/>
    <s v="Yes"/>
    <m/>
    <s v="N/A"/>
    <m/>
    <s v="Yes"/>
    <m/>
    <s v="Yes"/>
    <m/>
    <s v="New"/>
    <s v="infasco"/>
    <n v="135.07999999999998"/>
    <n v="135.07999999999998"/>
  </r>
  <r>
    <x v="5"/>
    <x v="13"/>
    <n v="11610376"/>
    <n v="714281"/>
    <n v="29"/>
    <n v="900"/>
    <n v="26100"/>
    <s v="011+293"/>
    <s v="Yes"/>
    <m/>
    <s v="Yes"/>
    <m/>
    <s v="Yes"/>
    <m/>
    <s v="Yes"/>
    <m/>
    <s v="N/A"/>
    <m/>
    <s v="Yes"/>
    <m/>
    <s v="Yes"/>
    <m/>
    <s v="New"/>
    <s v="infasco"/>
    <n v="106.94"/>
    <n v="106.94"/>
  </r>
  <r>
    <x v="5"/>
    <x v="13"/>
    <n v="11549204"/>
    <n v="715884"/>
    <n v="42"/>
    <n v="210"/>
    <n v="8820"/>
    <s v="011+293"/>
    <s v="Yes"/>
    <m/>
    <s v="Yes"/>
    <m/>
    <s v="Yes"/>
    <m/>
    <s v="Yes"/>
    <m/>
    <s v="N/A"/>
    <m/>
    <s v="Yes"/>
    <m/>
    <s v="Yes"/>
    <m/>
    <s v="New"/>
    <s v="infasco"/>
    <n v="106.94"/>
    <n v="106.94"/>
  </r>
  <r>
    <x v="5"/>
    <x v="13"/>
    <s v="06105049AA"/>
    <n v="715684"/>
    <n v="26"/>
    <n v="800"/>
    <n v="20800"/>
    <s v="011+293"/>
    <s v="Yes"/>
    <m/>
    <s v="Yes"/>
    <m/>
    <s v="Yes"/>
    <m/>
    <s v="Yes"/>
    <m/>
    <s v="N/A"/>
    <m/>
    <s v="Yes"/>
    <m/>
    <s v="Yes"/>
    <m/>
    <s v="New"/>
    <s v="infasco"/>
    <n v="280.16000000000003"/>
    <n v="280.16000000000003"/>
  </r>
  <r>
    <x v="5"/>
    <x v="13"/>
    <s v="06510997AA"/>
    <n v="715840"/>
    <n v="33"/>
    <n v="75"/>
    <n v="2475"/>
    <s v="011+293"/>
    <s v="Yes"/>
    <m/>
    <s v="Yes"/>
    <m/>
    <s v="Yes"/>
    <m/>
    <s v="Yes"/>
    <m/>
    <s v="N/A"/>
    <m/>
    <s v="Yes"/>
    <m/>
    <s v="Yes"/>
    <m/>
    <s v="New"/>
    <s v="infasco"/>
    <n v="135.07999999999998"/>
    <n v="135.07999999999998"/>
  </r>
  <r>
    <x v="5"/>
    <x v="13"/>
    <n v="11548414"/>
    <n v="716167"/>
    <n v="40"/>
    <n v="485"/>
    <n v="19400"/>
    <s v="011+293"/>
    <s v="Yes"/>
    <m/>
    <s v="Yes"/>
    <m/>
    <s v="Yes"/>
    <m/>
    <s v="Yes"/>
    <m/>
    <s v="N/A"/>
    <m/>
    <s v="Yes"/>
    <m/>
    <s v="Yes"/>
    <m/>
    <s v="New"/>
    <s v="infasco"/>
    <n v="106.94"/>
    <n v="106.94"/>
  </r>
  <r>
    <x v="5"/>
    <x v="13"/>
    <s v="N620483-S2"/>
    <n v="714708"/>
    <n v="20"/>
    <n v="600"/>
    <n v="12000"/>
    <s v="011+293"/>
    <s v="Yes"/>
    <m/>
    <s v="Yes"/>
    <m/>
    <s v="Yes"/>
    <m/>
    <s v="Yes"/>
    <m/>
    <s v="N/A"/>
    <m/>
    <s v="Yes"/>
    <m/>
    <s v="Yes"/>
    <m/>
    <s v="Re-certified"/>
    <s v="infasco"/>
    <n v="0"/>
    <n v="0"/>
  </r>
  <r>
    <x v="5"/>
    <x v="14"/>
    <n v="11612078"/>
    <n v="707327"/>
    <n v="12"/>
    <n v="1850"/>
    <n v="22200"/>
    <n v="4"/>
    <s v="Yes"/>
    <m/>
    <s v="Yes"/>
    <m/>
    <s v="Yes"/>
    <m/>
    <s v="Yes"/>
    <m/>
    <s v="N/A"/>
    <m/>
    <s v="Yes"/>
    <m/>
    <s v="Yes"/>
    <m/>
    <s v="Re-certified"/>
    <s v="infasco"/>
    <n v="0"/>
    <n v="0"/>
  </r>
  <r>
    <x v="5"/>
    <x v="16"/>
    <n v="11549204"/>
    <n v="715879"/>
    <n v="35"/>
    <n v="210"/>
    <n v="7350"/>
    <s v="285+391"/>
    <s v="Yes"/>
    <m/>
    <s v="Yes"/>
    <m/>
    <s v="Yes"/>
    <m/>
    <s v="Yes"/>
    <m/>
    <s v="N/A"/>
    <m/>
    <s v="Yes"/>
    <m/>
    <s v="Yes"/>
    <m/>
    <s v="New"/>
    <s v="infasco"/>
    <n v="106.94"/>
    <n v="106.94"/>
  </r>
  <r>
    <x v="5"/>
    <x v="32"/>
    <n v="11549204"/>
    <n v="715880"/>
    <n v="36"/>
    <n v="210"/>
    <n v="7560"/>
    <s v="294+252"/>
    <s v="Yes"/>
    <m/>
    <s v="Yes"/>
    <m/>
    <s v="Yes"/>
    <m/>
    <s v="Yes"/>
    <m/>
    <s v="N/A"/>
    <m/>
    <s v="Yes"/>
    <m/>
    <s v="Yes"/>
    <m/>
    <s v="New"/>
    <s v="infasco"/>
    <n v="106.94"/>
    <n v="106.94"/>
  </r>
  <r>
    <x v="5"/>
    <x v="32"/>
    <n v="11549204"/>
    <n v="715881"/>
    <n v="39"/>
    <n v="210"/>
    <n v="8190"/>
    <s v="294+252"/>
    <s v="Yes"/>
    <m/>
    <s v="Yes"/>
    <m/>
    <s v="Yes"/>
    <m/>
    <s v="Yes"/>
    <m/>
    <s v="N/A"/>
    <m/>
    <s v="Yes"/>
    <m/>
    <s v="Yes"/>
    <m/>
    <s v="New"/>
    <s v="infasco"/>
    <n v="106.94"/>
    <n v="106.94"/>
  </r>
  <r>
    <x v="5"/>
    <x v="15"/>
    <n v="11549204"/>
    <n v="715885"/>
    <n v="36"/>
    <n v="210"/>
    <n v="7560"/>
    <s v="245+279"/>
    <s v="Yes"/>
    <m/>
    <s v="Yes"/>
    <m/>
    <s v="Yes"/>
    <m/>
    <s v="Yes"/>
    <m/>
    <s v="N/A"/>
    <m/>
    <s v="Yes"/>
    <m/>
    <s v="Yes"/>
    <m/>
    <s v="New"/>
    <s v="infasco"/>
    <n v="106.94"/>
    <n v="106.94"/>
  </r>
  <r>
    <x v="5"/>
    <x v="15"/>
    <n v="11548414"/>
    <n v="716166"/>
    <n v="36"/>
    <n v="485"/>
    <n v="17460"/>
    <s v="245+279"/>
    <s v="Yes"/>
    <m/>
    <s v="Yes"/>
    <m/>
    <s v="Yes"/>
    <m/>
    <s v="Yes"/>
    <m/>
    <s v="N/A"/>
    <m/>
    <s v="Yes"/>
    <m/>
    <s v="Yes"/>
    <m/>
    <s v="New"/>
    <s v="infasco"/>
    <n v="106.94"/>
    <n v="106.94"/>
  </r>
  <r>
    <x v="5"/>
    <x v="32"/>
    <n v="11548414"/>
    <n v="716169"/>
    <n v="28"/>
    <n v="485"/>
    <n v="13580"/>
    <s v="294+252"/>
    <s v="Yes"/>
    <m/>
    <s v="Yes"/>
    <m/>
    <s v="Yes"/>
    <m/>
    <s v="Yes"/>
    <m/>
    <s v="N/A"/>
    <m/>
    <s v="Yes"/>
    <m/>
    <s v="Yes"/>
    <m/>
    <s v="New"/>
    <s v="infasco"/>
    <n v="106.94"/>
    <n v="106.94"/>
  </r>
  <r>
    <x v="5"/>
    <x v="15"/>
    <n v="40161567"/>
    <n v="716202"/>
    <n v="27"/>
    <n v="175"/>
    <n v="4725"/>
    <s v="245+279"/>
    <s v="Yes"/>
    <m/>
    <s v="Yes"/>
    <m/>
    <s v="Yes"/>
    <m/>
    <s v="Yes"/>
    <m/>
    <s v="N/A"/>
    <m/>
    <s v="Yes"/>
    <m/>
    <s v="Yes"/>
    <m/>
    <s v="New"/>
    <s v="infasco"/>
    <n v="106.94"/>
    <n v="106.94"/>
  </r>
  <r>
    <x v="5"/>
    <x v="32"/>
    <n v="40161567"/>
    <n v="716203"/>
    <n v="29"/>
    <n v="175"/>
    <n v="5075"/>
    <s v="294+252"/>
    <s v="Yes"/>
    <m/>
    <s v="Yes"/>
    <m/>
    <s v="Yes"/>
    <m/>
    <s v="Yes"/>
    <m/>
    <s v="N/A"/>
    <m/>
    <s v="Yes"/>
    <m/>
    <s v="Yes"/>
    <m/>
    <s v="New"/>
    <s v="infasco"/>
    <n v="106.94"/>
    <n v="106.94"/>
  </r>
  <r>
    <x v="5"/>
    <x v="32"/>
    <n v="40161567"/>
    <n v="716204"/>
    <n v="36"/>
    <n v="175"/>
    <n v="6300"/>
    <s v="294+252"/>
    <s v="Yes"/>
    <m/>
    <s v="Yes"/>
    <m/>
    <s v="Yes"/>
    <m/>
    <s v="Yes"/>
    <m/>
    <s v="N/A"/>
    <m/>
    <s v="Yes"/>
    <m/>
    <s v="Yes"/>
    <m/>
    <s v="New"/>
    <s v="infasco"/>
    <n v="106.94"/>
    <n v="106.94"/>
  </r>
  <r>
    <x v="5"/>
    <x v="16"/>
    <n v="40161567"/>
    <n v="716205"/>
    <n v="29"/>
    <n v="175"/>
    <n v="5075"/>
    <s v="285+391"/>
    <s v="Yes"/>
    <m/>
    <s v="Yes"/>
    <m/>
    <s v="Yes"/>
    <m/>
    <s v="Yes"/>
    <m/>
    <s v="N/A"/>
    <m/>
    <s v="Yes"/>
    <m/>
    <s v="Yes"/>
    <m/>
    <s v="New"/>
    <s v="infasco"/>
    <n v="106.94"/>
    <n v="106.94"/>
  </r>
  <r>
    <x v="5"/>
    <x v="32"/>
    <n v="40161567"/>
    <n v="716206"/>
    <n v="10"/>
    <n v="175"/>
    <n v="1750"/>
    <s v="294+252"/>
    <s v="Yes"/>
    <m/>
    <s v="Yes"/>
    <m/>
    <s v="Yes"/>
    <m/>
    <s v="Yes"/>
    <m/>
    <s v="N/A"/>
    <m/>
    <s v="Yes"/>
    <m/>
    <s v="Yes"/>
    <m/>
    <s v="Re-certified"/>
    <s v="infasco"/>
    <n v="0"/>
    <n v="0"/>
  </r>
  <r>
    <x v="5"/>
    <x v="15"/>
    <n v="40161567"/>
    <n v="716207"/>
    <n v="23"/>
    <n v="175"/>
    <n v="4025"/>
    <s v="245+279"/>
    <s v="Yes"/>
    <m/>
    <s v="Yes"/>
    <m/>
    <s v="Yes"/>
    <m/>
    <s v="Yes"/>
    <m/>
    <s v="N/A"/>
    <m/>
    <s v="Yes"/>
    <m/>
    <s v="Yes"/>
    <m/>
    <s v="New"/>
    <s v="infasco"/>
    <n v="106.94"/>
    <n v="106.94"/>
  </r>
  <r>
    <x v="5"/>
    <x v="17"/>
    <n v="11546703"/>
    <n v="712585"/>
    <n v="26"/>
    <n v="4000"/>
    <n v="104000"/>
    <s v="190+268"/>
    <s v="Yes"/>
    <m/>
    <s v="Yes"/>
    <m/>
    <s v="Yes"/>
    <m/>
    <s v="Yes"/>
    <m/>
    <s v="N/A"/>
    <m/>
    <s v="Yes"/>
    <m/>
    <s v="Yes"/>
    <m/>
    <s v="New"/>
    <s v="infasco"/>
    <n v="135.07999999999998"/>
    <n v="135.07999999999998"/>
  </r>
  <r>
    <x v="5"/>
    <x v="17"/>
    <s v="06514720AA"/>
    <n v="714012"/>
    <n v="28"/>
    <n v="1250"/>
    <n v="35000"/>
    <s v="190+268"/>
    <s v="Yes"/>
    <m/>
    <s v="Yes"/>
    <m/>
    <s v="Yes"/>
    <m/>
    <s v="Yes"/>
    <m/>
    <s v="N/A"/>
    <m/>
    <s v="Yes"/>
    <m/>
    <s v="Yes"/>
    <m/>
    <s v="New"/>
    <s v="infasco"/>
    <n v="135.07999999999998"/>
    <n v="135.07999999999998"/>
  </r>
  <r>
    <x v="5"/>
    <x v="17"/>
    <n v="11611121"/>
    <n v="713556"/>
    <n v="29"/>
    <n v="900"/>
    <n v="26100"/>
    <s v="190+268"/>
    <s v="Yes"/>
    <m/>
    <s v="Yes"/>
    <m/>
    <s v="Yes"/>
    <m/>
    <s v="Yes"/>
    <m/>
    <s v="N/A"/>
    <m/>
    <s v="Yes"/>
    <m/>
    <s v="Yes"/>
    <m/>
    <s v="New"/>
    <s v="infasco"/>
    <n v="135.07999999999998"/>
    <n v="135.07999999999998"/>
  </r>
  <r>
    <x v="5"/>
    <x v="17"/>
    <n v="11549204"/>
    <n v="715883"/>
    <n v="36"/>
    <n v="210"/>
    <n v="7560"/>
    <s v="190+268"/>
    <s v="Yes"/>
    <m/>
    <s v="Yes"/>
    <m/>
    <s v="Yes"/>
    <m/>
    <s v="Yes"/>
    <m/>
    <s v="N/A"/>
    <m/>
    <s v="Yes"/>
    <m/>
    <s v="Yes"/>
    <m/>
    <s v="New"/>
    <s v="infasco"/>
    <n v="106.94"/>
    <n v="106.94"/>
  </r>
  <r>
    <x v="5"/>
    <x v="17"/>
    <n v="11549204"/>
    <n v="715882"/>
    <n v="36"/>
    <n v="210"/>
    <n v="7560"/>
    <s v="190+268"/>
    <s v="Yes"/>
    <m/>
    <s v="Yes"/>
    <m/>
    <s v="Yes"/>
    <m/>
    <s v="Yes"/>
    <m/>
    <s v="N/A"/>
    <m/>
    <s v="Yes"/>
    <m/>
    <s v="Yes"/>
    <m/>
    <s v="New"/>
    <s v="infasco"/>
    <n v="106.94"/>
    <n v="106.94"/>
  </r>
  <r>
    <x v="5"/>
    <x v="17"/>
    <n v="11549204"/>
    <n v="715876"/>
    <n v="28"/>
    <n v="210"/>
    <n v="5880"/>
    <s v="190+268"/>
    <s v="Yes"/>
    <m/>
    <s v="Yes"/>
    <m/>
    <s v="Yes"/>
    <m/>
    <s v="Yes"/>
    <m/>
    <s v="N/A"/>
    <m/>
    <s v="Yes"/>
    <m/>
    <s v="Yes"/>
    <m/>
    <s v="New"/>
    <s v="infasco"/>
    <n v="106.94"/>
    <n v="106.94"/>
  </r>
  <r>
    <x v="5"/>
    <x v="17"/>
    <s v="06105049AA"/>
    <n v="715685"/>
    <n v="23"/>
    <n v="800"/>
    <n v="18400"/>
    <s v="190+268"/>
    <s v="Yes"/>
    <m/>
    <s v="Yes"/>
    <m/>
    <s v="Yes"/>
    <m/>
    <s v="Yes"/>
    <m/>
    <s v="N/A"/>
    <m/>
    <s v="Yes"/>
    <m/>
    <s v="Yes"/>
    <m/>
    <s v="New"/>
    <s v="infasco"/>
    <n v="280.16000000000003"/>
    <n v="280.16000000000003"/>
  </r>
  <r>
    <x v="5"/>
    <x v="17"/>
    <s v="06510997AA"/>
    <n v="715845"/>
    <n v="35"/>
    <n v="75"/>
    <n v="2625"/>
    <s v="190+268"/>
    <s v="Yes"/>
    <m/>
    <s v="Yes"/>
    <m/>
    <s v="Yes"/>
    <m/>
    <s v="Yes"/>
    <m/>
    <s v="N/A"/>
    <m/>
    <s v="Yes"/>
    <m/>
    <s v="Yes"/>
    <m/>
    <s v="New"/>
    <s v="infasco"/>
    <n v="135.07999999999998"/>
    <n v="135.07999999999998"/>
  </r>
  <r>
    <x v="5"/>
    <x v="17"/>
    <n v="11548414"/>
    <n v="716168"/>
    <n v="35"/>
    <n v="485"/>
    <n v="16975"/>
    <s v="190+268"/>
    <s v="Yes"/>
    <m/>
    <s v="Yes"/>
    <m/>
    <s v="Yes"/>
    <m/>
    <s v="Yes"/>
    <m/>
    <s v="N/A"/>
    <m/>
    <s v="Yes"/>
    <m/>
    <s v="Yes"/>
    <m/>
    <s v="New"/>
    <s v="infasco"/>
    <n v="106.94"/>
    <n v="106.94"/>
  </r>
  <r>
    <x v="5"/>
    <x v="17"/>
    <s v="N620483-S2"/>
    <n v="714709"/>
    <n v="35"/>
    <n v="600"/>
    <n v="21000"/>
    <s v="190+268"/>
    <s v="Yes"/>
    <m/>
    <s v="Yes"/>
    <m/>
    <s v="Yes"/>
    <m/>
    <s v="Yes"/>
    <m/>
    <s v="N/A"/>
    <m/>
    <s v="Yes"/>
    <m/>
    <s v="Yes"/>
    <m/>
    <s v="New"/>
    <s v="infasco"/>
    <n v="106.94"/>
    <n v="106.94"/>
  </r>
  <r>
    <x v="4"/>
    <x v="19"/>
    <s v="NU5108"/>
    <n v="714132"/>
    <n v="1"/>
    <n v="25280"/>
    <n v="25280"/>
    <n v="272"/>
    <s v="Yes"/>
    <m/>
    <s v="Yes"/>
    <m/>
    <s v="Yes"/>
    <m/>
    <s v="Yes"/>
    <m/>
    <s v="N/A"/>
    <m/>
    <s v="Yes"/>
    <m/>
    <s v="Yes"/>
    <m/>
    <s v="New"/>
    <s v="infasco"/>
    <m/>
    <n v="129.44999999999999"/>
  </r>
  <r>
    <x v="4"/>
    <x v="19"/>
    <s v="NU5108"/>
    <n v="714135"/>
    <n v="1"/>
    <n v="70000"/>
    <n v="70000"/>
    <n v="272"/>
    <s v="Yes"/>
    <m/>
    <s v="Yes"/>
    <m/>
    <s v="Yes"/>
    <m/>
    <s v="Yes"/>
    <m/>
    <s v="N/A"/>
    <m/>
    <s v="Yes"/>
    <m/>
    <s v="Yes"/>
    <m/>
    <s v="New"/>
    <s v="infasco"/>
    <m/>
    <n v="129.44999999999999"/>
  </r>
  <r>
    <x v="5"/>
    <x v="31"/>
    <s v="E6267AB"/>
    <n v="711243"/>
    <n v="1"/>
    <n v="20000"/>
    <n v="20000"/>
    <n v="290"/>
    <s v="Yes"/>
    <m/>
    <s v="Yes"/>
    <m/>
    <s v="Yes"/>
    <m/>
    <s v="Yes"/>
    <m/>
    <s v="N/A"/>
    <m/>
    <s v="Yes"/>
    <m/>
    <s v="Yes"/>
    <m/>
    <s v="New"/>
    <s v="infasco"/>
    <n v="106.94"/>
    <n v="106.94"/>
  </r>
  <r>
    <x v="5"/>
    <x v="31"/>
    <s v="E6267AB"/>
    <n v="713552"/>
    <n v="1"/>
    <n v="20000"/>
    <n v="20000"/>
    <n v="290"/>
    <s v="Yes"/>
    <m/>
    <s v="Yes"/>
    <m/>
    <s v="Yes"/>
    <m/>
    <s v="Yes"/>
    <m/>
    <s v="N/A"/>
    <m/>
    <s v="Yes"/>
    <m/>
    <s v="Yes"/>
    <m/>
    <s v="New"/>
    <s v="infasco"/>
    <n v="106.94"/>
    <n v="106.94"/>
  </r>
  <r>
    <x v="5"/>
    <x v="31"/>
    <s v="06101831-A"/>
    <n v="715858"/>
    <n v="14"/>
    <n v="1000"/>
    <n v="14000"/>
    <n v="290"/>
    <s v="Yes"/>
    <m/>
    <s v="Yes"/>
    <m/>
    <s v="Yes"/>
    <m/>
    <s v="Yes"/>
    <m/>
    <s v="N/A"/>
    <m/>
    <s v="Yes"/>
    <m/>
    <s v="Yes"/>
    <m/>
    <s v="Re-certified"/>
    <s v="infasco"/>
    <n v="0"/>
    <n v="0"/>
  </r>
  <r>
    <x v="6"/>
    <x v="10"/>
    <s v="06104725AA"/>
    <n v="715711"/>
    <n v="13"/>
    <n v="2800"/>
    <n v="36400"/>
    <n v="275"/>
    <s v="Yes"/>
    <m/>
    <s v="Yes"/>
    <m/>
    <s v="Yes"/>
    <m/>
    <s v="Yes"/>
    <m/>
    <s v="N/A"/>
    <m/>
    <s v="Yes"/>
    <m/>
    <s v="Yes"/>
    <m/>
    <s v="New"/>
    <s v="infasco"/>
    <n v="106.94"/>
    <n v="106.94"/>
  </r>
  <r>
    <x v="6"/>
    <x v="10"/>
    <s v="11546437-MY-AK"/>
    <n v="716160"/>
    <n v="30"/>
    <n v="1500"/>
    <n v="45000"/>
    <n v="275"/>
    <s v="Yes"/>
    <m/>
    <s v="Yes"/>
    <m/>
    <s v="Yes"/>
    <m/>
    <s v="Yes"/>
    <m/>
    <s v="N/A"/>
    <m/>
    <s v="Yes"/>
    <m/>
    <s v="Yes"/>
    <m/>
    <s v="Re-certified"/>
    <s v="infasco"/>
    <n v="0"/>
    <n v="0"/>
  </r>
  <r>
    <x v="6"/>
    <x v="11"/>
    <s v="11546437-MY-AK"/>
    <n v="716076"/>
    <n v="48"/>
    <n v="1500"/>
    <n v="72000"/>
    <n v="275"/>
    <s v="Yes"/>
    <m/>
    <s v="Yes"/>
    <m/>
    <s v="Yes"/>
    <m/>
    <s v="Yes"/>
    <m/>
    <s v="N/A"/>
    <m/>
    <s v="Yes"/>
    <m/>
    <s v="Yes"/>
    <m/>
    <s v="New"/>
    <s v="infasco"/>
    <n v="106.94"/>
    <n v="106.94"/>
  </r>
  <r>
    <x v="6"/>
    <x v="11"/>
    <s v="11546437-MY-AK"/>
    <n v="716156"/>
    <n v="12"/>
    <n v="1500"/>
    <n v="18000"/>
    <n v="275"/>
    <s v="Yes"/>
    <m/>
    <s v="Yes"/>
    <m/>
    <s v="Yes"/>
    <m/>
    <s v="Yes"/>
    <m/>
    <s v="N/A"/>
    <m/>
    <s v="Yes"/>
    <m/>
    <s v="Yes"/>
    <m/>
    <s v="Re-certified"/>
    <s v="infasco"/>
    <n v="0"/>
    <n v="0"/>
  </r>
  <r>
    <x v="6"/>
    <x v="9"/>
    <s v="06104725AA"/>
    <n v="715701"/>
    <n v="27"/>
    <n v="2800"/>
    <n v="75600"/>
    <n v="275"/>
    <s v="Yes"/>
    <m/>
    <s v="Yes"/>
    <m/>
    <s v="Yes"/>
    <m/>
    <s v="Yes"/>
    <m/>
    <s v="N/A"/>
    <m/>
    <s v="Yes"/>
    <m/>
    <s v="Yes"/>
    <m/>
    <s v="Re-certified"/>
    <s v="infasco"/>
    <n v="0"/>
    <n v="0"/>
  </r>
  <r>
    <x v="6"/>
    <x v="8"/>
    <s v="11546367-MY-AK"/>
    <n v="714195"/>
    <n v="36"/>
    <n v="700"/>
    <n v="25200"/>
    <n v="275"/>
    <s v="Yes"/>
    <m/>
    <s v="Yes"/>
    <m/>
    <s v="Yes"/>
    <m/>
    <s v="Yes"/>
    <m/>
    <s v="N/A"/>
    <m/>
    <s v="Yes"/>
    <m/>
    <s v="Yes"/>
    <m/>
    <s v="New"/>
    <s v="infasco"/>
    <n v="106.94"/>
    <n v="106.94"/>
  </r>
  <r>
    <x v="6"/>
    <x v="8"/>
    <s v="11546367-MY-AK"/>
    <n v="714190"/>
    <n v="36"/>
    <n v="700"/>
    <n v="25200"/>
    <n v="275"/>
    <s v="Yes"/>
    <m/>
    <s v="Yes"/>
    <m/>
    <s v="Yes"/>
    <m/>
    <s v="Yes"/>
    <m/>
    <s v="N/A"/>
    <m/>
    <s v="Yes"/>
    <m/>
    <s v="Yes"/>
    <m/>
    <s v="New"/>
    <s v="infasco"/>
    <n v="106.94"/>
    <n v="106.94"/>
  </r>
  <r>
    <x v="6"/>
    <x v="8"/>
    <s v="11546367-MY-AK"/>
    <n v="714189"/>
    <n v="9"/>
    <n v="700"/>
    <n v="6300"/>
    <n v="275"/>
    <s v="Yes"/>
    <m/>
    <s v="Yes"/>
    <m/>
    <s v="Yes"/>
    <m/>
    <s v="Yes"/>
    <m/>
    <s v="N/A"/>
    <m/>
    <s v="Yes"/>
    <m/>
    <s v="Yes"/>
    <m/>
    <s v="Re-certified"/>
    <s v="infasco"/>
    <n v="0"/>
    <n v="0"/>
  </r>
  <r>
    <x v="6"/>
    <x v="7"/>
    <s v="06509967AA"/>
    <n v="715682"/>
    <n v="21"/>
    <n v="825"/>
    <n v="17325"/>
    <n v="275"/>
    <s v="Yes"/>
    <m/>
    <s v="Yes"/>
    <m/>
    <s v="Yes"/>
    <m/>
    <s v="Yes"/>
    <m/>
    <s v="N/A"/>
    <m/>
    <s v="Yes"/>
    <m/>
    <s v="Yes"/>
    <m/>
    <s v="New"/>
    <s v="infasco"/>
    <n v="280.16000000000003"/>
    <n v="280.16000000000003"/>
  </r>
  <r>
    <x v="6"/>
    <x v="6"/>
    <s v="W711468-S437"/>
    <n v="713266"/>
    <n v="27"/>
    <n v="1600"/>
    <n v="43200"/>
    <n v="275"/>
    <s v="Yes"/>
    <m/>
    <s v="Yes"/>
    <m/>
    <s v="Yes"/>
    <m/>
    <s v="Yes"/>
    <m/>
    <s v="N/A"/>
    <m/>
    <s v="Yes"/>
    <m/>
    <s v="Yes"/>
    <m/>
    <s v="New"/>
    <s v="infasco"/>
    <n v="106.94"/>
    <n v="106.94"/>
  </r>
  <r>
    <x v="6"/>
    <x v="6"/>
    <s v="06511701AA"/>
    <n v="716152"/>
    <n v="20"/>
    <n v="2300"/>
    <n v="46000"/>
    <n v="275"/>
    <s v="Yes"/>
    <m/>
    <s v="Yes"/>
    <m/>
    <s v="Yes"/>
    <m/>
    <s v="Yes"/>
    <m/>
    <s v="N/A"/>
    <m/>
    <s v="Yes"/>
    <m/>
    <s v="Yes"/>
    <m/>
    <s v="Re-certified"/>
    <s v="infasco"/>
    <n v="0"/>
    <n v="0"/>
  </r>
  <r>
    <x v="6"/>
    <x v="12"/>
    <s v="11546367-MY-AK"/>
    <n v="714193"/>
    <n v="36"/>
    <n v="700"/>
    <n v="25200"/>
    <n v="275"/>
    <s v="Yes"/>
    <m/>
    <s v="Yes"/>
    <m/>
    <s v="Yes"/>
    <m/>
    <s v="Yes"/>
    <m/>
    <s v="N/A"/>
    <m/>
    <s v="Yes"/>
    <m/>
    <s v="Yes"/>
    <m/>
    <s v="New"/>
    <s v="infasco"/>
    <n v="106.94"/>
    <n v="106.94"/>
  </r>
  <r>
    <x v="6"/>
    <x v="12"/>
    <s v="11546367-MY-AK"/>
    <n v="714192"/>
    <n v="20"/>
    <n v="700"/>
    <n v="14000"/>
    <n v="275"/>
    <s v="Yes"/>
    <m/>
    <s v="Yes"/>
    <m/>
    <s v="Yes"/>
    <m/>
    <s v="Yes"/>
    <m/>
    <s v="N/A"/>
    <m/>
    <s v="Yes"/>
    <m/>
    <s v="Yes"/>
    <m/>
    <s v="Re-certified"/>
    <s v="infasco"/>
    <n v="0"/>
    <n v="0"/>
  </r>
  <r>
    <x v="6"/>
    <x v="30"/>
    <n v="11549170"/>
    <n v="714390"/>
    <n v="20"/>
    <n v="400"/>
    <n v="8000"/>
    <n v="290"/>
    <s v="Yes"/>
    <m/>
    <s v="Yes"/>
    <m/>
    <s v="Yes"/>
    <m/>
    <s v="Yes"/>
    <m/>
    <s v="N/A"/>
    <m/>
    <s v="Yes"/>
    <m/>
    <s v="Yes"/>
    <m/>
    <s v="New"/>
    <s v="infasco"/>
    <n v="106.94"/>
    <n v="106.94"/>
  </r>
  <r>
    <x v="6"/>
    <x v="30"/>
    <n v="11549170"/>
    <n v="714388"/>
    <n v="36"/>
    <n v="400"/>
    <n v="14400"/>
    <n v="290"/>
    <s v="Yes"/>
    <m/>
    <s v="Yes"/>
    <m/>
    <s v="Yes"/>
    <m/>
    <s v="Yes"/>
    <m/>
    <s v="N/A"/>
    <m/>
    <s v="Yes"/>
    <m/>
    <s v="Yes"/>
    <m/>
    <s v="New"/>
    <s v="infasco"/>
    <n v="106.94"/>
    <n v="106.94"/>
  </r>
  <r>
    <x v="6"/>
    <x v="30"/>
    <n v="11549170"/>
    <n v="714373"/>
    <n v="48"/>
    <n v="400"/>
    <n v="19200"/>
    <n v="290"/>
    <s v="Yes"/>
    <m/>
    <s v="Yes"/>
    <m/>
    <s v="Yes"/>
    <m/>
    <s v="Yes"/>
    <m/>
    <s v="N/A"/>
    <m/>
    <s v="Yes"/>
    <m/>
    <s v="Yes"/>
    <m/>
    <s v="New"/>
    <s v="infasco"/>
    <n v="106.94"/>
    <n v="106.94"/>
  </r>
  <r>
    <x v="6"/>
    <x v="30"/>
    <n v="11549170"/>
    <n v="714386"/>
    <n v="15"/>
    <n v="400"/>
    <n v="6000"/>
    <n v="290"/>
    <s v="Yes"/>
    <m/>
    <s v="Yes"/>
    <m/>
    <s v="Yes"/>
    <m/>
    <s v="Yes"/>
    <m/>
    <s v="N/A"/>
    <m/>
    <s v="Yes"/>
    <m/>
    <s v="Yes"/>
    <m/>
    <s v="New"/>
    <s v="infasco"/>
    <n v="106.94"/>
    <n v="106.94"/>
  </r>
  <r>
    <x v="6"/>
    <x v="29"/>
    <s v="11546437-MY-AK"/>
    <n v="716077"/>
    <n v="34"/>
    <n v="1500"/>
    <n v="51000"/>
    <n v="290"/>
    <s v="Yes"/>
    <m/>
    <s v="Yes"/>
    <m/>
    <s v="Yes"/>
    <m/>
    <s v="Yes"/>
    <m/>
    <s v="N/A"/>
    <m/>
    <s v="Yes"/>
    <m/>
    <s v="Yes"/>
    <m/>
    <s v="New"/>
    <s v="infasco"/>
    <n v="106.94"/>
    <n v="106.94"/>
  </r>
  <r>
    <x v="6"/>
    <x v="29"/>
    <s v="11546437-MY-AK"/>
    <n v="716158"/>
    <n v="15"/>
    <n v="1500"/>
    <n v="22500"/>
    <n v="290"/>
    <s v="Yes"/>
    <m/>
    <s v="Yes"/>
    <m/>
    <s v="Yes"/>
    <m/>
    <s v="Yes"/>
    <m/>
    <s v="N/A"/>
    <m/>
    <s v="Yes"/>
    <m/>
    <s v="Yes"/>
    <m/>
    <s v="Re-certified"/>
    <s v="infasco"/>
    <n v="0"/>
    <n v="0"/>
  </r>
  <r>
    <x v="6"/>
    <x v="28"/>
    <n v="11546566"/>
    <n v="714434"/>
    <n v="1"/>
    <n v="1800"/>
    <n v="1800"/>
    <n v="290"/>
    <s v="Yes"/>
    <m/>
    <s v="Yes"/>
    <m/>
    <s v="Yes"/>
    <m/>
    <s v="Yes"/>
    <m/>
    <s v="N/A"/>
    <m/>
    <s v="Yes"/>
    <m/>
    <s v="Yes"/>
    <m/>
    <s v="New"/>
    <s v="infasco"/>
    <n v="135.07999999999998"/>
    <n v="135.07999999999998"/>
  </r>
  <r>
    <x v="6"/>
    <x v="28"/>
    <s v="06509967AA"/>
    <n v="715680"/>
    <n v="16"/>
    <n v="825"/>
    <n v="13200"/>
    <n v="290"/>
    <s v="Yes"/>
    <m/>
    <s v="Yes"/>
    <m/>
    <s v="Yes"/>
    <m/>
    <s v="Yes"/>
    <m/>
    <s v="N/A"/>
    <m/>
    <s v="Yes"/>
    <m/>
    <s v="Yes"/>
    <m/>
    <s v="Re-certified"/>
    <s v="infasco"/>
    <n v="0"/>
    <n v="0"/>
  </r>
  <r>
    <x v="6"/>
    <x v="27"/>
    <n v="11549170"/>
    <n v="714381"/>
    <n v="18"/>
    <n v="400"/>
    <n v="7200"/>
    <n v="290"/>
    <s v="Yes"/>
    <m/>
    <s v="Yes"/>
    <m/>
    <s v="Yes"/>
    <m/>
    <s v="Yes"/>
    <m/>
    <s v="N/A"/>
    <m/>
    <s v="Yes"/>
    <m/>
    <s v="Yes"/>
    <m/>
    <s v="New"/>
    <s v="infasco"/>
    <n v="106.94"/>
    <n v="106.94"/>
  </r>
  <r>
    <x v="6"/>
    <x v="27"/>
    <n v="11549170"/>
    <n v="714392"/>
    <n v="36"/>
    <n v="400"/>
    <n v="14400"/>
    <n v="290"/>
    <s v="Yes"/>
    <m/>
    <s v="Yes"/>
    <m/>
    <s v="Yes"/>
    <m/>
    <s v="Yes"/>
    <m/>
    <s v="N/A"/>
    <m/>
    <s v="Yes"/>
    <m/>
    <s v="Yes"/>
    <m/>
    <s v="New"/>
    <s v="infasco"/>
    <n v="106.94"/>
    <n v="106.94"/>
  </r>
  <r>
    <x v="6"/>
    <x v="26"/>
    <n v="11549170"/>
    <n v="714380"/>
    <n v="12"/>
    <n v="400"/>
    <n v="4800"/>
    <n v="290"/>
    <s v="Yes"/>
    <m/>
    <s v="Yes"/>
    <m/>
    <s v="Yes"/>
    <m/>
    <s v="Yes"/>
    <m/>
    <s v="N/A"/>
    <m/>
    <s v="Yes"/>
    <m/>
    <s v="Yes"/>
    <m/>
    <s v="Re-certified"/>
    <s v="infasco"/>
    <n v="0"/>
    <n v="0"/>
  </r>
  <r>
    <x v="6"/>
    <x v="26"/>
    <n v="11549170"/>
    <n v="714377"/>
    <n v="6"/>
    <n v="400"/>
    <n v="2400"/>
    <n v="290"/>
    <s v="Yes"/>
    <m/>
    <s v="Yes"/>
    <m/>
    <s v="Yes"/>
    <m/>
    <s v="Yes"/>
    <m/>
    <s v="N/A"/>
    <m/>
    <s v="Yes"/>
    <m/>
    <s v="Yes"/>
    <m/>
    <s v="New"/>
    <s v="infasco"/>
    <n v="106.94"/>
    <n v="106.94"/>
  </r>
  <r>
    <x v="6"/>
    <x v="26"/>
    <n v="11549170"/>
    <n v="714382"/>
    <n v="36"/>
    <n v="400"/>
    <n v="14400"/>
    <n v="290"/>
    <s v="Yes"/>
    <m/>
    <s v="Yes"/>
    <m/>
    <s v="Yes"/>
    <m/>
    <s v="Yes"/>
    <m/>
    <s v="N/A"/>
    <m/>
    <s v="Yes"/>
    <m/>
    <s v="Yes"/>
    <m/>
    <s v="New"/>
    <s v="infasco"/>
    <n v="106.94"/>
    <n v="106.94"/>
  </r>
  <r>
    <x v="6"/>
    <x v="26"/>
    <n v="11549170"/>
    <n v="714383"/>
    <n v="40"/>
    <n v="400"/>
    <n v="16000"/>
    <n v="290"/>
    <s v="Yes"/>
    <m/>
    <s v="Yes"/>
    <m/>
    <s v="Yes"/>
    <m/>
    <s v="Yes"/>
    <m/>
    <s v="N/A"/>
    <m/>
    <s v="Yes"/>
    <m/>
    <s v="Yes"/>
    <m/>
    <s v="New"/>
    <s v="infasco"/>
    <n v="106.94"/>
    <n v="106.94"/>
  </r>
  <r>
    <x v="6"/>
    <x v="26"/>
    <n v="11549170"/>
    <n v="714385"/>
    <n v="36"/>
    <n v="400"/>
    <n v="14400"/>
    <n v="290"/>
    <s v="Yes"/>
    <m/>
    <s v="Yes"/>
    <m/>
    <s v="Yes"/>
    <m/>
    <s v="Yes"/>
    <m/>
    <s v="N/A"/>
    <m/>
    <s v="Yes"/>
    <m/>
    <s v="Yes"/>
    <m/>
    <s v="New"/>
    <s v="infasco"/>
    <n v="106.94"/>
    <n v="106.94"/>
  </r>
  <r>
    <x v="6"/>
    <x v="31"/>
    <s v="06101831-A"/>
    <n v="715858"/>
    <n v="26"/>
    <n v="1000"/>
    <n v="26000"/>
    <n v="290"/>
    <s v="Yes"/>
    <m/>
    <s v="Yes"/>
    <m/>
    <s v="Yes"/>
    <m/>
    <s v="Yes"/>
    <m/>
    <s v="N/A"/>
    <m/>
    <s v="Yes"/>
    <m/>
    <s v="Yes"/>
    <m/>
    <s v="New"/>
    <s v="infasco"/>
    <n v="106.94"/>
    <n v="106.94"/>
  </r>
  <r>
    <x v="6"/>
    <x v="31"/>
    <s v="06101831-A"/>
    <n v="715854"/>
    <n v="40"/>
    <n v="1000"/>
    <n v="40000"/>
    <n v="290"/>
    <s v="Yes"/>
    <m/>
    <s v="Yes"/>
    <m/>
    <s v="Yes"/>
    <m/>
    <s v="Yes"/>
    <m/>
    <s v="N/A"/>
    <m/>
    <s v="Yes"/>
    <m/>
    <s v="Yes"/>
    <m/>
    <s v="New"/>
    <s v="infasco"/>
    <n v="106.94"/>
    <n v="106.94"/>
  </r>
  <r>
    <x v="6"/>
    <x v="1"/>
    <s v="11546437-MY-AK"/>
    <n v="716078"/>
    <n v="25"/>
    <n v="1500"/>
    <n v="37500"/>
    <n v="292"/>
    <s v="Yes"/>
    <m/>
    <s v="Yes"/>
    <m/>
    <s v="Yes"/>
    <m/>
    <s v="Yes"/>
    <m/>
    <s v="N/A"/>
    <m/>
    <s v="Yes"/>
    <m/>
    <s v="Yes"/>
    <m/>
    <s v="New"/>
    <s v="infasco"/>
    <n v="106.94"/>
    <n v="106.94"/>
  </r>
  <r>
    <x v="6"/>
    <x v="1"/>
    <n v="11546437"/>
    <n v="716157"/>
    <n v="8"/>
    <n v="1500"/>
    <n v="12000"/>
    <n v="292"/>
    <s v="Yes"/>
    <m/>
    <s v="Yes"/>
    <m/>
    <s v="Yes"/>
    <m/>
    <s v="Yes"/>
    <m/>
    <s v="N/A"/>
    <m/>
    <s v="Yes"/>
    <m/>
    <s v="Yes"/>
    <m/>
    <s v="Re-certified"/>
    <s v="infasco"/>
    <n v="0"/>
    <n v="0"/>
  </r>
  <r>
    <x v="6"/>
    <x v="2"/>
    <n v="11546462"/>
    <n v="716184"/>
    <n v="4"/>
    <n v="650"/>
    <n v="2600"/>
    <n v="292"/>
    <s v="Yes"/>
    <m/>
    <s v="Yes"/>
    <m/>
    <s v="Yes"/>
    <m/>
    <s v="Yes"/>
    <m/>
    <s v="N/A"/>
    <m/>
    <s v="Yes"/>
    <m/>
    <s v="Yes"/>
    <m/>
    <s v="New"/>
    <s v="infasco"/>
    <n v="106.94"/>
    <n v="106.94"/>
  </r>
  <r>
    <x v="6"/>
    <x v="2"/>
    <n v="11546462"/>
    <n v="716189"/>
    <n v="36"/>
    <n v="650"/>
    <n v="23400"/>
    <n v="292"/>
    <s v="Yes"/>
    <m/>
    <s v="Yes"/>
    <m/>
    <s v="Yes"/>
    <m/>
    <s v="Yes"/>
    <m/>
    <s v="N/A"/>
    <m/>
    <s v="Yes"/>
    <m/>
    <s v="Yes"/>
    <m/>
    <s v="New"/>
    <s v="infasco"/>
    <n v="106.94"/>
    <n v="106.94"/>
  </r>
  <r>
    <x v="6"/>
    <x v="2"/>
    <n v="11546462"/>
    <n v="716182"/>
    <n v="25"/>
    <n v="650"/>
    <n v="16250"/>
    <n v="292"/>
    <s v="Yes"/>
    <m/>
    <s v="Yes"/>
    <m/>
    <s v="Yes"/>
    <m/>
    <s v="Yes"/>
    <m/>
    <s v="N/A"/>
    <m/>
    <s v="Yes"/>
    <m/>
    <s v="Yes"/>
    <m/>
    <s v="Re-certified"/>
    <s v="infasco"/>
    <n v="0"/>
    <n v="0"/>
  </r>
  <r>
    <x v="6"/>
    <x v="0"/>
    <n v="11546377"/>
    <n v="715739"/>
    <n v="13"/>
    <n v="2150"/>
    <n v="27950"/>
    <n v="292"/>
    <s v="Yes"/>
    <m/>
    <s v="Yes"/>
    <m/>
    <s v="Yes"/>
    <m/>
    <s v="Yes"/>
    <m/>
    <s v="N/A"/>
    <m/>
    <s v="Yes"/>
    <m/>
    <s v="Yes"/>
    <m/>
    <s v="New"/>
    <s v="infasco"/>
    <n v="106.94"/>
    <n v="106.94"/>
  </r>
  <r>
    <x v="6"/>
    <x v="0"/>
    <s v="06101968-A"/>
    <n v="716081"/>
    <n v="12"/>
    <n v="2150"/>
    <n v="25800"/>
    <n v="292"/>
    <s v="Yes"/>
    <m/>
    <s v="Yes"/>
    <m/>
    <s v="Yes"/>
    <m/>
    <s v="Yes"/>
    <m/>
    <s v="N/A"/>
    <m/>
    <s v="Yes"/>
    <m/>
    <s v="Yes"/>
    <m/>
    <s v="Re-certified"/>
    <s v="infasco"/>
    <n v="0"/>
    <n v="0"/>
  </r>
  <r>
    <x v="6"/>
    <x v="3"/>
    <n v="11549170"/>
    <n v="714391"/>
    <n v="36"/>
    <n v="400"/>
    <n v="14400"/>
    <n v="292"/>
    <s v="Yes"/>
    <m/>
    <s v="Yes"/>
    <m/>
    <s v="Yes"/>
    <m/>
    <s v="Yes"/>
    <m/>
    <s v="N/A"/>
    <m/>
    <s v="Yes"/>
    <m/>
    <s v="Yes"/>
    <m/>
    <s v="New"/>
    <s v="infasco"/>
    <n v="106.94"/>
    <n v="106.94"/>
  </r>
  <r>
    <x v="6"/>
    <x v="3"/>
    <n v="11549170"/>
    <n v="714384"/>
    <n v="36"/>
    <n v="400"/>
    <n v="14400"/>
    <n v="292"/>
    <s v="Yes"/>
    <m/>
    <s v="Yes"/>
    <m/>
    <s v="Yes"/>
    <m/>
    <s v="Yes"/>
    <m/>
    <s v="N/A"/>
    <m/>
    <s v="Yes"/>
    <m/>
    <s v="Yes"/>
    <m/>
    <s v="New"/>
    <s v="infasco"/>
    <n v="106.94"/>
    <n v="106.94"/>
  </r>
  <r>
    <x v="6"/>
    <x v="3"/>
    <n v="11549170"/>
    <n v="714376"/>
    <n v="36"/>
    <n v="400"/>
    <n v="14400"/>
    <n v="292"/>
    <s v="Yes"/>
    <m/>
    <s v="Yes"/>
    <m/>
    <s v="Yes"/>
    <m/>
    <s v="Yes"/>
    <m/>
    <s v="N/A"/>
    <m/>
    <s v="Yes"/>
    <m/>
    <s v="Yes"/>
    <m/>
    <s v="New"/>
    <s v="infasco"/>
    <n v="106.94"/>
    <n v="106.94"/>
  </r>
  <r>
    <x v="6"/>
    <x v="3"/>
    <n v="11549170"/>
    <n v="714379"/>
    <n v="10"/>
    <n v="400"/>
    <n v="4000"/>
    <n v="292"/>
    <s v="Yes"/>
    <m/>
    <s v="Yes"/>
    <m/>
    <s v="Yes"/>
    <m/>
    <s v="Yes"/>
    <m/>
    <s v="N/A"/>
    <m/>
    <s v="Yes"/>
    <m/>
    <s v="Yes"/>
    <m/>
    <s v="Re-certified"/>
    <s v="infasco"/>
    <n v="0"/>
    <n v="0"/>
  </r>
  <r>
    <x v="6"/>
    <x v="5"/>
    <n v="11546463"/>
    <n v="716171"/>
    <n v="16"/>
    <n v="450"/>
    <n v="7200"/>
    <n v="292"/>
    <s v="Yes"/>
    <m/>
    <s v="Yes"/>
    <m/>
    <s v="Yes"/>
    <m/>
    <s v="Yes"/>
    <m/>
    <s v="N/A"/>
    <m/>
    <s v="Yes"/>
    <m/>
    <s v="Yes"/>
    <m/>
    <s v="New"/>
    <s v="infasco"/>
    <n v="106.94"/>
    <n v="106.94"/>
  </r>
  <r>
    <x v="6"/>
    <x v="5"/>
    <n v="11546463"/>
    <n v="716172"/>
    <n v="36"/>
    <n v="450"/>
    <n v="16200"/>
    <n v="292"/>
    <s v="Yes"/>
    <m/>
    <s v="Yes"/>
    <m/>
    <s v="Yes"/>
    <m/>
    <s v="Yes"/>
    <m/>
    <s v="N/A"/>
    <m/>
    <s v="Yes"/>
    <m/>
    <s v="Yes"/>
    <m/>
    <s v="New"/>
    <s v="infasco"/>
    <n v="106.94"/>
    <n v="106.94"/>
  </r>
  <r>
    <x v="6"/>
    <x v="5"/>
    <n v="11546463"/>
    <n v="716170"/>
    <n v="36"/>
    <n v="450"/>
    <n v="16200"/>
    <n v="292"/>
    <s v="Yes"/>
    <m/>
    <s v="Yes"/>
    <m/>
    <s v="Yes"/>
    <m/>
    <s v="Yes"/>
    <m/>
    <s v="N/A"/>
    <m/>
    <s v="Yes"/>
    <m/>
    <s v="Yes"/>
    <m/>
    <s v="New"/>
    <s v="infasco"/>
    <n v="106.94"/>
    <n v="106.94"/>
  </r>
  <r>
    <x v="6"/>
    <x v="5"/>
    <n v="11546463"/>
    <n v="716180"/>
    <n v="36"/>
    <n v="450"/>
    <n v="16200"/>
    <n v="292"/>
    <s v="Yes"/>
    <m/>
    <s v="Yes"/>
    <m/>
    <s v="Yes"/>
    <m/>
    <s v="Yes"/>
    <m/>
    <s v="N/A"/>
    <m/>
    <s v="Yes"/>
    <m/>
    <s v="Yes"/>
    <m/>
    <s v="New"/>
    <s v="infasco"/>
    <n v="106.94"/>
    <n v="106.94"/>
  </r>
  <r>
    <x v="6"/>
    <x v="4"/>
    <s v="NU1405"/>
    <n v="716151"/>
    <n v="1"/>
    <n v="10000"/>
    <n v="10000"/>
    <n v="292"/>
    <s v="Yes"/>
    <m/>
    <s v="Yes"/>
    <m/>
    <s v="Yes"/>
    <m/>
    <s v="Yes"/>
    <m/>
    <s v="N/A"/>
    <m/>
    <s v="Yes"/>
    <m/>
    <s v="Yes"/>
    <m/>
    <s v="Re-certified"/>
    <s v="infasco"/>
    <n v="0"/>
    <n v="0"/>
  </r>
  <r>
    <x v="6"/>
    <x v="19"/>
    <s v="NU5108"/>
    <n v="713725"/>
    <n v="1"/>
    <n v="70000"/>
    <n v="70000"/>
    <n v="272"/>
    <s v="Yes"/>
    <m/>
    <s v="Yes"/>
    <m/>
    <s v="Yes"/>
    <m/>
    <s v="Yes"/>
    <m/>
    <s v="N/A"/>
    <m/>
    <s v="Yes"/>
    <m/>
    <s v="Yes"/>
    <m/>
    <s v="New"/>
    <s v="infasco"/>
    <n v="129.44999999999999"/>
    <n v="129.44999999999999"/>
  </r>
  <r>
    <x v="6"/>
    <x v="15"/>
    <s v="06105102AA"/>
    <n v="716111"/>
    <n v="16"/>
    <n v="670"/>
    <n v="10720"/>
    <s v="157+279"/>
    <s v="Yes"/>
    <m/>
    <s v="Yes"/>
    <m/>
    <s v="Yes"/>
    <m/>
    <s v="Yes"/>
    <m/>
    <s v="N/A"/>
    <m/>
    <s v="Yes"/>
    <m/>
    <s v="Yes"/>
    <m/>
    <s v="New"/>
    <s v="infasco"/>
    <n v="280.16000000000003"/>
    <n v="280.16000000000003"/>
  </r>
  <r>
    <x v="6"/>
    <x v="15"/>
    <s v="06105102AA"/>
    <n v="716115"/>
    <n v="20"/>
    <n v="670"/>
    <n v="13400"/>
    <s v="157+279"/>
    <s v="Yes"/>
    <m/>
    <s v="Yes"/>
    <m/>
    <s v="Yes"/>
    <m/>
    <s v="Yes"/>
    <m/>
    <s v="N/A"/>
    <m/>
    <s v="Yes"/>
    <m/>
    <s v="Yes"/>
    <m/>
    <s v="New"/>
    <s v="infasco"/>
    <n v="280.16000000000003"/>
    <n v="280.16000000000003"/>
  </r>
  <r>
    <x v="6"/>
    <x v="15"/>
    <s v="06105102AA"/>
    <n v="716114"/>
    <n v="36"/>
    <n v="670"/>
    <n v="24120"/>
    <s v="157+279"/>
    <s v="Yes"/>
    <m/>
    <s v="Yes"/>
    <m/>
    <s v="Yes"/>
    <m/>
    <s v="Yes"/>
    <m/>
    <s v="N/A"/>
    <m/>
    <s v="Yes"/>
    <m/>
    <s v="Yes"/>
    <m/>
    <s v="New"/>
    <s v="infasco"/>
    <n v="280.16000000000003"/>
    <n v="280.16000000000003"/>
  </r>
  <r>
    <x v="6"/>
    <x v="15"/>
    <n v="11610376"/>
    <n v="714201"/>
    <n v="37"/>
    <n v="900"/>
    <n v="33300"/>
    <s v="157+279"/>
    <s v="Yes"/>
    <m/>
    <s v="Yes"/>
    <m/>
    <s v="Yes"/>
    <m/>
    <s v="Yes"/>
    <m/>
    <s v="N/A"/>
    <m/>
    <s v="Yes"/>
    <m/>
    <s v="Yes"/>
    <m/>
    <s v="New"/>
    <s v="infasco"/>
    <n v="106.94"/>
    <n v="106.94"/>
  </r>
  <r>
    <x v="6"/>
    <x v="15"/>
    <n v="11549170"/>
    <n v="714638"/>
    <n v="36"/>
    <n v="400"/>
    <n v="14400"/>
    <s v="157+279"/>
    <s v="Yes"/>
    <m/>
    <s v="Yes"/>
    <m/>
    <s v="Yes"/>
    <m/>
    <s v="Yes"/>
    <m/>
    <s v="N/A"/>
    <m/>
    <s v="Yes"/>
    <m/>
    <s v="Yes"/>
    <m/>
    <s v="New"/>
    <s v="infasco"/>
    <n v="106.94"/>
    <n v="106.94"/>
  </r>
  <r>
    <x v="6"/>
    <x v="15"/>
    <n v="11549170"/>
    <n v="714642"/>
    <n v="43"/>
    <n v="400"/>
    <n v="17200"/>
    <s v="157+279"/>
    <s v="Yes"/>
    <m/>
    <s v="Yes"/>
    <m/>
    <s v="Yes"/>
    <m/>
    <s v="Yes"/>
    <m/>
    <s v="N/A"/>
    <m/>
    <s v="Yes"/>
    <m/>
    <s v="Yes"/>
    <m/>
    <s v="New"/>
    <s v="infasco"/>
    <n v="106.94"/>
    <n v="106.94"/>
  </r>
  <r>
    <x v="6"/>
    <x v="15"/>
    <s v="06105102AA"/>
    <n v="716118"/>
    <n v="36"/>
    <n v="670"/>
    <n v="24120"/>
    <s v="157+279"/>
    <s v="Yes"/>
    <m/>
    <s v="Yes"/>
    <m/>
    <s v="Yes"/>
    <m/>
    <s v="Yes"/>
    <m/>
    <s v="N/A"/>
    <m/>
    <s v="Yes"/>
    <m/>
    <s v="Yes"/>
    <m/>
    <s v="New"/>
    <s v="infasco"/>
    <n v="280.16000000000003"/>
    <n v="280.16000000000003"/>
  </r>
  <r>
    <x v="6"/>
    <x v="15"/>
    <s v="06105102AA"/>
    <n v="716116"/>
    <n v="36"/>
    <n v="670"/>
    <n v="24120"/>
    <s v="157+279"/>
    <s v="Yes"/>
    <m/>
    <s v="Yes"/>
    <m/>
    <s v="Yes"/>
    <m/>
    <s v="Yes"/>
    <m/>
    <s v="N/A"/>
    <m/>
    <s v="Yes"/>
    <m/>
    <s v="Yes"/>
    <m/>
    <s v="New"/>
    <s v="infasco"/>
    <n v="280.16000000000003"/>
    <n v="280.16000000000003"/>
  </r>
  <r>
    <x v="6"/>
    <x v="17"/>
    <s v="K1046AB"/>
    <n v="716707"/>
    <n v="20"/>
    <n v="1600"/>
    <n v="32000"/>
    <s v="190+268"/>
    <s v="Yes"/>
    <m/>
    <s v="Yes"/>
    <m/>
    <s v="Yes"/>
    <m/>
    <s v="Yes"/>
    <m/>
    <s v="N/A"/>
    <m/>
    <s v="Yes"/>
    <m/>
    <s v="Yes"/>
    <m/>
    <s v="New"/>
    <s v="infasco"/>
    <n v="257.95319999999998"/>
    <n v="257.95319999999998"/>
  </r>
  <r>
    <x v="6"/>
    <x v="17"/>
    <n v="11546463"/>
    <n v="716181"/>
    <n v="30"/>
    <n v="450"/>
    <n v="13500"/>
    <s v="190+268"/>
    <s v="Yes"/>
    <m/>
    <s v="Yes"/>
    <m/>
    <s v="Yes"/>
    <m/>
    <s v="Yes"/>
    <m/>
    <s v="N/A"/>
    <m/>
    <s v="Yes"/>
    <m/>
    <s v="Yes"/>
    <m/>
    <s v="New"/>
    <s v="infasco"/>
    <n v="106.94"/>
    <n v="106.94"/>
  </r>
  <r>
    <x v="6"/>
    <x v="17"/>
    <n v="91058"/>
    <n v="713300"/>
    <n v="29"/>
    <n v="1200"/>
    <n v="34800"/>
    <s v="190+268"/>
    <s v="Yes"/>
    <m/>
    <s v="Yes"/>
    <m/>
    <s v="Yes"/>
    <m/>
    <s v="Yes"/>
    <m/>
    <s v="N/A"/>
    <m/>
    <s v="Yes"/>
    <m/>
    <s v="Yes"/>
    <m/>
    <s v="Re-certified"/>
    <s v="infasco"/>
    <n v="0"/>
    <n v="0"/>
  </r>
  <r>
    <x v="6"/>
    <x v="17"/>
    <n v="11549170"/>
    <n v="714626"/>
    <n v="36"/>
    <n v="400"/>
    <n v="14400"/>
    <s v="190+268"/>
    <s v="Yes"/>
    <m/>
    <s v="Yes"/>
    <m/>
    <s v="Yes"/>
    <m/>
    <s v="Yes"/>
    <m/>
    <s v="N/A"/>
    <m/>
    <s v="Yes"/>
    <m/>
    <s v="Yes"/>
    <m/>
    <s v="New"/>
    <s v="infasco"/>
    <n v="106.94"/>
    <n v="106.94"/>
  </r>
  <r>
    <x v="6"/>
    <x v="17"/>
    <n v="11549170"/>
    <n v="714620"/>
    <n v="39"/>
    <n v="400"/>
    <n v="15600"/>
    <s v="190+268"/>
    <s v="Yes"/>
    <m/>
    <s v="Yes"/>
    <m/>
    <s v="Yes"/>
    <m/>
    <s v="Yes"/>
    <m/>
    <s v="N/A"/>
    <m/>
    <s v="Yes"/>
    <m/>
    <s v="Yes"/>
    <m/>
    <s v="New"/>
    <s v="infasco"/>
    <n v="106.94"/>
    <n v="106.94"/>
  </r>
  <r>
    <x v="6"/>
    <x v="17"/>
    <n v="1420503001"/>
    <n v="716703"/>
    <n v="15"/>
    <n v="1500"/>
    <n v="22500"/>
    <s v="190+268"/>
    <s v="Yes"/>
    <m/>
    <s v="Yes"/>
    <m/>
    <s v="Yes"/>
    <m/>
    <s v="Yes"/>
    <m/>
    <s v="N/A"/>
    <m/>
    <s v="Yes"/>
    <m/>
    <s v="Yes"/>
    <m/>
    <s v="New"/>
    <s v="infasco"/>
    <n v="124.82"/>
    <n v="124.82"/>
  </r>
  <r>
    <x v="6"/>
    <x v="17"/>
    <s v="K1046AB"/>
    <n v="716705"/>
    <n v="28"/>
    <n v="1600"/>
    <n v="44800"/>
    <s v="190+268"/>
    <s v="Yes"/>
    <m/>
    <s v="Yes"/>
    <m/>
    <s v="Yes"/>
    <m/>
    <s v="Yes"/>
    <m/>
    <s v="N/A"/>
    <m/>
    <s v="Yes"/>
    <m/>
    <s v="Yes"/>
    <m/>
    <s v="New"/>
    <s v="infasco"/>
    <n v="257.95319999999998"/>
    <n v="257.95319999999998"/>
  </r>
  <r>
    <x v="6"/>
    <x v="17"/>
    <s v="K1046AB"/>
    <n v="716708"/>
    <n v="19"/>
    <n v="1600"/>
    <n v="30400"/>
    <s v="190+268"/>
    <s v="Yes"/>
    <m/>
    <s v="Yes"/>
    <m/>
    <s v="Yes"/>
    <m/>
    <s v="Yes"/>
    <m/>
    <s v="N/A"/>
    <m/>
    <s v="Yes"/>
    <m/>
    <s v="Yes"/>
    <m/>
    <s v="New"/>
    <s v="infasco"/>
    <n v="257.95319999999998"/>
    <n v="257.95319999999998"/>
  </r>
  <r>
    <x v="6"/>
    <x v="32"/>
    <n v="40161567"/>
    <n v="716206"/>
    <n v="16"/>
    <n v="175"/>
    <n v="2800"/>
    <s v="294+252"/>
    <s v="Yes"/>
    <m/>
    <s v="Yes"/>
    <m/>
    <s v="Yes"/>
    <m/>
    <s v="Yes"/>
    <m/>
    <s v="N/A"/>
    <m/>
    <s v="Yes"/>
    <m/>
    <s v="Yes"/>
    <m/>
    <s v="New"/>
    <s v="infasco"/>
    <n v="106.94"/>
    <n v="106.94"/>
  </r>
  <r>
    <x v="6"/>
    <x v="32"/>
    <n v="11549170"/>
    <n v="714634"/>
    <n v="30"/>
    <n v="400"/>
    <n v="12000"/>
    <s v="294+252"/>
    <s v="Yes"/>
    <m/>
    <s v="Yes"/>
    <m/>
    <s v="Yes"/>
    <m/>
    <s v="Yes"/>
    <m/>
    <s v="N/A"/>
    <m/>
    <s v="Yes"/>
    <m/>
    <s v="Yes"/>
    <m/>
    <s v="New"/>
    <s v="infasco"/>
    <n v="106.94"/>
    <n v="106.94"/>
  </r>
  <r>
    <x v="6"/>
    <x v="32"/>
    <s v="K1046AB"/>
    <n v="716706"/>
    <n v="29"/>
    <n v="1600"/>
    <n v="46400"/>
    <s v="294+252"/>
    <s v="Yes"/>
    <m/>
    <s v="Yes"/>
    <m/>
    <s v="Yes"/>
    <m/>
    <s v="Yes"/>
    <m/>
    <s v="N/A"/>
    <m/>
    <s v="Yes"/>
    <m/>
    <s v="Yes"/>
    <m/>
    <s v="New"/>
    <s v="infasco"/>
    <n v="257.95319999999998"/>
    <n v="257.95319999999998"/>
  </r>
  <r>
    <x v="6"/>
    <x v="32"/>
    <n v="1420503001"/>
    <n v="716704"/>
    <n v="16"/>
    <n v="1500"/>
    <n v="24000"/>
    <s v="294+252"/>
    <s v="Yes"/>
    <m/>
    <s v="Yes"/>
    <m/>
    <s v="Yes"/>
    <m/>
    <s v="Yes"/>
    <m/>
    <s v="N/A"/>
    <m/>
    <s v="Yes"/>
    <m/>
    <s v="Yes"/>
    <m/>
    <s v="New"/>
    <s v="infasco"/>
    <n v="124.82"/>
    <n v="124.82"/>
  </r>
  <r>
    <x v="6"/>
    <x v="32"/>
    <s v="W705606-S440"/>
    <n v="716699"/>
    <n v="31"/>
    <n v="580"/>
    <n v="17980"/>
    <s v="294+252"/>
    <s v="Yes"/>
    <m/>
    <s v="Yes"/>
    <m/>
    <s v="Yes"/>
    <m/>
    <s v="Yes"/>
    <m/>
    <s v="N/A"/>
    <m/>
    <s v="Yes"/>
    <m/>
    <s v="Yes"/>
    <m/>
    <s v="New"/>
    <s v="infasco"/>
    <n v="280.15999999999997"/>
    <n v="280.15999999999997"/>
  </r>
  <r>
    <x v="6"/>
    <x v="32"/>
    <n v="61525"/>
    <n v="716709"/>
    <n v="16"/>
    <n v="3000"/>
    <n v="48000"/>
    <s v="294+252"/>
    <s v="Yes"/>
    <m/>
    <s v="Yes"/>
    <m/>
    <s v="Yes"/>
    <m/>
    <s v="Yes"/>
    <m/>
    <s v="N/A"/>
    <m/>
    <s v="Yes"/>
    <m/>
    <s v="Yes"/>
    <m/>
    <s v="New"/>
    <s v="infasco"/>
    <n v="224.49"/>
    <n v="224.49"/>
  </r>
  <r>
    <x v="6"/>
    <x v="32"/>
    <n v="61525"/>
    <n v="716710"/>
    <n v="12"/>
    <n v="3000"/>
    <n v="36000"/>
    <s v="294+252"/>
    <s v="Yes"/>
    <m/>
    <s v="Yes"/>
    <m/>
    <s v="Yes"/>
    <m/>
    <s v="Yes"/>
    <m/>
    <s v="N/A"/>
    <m/>
    <s v="Yes"/>
    <m/>
    <s v="Yes"/>
    <m/>
    <s v="New"/>
    <s v="infasco"/>
    <n v="224.49"/>
    <n v="224.49"/>
  </r>
  <r>
    <x v="6"/>
    <x v="32"/>
    <s v="W705606-S440"/>
    <n v="716702"/>
    <n v="33"/>
    <n v="580"/>
    <n v="19140"/>
    <s v="294+252"/>
    <s v="Yes"/>
    <m/>
    <s v="Yes"/>
    <m/>
    <s v="Yes"/>
    <m/>
    <s v="Yes"/>
    <m/>
    <s v="N/A"/>
    <m/>
    <s v="Yes"/>
    <m/>
    <s v="Yes"/>
    <m/>
    <s v="New"/>
    <s v="infasco"/>
    <n v="280.15999999999997"/>
    <n v="280.15999999999997"/>
  </r>
  <r>
    <x v="6"/>
    <x v="32"/>
    <s v="06105102AA"/>
    <n v="716117"/>
    <n v="26"/>
    <n v="670"/>
    <n v="17420"/>
    <s v="294+252"/>
    <s v="Yes"/>
    <m/>
    <s v="Yes"/>
    <m/>
    <s v="Yes"/>
    <m/>
    <s v="Yes"/>
    <m/>
    <s v="N/A"/>
    <m/>
    <s v="Yes"/>
    <m/>
    <s v="Yes"/>
    <m/>
    <s v="New"/>
    <s v="infasco"/>
    <n v="280.16000000000003"/>
    <n v="280.16000000000003"/>
  </r>
  <r>
    <x v="6"/>
    <x v="32"/>
    <n v="91058"/>
    <n v="713301"/>
    <n v="18"/>
    <n v="1200"/>
    <n v="21600"/>
    <s v="294+252"/>
    <s v="Yes"/>
    <m/>
    <s v="Yes"/>
    <m/>
    <s v="Yes"/>
    <m/>
    <s v="Yes"/>
    <m/>
    <s v="N/A"/>
    <m/>
    <s v="Yes"/>
    <m/>
    <s v="Yes"/>
    <m/>
    <s v="Re-certified"/>
    <s v="infasco"/>
    <n v="0"/>
    <n v="0"/>
  </r>
  <r>
    <x v="6"/>
    <x v="13"/>
    <s v="N620483-S2"/>
    <n v="714708"/>
    <n v="18"/>
    <n v="600"/>
    <n v="10800"/>
    <s v="011+293"/>
    <s v="Yes"/>
    <m/>
    <s v="Yes"/>
    <m/>
    <s v="Yes"/>
    <m/>
    <s v="Yes"/>
    <m/>
    <s v="N/A"/>
    <m/>
    <s v="Yes"/>
    <m/>
    <s v="Yes"/>
    <m/>
    <s v="New"/>
    <s v="infasco"/>
    <n v="106.94"/>
    <n v="106.94"/>
  </r>
  <r>
    <x v="6"/>
    <x v="13"/>
    <n v="11549170"/>
    <n v="714635"/>
    <n v="36"/>
    <n v="400"/>
    <n v="14400"/>
    <s v="011+293"/>
    <s v="Yes"/>
    <m/>
    <s v="Yes"/>
    <m/>
    <s v="Yes"/>
    <m/>
    <s v="Yes"/>
    <m/>
    <s v="N/A"/>
    <m/>
    <s v="Yes"/>
    <m/>
    <s v="Yes"/>
    <m/>
    <s v="New"/>
    <s v="infasco"/>
    <n v="106.94"/>
    <n v="106.94"/>
  </r>
  <r>
    <x v="6"/>
    <x v="13"/>
    <n v="11549170"/>
    <n v="714647"/>
    <n v="39"/>
    <n v="400"/>
    <n v="15600"/>
    <s v="011+293"/>
    <s v="Yes"/>
    <m/>
    <s v="Yes"/>
    <m/>
    <s v="Yes"/>
    <m/>
    <s v="Yes"/>
    <m/>
    <s v="N/A"/>
    <m/>
    <s v="Yes"/>
    <m/>
    <s v="Yes"/>
    <m/>
    <s v="New"/>
    <s v="infasco"/>
    <n v="106.94"/>
    <n v="106.94"/>
  </r>
  <r>
    <x v="6"/>
    <x v="13"/>
    <s v="W705606-S440"/>
    <n v="716700"/>
    <n v="37"/>
    <n v="580"/>
    <n v="21460"/>
    <s v="011+293"/>
    <s v="Yes"/>
    <m/>
    <s v="Yes"/>
    <m/>
    <s v="Yes"/>
    <m/>
    <s v="Yes"/>
    <m/>
    <s v="N/A"/>
    <m/>
    <s v="Yes"/>
    <m/>
    <s v="Yes"/>
    <m/>
    <s v="New"/>
    <s v="infasco"/>
    <n v="280.15999999999997"/>
    <n v="280.15999999999997"/>
  </r>
  <r>
    <x v="6"/>
    <x v="13"/>
    <s v="W705606-S440"/>
    <n v="716701"/>
    <n v="36"/>
    <n v="580"/>
    <n v="20880"/>
    <s v="011+293"/>
    <s v="Yes"/>
    <m/>
    <s v="Yes"/>
    <m/>
    <s v="Yes"/>
    <m/>
    <s v="Yes"/>
    <m/>
    <s v="N/A"/>
    <m/>
    <s v="Yes"/>
    <m/>
    <s v="Yes"/>
    <m/>
    <s v="New"/>
    <s v="infasco"/>
    <n v="280.15999999999997"/>
    <n v="280.15999999999997"/>
  </r>
  <r>
    <x v="6"/>
    <x v="13"/>
    <n v="11549170"/>
    <n v="714639"/>
    <n v="38"/>
    <n v="400"/>
    <n v="15200"/>
    <s v="011+293"/>
    <s v="Yes"/>
    <m/>
    <s v="Yes"/>
    <m/>
    <s v="Yes"/>
    <m/>
    <s v="Yes"/>
    <m/>
    <s v="N/A"/>
    <m/>
    <s v="Yes"/>
    <m/>
    <s v="Yes"/>
    <m/>
    <s v="New"/>
    <s v="infasco"/>
    <n v="106.94"/>
    <n v="106.94"/>
  </r>
  <r>
    <x v="6"/>
    <x v="13"/>
    <n v="11546463"/>
    <n v="716173"/>
    <n v="34"/>
    <n v="450"/>
    <n v="15300"/>
    <s v="011+293"/>
    <s v="Yes"/>
    <m/>
    <s v="Yes"/>
    <m/>
    <s v="Yes"/>
    <m/>
    <s v="Yes"/>
    <m/>
    <s v="N/A"/>
    <m/>
    <s v="Yes"/>
    <m/>
    <s v="Yes"/>
    <m/>
    <s v="New"/>
    <s v="infasco"/>
    <n v="106.94"/>
    <n v="106.94"/>
  </r>
  <r>
    <x v="6"/>
    <x v="13"/>
    <s v="06105102AA"/>
    <n v="716108"/>
    <n v="32"/>
    <n v="670"/>
    <n v="21440"/>
    <s v="011+293"/>
    <s v="Yes"/>
    <m/>
    <s v="Yes"/>
    <m/>
    <s v="Yes"/>
    <m/>
    <s v="Yes"/>
    <m/>
    <s v="N/A"/>
    <m/>
    <s v="Yes"/>
    <m/>
    <s v="Yes"/>
    <m/>
    <s v="New"/>
    <s v="infasco"/>
    <n v="280.16000000000003"/>
    <n v="280.16000000000003"/>
  </r>
  <r>
    <x v="6"/>
    <x v="13"/>
    <s v="06511799AA"/>
    <n v="712204"/>
    <n v="13"/>
    <n v="1800"/>
    <n v="23400"/>
    <s v="011+293"/>
    <s v="Yes"/>
    <m/>
    <s v="Yes"/>
    <m/>
    <s v="Yes"/>
    <m/>
    <s v="Yes"/>
    <m/>
    <s v="N/A"/>
    <m/>
    <s v="Yes"/>
    <m/>
    <s v="Yes"/>
    <m/>
    <s v="Re-certified"/>
    <s v="infasco"/>
    <n v="0"/>
    <n v="0"/>
  </r>
  <r>
    <x v="6"/>
    <x v="21"/>
    <s v="06511701AA"/>
    <n v="716153"/>
    <n v="18"/>
    <n v="2300"/>
    <n v="41400"/>
    <n v="280"/>
    <s v="Yes"/>
    <m/>
    <s v="Yes"/>
    <m/>
    <s v="Yes"/>
    <m/>
    <s v="Yes"/>
    <m/>
    <s v="N/A"/>
    <m/>
    <s v="Yes"/>
    <m/>
    <s v="Yes"/>
    <m/>
    <s v="Re-certified"/>
    <s v="infasco"/>
    <n v="0"/>
    <n v="0"/>
  </r>
  <r>
    <x v="6"/>
    <x v="20"/>
    <n v="11546462"/>
    <n v="716187"/>
    <n v="12"/>
    <n v="650"/>
    <n v="7800"/>
    <n v="280"/>
    <s v="Yes"/>
    <m/>
    <s v="Yes"/>
    <m/>
    <s v="Yes"/>
    <m/>
    <s v="Yes"/>
    <m/>
    <s v="N/A"/>
    <m/>
    <s v="Yes"/>
    <m/>
    <s v="Yes"/>
    <m/>
    <s v="New"/>
    <s v="infasco"/>
    <n v="106.94"/>
    <n v="106.94"/>
  </r>
  <r>
    <x v="6"/>
    <x v="20"/>
    <n v="11546462"/>
    <n v="716188"/>
    <n v="30"/>
    <n v="650"/>
    <n v="19500"/>
    <n v="280"/>
    <s v="Yes"/>
    <m/>
    <s v="Yes"/>
    <m/>
    <s v="Yes"/>
    <m/>
    <s v="Yes"/>
    <m/>
    <s v="N/A"/>
    <m/>
    <s v="Yes"/>
    <m/>
    <s v="Yes"/>
    <m/>
    <s v="New"/>
    <s v="infasco"/>
    <n v="106.94"/>
    <n v="106.94"/>
  </r>
  <r>
    <x v="6"/>
    <x v="23"/>
    <s v="06104725AA"/>
    <n v="715708"/>
    <n v="25"/>
    <n v="2800"/>
    <n v="70000"/>
    <n v="280"/>
    <s v="Yes"/>
    <m/>
    <s v="Yes"/>
    <m/>
    <s v="Yes"/>
    <m/>
    <s v="Yes"/>
    <m/>
    <s v="N/A"/>
    <m/>
    <s v="Yes"/>
    <m/>
    <s v="Yes"/>
    <m/>
    <s v="New"/>
    <s v="infasco"/>
    <n v="106.94"/>
    <n v="106.94"/>
  </r>
  <r>
    <x v="6"/>
    <x v="23"/>
    <s v="11546437-MY-AK"/>
    <n v="716159"/>
    <n v="60"/>
    <n v="1500"/>
    <n v="90000"/>
    <n v="280"/>
    <s v="Yes"/>
    <m/>
    <s v="Yes"/>
    <m/>
    <s v="Yes"/>
    <m/>
    <s v="Yes"/>
    <m/>
    <s v="N/A"/>
    <m/>
    <s v="Yes"/>
    <m/>
    <s v="Yes"/>
    <m/>
    <s v="New"/>
    <s v="infasco"/>
    <n v="106.94"/>
    <n v="106.94"/>
  </r>
  <r>
    <x v="6"/>
    <x v="23"/>
    <s v="11546437-MY-AK"/>
    <n v="716161"/>
    <n v="32"/>
    <n v="1500"/>
    <n v="48000"/>
    <n v="280"/>
    <s v="Yes"/>
    <m/>
    <s v="Yes"/>
    <m/>
    <s v="Yes"/>
    <m/>
    <s v="Yes"/>
    <m/>
    <s v="N/A"/>
    <m/>
    <s v="Yes"/>
    <m/>
    <s v="Yes"/>
    <m/>
    <s v="Re-certified"/>
    <s v="infasco"/>
    <n v="0"/>
    <n v="0"/>
  </r>
  <r>
    <x v="6"/>
    <x v="25"/>
    <s v="NU1510"/>
    <n v="715837"/>
    <n v="1"/>
    <n v="28000"/>
    <n v="28000"/>
    <n v="280"/>
    <s v="Yes"/>
    <m/>
    <s v="Yes"/>
    <m/>
    <s v="Yes"/>
    <m/>
    <s v="Yes"/>
    <m/>
    <s v="N/A"/>
    <m/>
    <s v="Yes"/>
    <m/>
    <s v="Yes"/>
    <m/>
    <s v="Re-certified"/>
    <s v="infasco"/>
    <n v="0"/>
    <n v="0"/>
  </r>
  <r>
    <x v="6"/>
    <x v="24"/>
    <s v="W520414-S440"/>
    <n v="715991"/>
    <n v="27"/>
    <n v="1120"/>
    <n v="30240"/>
    <n v="280"/>
    <s v="Yes"/>
    <m/>
    <s v="Yes"/>
    <m/>
    <s v="Yes"/>
    <m/>
    <s v="Yes"/>
    <m/>
    <s v="N/A"/>
    <m/>
    <s v="Yes"/>
    <m/>
    <s v="Yes"/>
    <m/>
    <s v="New"/>
    <s v="infasco"/>
    <n v="106.94"/>
    <n v="106.94"/>
  </r>
  <r>
    <x v="6"/>
    <x v="24"/>
    <s v="NU1510"/>
    <n v="715836"/>
    <n v="1"/>
    <n v="19000"/>
    <n v="19000"/>
    <n v="280"/>
    <s v="Yes"/>
    <m/>
    <s v="Yes"/>
    <m/>
    <s v="Yes"/>
    <m/>
    <s v="Yes"/>
    <m/>
    <s v="N/A"/>
    <m/>
    <s v="Yes"/>
    <m/>
    <s v="Yes"/>
    <m/>
    <s v="Re-certified"/>
    <s v="infasco"/>
    <n v="0"/>
    <n v="0"/>
  </r>
  <r>
    <x v="6"/>
    <x v="14"/>
    <n v="11612078"/>
    <n v="707327"/>
    <n v="8"/>
    <n v="1850"/>
    <n v="14800"/>
    <n v="4"/>
    <s v="Yes"/>
    <m/>
    <s v="Yes"/>
    <m/>
    <s v="Yes"/>
    <m/>
    <s v="Yes"/>
    <m/>
    <s v="N/A"/>
    <m/>
    <s v="Yes"/>
    <m/>
    <s v="Yes"/>
    <m/>
    <s v="New"/>
    <s v="infasco"/>
    <n v="247.64"/>
    <n v="247.64"/>
  </r>
  <r>
    <x v="6"/>
    <x v="14"/>
    <n v="11612078"/>
    <n v="709056"/>
    <n v="15"/>
    <n v="1850"/>
    <n v="27750"/>
    <n v="4"/>
    <s v="Yes"/>
    <m/>
    <s v="Yes"/>
    <m/>
    <s v="Yes"/>
    <m/>
    <s v="Yes"/>
    <m/>
    <s v="N/A"/>
    <m/>
    <s v="Yes"/>
    <m/>
    <s v="Yes"/>
    <m/>
    <s v="Re-certified"/>
    <s v="infasco"/>
    <n v="0"/>
    <n v="0"/>
  </r>
  <r>
    <x v="6"/>
    <x v="35"/>
    <s v="06511799AA"/>
    <n v="712976"/>
    <n v="33"/>
    <n v="1800"/>
    <n v="59400"/>
    <s v="285+391"/>
    <s v="Yes"/>
    <m/>
    <s v="Yes"/>
    <m/>
    <s v="Yes"/>
    <m/>
    <s v="Yes"/>
    <m/>
    <s v="N/A"/>
    <m/>
    <s v="Yes"/>
    <m/>
    <s v="Yes"/>
    <m/>
    <s v="New"/>
    <s v="infasco"/>
    <n v="106.94"/>
    <n v="106.94"/>
  </r>
  <r>
    <x v="6"/>
    <x v="35"/>
    <n v="11548147"/>
    <n v="716100"/>
    <n v="36"/>
    <n v="250"/>
    <n v="9000"/>
    <s v="285+391"/>
    <s v="Yes"/>
    <m/>
    <s v="Yes"/>
    <m/>
    <s v="Yes"/>
    <m/>
    <s v="Yes"/>
    <m/>
    <s v="N/A"/>
    <m/>
    <s v="Yes"/>
    <m/>
    <s v="Yes"/>
    <m/>
    <s v="New"/>
    <s v="infasco"/>
    <n v="280.15999999999997"/>
    <n v="280.15999999999997"/>
  </r>
  <r>
    <x v="6"/>
    <x v="35"/>
    <n v="11548147"/>
    <n v="716101"/>
    <n v="13"/>
    <n v="250"/>
    <n v="3250"/>
    <s v="285+391"/>
    <s v="Yes"/>
    <m/>
    <s v="Yes"/>
    <m/>
    <s v="Yes"/>
    <m/>
    <s v="Yes"/>
    <m/>
    <s v="N/A"/>
    <m/>
    <s v="Yes"/>
    <m/>
    <s v="Yes"/>
    <m/>
    <s v="New"/>
    <s v="infasco"/>
    <n v="280.15999999999997"/>
    <n v="280.15999999999997"/>
  </r>
  <r>
    <x v="6"/>
    <x v="35"/>
    <s v="06105102AA"/>
    <n v="716119"/>
    <n v="36"/>
    <n v="670"/>
    <n v="24120"/>
    <s v="285+391"/>
    <s v="Yes"/>
    <m/>
    <s v="Yes"/>
    <m/>
    <s v="Yes"/>
    <m/>
    <s v="Yes"/>
    <m/>
    <s v="N/A"/>
    <m/>
    <s v="Yes"/>
    <m/>
    <s v="Yes"/>
    <m/>
    <s v="New"/>
    <s v="infasco"/>
    <n v="280.16000000000003"/>
    <n v="280.16000000000003"/>
  </r>
  <r>
    <x v="6"/>
    <x v="35"/>
    <s v="06105102AA"/>
    <n v="716109"/>
    <n v="19"/>
    <n v="670"/>
    <n v="12730"/>
    <s v="285+391"/>
    <s v="Yes"/>
    <m/>
    <s v="Yes"/>
    <m/>
    <s v="Yes"/>
    <m/>
    <s v="Yes"/>
    <m/>
    <s v="N/A"/>
    <m/>
    <s v="Yes"/>
    <m/>
    <s v="Yes"/>
    <m/>
    <s v="New"/>
    <s v="infasco"/>
    <n v="280.16000000000003"/>
    <n v="280.16000000000003"/>
  </r>
  <r>
    <x v="6"/>
    <x v="35"/>
    <n v="11549168"/>
    <n v="712003"/>
    <n v="30"/>
    <n v="1000"/>
    <n v="30000"/>
    <s v="285+391"/>
    <s v="Yes"/>
    <m/>
    <s v="Yes"/>
    <m/>
    <s v="Yes"/>
    <m/>
    <s v="Yes"/>
    <m/>
    <s v="N/A"/>
    <m/>
    <s v="Yes"/>
    <m/>
    <s v="Yes"/>
    <m/>
    <s v="Re-certified"/>
    <s v="infasco"/>
    <n v="0"/>
    <n v="0"/>
  </r>
  <r>
    <x v="7"/>
    <x v="12"/>
    <s v="11546367-MY-AK"/>
    <n v="714192"/>
    <n v="16"/>
    <n v="700"/>
    <n v="11200"/>
    <n v="275"/>
    <s v="Yes"/>
    <m/>
    <s v="Yes"/>
    <m/>
    <s v="Yes"/>
    <m/>
    <s v="Yes"/>
    <m/>
    <s v="N/A"/>
    <m/>
    <s v="Yes"/>
    <m/>
    <s v="Yes"/>
    <m/>
    <s v="New"/>
    <s v="infasco"/>
    <n v="106.94"/>
    <n v="106.94"/>
  </r>
  <r>
    <x v="7"/>
    <x v="12"/>
    <s v="11546367-MY-AK"/>
    <n v="714191"/>
    <n v="36"/>
    <n v="700"/>
    <n v="25200"/>
    <n v="275"/>
    <s v="Yes"/>
    <m/>
    <s v="Yes"/>
    <m/>
    <s v="Yes"/>
    <m/>
    <s v="Yes"/>
    <m/>
    <s v="N/A"/>
    <m/>
    <s v="Yes"/>
    <m/>
    <s v="Yes"/>
    <m/>
    <s v="New"/>
    <s v="infasco"/>
    <n v="106.94"/>
    <n v="106.94"/>
  </r>
  <r>
    <x v="7"/>
    <x v="6"/>
    <s v="06511701AA"/>
    <n v="716152"/>
    <n v="16"/>
    <n v="2300"/>
    <n v="36800"/>
    <n v="275"/>
    <s v="Yes"/>
    <m/>
    <s v="Yes"/>
    <m/>
    <s v="Yes"/>
    <m/>
    <s v="Yes"/>
    <m/>
    <s v="N/A"/>
    <m/>
    <s v="Yes"/>
    <m/>
    <s v="Yes"/>
    <m/>
    <s v="New"/>
    <s v="infasco"/>
    <n v="106.94"/>
    <n v="106.94"/>
  </r>
  <r>
    <x v="7"/>
    <x v="6"/>
    <n v="11546545"/>
    <n v="716264"/>
    <n v="20"/>
    <n v="2500"/>
    <n v="50000"/>
    <n v="275"/>
    <s v="Yes"/>
    <m/>
    <s v="Yes"/>
    <m/>
    <s v="Yes"/>
    <m/>
    <s v="Yes"/>
    <m/>
    <s v="N/A"/>
    <m/>
    <s v="Yes"/>
    <m/>
    <s v="Yes"/>
    <m/>
    <s v="Re-certified"/>
    <s v="infasco"/>
    <n v="106.94"/>
    <n v="0"/>
  </r>
  <r>
    <x v="7"/>
    <x v="10"/>
    <s v="11546437-MY-AK"/>
    <n v="716160"/>
    <n v="24"/>
    <n v="1500"/>
    <n v="36000"/>
    <n v="275"/>
    <s v="Yes"/>
    <m/>
    <s v="Yes"/>
    <m/>
    <s v="Yes"/>
    <m/>
    <s v="Yes"/>
    <m/>
    <s v="N/A"/>
    <m/>
    <s v="Yes"/>
    <m/>
    <s v="Yes"/>
    <m/>
    <s v="New"/>
    <s v="infasco"/>
    <n v="106.94"/>
    <n v="106.94"/>
  </r>
  <r>
    <x v="7"/>
    <x v="10"/>
    <s v="11546437-MY-AK"/>
    <n v="716075"/>
    <n v="49"/>
    <n v="1500"/>
    <n v="73500"/>
    <n v="275"/>
    <s v="Yes"/>
    <m/>
    <s v="Yes"/>
    <m/>
    <s v="Yes"/>
    <m/>
    <s v="Yes"/>
    <m/>
    <s v="N/A"/>
    <m/>
    <s v="Yes"/>
    <m/>
    <s v="Yes"/>
    <m/>
    <s v="Re-certified"/>
    <s v="infasco"/>
    <n v="106.94"/>
    <n v="0"/>
  </r>
  <r>
    <x v="7"/>
    <x v="7"/>
    <s v="06104388AA"/>
    <n v="715867"/>
    <n v="23"/>
    <n v="660"/>
    <n v="15180"/>
    <n v="275"/>
    <s v="Yes"/>
    <m/>
    <s v="Yes"/>
    <m/>
    <s v="Yes"/>
    <m/>
    <s v="Yes"/>
    <m/>
    <s v="N/A"/>
    <m/>
    <s v="Yes"/>
    <m/>
    <s v="Yes"/>
    <m/>
    <s v="New"/>
    <s v="infasco"/>
    <n v="106.94"/>
    <n v="135.08000000000001"/>
  </r>
  <r>
    <x v="7"/>
    <x v="7"/>
    <s v="06104388AA"/>
    <n v="715864"/>
    <n v="8"/>
    <n v="660"/>
    <n v="5280"/>
    <n v="275"/>
    <s v="Yes"/>
    <m/>
    <s v="Yes"/>
    <m/>
    <s v="Yes"/>
    <m/>
    <s v="Yes"/>
    <m/>
    <s v="N/A"/>
    <m/>
    <s v="Yes"/>
    <m/>
    <s v="Yes"/>
    <m/>
    <s v="Re-certified"/>
    <s v="infasco"/>
    <n v="106.94"/>
    <n v="0"/>
  </r>
  <r>
    <x v="7"/>
    <x v="8"/>
    <s v="11546367-MY-AK"/>
    <n v="714189"/>
    <n v="27"/>
    <n v="700"/>
    <n v="18900"/>
    <n v="275"/>
    <s v="Yes"/>
    <m/>
    <s v="Yes"/>
    <m/>
    <s v="Yes"/>
    <m/>
    <s v="Yes"/>
    <m/>
    <s v="N/A"/>
    <m/>
    <s v="Yes"/>
    <m/>
    <s v="Yes"/>
    <m/>
    <s v="New"/>
    <s v="infasco"/>
    <n v="106.94"/>
    <n v="106.94"/>
  </r>
  <r>
    <x v="7"/>
    <x v="8"/>
    <s v="11546367-MY-AK"/>
    <n v="714188"/>
    <n v="36"/>
    <n v="700"/>
    <n v="25200"/>
    <n v="275"/>
    <s v="Yes"/>
    <m/>
    <s v="Yes"/>
    <m/>
    <s v="Yes"/>
    <m/>
    <s v="Yes"/>
    <m/>
    <s v="N/A"/>
    <m/>
    <s v="Yes"/>
    <m/>
    <s v="Yes"/>
    <m/>
    <s v="New"/>
    <s v="infasco"/>
    <n v="106.94"/>
    <n v="106.94"/>
  </r>
  <r>
    <x v="7"/>
    <x v="8"/>
    <s v="11546367-MY-AK"/>
    <n v="714194"/>
    <n v="18"/>
    <n v="700"/>
    <n v="12600"/>
    <n v="275"/>
    <s v="Yes"/>
    <m/>
    <s v="Yes"/>
    <m/>
    <s v="Yes"/>
    <m/>
    <s v="Yes"/>
    <m/>
    <s v="N/A"/>
    <m/>
    <s v="Yes"/>
    <m/>
    <s v="Yes"/>
    <m/>
    <s v="Re-certified"/>
    <s v="infasco"/>
    <n v="106.94"/>
    <n v="0"/>
  </r>
  <r>
    <x v="7"/>
    <x v="9"/>
    <s v="06104725AA"/>
    <n v="715701"/>
    <n v="7"/>
    <n v="2800"/>
    <n v="19600"/>
    <n v="275"/>
    <s v="Yes"/>
    <m/>
    <s v="Yes"/>
    <m/>
    <s v="Yes"/>
    <m/>
    <s v="Yes"/>
    <m/>
    <s v="N/A"/>
    <m/>
    <s v="Yes"/>
    <m/>
    <s v="Yes"/>
    <m/>
    <s v="New"/>
    <s v="infasco"/>
    <n v="106.94"/>
    <n v="106.94"/>
  </r>
  <r>
    <x v="7"/>
    <x v="9"/>
    <s v="11610091-MY-AK"/>
    <n v="714171"/>
    <n v="20"/>
    <n v="2500"/>
    <n v="50000"/>
    <n v="275"/>
    <s v="Yes"/>
    <m/>
    <s v="Yes"/>
    <m/>
    <s v="Yes"/>
    <m/>
    <s v="Yes"/>
    <m/>
    <s v="N/A"/>
    <m/>
    <s v="Yes"/>
    <m/>
    <s v="Yes"/>
    <m/>
    <s v="New"/>
    <s v="infasco"/>
    <n v="106.94"/>
    <n v="106.94"/>
  </r>
  <r>
    <x v="7"/>
    <x v="9"/>
    <s v="11610091-MY-AK"/>
    <n v="714169"/>
    <n v="13"/>
    <n v="2500"/>
    <n v="32500"/>
    <n v="275"/>
    <s v="Yes"/>
    <m/>
    <s v="Yes"/>
    <m/>
    <s v="Yes"/>
    <m/>
    <s v="Yes"/>
    <m/>
    <s v="N/A"/>
    <m/>
    <s v="Yes"/>
    <m/>
    <s v="Yes"/>
    <m/>
    <s v="Re-certified"/>
    <s v="infasco"/>
    <n v="106.94"/>
    <n v="0"/>
  </r>
  <r>
    <x v="7"/>
    <x v="11"/>
    <s v="11546437-MY-AK"/>
    <n v="716156"/>
    <n v="60"/>
    <n v="1500"/>
    <n v="90000"/>
    <n v="275"/>
    <s v="Yes"/>
    <m/>
    <s v="Yes"/>
    <m/>
    <s v="Yes"/>
    <m/>
    <s v="Yes"/>
    <m/>
    <s v="N/A"/>
    <m/>
    <s v="Yes"/>
    <m/>
    <s v="Yes"/>
    <m/>
    <s v="New"/>
    <s v="infasco"/>
    <n v="106.94"/>
    <n v="106.94"/>
  </r>
  <r>
    <x v="7"/>
    <x v="14"/>
    <n v="11612078"/>
    <n v="709056"/>
    <n v="21"/>
    <n v="1850"/>
    <n v="38850"/>
    <n v="4"/>
    <s v="Yes"/>
    <m/>
    <s v="Yes"/>
    <m/>
    <s v="Yes"/>
    <m/>
    <s v="Yes"/>
    <m/>
    <s v="N/A"/>
    <m/>
    <s v="Yes"/>
    <m/>
    <s v="Yes"/>
    <m/>
    <s v="New"/>
    <s v="infasco"/>
    <n v="106.94"/>
    <n v="247.64"/>
  </r>
  <r>
    <x v="7"/>
    <x v="27"/>
    <n v="11549170"/>
    <n v="714622"/>
    <n v="40"/>
    <n v="400"/>
    <n v="16000"/>
    <n v="290"/>
    <s v="Yes"/>
    <m/>
    <s v="Yes"/>
    <m/>
    <s v="Yes"/>
    <m/>
    <s v="Yes"/>
    <m/>
    <s v="N/A"/>
    <m/>
    <s v="Yes"/>
    <m/>
    <s v="Yes"/>
    <m/>
    <s v="New"/>
    <s v="infasco"/>
    <n v="106.94"/>
    <n v="106.94"/>
  </r>
  <r>
    <x v="7"/>
    <x v="27"/>
    <n v="11549170"/>
    <n v="714368"/>
    <n v="2"/>
    <n v="400"/>
    <n v="800"/>
    <n v="290"/>
    <s v="Yes"/>
    <m/>
    <s v="Yes"/>
    <m/>
    <s v="Yes"/>
    <m/>
    <s v="Yes"/>
    <m/>
    <s v="N/A"/>
    <m/>
    <s v="Yes"/>
    <m/>
    <s v="Yes"/>
    <m/>
    <s v="Re-certified"/>
    <s v="infasco"/>
    <n v="0"/>
    <n v="0"/>
  </r>
  <r>
    <x v="7"/>
    <x v="26"/>
    <n v="11549170"/>
    <n v="714380"/>
    <n v="24"/>
    <n v="400"/>
    <n v="9600"/>
    <n v="290"/>
    <s v="Yes"/>
    <m/>
    <s v="Yes"/>
    <m/>
    <s v="Yes"/>
    <m/>
    <s v="Yes"/>
    <m/>
    <s v="N/A"/>
    <m/>
    <s v="Yes"/>
    <m/>
    <s v="Yes"/>
    <m/>
    <s v="New"/>
    <s v="infasco"/>
    <n v="106.94"/>
    <n v="106.94"/>
  </r>
  <r>
    <x v="7"/>
    <x v="26"/>
    <n v="11549170"/>
    <n v="714623"/>
    <n v="40"/>
    <n v="400"/>
    <n v="16000"/>
    <n v="290"/>
    <s v="Yes"/>
    <m/>
    <s v="Yes"/>
    <m/>
    <s v="Yes"/>
    <m/>
    <s v="Yes"/>
    <m/>
    <s v="N/A"/>
    <m/>
    <s v="Yes"/>
    <m/>
    <s v="Yes"/>
    <m/>
    <s v="New"/>
    <s v="infasco"/>
    <n v="106.94"/>
    <n v="106.94"/>
  </r>
  <r>
    <x v="7"/>
    <x v="26"/>
    <n v="11549170"/>
    <n v="714621"/>
    <n v="36"/>
    <n v="400"/>
    <n v="14400"/>
    <n v="290"/>
    <s v="Yes"/>
    <m/>
    <s v="Yes"/>
    <m/>
    <s v="Yes"/>
    <m/>
    <s v="Yes"/>
    <m/>
    <s v="N/A"/>
    <m/>
    <s v="Yes"/>
    <m/>
    <s v="Yes"/>
    <m/>
    <s v="New"/>
    <s v="infasco"/>
    <n v="106.94"/>
    <n v="106.94"/>
  </r>
  <r>
    <x v="7"/>
    <x v="26"/>
    <n v="11549170"/>
    <n v="714619"/>
    <n v="36"/>
    <n v="400"/>
    <n v="14400"/>
    <n v="290"/>
    <s v="Yes"/>
    <m/>
    <s v="Yes"/>
    <m/>
    <s v="Yes"/>
    <m/>
    <s v="Yes"/>
    <m/>
    <s v="N/A"/>
    <m/>
    <s v="Yes"/>
    <m/>
    <s v="Yes"/>
    <m/>
    <s v="New"/>
    <s v="infasco"/>
    <n v="106.94"/>
    <n v="106.94"/>
  </r>
  <r>
    <x v="7"/>
    <x v="31"/>
    <s v="06101831-A"/>
    <n v="715855"/>
    <n v="36"/>
    <n v="1000"/>
    <n v="36000"/>
    <n v="290"/>
    <s v="Yes"/>
    <m/>
    <s v="Yes"/>
    <m/>
    <s v="Yes"/>
    <m/>
    <s v="Yes"/>
    <m/>
    <s v="N/A"/>
    <m/>
    <s v="Yes"/>
    <m/>
    <s v="Yes"/>
    <m/>
    <s v="New"/>
    <s v="infasco"/>
    <n v="106.94"/>
    <n v="106.94"/>
  </r>
  <r>
    <x v="7"/>
    <x v="31"/>
    <s v="06101831-A"/>
    <n v="715857"/>
    <n v="40"/>
    <n v="1000"/>
    <n v="40000"/>
    <n v="290"/>
    <s v="Yes"/>
    <m/>
    <s v="Yes"/>
    <m/>
    <s v="Yes"/>
    <m/>
    <s v="Yes"/>
    <m/>
    <s v="N/A"/>
    <m/>
    <s v="Yes"/>
    <m/>
    <s v="Yes"/>
    <m/>
    <s v="New"/>
    <s v="infasco"/>
    <n v="106.94"/>
    <n v="106.94"/>
  </r>
  <r>
    <x v="7"/>
    <x v="31"/>
    <s v="06101831-A"/>
    <n v="715853"/>
    <n v="36"/>
    <n v="1000"/>
    <n v="36000"/>
    <n v="290"/>
    <s v="Yes"/>
    <m/>
    <s v="Yes"/>
    <m/>
    <s v="Yes"/>
    <m/>
    <s v="Yes"/>
    <m/>
    <s v="N/A"/>
    <m/>
    <s v="Yes"/>
    <m/>
    <s v="Yes"/>
    <m/>
    <s v="Re-certified"/>
    <s v="infasco"/>
    <n v="0"/>
    <n v="0"/>
  </r>
  <r>
    <x v="7"/>
    <x v="29"/>
    <s v="11546437-MY-AK"/>
    <n v="716158"/>
    <n v="45"/>
    <n v="1500"/>
    <n v="67500"/>
    <n v="290"/>
    <s v="Yes"/>
    <m/>
    <s v="Yes"/>
    <m/>
    <s v="Yes"/>
    <m/>
    <s v="Yes"/>
    <m/>
    <s v="N/A"/>
    <m/>
    <s v="Yes"/>
    <m/>
    <s v="Yes"/>
    <m/>
    <s v="New"/>
    <s v="infasco"/>
    <n v="106.94"/>
    <n v="106.94"/>
  </r>
  <r>
    <x v="7"/>
    <x v="29"/>
    <n v="11546545"/>
    <n v="716267"/>
    <n v="10"/>
    <n v="2500"/>
    <n v="25000"/>
    <n v="290"/>
    <s v="Yes"/>
    <m/>
    <s v="Yes"/>
    <m/>
    <s v="Yes"/>
    <m/>
    <s v="Yes"/>
    <m/>
    <s v="N/A"/>
    <m/>
    <s v="Yes"/>
    <m/>
    <s v="Yes"/>
    <m/>
    <s v="Re-certified"/>
    <s v="infasco"/>
    <n v="0"/>
    <n v="0"/>
  </r>
  <r>
    <x v="7"/>
    <x v="30"/>
    <n v="11549170"/>
    <n v="714386"/>
    <n v="24"/>
    <n v="400"/>
    <n v="9600"/>
    <n v="290"/>
    <s v="Yes"/>
    <m/>
    <s v="Yes"/>
    <m/>
    <s v="Yes"/>
    <m/>
    <s v="Yes"/>
    <m/>
    <s v="N/A"/>
    <m/>
    <s v="Yes"/>
    <m/>
    <s v="Yes"/>
    <m/>
    <s v="New"/>
    <s v="infasco"/>
    <n v="106.94"/>
    <n v="106.94"/>
  </r>
  <r>
    <x v="7"/>
    <x v="30"/>
    <n v="11549170"/>
    <n v="714624"/>
    <n v="39"/>
    <n v="400"/>
    <n v="15600"/>
    <n v="290"/>
    <s v="Yes"/>
    <m/>
    <s v="Yes"/>
    <m/>
    <s v="Yes"/>
    <m/>
    <s v="Yes"/>
    <m/>
    <s v="N/A"/>
    <m/>
    <s v="Yes"/>
    <m/>
    <s v="Yes"/>
    <m/>
    <s v="New"/>
    <s v="infasco"/>
    <n v="106.94"/>
    <n v="106.94"/>
  </r>
  <r>
    <x v="7"/>
    <x v="30"/>
    <n v="11549170"/>
    <n v="714645"/>
    <n v="34"/>
    <n v="400"/>
    <n v="13600"/>
    <n v="290"/>
    <s v="Yes"/>
    <m/>
    <s v="Yes"/>
    <m/>
    <s v="Yes"/>
    <m/>
    <s v="Yes"/>
    <m/>
    <s v="N/A"/>
    <m/>
    <s v="Yes"/>
    <m/>
    <s v="Yes"/>
    <m/>
    <s v="New"/>
    <s v="infasco"/>
    <n v="106.94"/>
    <n v="106.94"/>
  </r>
  <r>
    <x v="7"/>
    <x v="30"/>
    <n v="11549170"/>
    <n v="714625"/>
    <n v="22"/>
    <n v="400"/>
    <n v="8800"/>
    <n v="290"/>
    <s v="Yes"/>
    <m/>
    <s v="Yes"/>
    <m/>
    <s v="Yes"/>
    <m/>
    <s v="Yes"/>
    <m/>
    <s v="N/A"/>
    <m/>
    <s v="Yes"/>
    <m/>
    <s v="Yes"/>
    <m/>
    <s v="Re-certified"/>
    <s v="infasco"/>
    <n v="0"/>
    <n v="0"/>
  </r>
  <r>
    <x v="7"/>
    <x v="28"/>
    <s v="06509967AA"/>
    <n v="715680"/>
    <n v="4"/>
    <n v="825"/>
    <n v="3300"/>
    <n v="290"/>
    <s v="Yes"/>
    <m/>
    <s v="Yes"/>
    <m/>
    <s v="Yes"/>
    <m/>
    <s v="Yes"/>
    <m/>
    <s v="N/A"/>
    <m/>
    <s v="Yes"/>
    <m/>
    <s v="Yes"/>
    <m/>
    <s v="New"/>
    <s v="infasco"/>
    <n v="280.16000000000003"/>
    <n v="280.16000000000003"/>
  </r>
  <r>
    <x v="7"/>
    <x v="28"/>
    <s v="06509967AA"/>
    <n v="715681"/>
    <n v="19"/>
    <n v="825"/>
    <n v="15675"/>
    <n v="290"/>
    <s v="Yes"/>
    <m/>
    <s v="Yes"/>
    <m/>
    <s v="Yes"/>
    <m/>
    <s v="Yes"/>
    <m/>
    <s v="N/A"/>
    <m/>
    <s v="Yes"/>
    <m/>
    <s v="Yes"/>
    <m/>
    <s v="New"/>
    <s v="infasco"/>
    <n v="280.16000000000003"/>
    <n v="280.16000000000003"/>
  </r>
  <r>
    <x v="7"/>
    <x v="19"/>
    <s v="11549168-CA-IN"/>
    <n v="712287"/>
    <n v="36"/>
    <n v="1000"/>
    <n v="36000"/>
    <n v="272"/>
    <s v="Yes"/>
    <m/>
    <s v="Yes"/>
    <m/>
    <s v="Yes"/>
    <m/>
    <s v="Yes"/>
    <m/>
    <s v="N/A"/>
    <m/>
    <s v="Yes"/>
    <m/>
    <s v="Yes"/>
    <m/>
    <s v="New"/>
    <s v="infasco"/>
    <n v="213.88"/>
    <n v="213.88"/>
  </r>
  <r>
    <x v="7"/>
    <x v="19"/>
    <s v="11549168-CA-IN"/>
    <n v="710830"/>
    <n v="36"/>
    <n v="1000"/>
    <n v="36000"/>
    <n v="272"/>
    <s v="Yes"/>
    <m/>
    <s v="Yes"/>
    <m/>
    <s v="Yes"/>
    <m/>
    <s v="Yes"/>
    <m/>
    <s v="N/A"/>
    <m/>
    <s v="Yes"/>
    <m/>
    <s v="Yes"/>
    <m/>
    <s v="Re-certified"/>
    <s v="infasco"/>
    <n v="0"/>
    <n v="0"/>
  </r>
  <r>
    <x v="7"/>
    <x v="24"/>
    <s v="NU1510"/>
    <n v="715836"/>
    <n v="1"/>
    <n v="21323"/>
    <n v="21323"/>
    <n v="280"/>
    <s v="Yes"/>
    <m/>
    <s v="Yes"/>
    <m/>
    <s v="Yes"/>
    <m/>
    <s v="Yes"/>
    <m/>
    <s v="N/A"/>
    <m/>
    <s v="Yes"/>
    <m/>
    <s v="Yes"/>
    <m/>
    <s v="New"/>
    <s v="infasco"/>
    <n v="129.44999999999999"/>
    <n v="129.44999999999999"/>
  </r>
  <r>
    <x v="7"/>
    <x v="24"/>
    <n v="11546449"/>
    <n v="715761"/>
    <n v="8"/>
    <n v="2500"/>
    <n v="20000"/>
    <n v="280"/>
    <s v="Yes"/>
    <m/>
    <s v="Yes"/>
    <m/>
    <s v="Yes"/>
    <m/>
    <s v="Yes"/>
    <m/>
    <s v="N/A"/>
    <m/>
    <s v="Yes"/>
    <m/>
    <s v="Yes"/>
    <m/>
    <s v="Re-certified"/>
    <s v="infasco"/>
    <n v="0"/>
    <n v="0"/>
  </r>
  <r>
    <x v="7"/>
    <x v="25"/>
    <s v="NU1510"/>
    <n v="715837"/>
    <n v="1"/>
    <n v="14380"/>
    <n v="14380"/>
    <n v="280"/>
    <s v="Yes"/>
    <m/>
    <s v="Yes"/>
    <m/>
    <s v="Yes"/>
    <m/>
    <s v="Yes"/>
    <m/>
    <s v="N/A"/>
    <m/>
    <s v="Yes"/>
    <m/>
    <s v="Yes"/>
    <m/>
    <s v="New"/>
    <s v="infasco"/>
    <n v="129.44999999999999"/>
    <n v="129.44999999999999"/>
  </r>
  <r>
    <x v="7"/>
    <x v="25"/>
    <n v="11546449"/>
    <n v="715757"/>
    <n v="6"/>
    <n v="2500"/>
    <n v="15000"/>
    <n v="280"/>
    <s v="Yes"/>
    <m/>
    <s v="Yes"/>
    <m/>
    <s v="Yes"/>
    <m/>
    <s v="Yes"/>
    <m/>
    <s v="N/A"/>
    <m/>
    <s v="Yes"/>
    <m/>
    <s v="Yes"/>
    <m/>
    <s v="Re-certified"/>
    <s v="infasco"/>
    <n v="0"/>
    <n v="0"/>
  </r>
  <r>
    <x v="7"/>
    <x v="22"/>
    <s v="11610091-MY-AK"/>
    <n v="714170"/>
    <n v="35"/>
    <n v="2500"/>
    <n v="87500"/>
    <n v="280"/>
    <s v="Yes"/>
    <m/>
    <s v="Yes"/>
    <m/>
    <s v="Yes"/>
    <m/>
    <s v="Yes"/>
    <m/>
    <s v="N/A"/>
    <m/>
    <s v="Yes"/>
    <m/>
    <s v="Yes"/>
    <m/>
    <s v="New"/>
    <s v="infasco"/>
    <n v="106.94"/>
    <n v="106.94"/>
  </r>
  <r>
    <x v="7"/>
    <x v="22"/>
    <s v="11610091-MY-AK"/>
    <n v="714168"/>
    <n v="30"/>
    <n v="2500"/>
    <n v="75000"/>
    <n v="280"/>
    <s v="Yes"/>
    <m/>
    <s v="Yes"/>
    <m/>
    <s v="Yes"/>
    <m/>
    <s v="Yes"/>
    <m/>
    <s v="N/A"/>
    <m/>
    <s v="Yes"/>
    <m/>
    <s v="Yes"/>
    <m/>
    <s v="New"/>
    <s v="infasco"/>
    <n v="106.94"/>
    <n v="106.94"/>
  </r>
  <r>
    <x v="7"/>
    <x v="20"/>
    <n v="11546462"/>
    <n v="716183"/>
    <n v="36"/>
    <n v="650"/>
    <n v="23400"/>
    <n v="280"/>
    <s v="Yes"/>
    <m/>
    <s v="Yes"/>
    <m/>
    <s v="Yes"/>
    <m/>
    <s v="Yes"/>
    <m/>
    <s v="N/A"/>
    <m/>
    <s v="Yes"/>
    <m/>
    <s v="Yes"/>
    <m/>
    <s v="New"/>
    <s v="infasco"/>
    <n v="106.94"/>
    <n v="106.94"/>
  </r>
  <r>
    <x v="7"/>
    <x v="21"/>
    <s v="06511701AA"/>
    <n v="716153"/>
    <n v="18"/>
    <n v="2300"/>
    <n v="41400"/>
    <n v="280"/>
    <s v="Yes"/>
    <m/>
    <s v="Yes"/>
    <m/>
    <s v="Yes"/>
    <m/>
    <s v="Yes"/>
    <m/>
    <s v="N/A"/>
    <m/>
    <s v="Yes"/>
    <m/>
    <s v="Yes"/>
    <m/>
    <s v="New"/>
    <s v="infasco"/>
    <n v="106.94"/>
    <n v="106.94"/>
  </r>
  <r>
    <x v="7"/>
    <x v="21"/>
    <n v="11546449"/>
    <n v="715750"/>
    <n v="36"/>
    <n v="2500"/>
    <n v="90000"/>
    <n v="280"/>
    <s v="Yes"/>
    <m/>
    <s v="Yes"/>
    <m/>
    <s v="Yes"/>
    <m/>
    <s v="Yes"/>
    <m/>
    <s v="N/A"/>
    <m/>
    <s v="Yes"/>
    <m/>
    <s v="Yes"/>
    <m/>
    <s v="New"/>
    <s v="infasco"/>
    <n v="106.94"/>
    <n v="106.94"/>
  </r>
  <r>
    <x v="7"/>
    <x v="21"/>
    <n v="11546449"/>
    <n v="715759"/>
    <n v="16"/>
    <n v="2500"/>
    <n v="40000"/>
    <n v="280"/>
    <s v="Yes"/>
    <m/>
    <s v="Yes"/>
    <m/>
    <s v="Yes"/>
    <m/>
    <s v="Yes"/>
    <m/>
    <s v="N/A"/>
    <m/>
    <s v="Yes"/>
    <m/>
    <s v="Yes"/>
    <m/>
    <s v="Re-certified"/>
    <s v="infasco"/>
    <n v="0"/>
    <n v="0"/>
  </r>
  <r>
    <x v="7"/>
    <x v="23"/>
    <s v="11546437-MY-AK"/>
    <n v="716161"/>
    <n v="20"/>
    <n v="1500"/>
    <n v="30000"/>
    <n v="280"/>
    <s v="Yes"/>
    <m/>
    <s v="Yes"/>
    <m/>
    <s v="Yes"/>
    <m/>
    <s v="Yes"/>
    <m/>
    <s v="N/A"/>
    <m/>
    <s v="Yes"/>
    <m/>
    <s v="Yes"/>
    <m/>
    <s v="New"/>
    <s v="infasco"/>
    <n v="106.94"/>
    <n v="106.94"/>
  </r>
  <r>
    <x v="7"/>
    <x v="23"/>
    <s v="11546437-MY-AK"/>
    <n v="716074"/>
    <n v="12"/>
    <n v="1500"/>
    <n v="18000"/>
    <n v="280"/>
    <s v="Yes"/>
    <m/>
    <s v="Yes"/>
    <m/>
    <s v="Yes"/>
    <m/>
    <s v="Yes"/>
    <m/>
    <s v="N/A"/>
    <m/>
    <s v="Yes"/>
    <m/>
    <s v="Yes"/>
    <m/>
    <s v="New"/>
    <s v="infasco"/>
    <n v="106.94"/>
    <n v="106.94"/>
  </r>
  <r>
    <x v="7"/>
    <x v="0"/>
    <s v="06101968-A"/>
    <n v="716080"/>
    <n v="24"/>
    <n v="2200"/>
    <n v="52800"/>
    <n v="292"/>
    <s v="Yes"/>
    <m/>
    <s v="Yes"/>
    <m/>
    <s v="Yes"/>
    <m/>
    <s v="Yes"/>
    <m/>
    <s v="N/A"/>
    <m/>
    <s v="Yes"/>
    <m/>
    <s v="Yes"/>
    <m/>
    <s v="New"/>
    <s v="infasco"/>
    <n v="106.94"/>
    <n v="106.94"/>
  </r>
  <r>
    <x v="7"/>
    <x v="1"/>
    <s v="11546437-MY-AK"/>
    <n v="716157"/>
    <n v="44"/>
    <n v="1500"/>
    <n v="66000"/>
    <n v="292"/>
    <s v="Yes"/>
    <m/>
    <s v="Yes"/>
    <m/>
    <s v="Yes"/>
    <m/>
    <s v="Yes"/>
    <m/>
    <s v="N/A"/>
    <m/>
    <s v="Yes"/>
    <m/>
    <s v="Yes"/>
    <m/>
    <s v="New"/>
    <s v="infasco"/>
    <n v="106.94"/>
    <n v="106.94"/>
  </r>
  <r>
    <x v="7"/>
    <x v="2"/>
    <n v="11546462"/>
    <n v="716182"/>
    <n v="7"/>
    <n v="650"/>
    <n v="4550"/>
    <n v="292"/>
    <s v="Yes"/>
    <m/>
    <s v="Yes"/>
    <m/>
    <s v="Yes"/>
    <m/>
    <s v="Yes"/>
    <m/>
    <s v="N/A"/>
    <m/>
    <s v="Yes"/>
    <m/>
    <s v="Yes"/>
    <m/>
    <s v="New"/>
    <s v="infasco"/>
    <n v="106.94"/>
    <n v="106.94"/>
  </r>
  <r>
    <x v="7"/>
    <x v="2"/>
    <n v="11546462"/>
    <n v="716177"/>
    <n v="36"/>
    <n v="650"/>
    <n v="23400"/>
    <n v="292"/>
    <s v="Yes"/>
    <m/>
    <s v="Yes"/>
    <m/>
    <s v="Yes"/>
    <m/>
    <s v="Yes"/>
    <m/>
    <s v="N/A"/>
    <m/>
    <s v="Yes"/>
    <m/>
    <s v="Yes"/>
    <m/>
    <s v="New"/>
    <s v="infasco"/>
    <n v="106.94"/>
    <n v="106.94"/>
  </r>
  <r>
    <x v="7"/>
    <x v="2"/>
    <n v="11546462"/>
    <n v="716176"/>
    <n v="25"/>
    <n v="650"/>
    <n v="16250"/>
    <n v="292"/>
    <s v="Yes"/>
    <m/>
    <s v="Yes"/>
    <m/>
    <s v="Yes"/>
    <m/>
    <s v="Yes"/>
    <m/>
    <s v="N/A"/>
    <m/>
    <s v="Yes"/>
    <m/>
    <s v="Yes"/>
    <m/>
    <s v="Re-certified"/>
    <s v="infasco"/>
    <n v="0"/>
    <n v="0"/>
  </r>
  <r>
    <x v="7"/>
    <x v="3"/>
    <n v="11549170"/>
    <n v="714379"/>
    <n v="26"/>
    <n v="400"/>
    <n v="10400"/>
    <n v="292"/>
    <s v="Yes"/>
    <m/>
    <s v="Yes"/>
    <m/>
    <s v="Yes"/>
    <m/>
    <s v="Yes"/>
    <m/>
    <s v="N/A"/>
    <m/>
    <s v="Yes"/>
    <m/>
    <s v="Yes"/>
    <m/>
    <s v="New"/>
    <s v="infasco"/>
    <n v="106.94"/>
    <n v="106.94"/>
  </r>
  <r>
    <x v="7"/>
    <x v="3"/>
    <n v="11549170"/>
    <n v="714636"/>
    <n v="36"/>
    <n v="400"/>
    <n v="14400"/>
    <n v="292"/>
    <s v="Yes"/>
    <m/>
    <s v="Yes"/>
    <m/>
    <s v="Yes"/>
    <m/>
    <s v="Yes"/>
    <m/>
    <s v="N/A"/>
    <m/>
    <s v="Yes"/>
    <m/>
    <s v="Yes"/>
    <m/>
    <s v="New"/>
    <s v="infasco"/>
    <n v="106.94"/>
    <n v="106.94"/>
  </r>
  <r>
    <x v="7"/>
    <x v="3"/>
    <n v="11549170"/>
    <n v="714627"/>
    <n v="36"/>
    <n v="400"/>
    <n v="14400"/>
    <n v="292"/>
    <s v="Yes"/>
    <m/>
    <s v="Yes"/>
    <m/>
    <s v="Yes"/>
    <m/>
    <s v="Yes"/>
    <m/>
    <s v="N/A"/>
    <m/>
    <s v="Yes"/>
    <m/>
    <s v="Yes"/>
    <m/>
    <s v="New"/>
    <s v="infasco"/>
    <n v="106.94"/>
    <n v="106.94"/>
  </r>
  <r>
    <x v="7"/>
    <x v="3"/>
    <n v="11549170"/>
    <n v="714618"/>
    <n v="36"/>
    <n v="400"/>
    <n v="14400"/>
    <n v="292"/>
    <s v="Yes"/>
    <m/>
    <s v="Yes"/>
    <m/>
    <s v="Yes"/>
    <m/>
    <s v="Yes"/>
    <m/>
    <s v="N/A"/>
    <m/>
    <s v="Yes"/>
    <m/>
    <s v="Yes"/>
    <m/>
    <s v="New"/>
    <s v="infasco"/>
    <n v="106.94"/>
    <n v="106.94"/>
  </r>
  <r>
    <x v="7"/>
    <x v="5"/>
    <n v="11546463"/>
    <n v="716178"/>
    <n v="36"/>
    <n v="450"/>
    <n v="16200"/>
    <n v="292"/>
    <s v="Yes"/>
    <m/>
    <s v="Yes"/>
    <m/>
    <s v="Yes"/>
    <m/>
    <s v="Yes"/>
    <m/>
    <s v="N/A"/>
    <m/>
    <s v="Yes"/>
    <m/>
    <s v="Yes"/>
    <m/>
    <s v="New"/>
    <s v="infasco"/>
    <n v="106.94"/>
    <n v="106.94"/>
  </r>
  <r>
    <x v="7"/>
    <x v="5"/>
    <n v="11546463"/>
    <n v="716179"/>
    <n v="22"/>
    <n v="450"/>
    <n v="9900"/>
    <n v="292"/>
    <s v="Yes"/>
    <m/>
    <s v="Yes"/>
    <m/>
    <s v="Yes"/>
    <m/>
    <s v="Yes"/>
    <m/>
    <s v="N/A"/>
    <m/>
    <s v="Yes"/>
    <m/>
    <s v="Yes"/>
    <m/>
    <s v="New"/>
    <s v="infasco"/>
    <n v="106.94"/>
    <n v="106.94"/>
  </r>
  <r>
    <x v="7"/>
    <x v="5"/>
    <s v="11549169-MY-AK"/>
    <n v="715957"/>
    <n v="36"/>
    <n v="660"/>
    <n v="23760"/>
    <n v="292"/>
    <s v="Yes"/>
    <m/>
    <s v="Yes"/>
    <m/>
    <s v="Yes"/>
    <m/>
    <s v="Yes"/>
    <m/>
    <s v="N/A"/>
    <m/>
    <s v="Yes"/>
    <m/>
    <s v="Yes"/>
    <m/>
    <s v="New"/>
    <s v="infasco"/>
    <n v="106.94"/>
    <n v="106.94"/>
  </r>
  <r>
    <x v="7"/>
    <x v="4"/>
    <s v="NU1405"/>
    <n v="716151"/>
    <n v="1"/>
    <n v="12500"/>
    <n v="12500"/>
    <n v="292"/>
    <s v="Yes"/>
    <m/>
    <s v="Yes"/>
    <m/>
    <s v="Yes"/>
    <m/>
    <s v="Yes"/>
    <m/>
    <s v="N/A"/>
    <m/>
    <s v="Yes"/>
    <m/>
    <s v="Yes"/>
    <m/>
    <s v="New"/>
    <s v="infasco"/>
    <n v="129.44999999999999"/>
    <n v="129.44999999999999"/>
  </r>
  <r>
    <x v="7"/>
    <x v="4"/>
    <s v="NU1405"/>
    <n v="716150"/>
    <n v="1"/>
    <n v="62500"/>
    <n v="62500"/>
    <n v="292"/>
    <s v="Yes"/>
    <m/>
    <s v="Yes"/>
    <m/>
    <s v="Yes"/>
    <m/>
    <s v="Yes"/>
    <m/>
    <s v="N/A"/>
    <m/>
    <s v="Yes"/>
    <m/>
    <s v="Yes"/>
    <m/>
    <s v="Re-certified"/>
    <s v="infasco"/>
    <n v="0"/>
    <n v="0"/>
  </r>
  <r>
    <x v="7"/>
    <x v="15"/>
    <n v="11546703"/>
    <n v="713205"/>
    <n v="30"/>
    <n v="4000"/>
    <n v="120000"/>
    <s v="157+245"/>
    <s v="Yes"/>
    <m/>
    <s v="Yes"/>
    <m/>
    <s v="Yes"/>
    <m/>
    <s v="Yes"/>
    <m/>
    <s v="N/A"/>
    <m/>
    <s v="Yes"/>
    <m/>
    <s v="Yes"/>
    <m/>
    <s v="New"/>
    <s v="infasco"/>
    <n v="135.07999999999998"/>
    <n v="135.07999999999998"/>
  </r>
  <r>
    <x v="7"/>
    <x v="15"/>
    <s v="NU3019"/>
    <n v="715981"/>
    <n v="1"/>
    <n v="4700"/>
    <n v="4700"/>
    <s v="157+245"/>
    <s v="Yes"/>
    <m/>
    <s v="Yes"/>
    <m/>
    <s v="Yes"/>
    <m/>
    <s v="Yes"/>
    <m/>
    <s v="N/A"/>
    <m/>
    <s v="Yes"/>
    <m/>
    <s v="Yes"/>
    <m/>
    <s v="New"/>
    <s v="infasco"/>
    <n v="129.44999999999999"/>
    <n v="129.44999999999999"/>
  </r>
  <r>
    <x v="7"/>
    <x v="15"/>
    <s v="NU3019"/>
    <n v="715974"/>
    <n v="1"/>
    <n v="4700"/>
    <n v="4700"/>
    <s v="157+245"/>
    <s v="Yes"/>
    <m/>
    <s v="Yes"/>
    <m/>
    <s v="Yes"/>
    <m/>
    <s v="Yes"/>
    <m/>
    <s v="N/A"/>
    <m/>
    <s v="Yes"/>
    <m/>
    <s v="Yes"/>
    <m/>
    <s v="New"/>
    <s v="infasco"/>
    <n v="129.44999999999999"/>
    <n v="129.44999999999999"/>
  </r>
  <r>
    <x v="7"/>
    <x v="15"/>
    <s v="NU3019"/>
    <n v="715970"/>
    <n v="1"/>
    <n v="5883"/>
    <n v="5883"/>
    <s v="157+245"/>
    <s v="Yes"/>
    <m/>
    <s v="Yes"/>
    <m/>
    <s v="Yes"/>
    <m/>
    <s v="Yes"/>
    <m/>
    <s v="N/A"/>
    <m/>
    <s v="Yes"/>
    <m/>
    <s v="Yes"/>
    <m/>
    <s v="New"/>
    <s v="infasco"/>
    <n v="129.44999999999999"/>
    <n v="129.44999999999999"/>
  </r>
  <r>
    <x v="7"/>
    <x v="15"/>
    <n v="11547369"/>
    <n v="714486"/>
    <n v="40"/>
    <n v="250"/>
    <n v="10000"/>
    <s v="157+245"/>
    <s v="Yes"/>
    <m/>
    <s v="Yes"/>
    <m/>
    <s v="Yes"/>
    <m/>
    <s v="Yes"/>
    <m/>
    <s v="N/A"/>
    <m/>
    <s v="Yes"/>
    <m/>
    <s v="Yes"/>
    <m/>
    <s v="New"/>
    <s v="infasco"/>
    <n v="106.94"/>
    <n v="106.94"/>
  </r>
  <r>
    <x v="7"/>
    <x v="15"/>
    <s v="06105102AA"/>
    <n v="716110"/>
    <n v="39"/>
    <n v="670"/>
    <n v="26130"/>
    <s v="157+245"/>
    <s v="Yes"/>
    <m/>
    <s v="Yes"/>
    <m/>
    <s v="Yes"/>
    <m/>
    <s v="Yes"/>
    <m/>
    <s v="N/A"/>
    <m/>
    <s v="Yes"/>
    <m/>
    <s v="Yes"/>
    <m/>
    <s v="New"/>
    <s v="infasco"/>
    <n v="280.16000000000003"/>
    <n v="280.16000000000003"/>
  </r>
  <r>
    <x v="7"/>
    <x v="15"/>
    <s v="E6267AB"/>
    <n v="711251"/>
    <n v="1"/>
    <n v="40000"/>
    <n v="40000"/>
    <s v="157+245"/>
    <s v="Yes"/>
    <m/>
    <s v="Yes"/>
    <m/>
    <s v="Yes"/>
    <m/>
    <s v="Yes"/>
    <m/>
    <s v="N/A"/>
    <m/>
    <s v="Yes"/>
    <m/>
    <s v="Yes"/>
    <m/>
    <s v="New"/>
    <s v="infasco"/>
    <n v="106.94"/>
    <n v="106.94"/>
  </r>
  <r>
    <x v="7"/>
    <x v="15"/>
    <s v="E6267AB"/>
    <n v="711243"/>
    <n v="1"/>
    <n v="24675"/>
    <n v="24675"/>
    <s v="157+245"/>
    <s v="Yes"/>
    <m/>
    <s v="Yes"/>
    <m/>
    <s v="Yes"/>
    <m/>
    <s v="Yes"/>
    <m/>
    <s v="N/A"/>
    <m/>
    <s v="Yes"/>
    <m/>
    <s v="Yes"/>
    <m/>
    <s v="New"/>
    <s v="infasco"/>
    <n v="106.94"/>
    <n v="106.94"/>
  </r>
  <r>
    <x v="7"/>
    <x v="15"/>
    <s v="06511672AA"/>
    <n v="710142"/>
    <n v="29"/>
    <n v="1400"/>
    <n v="40600"/>
    <s v="157+245"/>
    <s v="Yes"/>
    <m/>
    <s v="Yes"/>
    <m/>
    <s v="Yes"/>
    <m/>
    <s v="Yes"/>
    <m/>
    <s v="N/A"/>
    <m/>
    <s v="Yes"/>
    <m/>
    <s v="Yes"/>
    <m/>
    <s v="New"/>
    <s v="infasco"/>
    <n v="106.94"/>
    <n v="106.94"/>
  </r>
  <r>
    <x v="7"/>
    <x v="16"/>
    <n v="11549168"/>
    <n v="712003"/>
    <n v="5"/>
    <n v="1000"/>
    <n v="5000"/>
    <s v="285+391"/>
    <s v="Yes"/>
    <m/>
    <s v="Yes"/>
    <m/>
    <s v="Yes"/>
    <m/>
    <s v="Yes"/>
    <m/>
    <s v="N/A"/>
    <m/>
    <s v="Yes"/>
    <m/>
    <s v="Yes"/>
    <m/>
    <s v="New"/>
    <s v="infasco"/>
    <n v="106.94"/>
    <n v="106.94"/>
  </r>
  <r>
    <x v="7"/>
    <x v="16"/>
    <s v="E6267AB"/>
    <n v="711242"/>
    <n v="1"/>
    <n v="20000"/>
    <n v="20000"/>
    <s v="285+391"/>
    <s v="Yes"/>
    <m/>
    <s v="Yes"/>
    <m/>
    <s v="Yes"/>
    <m/>
    <s v="Yes"/>
    <m/>
    <s v="N/A"/>
    <m/>
    <s v="Yes"/>
    <m/>
    <s v="Yes"/>
    <m/>
    <s v="New"/>
    <s v="infasco"/>
    <n v="106.94"/>
    <n v="106.94"/>
  </r>
  <r>
    <x v="7"/>
    <x v="16"/>
    <s v="E6267AB"/>
    <n v="713552"/>
    <n v="1"/>
    <n v="38900"/>
    <n v="38900"/>
    <s v="285+391"/>
    <s v="Yes"/>
    <m/>
    <s v="Yes"/>
    <m/>
    <s v="Yes"/>
    <m/>
    <s v="Yes"/>
    <m/>
    <s v="N/A"/>
    <m/>
    <s v="Yes"/>
    <m/>
    <s v="Yes"/>
    <m/>
    <s v="New"/>
    <s v="infasco"/>
    <n v="106.94"/>
    <n v="106.94"/>
  </r>
  <r>
    <x v="7"/>
    <x v="16"/>
    <n v="11549168"/>
    <n v="712002"/>
    <n v="36"/>
    <n v="1000"/>
    <n v="36000"/>
    <s v="285+391"/>
    <s v="Yes"/>
    <m/>
    <s v="Yes"/>
    <m/>
    <s v="Yes"/>
    <m/>
    <s v="Yes"/>
    <m/>
    <s v="N/A"/>
    <m/>
    <s v="Yes"/>
    <m/>
    <s v="Yes"/>
    <m/>
    <s v="New"/>
    <s v="infasco"/>
    <n v="106.94"/>
    <n v="106.94"/>
  </r>
  <r>
    <x v="7"/>
    <x v="17"/>
    <n v="11549170"/>
    <n v="714643"/>
    <n v="30"/>
    <n v="400"/>
    <n v="12000"/>
    <s v="190+268"/>
    <s v="Yes"/>
    <m/>
    <s v="Yes"/>
    <m/>
    <s v="Yes"/>
    <m/>
    <s v="Yes"/>
    <m/>
    <s v="N/A"/>
    <m/>
    <s v="Yes"/>
    <m/>
    <s v="Yes"/>
    <m/>
    <s v="New"/>
    <s v="infasco"/>
    <n v="106.94"/>
    <n v="106.94"/>
  </r>
  <r>
    <x v="7"/>
    <x v="17"/>
    <n v="11546703"/>
    <n v="713200"/>
    <n v="30"/>
    <n v="4000"/>
    <n v="120000"/>
    <s v="190+268"/>
    <s v="Yes"/>
    <m/>
    <s v="Yes"/>
    <m/>
    <s v="Yes"/>
    <m/>
    <s v="Yes"/>
    <m/>
    <s v="N/A"/>
    <m/>
    <s v="Yes"/>
    <m/>
    <s v="Yes"/>
    <m/>
    <s v="New"/>
    <s v="infasco"/>
    <n v="135.07999999999998"/>
    <n v="135.07999999999998"/>
  </r>
  <r>
    <x v="7"/>
    <x v="17"/>
    <n v="11546703"/>
    <n v="712586"/>
    <n v="27"/>
    <n v="4000"/>
    <n v="108000"/>
    <s v="190+268"/>
    <s v="Yes"/>
    <m/>
    <s v="Yes"/>
    <m/>
    <s v="Yes"/>
    <m/>
    <s v="Yes"/>
    <m/>
    <s v="N/A"/>
    <m/>
    <s v="Yes"/>
    <m/>
    <s v="Yes"/>
    <m/>
    <s v="New"/>
    <s v="infasco"/>
    <n v="135.07999999999998"/>
    <n v="135.07999999999998"/>
  </r>
  <r>
    <x v="7"/>
    <x v="17"/>
    <n v="11546703"/>
    <n v="712587"/>
    <n v="33"/>
    <n v="4000"/>
    <n v="132000"/>
    <s v="190+268"/>
    <s v="Yes"/>
    <m/>
    <s v="Yes"/>
    <m/>
    <s v="Yes"/>
    <m/>
    <s v="Yes"/>
    <m/>
    <s v="N/A"/>
    <m/>
    <s v="Yes"/>
    <m/>
    <s v="Yes"/>
    <m/>
    <s v="New"/>
    <s v="infasco"/>
    <n v="135.07999999999998"/>
    <n v="135.07999999999998"/>
  </r>
  <r>
    <x v="7"/>
    <x v="17"/>
    <n v="11546703"/>
    <n v="713204"/>
    <n v="28"/>
    <n v="4000"/>
    <n v="112000"/>
    <s v="190+268"/>
    <s v="Yes"/>
    <m/>
    <s v="Yes"/>
    <m/>
    <s v="Yes"/>
    <m/>
    <s v="Yes"/>
    <m/>
    <s v="N/A"/>
    <m/>
    <s v="Yes"/>
    <m/>
    <s v="Yes"/>
    <m/>
    <s v="New"/>
    <s v="infasco"/>
    <n v="135.07999999999998"/>
    <n v="135.07999999999998"/>
  </r>
  <r>
    <x v="7"/>
    <x v="17"/>
    <s v="NU3019"/>
    <n v="715976"/>
    <n v="1"/>
    <n v="4950"/>
    <n v="4950"/>
    <s v="190+268"/>
    <s v="Yes"/>
    <m/>
    <s v="Yes"/>
    <m/>
    <s v="Yes"/>
    <m/>
    <s v="Yes"/>
    <m/>
    <s v="N/A"/>
    <m/>
    <s v="Yes"/>
    <m/>
    <s v="Yes"/>
    <m/>
    <s v="New"/>
    <s v="infasco"/>
    <n v="129.44999999999999"/>
    <n v="129.44999999999999"/>
  </r>
  <r>
    <x v="7"/>
    <x v="17"/>
    <s v="NU3019"/>
    <n v="715979"/>
    <n v="1"/>
    <n v="5340"/>
    <n v="5340"/>
    <s v="190+268"/>
    <s v="Yes"/>
    <m/>
    <s v="Yes"/>
    <m/>
    <s v="Yes"/>
    <m/>
    <s v="Yes"/>
    <m/>
    <s v="N/A"/>
    <m/>
    <s v="Yes"/>
    <m/>
    <s v="Yes"/>
    <m/>
    <s v="New"/>
    <s v="infasco"/>
    <n v="129.44999999999999"/>
    <n v="129.44999999999999"/>
  </r>
  <r>
    <x v="7"/>
    <x v="17"/>
    <s v="NU3019"/>
    <n v="715980"/>
    <n v="1"/>
    <n v="4950"/>
    <n v="4950"/>
    <s v="190+268"/>
    <s v="Yes"/>
    <m/>
    <s v="Yes"/>
    <m/>
    <s v="Yes"/>
    <m/>
    <s v="Yes"/>
    <m/>
    <s v="N/A"/>
    <m/>
    <s v="Yes"/>
    <m/>
    <s v="Yes"/>
    <m/>
    <s v="New"/>
    <s v="infasco"/>
    <n v="129.44999999999999"/>
    <n v="129.44999999999999"/>
  </r>
  <r>
    <x v="7"/>
    <x v="17"/>
    <n v="11547369"/>
    <n v="714484"/>
    <n v="36"/>
    <n v="250"/>
    <n v="9000"/>
    <s v="190+268"/>
    <s v="Yes"/>
    <m/>
    <s v="Yes"/>
    <m/>
    <s v="Yes"/>
    <m/>
    <s v="Yes"/>
    <m/>
    <s v="N/A"/>
    <m/>
    <s v="Yes"/>
    <m/>
    <s v="Yes"/>
    <m/>
    <s v="New"/>
    <s v="infasco"/>
    <n v="106.94"/>
    <n v="106.94"/>
  </r>
  <r>
    <x v="7"/>
    <x v="17"/>
    <n v="11547369"/>
    <n v="714298"/>
    <n v="36"/>
    <n v="250"/>
    <n v="9000"/>
    <s v="190+268"/>
    <s v="Yes"/>
    <m/>
    <s v="Yes"/>
    <m/>
    <s v="Yes"/>
    <m/>
    <s v="Yes"/>
    <m/>
    <s v="N/A"/>
    <m/>
    <s v="Yes"/>
    <m/>
    <s v="Yes"/>
    <m/>
    <s v="Re-certified"/>
    <s v="infasco"/>
    <n v="0"/>
    <n v="0"/>
  </r>
  <r>
    <x v="7"/>
    <x v="32"/>
    <n v="91058"/>
    <n v="713301"/>
    <n v="13"/>
    <n v="1200"/>
    <n v="15600"/>
    <s v="294+252"/>
    <s v="Yes"/>
    <m/>
    <s v="Yes"/>
    <m/>
    <s v="Yes"/>
    <m/>
    <s v="Yes"/>
    <m/>
    <s v="N/A"/>
    <m/>
    <s v="Yes"/>
    <m/>
    <s v="Yes"/>
    <m/>
    <s v="New"/>
    <s v="infasco"/>
    <n v="106.94"/>
    <n v="106.94"/>
  </r>
  <r>
    <x v="7"/>
    <x v="32"/>
    <n v="11546703"/>
    <n v="713857"/>
    <n v="33"/>
    <n v="4000"/>
    <n v="132000"/>
    <s v="294+252"/>
    <s v="Yes"/>
    <m/>
    <s v="Yes"/>
    <m/>
    <s v="Yes"/>
    <m/>
    <s v="Yes"/>
    <m/>
    <s v="N/A"/>
    <m/>
    <s v="Yes"/>
    <m/>
    <s v="Yes"/>
    <m/>
    <s v="New"/>
    <s v="infasco"/>
    <n v="135.07999999999998"/>
    <n v="135.07999999999998"/>
  </r>
  <r>
    <x v="7"/>
    <x v="32"/>
    <n v="11546703"/>
    <n v="712579"/>
    <n v="28"/>
    <n v="4000"/>
    <n v="112000"/>
    <s v="294+252"/>
    <s v="Yes"/>
    <m/>
    <s v="Yes"/>
    <m/>
    <s v="Yes"/>
    <m/>
    <s v="Yes"/>
    <m/>
    <s v="N/A"/>
    <m/>
    <s v="Yes"/>
    <m/>
    <s v="Yes"/>
    <m/>
    <s v="New"/>
    <s v="infasco"/>
    <n v="135.07999999999998"/>
    <n v="135.07999999999998"/>
  </r>
  <r>
    <x v="7"/>
    <x v="32"/>
    <s v="06511672AA"/>
    <n v="711772"/>
    <n v="36"/>
    <n v="1400"/>
    <n v="50400"/>
    <s v="294+252"/>
    <s v="Yes"/>
    <m/>
    <s v="Yes"/>
    <m/>
    <s v="Yes"/>
    <m/>
    <s v="Yes"/>
    <m/>
    <s v="N/A"/>
    <m/>
    <s v="Yes"/>
    <m/>
    <s v="Yes"/>
    <m/>
    <s v="New"/>
    <s v="infasco"/>
    <n v="106.94"/>
    <n v="106.94"/>
  </r>
  <r>
    <x v="7"/>
    <x v="32"/>
    <s v="06511672AA"/>
    <n v="713866"/>
    <n v="26"/>
    <n v="1400"/>
    <n v="36400"/>
    <s v="294+252"/>
    <s v="Yes"/>
    <m/>
    <s v="Yes"/>
    <m/>
    <s v="Yes"/>
    <m/>
    <s v="Yes"/>
    <m/>
    <s v="N/A"/>
    <m/>
    <s v="Yes"/>
    <m/>
    <s v="Yes"/>
    <m/>
    <s v="New"/>
    <s v="infasco"/>
    <n v="106.94"/>
    <n v="106.94"/>
  </r>
  <r>
    <x v="7"/>
    <x v="32"/>
    <n v="94012078"/>
    <n v="714723"/>
    <n v="25"/>
    <n v="100"/>
    <n v="2500"/>
    <s v="294+252"/>
    <s v="Yes"/>
    <m/>
    <s v="Yes"/>
    <m/>
    <s v="Yes"/>
    <m/>
    <s v="Yes"/>
    <m/>
    <s v="N/A"/>
    <m/>
    <s v="Yes"/>
    <m/>
    <s v="Yes"/>
    <m/>
    <s v="New"/>
    <s v="infasco"/>
    <n v="55.73"/>
    <n v="55.73"/>
  </r>
  <r>
    <x v="7"/>
    <x v="32"/>
    <s v="NU3019"/>
    <n v="715978"/>
    <n v="1"/>
    <n v="4700"/>
    <n v="4700"/>
    <s v="294+252"/>
    <s v="Yes"/>
    <m/>
    <s v="Yes"/>
    <m/>
    <s v="Yes"/>
    <m/>
    <s v="Yes"/>
    <m/>
    <s v="N/A"/>
    <m/>
    <s v="Yes"/>
    <m/>
    <s v="Yes"/>
    <m/>
    <s v="New"/>
    <s v="infasco"/>
    <n v="129.44999999999999"/>
    <n v="129.44999999999999"/>
  </r>
  <r>
    <x v="7"/>
    <x v="32"/>
    <s v="NU3019"/>
    <n v="715977"/>
    <n v="1"/>
    <n v="4990"/>
    <n v="4990"/>
    <s v="294+252"/>
    <s v="Yes"/>
    <m/>
    <s v="Yes"/>
    <m/>
    <s v="Yes"/>
    <m/>
    <s v="Yes"/>
    <m/>
    <s v="N/A"/>
    <m/>
    <s v="Yes"/>
    <m/>
    <s v="Yes"/>
    <m/>
    <s v="New"/>
    <s v="infasco"/>
    <n v="129.44999999999999"/>
    <n v="129.44999999999999"/>
  </r>
  <r>
    <x v="7"/>
    <x v="32"/>
    <s v="NU3019"/>
    <n v="715971"/>
    <n v="1"/>
    <n v="4990"/>
    <n v="4990"/>
    <s v="294+252"/>
    <s v="Yes"/>
    <m/>
    <s v="Yes"/>
    <m/>
    <s v="Yes"/>
    <m/>
    <s v="Yes"/>
    <m/>
    <s v="N/A"/>
    <m/>
    <s v="Yes"/>
    <m/>
    <s v="Yes"/>
    <m/>
    <s v="New"/>
    <s v="infasco"/>
    <n v="129.44999999999999"/>
    <n v="129.44999999999999"/>
  </r>
  <r>
    <x v="7"/>
    <x v="32"/>
    <n v="11546703"/>
    <n v="713202"/>
    <n v="30"/>
    <n v="4000"/>
    <n v="120000"/>
    <s v="294+252"/>
    <s v="Yes"/>
    <m/>
    <s v="Yes"/>
    <m/>
    <s v="Yes"/>
    <m/>
    <s v="Yes"/>
    <m/>
    <s v="N/A"/>
    <m/>
    <s v="Yes"/>
    <m/>
    <s v="Yes"/>
    <m/>
    <s v="New"/>
    <s v="infasco"/>
    <n v="135.07999999999998"/>
    <n v="135.07999999999998"/>
  </r>
  <r>
    <x v="7"/>
    <x v="13"/>
    <s v="06511799AA"/>
    <n v="712204"/>
    <n v="20"/>
    <n v="1800"/>
    <n v="36000"/>
    <s v="011+293"/>
    <s v="Yes"/>
    <m/>
    <s v="Yes"/>
    <m/>
    <s v="Yes"/>
    <m/>
    <s v="Yes"/>
    <m/>
    <s v="N/A"/>
    <m/>
    <s v="Yes"/>
    <m/>
    <s v="Yes"/>
    <m/>
    <s v="New"/>
    <s v="infasco"/>
    <n v="106.94"/>
    <n v="106.94"/>
  </r>
  <r>
    <x v="7"/>
    <x v="13"/>
    <n v="11546703"/>
    <n v="714421"/>
    <n v="36"/>
    <n v="4000"/>
    <n v="144000"/>
    <s v="011+293"/>
    <s v="Yes"/>
    <m/>
    <s v="Yes"/>
    <m/>
    <s v="Yes"/>
    <m/>
    <s v="Yes"/>
    <m/>
    <s v="N/A"/>
    <m/>
    <s v="Yes"/>
    <m/>
    <s v="Yes"/>
    <m/>
    <s v="New"/>
    <s v="infasco"/>
    <n v="135.07999999999998"/>
    <n v="135.07999999999998"/>
  </r>
  <r>
    <x v="7"/>
    <x v="13"/>
    <n v="11546703"/>
    <n v="713203"/>
    <n v="28"/>
    <n v="4000"/>
    <n v="112000"/>
    <s v="011+293"/>
    <s v="Yes"/>
    <m/>
    <s v="Yes"/>
    <m/>
    <s v="Yes"/>
    <m/>
    <s v="Yes"/>
    <m/>
    <s v="N/A"/>
    <m/>
    <s v="Yes"/>
    <m/>
    <s v="Yes"/>
    <m/>
    <s v="New"/>
    <s v="infasco"/>
    <n v="135.07999999999998"/>
    <n v="135.07999999999998"/>
  </r>
  <r>
    <x v="7"/>
    <x v="13"/>
    <n v="94012078"/>
    <n v="714722"/>
    <n v="25"/>
    <n v="100"/>
    <n v="2500"/>
    <s v="011+293"/>
    <s v="Yes"/>
    <m/>
    <s v="Yes"/>
    <m/>
    <s v="Yes"/>
    <m/>
    <s v="Yes"/>
    <m/>
    <s v="N/A"/>
    <m/>
    <s v="Yes"/>
    <m/>
    <s v="Yes"/>
    <m/>
    <s v="New"/>
    <s v="infasco"/>
    <n v="55.73"/>
    <n v="55.73"/>
  </r>
  <r>
    <x v="7"/>
    <x v="13"/>
    <s v="NU3019"/>
    <n v="715972"/>
    <n v="1"/>
    <n v="5250"/>
    <n v="5250"/>
    <s v="011+293"/>
    <s v="Yes"/>
    <m/>
    <s v="Yes"/>
    <m/>
    <s v="Yes"/>
    <m/>
    <s v="Yes"/>
    <m/>
    <s v="N/A"/>
    <m/>
    <s v="Yes"/>
    <m/>
    <s v="Yes"/>
    <m/>
    <s v="New"/>
    <s v="infasco"/>
    <n v="129.44999999999999"/>
    <n v="129.44999999999999"/>
  </r>
  <r>
    <x v="7"/>
    <x v="13"/>
    <s v="NU3019"/>
    <n v="715975"/>
    <n v="1"/>
    <n v="4770"/>
    <n v="4770"/>
    <s v="011+293"/>
    <s v="Yes"/>
    <m/>
    <s v="Yes"/>
    <m/>
    <s v="Yes"/>
    <m/>
    <s v="Yes"/>
    <m/>
    <s v="N/A"/>
    <m/>
    <s v="Yes"/>
    <m/>
    <s v="Yes"/>
    <m/>
    <s v="New"/>
    <s v="infasco"/>
    <n v="129.44999999999999"/>
    <n v="129.44999999999999"/>
  </r>
  <r>
    <x v="7"/>
    <x v="13"/>
    <n v="11547369"/>
    <n v="714135"/>
    <n v="61"/>
    <n v="250"/>
    <n v="15250"/>
    <s v="011+293"/>
    <s v="Yes"/>
    <m/>
    <s v="Yes"/>
    <m/>
    <s v="Yes"/>
    <m/>
    <s v="Yes"/>
    <m/>
    <s v="N/A"/>
    <m/>
    <s v="Yes"/>
    <m/>
    <s v="Yes"/>
    <m/>
    <s v="New"/>
    <s v="infasco"/>
    <n v="106.94"/>
    <n v="106.94"/>
  </r>
  <r>
    <x v="7"/>
    <x v="13"/>
    <n v="11547369"/>
    <n v="714478"/>
    <n v="10"/>
    <n v="250"/>
    <n v="2500"/>
    <s v="011+293"/>
    <s v="Yes"/>
    <m/>
    <s v="Yes"/>
    <m/>
    <s v="Yes"/>
    <m/>
    <s v="Yes"/>
    <m/>
    <s v="N/A"/>
    <m/>
    <s v="Yes"/>
    <m/>
    <s v="Yes"/>
    <m/>
    <s v="Re-certified"/>
    <s v="infasco"/>
    <n v="0"/>
    <n v="0"/>
  </r>
  <r>
    <x v="7"/>
    <x v="33"/>
    <n v="11549170"/>
    <n v="714385"/>
    <n v="11"/>
    <n v="400"/>
    <n v="4400"/>
    <n v="279"/>
    <s v="Yes"/>
    <m/>
    <s v="Yes"/>
    <m/>
    <s v="Yes"/>
    <m/>
    <s v="Yes"/>
    <m/>
    <s v="N/A"/>
    <m/>
    <s v="Yes"/>
    <m/>
    <s v="Yes"/>
    <m/>
    <s v="New"/>
    <s v="infasco"/>
    <n v="106.94"/>
    <n v="106.94"/>
  </r>
  <r>
    <x v="7"/>
    <x v="33"/>
    <n v="11546703"/>
    <n v="713201"/>
    <n v="36"/>
    <n v="4000"/>
    <n v="144000"/>
    <n v="279"/>
    <s v="Yes"/>
    <m/>
    <s v="Yes"/>
    <m/>
    <s v="Yes"/>
    <m/>
    <s v="Yes"/>
    <m/>
    <s v="N/A"/>
    <m/>
    <s v="Yes"/>
    <m/>
    <s v="Yes"/>
    <m/>
    <s v="New"/>
    <s v="infasco"/>
    <n v="135.07999999999998"/>
    <n v="135.07999999999998"/>
  </r>
  <r>
    <x v="7"/>
    <x v="33"/>
    <n v="11546703"/>
    <n v="713199"/>
    <n v="36"/>
    <n v="4000"/>
    <n v="144000"/>
    <n v="279"/>
    <s v="Yes"/>
    <m/>
    <s v="Yes"/>
    <m/>
    <s v="Yes"/>
    <m/>
    <s v="Yes"/>
    <m/>
    <s v="N/A"/>
    <m/>
    <s v="Yes"/>
    <m/>
    <s v="Yes"/>
    <m/>
    <s v="New"/>
    <s v="infasco"/>
    <n v="135.07999999999998"/>
    <n v="135.07999999999998"/>
  </r>
  <r>
    <x v="7"/>
    <x v="33"/>
    <n v="11546703"/>
    <n v="713198"/>
    <n v="16"/>
    <n v="4000"/>
    <n v="64000"/>
    <n v="279"/>
    <s v="Yes"/>
    <m/>
    <s v="Yes"/>
    <m/>
    <s v="Yes"/>
    <m/>
    <s v="Yes"/>
    <m/>
    <s v="N/A"/>
    <m/>
    <s v="Yes"/>
    <m/>
    <s v="Yes"/>
    <m/>
    <s v="New"/>
    <s v="infasco"/>
    <n v="135.07999999999998"/>
    <n v="135.07999999999998"/>
  </r>
  <r>
    <x v="7"/>
    <x v="33"/>
    <n v="11547369"/>
    <n v="714299"/>
    <n v="28"/>
    <n v="250"/>
    <n v="7000"/>
    <n v="279"/>
    <s v="Yes"/>
    <m/>
    <s v="Yes"/>
    <m/>
    <s v="Yes"/>
    <m/>
    <s v="Yes"/>
    <m/>
    <s v="N/A"/>
    <m/>
    <s v="Yes"/>
    <m/>
    <s v="Yes"/>
    <m/>
    <s v="Re-certified"/>
    <s v="infasco"/>
    <n v="0"/>
    <n v="0"/>
  </r>
  <r>
    <x v="8"/>
    <x v="11"/>
    <n v="11546545"/>
    <n v="716270"/>
    <n v="36"/>
    <n v="2500"/>
    <n v="90000"/>
    <n v="275"/>
    <s v="Yes"/>
    <m/>
    <s v="Yes"/>
    <m/>
    <s v="Yes"/>
    <m/>
    <s v="Yes"/>
    <m/>
    <s v="N/A"/>
    <m/>
    <s v="Yes"/>
    <m/>
    <s v="Yes"/>
    <m/>
    <s v="New"/>
    <s v="infasco"/>
    <n v="106.94"/>
    <n v="106.94"/>
  </r>
  <r>
    <x v="8"/>
    <x v="11"/>
    <n v="11546545"/>
    <n v="716271"/>
    <n v="12"/>
    <n v="2500"/>
    <n v="30000"/>
    <n v="275"/>
    <s v="Yes"/>
    <m/>
    <s v="Yes"/>
    <m/>
    <s v="Yes"/>
    <m/>
    <s v="Yes"/>
    <m/>
    <s v="N/A"/>
    <m/>
    <s v="Yes"/>
    <m/>
    <s v="Yes"/>
    <m/>
    <s v="Re-certified"/>
    <s v="infasco"/>
    <n v="0"/>
    <n v="0"/>
  </r>
  <r>
    <x v="8"/>
    <x v="8"/>
    <s v="11546367-MY-AK"/>
    <n v="714194"/>
    <n v="18"/>
    <n v="700"/>
    <n v="12600"/>
    <n v="275"/>
    <s v="Yes"/>
    <m/>
    <s v="Yes"/>
    <m/>
    <s v="Yes"/>
    <m/>
    <s v="Yes"/>
    <m/>
    <s v="N/A"/>
    <m/>
    <s v="Yes"/>
    <m/>
    <s v="Yes"/>
    <m/>
    <s v="New"/>
    <s v="infasco"/>
    <n v="106.94"/>
    <n v="106.94"/>
  </r>
  <r>
    <x v="8"/>
    <x v="8"/>
    <s v="11546367-MY-AK"/>
    <n v="714198"/>
    <n v="36"/>
    <n v="700"/>
    <n v="25200"/>
    <n v="275"/>
    <s v="Yes"/>
    <m/>
    <s v="Yes"/>
    <m/>
    <s v="Yes"/>
    <m/>
    <s v="Yes"/>
    <m/>
    <s v="N/A"/>
    <m/>
    <s v="Yes"/>
    <m/>
    <s v="Yes"/>
    <m/>
    <s v="New"/>
    <s v="infasco"/>
    <n v="106.94"/>
    <n v="106.94"/>
  </r>
  <r>
    <x v="8"/>
    <x v="8"/>
    <s v="11546367-MY-AK"/>
    <n v="714196"/>
    <n v="27"/>
    <n v="700"/>
    <n v="18900"/>
    <n v="275"/>
    <s v="Yes"/>
    <m/>
    <s v="Yes"/>
    <m/>
    <s v="Yes"/>
    <m/>
    <s v="Yes"/>
    <m/>
    <s v="N/A"/>
    <m/>
    <s v="Yes"/>
    <m/>
    <s v="Yes"/>
    <m/>
    <s v="Re-certified"/>
    <s v="infasco"/>
    <n v="0"/>
    <n v="0"/>
  </r>
  <r>
    <x v="8"/>
    <x v="7"/>
    <s v="06104388AA"/>
    <n v="715864"/>
    <n v="5"/>
    <n v="660"/>
    <n v="3300"/>
    <n v="275"/>
    <s v="Yes"/>
    <m/>
    <s v="Yes"/>
    <m/>
    <s v="Yes"/>
    <m/>
    <s v="Yes"/>
    <m/>
    <s v="N/A"/>
    <m/>
    <s v="Yes"/>
    <m/>
    <s v="Yes"/>
    <m/>
    <s v="New"/>
    <s v="infasco"/>
    <n v="135.08000000000001"/>
    <n v="135.08000000000001"/>
  </r>
  <r>
    <x v="8"/>
    <x v="7"/>
    <s v="06104388AA"/>
    <n v="715866"/>
    <n v="27"/>
    <n v="660"/>
    <n v="17820"/>
    <n v="275"/>
    <s v="Yes"/>
    <m/>
    <s v="Yes"/>
    <m/>
    <s v="Yes"/>
    <m/>
    <s v="Yes"/>
    <m/>
    <s v="N/A"/>
    <m/>
    <s v="Yes"/>
    <m/>
    <s v="Yes"/>
    <m/>
    <s v="Re-certified"/>
    <s v="infasco"/>
    <n v="0"/>
    <n v="0"/>
  </r>
  <r>
    <x v="8"/>
    <x v="10"/>
    <s v="11546437-MY-AK"/>
    <n v="716075"/>
    <n v="12"/>
    <n v="1500"/>
    <n v="18000"/>
    <n v="275"/>
    <s v="Yes"/>
    <m/>
    <s v="Yes"/>
    <m/>
    <s v="Yes"/>
    <m/>
    <s v="Yes"/>
    <m/>
    <s v="N/A"/>
    <m/>
    <s v="Yes"/>
    <m/>
    <s v="Yes"/>
    <m/>
    <s v="New"/>
    <s v="infasco"/>
    <n v="106.94"/>
    <n v="106.94"/>
  </r>
  <r>
    <x v="8"/>
    <x v="10"/>
    <n v="11546545"/>
    <n v="716266"/>
    <n v="24"/>
    <n v="2500"/>
    <n v="60000"/>
    <n v="275"/>
    <s v="Yes"/>
    <m/>
    <s v="Yes"/>
    <m/>
    <s v="Yes"/>
    <m/>
    <s v="Yes"/>
    <m/>
    <s v="N/A"/>
    <m/>
    <s v="Yes"/>
    <m/>
    <s v="Yes"/>
    <m/>
    <s v="Re-certified"/>
    <s v="infasco"/>
    <n v="0"/>
    <n v="0"/>
  </r>
  <r>
    <x v="8"/>
    <x v="6"/>
    <s v="06511701AA"/>
    <n v="716264"/>
    <n v="16"/>
    <n v="2500"/>
    <n v="40000"/>
    <n v="275"/>
    <s v="Yes"/>
    <m/>
    <s v="Yes"/>
    <m/>
    <s v="Yes"/>
    <m/>
    <s v="Yes"/>
    <m/>
    <s v="N/A"/>
    <m/>
    <s v="Yes"/>
    <m/>
    <s v="Yes"/>
    <m/>
    <s v="New"/>
    <s v="infasco"/>
    <n v="106.94"/>
    <n v="106.94"/>
  </r>
  <r>
    <x v="8"/>
    <x v="6"/>
    <n v="11546545"/>
    <n v="716268"/>
    <n v="23"/>
    <n v="2500"/>
    <n v="57500"/>
    <n v="275"/>
    <s v="Yes"/>
    <m/>
    <s v="Yes"/>
    <m/>
    <s v="Yes"/>
    <m/>
    <s v="Yes"/>
    <m/>
    <s v="N/A"/>
    <m/>
    <s v="Yes"/>
    <m/>
    <s v="Yes"/>
    <m/>
    <s v="Re-certified"/>
    <s v="infasco"/>
    <n v="0"/>
    <n v="0"/>
  </r>
  <r>
    <x v="8"/>
    <x v="12"/>
    <s v="11546367-MY-AK"/>
    <n v="714199"/>
    <n v="36"/>
    <n v="700"/>
    <n v="25200"/>
    <n v="275"/>
    <s v="Yes"/>
    <m/>
    <s v="Yes"/>
    <m/>
    <s v="Yes"/>
    <m/>
    <s v="Yes"/>
    <m/>
    <s v="N/A"/>
    <m/>
    <s v="Yes"/>
    <m/>
    <s v="Yes"/>
    <m/>
    <s v="New"/>
    <s v="infasco"/>
    <n v="106.94"/>
    <n v="106.94"/>
  </r>
  <r>
    <x v="8"/>
    <x v="12"/>
    <n v="11546463"/>
    <n v="716595"/>
    <n v="22"/>
    <n v="450"/>
    <n v="9900"/>
    <n v="275"/>
    <s v="Yes"/>
    <m/>
    <s v="Yes"/>
    <m/>
    <s v="Yes"/>
    <m/>
    <s v="Yes"/>
    <m/>
    <s v="N/A"/>
    <m/>
    <s v="Yes"/>
    <m/>
    <s v="Yes"/>
    <m/>
    <s v="Re-certified"/>
    <s v="infasco"/>
    <n v="0"/>
    <n v="0"/>
  </r>
  <r>
    <x v="8"/>
    <x v="9"/>
    <s v="11610091-MY-AK"/>
    <n v="714169"/>
    <n v="19"/>
    <n v="2500"/>
    <n v="47500"/>
    <n v="275"/>
    <s v="Yes"/>
    <m/>
    <s v="Yes"/>
    <m/>
    <s v="Yes"/>
    <m/>
    <s v="Yes"/>
    <m/>
    <s v="N/A"/>
    <m/>
    <s v="Yes"/>
    <m/>
    <s v="Yes"/>
    <m/>
    <s v="New"/>
    <s v="infasco"/>
    <n v="106.94"/>
    <n v="106.94"/>
  </r>
  <r>
    <x v="8"/>
    <x v="9"/>
    <n v="7151143403"/>
    <n v="715804"/>
    <n v="18"/>
    <n v="1750"/>
    <n v="31500"/>
    <n v="275"/>
    <s v="Yes"/>
    <m/>
    <s v="Yes"/>
    <m/>
    <s v="Yes"/>
    <m/>
    <s v="Yes"/>
    <m/>
    <s v="N/A"/>
    <m/>
    <s v="Yes"/>
    <m/>
    <s v="Yes"/>
    <m/>
    <s v="Re-certified"/>
    <s v="infasco"/>
    <n v="0"/>
    <n v="0"/>
  </r>
  <r>
    <x v="8"/>
    <x v="29"/>
    <n v="11546545"/>
    <n v="716267"/>
    <n v="26"/>
    <n v="2500"/>
    <n v="65000"/>
    <n v="290"/>
    <s v="Yes"/>
    <m/>
    <s v="Yes"/>
    <m/>
    <s v="Yes"/>
    <m/>
    <s v="Yes"/>
    <m/>
    <s v="N/A"/>
    <m/>
    <s v="Yes"/>
    <m/>
    <s v="Yes"/>
    <m/>
    <s v="New"/>
    <s v="infasco"/>
    <n v="106.94"/>
    <n v="106.94"/>
  </r>
  <r>
    <x v="8"/>
    <x v="29"/>
    <n v="11546545"/>
    <n v="716261"/>
    <n v="20"/>
    <n v="2500"/>
    <n v="50000"/>
    <n v="290"/>
    <s v="Yes"/>
    <m/>
    <s v="Yes"/>
    <m/>
    <s v="Yes"/>
    <m/>
    <s v="Yes"/>
    <m/>
    <s v="N/A"/>
    <m/>
    <s v="Yes"/>
    <m/>
    <s v="Yes"/>
    <m/>
    <s v="Re-certified"/>
    <s v="infasco"/>
    <n v="0"/>
    <n v="0"/>
  </r>
  <r>
    <x v="8"/>
    <x v="30"/>
    <n v="11549170"/>
    <n v="713709"/>
    <n v="7"/>
    <n v="400"/>
    <n v="2800"/>
    <n v="290"/>
    <s v="Yes"/>
    <m/>
    <s v="Yes"/>
    <m/>
    <s v="Yes"/>
    <m/>
    <s v="Yes"/>
    <m/>
    <s v="N/A"/>
    <m/>
    <s v="Yes"/>
    <m/>
    <s v="Yes"/>
    <m/>
    <s v="Re-certified"/>
    <s v="infasco"/>
    <n v="0"/>
    <n v="0"/>
  </r>
  <r>
    <x v="8"/>
    <x v="30"/>
    <n v="11549170"/>
    <n v="714625"/>
    <n v="23"/>
    <n v="400"/>
    <n v="9200"/>
    <n v="290"/>
    <s v="Yes"/>
    <m/>
    <s v="Yes"/>
    <m/>
    <s v="Yes"/>
    <m/>
    <s v="Yes"/>
    <m/>
    <s v="N/A"/>
    <m/>
    <s v="Yes"/>
    <m/>
    <s v="Yes"/>
    <m/>
    <s v="New"/>
    <s v="infasco"/>
    <n v="106.94"/>
    <n v="106.94"/>
  </r>
  <r>
    <x v="8"/>
    <x v="30"/>
    <n v="11549170"/>
    <n v="714644"/>
    <n v="23"/>
    <n v="400"/>
    <n v="9200"/>
    <n v="290"/>
    <s v="Yes"/>
    <m/>
    <s v="Yes"/>
    <m/>
    <s v="Yes"/>
    <m/>
    <s v="Yes"/>
    <m/>
    <s v="N/A"/>
    <m/>
    <s v="Yes"/>
    <m/>
    <s v="Yes"/>
    <m/>
    <s v="New"/>
    <s v="infasco"/>
    <n v="106.94"/>
    <n v="106.94"/>
  </r>
  <r>
    <x v="8"/>
    <x v="30"/>
    <n v="11549170"/>
    <n v="714633"/>
    <n v="24"/>
    <n v="400"/>
    <n v="9600"/>
    <n v="290"/>
    <s v="Yes"/>
    <m/>
    <s v="Yes"/>
    <m/>
    <s v="Yes"/>
    <m/>
    <s v="Yes"/>
    <m/>
    <s v="N/A"/>
    <m/>
    <s v="Yes"/>
    <m/>
    <s v="Yes"/>
    <m/>
    <s v="New"/>
    <s v="infasco"/>
    <n v="106.94"/>
    <n v="106.94"/>
  </r>
  <r>
    <x v="8"/>
    <x v="30"/>
    <n v="11549170"/>
    <n v="714646"/>
    <n v="40"/>
    <n v="400"/>
    <n v="16000"/>
    <n v="290"/>
    <s v="Yes"/>
    <m/>
    <s v="Yes"/>
    <m/>
    <s v="Yes"/>
    <m/>
    <s v="Yes"/>
    <m/>
    <s v="N/A"/>
    <m/>
    <s v="Yes"/>
    <m/>
    <s v="Yes"/>
    <m/>
    <s v="New"/>
    <s v="infasco"/>
    <n v="106.94"/>
    <n v="106.94"/>
  </r>
  <r>
    <x v="8"/>
    <x v="31"/>
    <s v="06101831-A"/>
    <n v="715853"/>
    <n v="6"/>
    <n v="1000"/>
    <n v="6000"/>
    <n v="290"/>
    <s v="Yes"/>
    <m/>
    <s v="Yes"/>
    <m/>
    <s v="Yes"/>
    <m/>
    <s v="Yes"/>
    <m/>
    <s v="N/A"/>
    <m/>
    <s v="Yes"/>
    <m/>
    <s v="Yes"/>
    <m/>
    <s v="New"/>
    <s v="infasco"/>
    <n v="106.94"/>
    <n v="106.94"/>
  </r>
  <r>
    <x v="8"/>
    <x v="31"/>
    <s v="11549169-MY-AK"/>
    <n v="715958"/>
    <n v="36"/>
    <n v="660"/>
    <n v="23760"/>
    <n v="290"/>
    <s v="Yes"/>
    <m/>
    <s v="Yes"/>
    <m/>
    <s v="Yes"/>
    <m/>
    <s v="Yes"/>
    <m/>
    <s v="N/A"/>
    <m/>
    <s v="Yes"/>
    <m/>
    <s v="Yes"/>
    <m/>
    <s v="New"/>
    <s v="infasco"/>
    <n v="106.94"/>
    <n v="106.94"/>
  </r>
  <r>
    <x v="8"/>
    <x v="31"/>
    <s v="11549169-MY-AK"/>
    <n v="715961"/>
    <n v="36"/>
    <n v="660"/>
    <n v="23760"/>
    <n v="290"/>
    <s v="Yes"/>
    <m/>
    <s v="Yes"/>
    <m/>
    <s v="Yes"/>
    <m/>
    <s v="Yes"/>
    <m/>
    <s v="N/A"/>
    <m/>
    <s v="Yes"/>
    <m/>
    <s v="Yes"/>
    <m/>
    <s v="New"/>
    <s v="infasco"/>
    <n v="106.94"/>
    <n v="106.94"/>
  </r>
  <r>
    <x v="8"/>
    <x v="31"/>
    <s v="11549169-MY-AK"/>
    <n v="715956"/>
    <n v="36"/>
    <n v="660"/>
    <n v="23760"/>
    <n v="290"/>
    <s v="Yes"/>
    <m/>
    <s v="Yes"/>
    <m/>
    <s v="Yes"/>
    <m/>
    <s v="Yes"/>
    <m/>
    <s v="N/A"/>
    <m/>
    <s v="Yes"/>
    <m/>
    <s v="Yes"/>
    <m/>
    <s v="New"/>
    <s v="infasco"/>
    <n v="106.94"/>
    <n v="106.94"/>
  </r>
  <r>
    <x v="8"/>
    <x v="31"/>
    <s v="11549169-MY-AK"/>
    <n v="714521"/>
    <n v="11"/>
    <n v="660"/>
    <n v="7260"/>
    <n v="290"/>
    <s v="Yes"/>
    <m/>
    <s v="Yes"/>
    <m/>
    <s v="Yes"/>
    <m/>
    <s v="Yes"/>
    <m/>
    <s v="N/A"/>
    <m/>
    <s v="Yes"/>
    <m/>
    <s v="Yes"/>
    <m/>
    <s v="Re-certified"/>
    <s v="infasco"/>
    <n v="0"/>
    <n v="0"/>
  </r>
  <r>
    <x v="8"/>
    <x v="26"/>
    <n v="11549170"/>
    <n v="714369"/>
    <n v="36"/>
    <n v="400"/>
    <n v="14400"/>
    <n v="290"/>
    <s v="Yes"/>
    <m/>
    <s v="Yes"/>
    <m/>
    <s v="Yes"/>
    <m/>
    <s v="Yes"/>
    <m/>
    <s v="N/A"/>
    <m/>
    <s v="Yes"/>
    <m/>
    <s v="Yes"/>
    <m/>
    <s v="New"/>
    <s v="infasco"/>
    <n v="106.94"/>
    <n v="106.94"/>
  </r>
  <r>
    <x v="8"/>
    <x v="26"/>
    <n v="11549170"/>
    <n v="714370"/>
    <n v="28"/>
    <n v="400"/>
    <n v="11200"/>
    <n v="290"/>
    <s v="Yes"/>
    <m/>
    <s v="Yes"/>
    <m/>
    <s v="Yes"/>
    <m/>
    <s v="Yes"/>
    <m/>
    <s v="N/A"/>
    <m/>
    <s v="Yes"/>
    <m/>
    <s v="Yes"/>
    <m/>
    <s v="New"/>
    <s v="infasco"/>
    <n v="106.94"/>
    <n v="106.94"/>
  </r>
  <r>
    <x v="8"/>
    <x v="26"/>
    <n v="11549168"/>
    <n v="714310"/>
    <n v="36"/>
    <n v="1000"/>
    <n v="36000"/>
    <n v="290"/>
    <s v="Yes"/>
    <m/>
    <s v="Yes"/>
    <m/>
    <s v="Yes"/>
    <m/>
    <s v="Yes"/>
    <m/>
    <s v="N/A"/>
    <m/>
    <s v="Yes"/>
    <m/>
    <s v="Yes"/>
    <m/>
    <s v="New"/>
    <s v="infasco"/>
    <n v="106.94"/>
    <n v="106.94"/>
  </r>
  <r>
    <x v="8"/>
    <x v="26"/>
    <n v="11549168"/>
    <n v="714304"/>
    <n v="29"/>
    <n v="1000"/>
    <n v="29000"/>
    <n v="290"/>
    <s v="Yes"/>
    <m/>
    <s v="Yes"/>
    <m/>
    <s v="Yes"/>
    <m/>
    <s v="Yes"/>
    <m/>
    <s v="N/A"/>
    <m/>
    <s v="Yes"/>
    <m/>
    <s v="Yes"/>
    <m/>
    <s v="Re-certified"/>
    <s v="infasco"/>
    <n v="0"/>
    <n v="0"/>
  </r>
  <r>
    <x v="8"/>
    <x v="27"/>
    <n v="11549170"/>
    <n v="714638"/>
    <n v="26"/>
    <n v="400"/>
    <n v="10400"/>
    <n v="290"/>
    <s v="Yes"/>
    <m/>
    <s v="Yes"/>
    <m/>
    <s v="Yes"/>
    <m/>
    <s v="Yes"/>
    <m/>
    <s v="N/A"/>
    <m/>
    <s v="Yes"/>
    <m/>
    <s v="Yes"/>
    <m/>
    <s v="New"/>
    <s v="infasco"/>
    <n v="106.94"/>
    <n v="106.94"/>
  </r>
  <r>
    <x v="8"/>
    <x v="27"/>
    <n v="11549168"/>
    <n v="713682"/>
    <n v="21"/>
    <n v="1000"/>
    <n v="21000"/>
    <n v="290"/>
    <s v="Yes"/>
    <m/>
    <s v="Yes"/>
    <m/>
    <s v="Yes"/>
    <m/>
    <s v="Yes"/>
    <m/>
    <s v="N/A"/>
    <m/>
    <s v="Yes"/>
    <m/>
    <s v="Yes"/>
    <m/>
    <s v="Re-certified"/>
    <s v="infasco"/>
    <n v="0"/>
    <n v="0"/>
  </r>
  <r>
    <x v="8"/>
    <x v="4"/>
    <s v="NU1405"/>
    <n v="716150"/>
    <n v="1"/>
    <n v="12086"/>
    <n v="12086"/>
    <n v="292"/>
    <s v="Yes"/>
    <m/>
    <s v="Yes"/>
    <m/>
    <s v="Yes"/>
    <m/>
    <s v="Yes"/>
    <m/>
    <s v="N/A"/>
    <m/>
    <s v="Yes"/>
    <m/>
    <s v="Yes"/>
    <m/>
    <s v="New"/>
    <s v="infasco"/>
    <n v="129.44999999999999"/>
    <n v="129.44999999999999"/>
  </r>
  <r>
    <x v="8"/>
    <x v="4"/>
    <n v="94012038"/>
    <n v="716084"/>
    <n v="12"/>
    <n v="4000"/>
    <n v="48000"/>
    <n v="292"/>
    <s v="Yes"/>
    <m/>
    <s v="Yes"/>
    <m/>
    <s v="Yes"/>
    <m/>
    <s v="Yes"/>
    <m/>
    <s v="N/A"/>
    <m/>
    <s v="Yes"/>
    <m/>
    <s v="Yes"/>
    <m/>
    <s v="New"/>
    <s v="infasco"/>
    <n v="106.94"/>
    <n v="106.94"/>
  </r>
  <r>
    <x v="8"/>
    <x v="2"/>
    <n v="11546462"/>
    <n v="716176"/>
    <n v="3"/>
    <n v="650"/>
    <n v="1950"/>
    <n v="292"/>
    <s v="Yes"/>
    <m/>
    <s v="Yes"/>
    <m/>
    <s v="Yes"/>
    <m/>
    <s v="Yes"/>
    <m/>
    <s v="N/A"/>
    <m/>
    <s v="Yes"/>
    <m/>
    <s v="Yes"/>
    <m/>
    <s v="New"/>
    <s v="infasco"/>
    <n v="106.94"/>
    <n v="106.94"/>
  </r>
  <r>
    <x v="8"/>
    <x v="2"/>
    <n v="11549168"/>
    <n v="713690"/>
    <n v="25"/>
    <n v="1000"/>
    <n v="25000"/>
    <n v="292"/>
    <s v="Yes"/>
    <m/>
    <s v="Yes"/>
    <m/>
    <s v="Yes"/>
    <m/>
    <s v="Yes"/>
    <m/>
    <s v="N/A"/>
    <m/>
    <s v="Yes"/>
    <m/>
    <s v="Yes"/>
    <m/>
    <s v="Re-certified"/>
    <s v="infasco"/>
    <n v="0"/>
    <n v="0"/>
  </r>
  <r>
    <x v="8"/>
    <x v="3"/>
    <n v="11549170"/>
    <n v="714637"/>
    <n v="40"/>
    <n v="400"/>
    <n v="16000"/>
    <n v="292"/>
    <s v="Yes"/>
    <m/>
    <s v="Yes"/>
    <m/>
    <s v="Yes"/>
    <m/>
    <s v="Yes"/>
    <m/>
    <s v="N/A"/>
    <m/>
    <s v="Yes"/>
    <m/>
    <s v="Yes"/>
    <m/>
    <s v="New"/>
    <s v="infasco"/>
    <n v="106.94"/>
    <n v="106.94"/>
  </r>
  <r>
    <x v="8"/>
    <x v="3"/>
    <n v="11549170"/>
    <n v="714367"/>
    <n v="33"/>
    <n v="400"/>
    <n v="13200"/>
    <n v="292"/>
    <s v="Yes"/>
    <m/>
    <s v="Yes"/>
    <m/>
    <s v="Yes"/>
    <m/>
    <s v="Yes"/>
    <m/>
    <s v="N/A"/>
    <m/>
    <s v="Yes"/>
    <m/>
    <s v="Yes"/>
    <m/>
    <s v="New"/>
    <s v="infasco"/>
    <n v="106.94"/>
    <n v="106.94"/>
  </r>
  <r>
    <x v="8"/>
    <x v="3"/>
    <n v="11549170"/>
    <n v="713710"/>
    <n v="36"/>
    <n v="400"/>
    <n v="14400"/>
    <n v="292"/>
    <s v="Yes"/>
    <m/>
    <s v="Yes"/>
    <m/>
    <s v="Yes"/>
    <m/>
    <s v="Yes"/>
    <m/>
    <s v="N/A"/>
    <m/>
    <s v="Yes"/>
    <m/>
    <s v="Yes"/>
    <m/>
    <s v="New"/>
    <s v="infasco"/>
    <n v="106.94"/>
    <n v="106.94"/>
  </r>
  <r>
    <x v="8"/>
    <x v="3"/>
    <n v="11549170"/>
    <n v="714632"/>
    <n v="10"/>
    <n v="400"/>
    <n v="4000"/>
    <n v="292"/>
    <s v="Yes"/>
    <m/>
    <s v="Yes"/>
    <m/>
    <s v="Yes"/>
    <m/>
    <s v="Yes"/>
    <m/>
    <s v="N/A"/>
    <m/>
    <s v="Yes"/>
    <m/>
    <s v="Yes"/>
    <m/>
    <s v="Re-certified"/>
    <s v="infasco"/>
    <n v="0"/>
    <n v="0"/>
  </r>
  <r>
    <x v="8"/>
    <x v="0"/>
    <s v="06101968-A"/>
    <n v="716081"/>
    <n v="20"/>
    <n v="2200"/>
    <n v="44000"/>
    <n v="292"/>
    <s v="Yes"/>
    <m/>
    <s v="Yes"/>
    <m/>
    <s v="Yes"/>
    <m/>
    <s v="Yes"/>
    <m/>
    <s v="N/A"/>
    <m/>
    <s v="Yes"/>
    <m/>
    <s v="Yes"/>
    <m/>
    <s v="Re-certified"/>
    <s v="infasco"/>
    <n v="0"/>
    <n v="0"/>
  </r>
  <r>
    <x v="8"/>
    <x v="1"/>
    <s v="11546437-MY-AK"/>
    <n v="716157"/>
    <n v="6"/>
    <n v="1500"/>
    <n v="9000"/>
    <n v="292"/>
    <s v="Yes"/>
    <m/>
    <s v="Yes"/>
    <m/>
    <s v="Yes"/>
    <m/>
    <s v="Yes"/>
    <m/>
    <s v="N/A"/>
    <m/>
    <s v="Yes"/>
    <m/>
    <s v="Yes"/>
    <m/>
    <s v="New"/>
    <s v="infasco"/>
    <n v="106.94"/>
    <n v="106.94"/>
  </r>
  <r>
    <x v="8"/>
    <x v="1"/>
    <s v="W711468-S437"/>
    <n v="713268"/>
    <n v="20"/>
    <n v="1600"/>
    <n v="32000"/>
    <n v="292"/>
    <s v="Yes"/>
    <m/>
    <s v="Yes"/>
    <m/>
    <s v="Yes"/>
    <m/>
    <s v="Yes"/>
    <m/>
    <s v="N/A"/>
    <m/>
    <s v="Yes"/>
    <m/>
    <s v="Yes"/>
    <m/>
    <s v="Re-certified"/>
    <s v="infasco"/>
    <n v="0"/>
    <n v="0"/>
  </r>
  <r>
    <x v="8"/>
    <x v="5"/>
    <s v="11549169-MY-AK"/>
    <n v="715960"/>
    <n v="36"/>
    <n v="660"/>
    <n v="23760"/>
    <n v="292"/>
    <s v="Yes"/>
    <m/>
    <s v="Yes"/>
    <m/>
    <s v="Yes"/>
    <m/>
    <s v="Yes"/>
    <m/>
    <s v="N/A"/>
    <m/>
    <s v="Yes"/>
    <m/>
    <s v="Yes"/>
    <m/>
    <s v="New"/>
    <s v="infasco"/>
    <n v="106.94"/>
    <n v="106.94"/>
  </r>
  <r>
    <x v="8"/>
    <x v="5"/>
    <s v="11549169-MY-AK"/>
    <n v="715959"/>
    <n v="36"/>
    <n v="660"/>
    <n v="23760"/>
    <n v="292"/>
    <s v="Yes"/>
    <m/>
    <s v="Yes"/>
    <m/>
    <s v="Yes"/>
    <m/>
    <s v="Yes"/>
    <m/>
    <s v="N/A"/>
    <m/>
    <s v="Yes"/>
    <m/>
    <s v="Yes"/>
    <m/>
    <s v="New"/>
    <s v="infasco"/>
    <n v="106.94"/>
    <n v="106.94"/>
  </r>
  <r>
    <x v="8"/>
    <x v="5"/>
    <s v="11549169-MY-AK"/>
    <n v="715955"/>
    <n v="22"/>
    <n v="660"/>
    <n v="14520"/>
    <n v="292"/>
    <s v="Yes"/>
    <m/>
    <s v="Yes"/>
    <m/>
    <s v="Yes"/>
    <m/>
    <s v="Yes"/>
    <m/>
    <s v="N/A"/>
    <m/>
    <s v="Yes"/>
    <m/>
    <s v="Yes"/>
    <m/>
    <s v="New"/>
    <s v="infasco"/>
    <n v="106.94"/>
    <n v="106.94"/>
  </r>
  <r>
    <x v="8"/>
    <x v="21"/>
    <n v="11546449"/>
    <n v="715759"/>
    <n v="20"/>
    <n v="2500"/>
    <n v="50000"/>
    <n v="280"/>
    <s v="Yes"/>
    <m/>
    <s v="Yes"/>
    <m/>
    <s v="Yes"/>
    <m/>
    <s v="Yes"/>
    <m/>
    <s v="N/A"/>
    <m/>
    <s v="Yes"/>
    <m/>
    <s v="Yes"/>
    <m/>
    <s v="New"/>
    <s v="infasco"/>
    <n v="106.94"/>
    <n v="106.94"/>
  </r>
  <r>
    <x v="8"/>
    <x v="21"/>
    <n v="11546449"/>
    <n v="715760"/>
    <n v="36"/>
    <n v="2500"/>
    <n v="90000"/>
    <n v="280"/>
    <s v="Yes"/>
    <m/>
    <s v="Yes"/>
    <m/>
    <s v="Yes"/>
    <m/>
    <s v="Yes"/>
    <m/>
    <s v="N/A"/>
    <m/>
    <s v="Yes"/>
    <m/>
    <s v="Yes"/>
    <m/>
    <s v="New"/>
    <s v="infasco"/>
    <n v="106.94"/>
    <n v="106.94"/>
  </r>
  <r>
    <x v="8"/>
    <x v="21"/>
    <n v="11546449"/>
    <n v="715752"/>
    <n v="36"/>
    <n v="2500"/>
    <n v="90000"/>
    <n v="280"/>
    <s v="Yes"/>
    <m/>
    <s v="Yes"/>
    <m/>
    <s v="Yes"/>
    <m/>
    <s v="Yes"/>
    <m/>
    <s v="N/A"/>
    <m/>
    <s v="Yes"/>
    <m/>
    <s v="Yes"/>
    <m/>
    <s v="New"/>
    <s v="infasco"/>
    <n v="106.94"/>
    <n v="106.94"/>
  </r>
  <r>
    <x v="8"/>
    <x v="20"/>
    <n v="11549168"/>
    <n v="713689"/>
    <n v="36"/>
    <n v="1000"/>
    <n v="36000"/>
    <n v="280"/>
    <s v="Yes"/>
    <m/>
    <s v="Yes"/>
    <m/>
    <s v="Yes"/>
    <m/>
    <s v="Yes"/>
    <m/>
    <s v="N/A"/>
    <m/>
    <s v="Yes"/>
    <m/>
    <s v="Yes"/>
    <m/>
    <s v="New"/>
    <s v="infasco"/>
    <n v="106.94"/>
    <n v="106.94"/>
  </r>
  <r>
    <x v="8"/>
    <x v="25"/>
    <n v="11546449"/>
    <n v="715757"/>
    <n v="30"/>
    <n v="2500"/>
    <n v="75000"/>
    <n v="280"/>
    <s v="Yes"/>
    <m/>
    <s v="Yes"/>
    <m/>
    <s v="Yes"/>
    <m/>
    <s v="Yes"/>
    <m/>
    <s v="N/A"/>
    <m/>
    <s v="Yes"/>
    <m/>
    <s v="Yes"/>
    <m/>
    <s v="New"/>
    <s v="infasco"/>
    <n v="106.94"/>
    <n v="106.94"/>
  </r>
  <r>
    <x v="8"/>
    <x v="24"/>
    <n v="11546449"/>
    <n v="715761"/>
    <n v="17"/>
    <n v="2500"/>
    <n v="42500"/>
    <n v="280"/>
    <s v="Yes"/>
    <m/>
    <s v="Yes"/>
    <m/>
    <s v="Yes"/>
    <m/>
    <s v="Yes"/>
    <m/>
    <s v="N/A"/>
    <m/>
    <s v="Yes"/>
    <m/>
    <s v="Yes"/>
    <m/>
    <s v="New"/>
    <s v="infasco"/>
    <n v="106.94"/>
    <n v="106.94"/>
  </r>
  <r>
    <x v="8"/>
    <x v="24"/>
    <n v="11546545"/>
    <n v="716269"/>
    <n v="18"/>
    <n v="2500"/>
    <n v="45000"/>
    <n v="280"/>
    <s v="Yes"/>
    <m/>
    <s v="Yes"/>
    <m/>
    <s v="Yes"/>
    <m/>
    <s v="Yes"/>
    <m/>
    <s v="N/A"/>
    <m/>
    <s v="Yes"/>
    <m/>
    <s v="Yes"/>
    <m/>
    <s v="Re-certified"/>
    <s v="infasco"/>
    <n v="0"/>
    <n v="0"/>
  </r>
  <r>
    <x v="8"/>
    <x v="19"/>
    <s v="11549168-CA-IN"/>
    <n v="710830"/>
    <n v="16"/>
    <n v="1000"/>
    <n v="16000"/>
    <n v="272"/>
    <s v="Yes"/>
    <m/>
    <s v="Yes"/>
    <m/>
    <s v="Yes"/>
    <m/>
    <s v="Yes"/>
    <m/>
    <s v="N/A"/>
    <m/>
    <s v="Yes"/>
    <m/>
    <s v="Yes"/>
    <m/>
    <s v="New"/>
    <s v="infasco"/>
    <n v="213.88"/>
    <n v="213.88"/>
  </r>
  <r>
    <x v="8"/>
    <x v="19"/>
    <s v="11549168-CA-IN"/>
    <n v="707998"/>
    <n v="56"/>
    <n v="1000"/>
    <n v="56000"/>
    <n v="272"/>
    <s v="Yes"/>
    <m/>
    <s v="Yes"/>
    <m/>
    <s v="Yes"/>
    <m/>
    <s v="Yes"/>
    <m/>
    <s v="N/A"/>
    <m/>
    <s v="Yes"/>
    <m/>
    <s v="Yes"/>
    <m/>
    <s v="New"/>
    <s v="infasco"/>
    <n v="213.88"/>
    <n v="213.88"/>
  </r>
  <r>
    <x v="8"/>
    <x v="14"/>
    <n v="11612078"/>
    <n v="710173"/>
    <n v="19"/>
    <n v="1850"/>
    <n v="35150"/>
    <n v="4"/>
    <s v="Yes"/>
    <m/>
    <s v="Yes"/>
    <m/>
    <s v="Yes"/>
    <m/>
    <s v="Yes"/>
    <m/>
    <s v="N/A"/>
    <m/>
    <s v="Yes"/>
    <m/>
    <s v="Yes"/>
    <m/>
    <s v="Re-certified"/>
    <s v="infasco"/>
    <n v="0"/>
    <n v="0"/>
  </r>
  <r>
    <x v="8"/>
    <x v="15"/>
    <n v="94012078"/>
    <n v="714720"/>
    <n v="24"/>
    <n v="100"/>
    <n v="2400"/>
    <s v="157+245"/>
    <s v="Yes"/>
    <m/>
    <s v="Yes"/>
    <m/>
    <s v="Yes"/>
    <m/>
    <s v="Yes"/>
    <m/>
    <s v="N/A"/>
    <m/>
    <s v="Yes"/>
    <m/>
    <s v="Yes"/>
    <m/>
    <s v="New"/>
    <s v="infasco"/>
    <n v="55.73"/>
    <n v="55.73"/>
  </r>
  <r>
    <x v="8"/>
    <x v="15"/>
    <n v="11546703"/>
    <n v="713852"/>
    <n v="31"/>
    <n v="4000"/>
    <n v="124000"/>
    <s v="157+245"/>
    <s v="Yes"/>
    <m/>
    <s v="Yes"/>
    <m/>
    <s v="Yes"/>
    <m/>
    <s v="Yes"/>
    <m/>
    <s v="N/A"/>
    <m/>
    <s v="Yes"/>
    <m/>
    <s v="Yes"/>
    <m/>
    <s v="New"/>
    <s v="infasco"/>
    <n v="135.07999999999998"/>
    <n v="135.07999999999998"/>
  </r>
  <r>
    <x v="8"/>
    <x v="15"/>
    <n v="11546571"/>
    <n v="716000"/>
    <n v="34"/>
    <n v="1550"/>
    <n v="52700"/>
    <s v="157+245"/>
    <s v="Yes"/>
    <m/>
    <s v="Yes"/>
    <m/>
    <s v="Yes"/>
    <m/>
    <s v="Yes"/>
    <m/>
    <s v="N/A"/>
    <m/>
    <s v="Yes"/>
    <m/>
    <s v="Yes"/>
    <m/>
    <s v="New"/>
    <s v="infasco"/>
    <n v="135.07999999999998"/>
    <n v="135.07999999999998"/>
  </r>
  <r>
    <x v="8"/>
    <x v="15"/>
    <s v="11549168-CA-IN"/>
    <n v="711863"/>
    <n v="42"/>
    <n v="1000"/>
    <n v="42000"/>
    <s v="157+245"/>
    <s v="Yes"/>
    <m/>
    <s v="Yes"/>
    <m/>
    <s v="Yes"/>
    <m/>
    <s v="Yes"/>
    <m/>
    <s v="N/A"/>
    <m/>
    <s v="Yes"/>
    <m/>
    <s v="Yes"/>
    <m/>
    <s v="New"/>
    <s v="infasco"/>
    <n v="213.88"/>
    <n v="213.88"/>
  </r>
  <r>
    <x v="8"/>
    <x v="15"/>
    <s v="06104384AA"/>
    <n v="715846"/>
    <n v="36"/>
    <n v="750"/>
    <n v="27000"/>
    <s v="157+245"/>
    <s v="Yes"/>
    <m/>
    <s v="Yes"/>
    <m/>
    <s v="Yes"/>
    <m/>
    <s v="Yes"/>
    <m/>
    <s v="N/A"/>
    <m/>
    <s v="Yes"/>
    <m/>
    <s v="Yes"/>
    <m/>
    <s v="New"/>
    <s v="infasco"/>
    <n v="135.07999999999998"/>
    <n v="135.07999999999998"/>
  </r>
  <r>
    <x v="8"/>
    <x v="15"/>
    <s v="W711953-S900"/>
    <n v="715792"/>
    <n v="10"/>
    <n v="1750"/>
    <n v="17500"/>
    <s v="157+245"/>
    <s v="Yes"/>
    <m/>
    <s v="Yes"/>
    <m/>
    <s v="Yes"/>
    <m/>
    <s v="Yes"/>
    <m/>
    <s v="N/A"/>
    <m/>
    <s v="Yes"/>
    <m/>
    <s v="Yes"/>
    <m/>
    <s v="New"/>
    <s v="infasco"/>
    <n v="106.94"/>
    <n v="106.94"/>
  </r>
  <r>
    <x v="8"/>
    <x v="15"/>
    <n v="11546449"/>
    <n v="715756"/>
    <n v="12"/>
    <n v="2500"/>
    <n v="30000"/>
    <s v="157+245"/>
    <s v="Yes"/>
    <m/>
    <s v="Yes"/>
    <m/>
    <s v="Yes"/>
    <m/>
    <s v="Yes"/>
    <m/>
    <s v="N/A"/>
    <m/>
    <s v="Yes"/>
    <m/>
    <s v="Yes"/>
    <m/>
    <s v="Re-certified"/>
    <s v="infasco"/>
    <n v="0"/>
    <n v="0"/>
  </r>
  <r>
    <x v="8"/>
    <x v="16"/>
    <n v="11549168"/>
    <n v="712003"/>
    <n v="27"/>
    <n v="1000"/>
    <n v="27000"/>
    <s v="391+285"/>
    <s v="Yes"/>
    <m/>
    <s v="Yes"/>
    <m/>
    <s v="Yes"/>
    <m/>
    <s v="Yes"/>
    <m/>
    <s v="N/A"/>
    <m/>
    <s v="Yes"/>
    <m/>
    <s v="Yes"/>
    <m/>
    <s v="Re-certified"/>
    <s v="infasco"/>
    <n v="0"/>
    <n v="0"/>
  </r>
  <r>
    <x v="8"/>
    <x v="16"/>
    <n v="11546571"/>
    <n v="716001"/>
    <n v="29"/>
    <n v="1550"/>
    <n v="44950"/>
    <s v="391+285"/>
    <s v="Yes"/>
    <m/>
    <s v="Yes"/>
    <m/>
    <s v="Yes"/>
    <m/>
    <s v="Yes"/>
    <m/>
    <s v="N/A"/>
    <m/>
    <s v="Yes"/>
    <m/>
    <s v="Yes"/>
    <m/>
    <s v="New"/>
    <s v="infasco"/>
    <n v="135.07999999999998"/>
    <n v="135.07999999999998"/>
  </r>
  <r>
    <x v="8"/>
    <x v="16"/>
    <n v="11546566"/>
    <n v="715790"/>
    <n v="27"/>
    <n v="1800"/>
    <n v="48600"/>
    <s v="391+285"/>
    <s v="Yes"/>
    <m/>
    <s v="Yes"/>
    <m/>
    <s v="Yes"/>
    <m/>
    <s v="Yes"/>
    <m/>
    <s v="N/A"/>
    <m/>
    <s v="Yes"/>
    <m/>
    <s v="Yes"/>
    <m/>
    <s v="New"/>
    <s v="infasco"/>
    <n v="135.07999999999998"/>
    <n v="135.07999999999998"/>
  </r>
  <r>
    <x v="8"/>
    <x v="16"/>
    <s v="11549168-CA-IN"/>
    <n v="704978"/>
    <n v="42"/>
    <n v="1000"/>
    <n v="42000"/>
    <s v="391+285"/>
    <s v="Yes"/>
    <m/>
    <s v="Yes"/>
    <m/>
    <s v="Yes"/>
    <m/>
    <s v="Yes"/>
    <m/>
    <s v="N/A"/>
    <m/>
    <s v="Yes"/>
    <m/>
    <s v="Yes"/>
    <m/>
    <s v="New"/>
    <s v="infasco"/>
    <n v="213.88"/>
    <n v="213.88"/>
  </r>
  <r>
    <x v="8"/>
    <x v="16"/>
    <s v="06104384AA"/>
    <n v="715847"/>
    <n v="30"/>
    <n v="750"/>
    <n v="22500"/>
    <s v="391+285"/>
    <s v="Yes"/>
    <m/>
    <s v="Yes"/>
    <m/>
    <s v="Yes"/>
    <m/>
    <s v="Yes"/>
    <m/>
    <s v="N/A"/>
    <m/>
    <s v="Yes"/>
    <m/>
    <s v="Yes"/>
    <m/>
    <s v="New"/>
    <s v="infasco"/>
    <n v="135.07999999999998"/>
    <n v="135.07999999999998"/>
  </r>
  <r>
    <x v="8"/>
    <x v="16"/>
    <s v="1K2GZ0-00"/>
    <n v="715799"/>
    <n v="16"/>
    <n v="4500"/>
    <n v="72000"/>
    <s v="391+285"/>
    <s v="Yes"/>
    <m/>
    <s v="Yes"/>
    <m/>
    <s v="Yes"/>
    <m/>
    <s v="Yes"/>
    <m/>
    <s v="N/A"/>
    <m/>
    <s v="Yes"/>
    <m/>
    <s v="Yes"/>
    <m/>
    <s v="New"/>
    <s v="infasco"/>
    <n v="106.94"/>
    <n v="106.94"/>
  </r>
  <r>
    <x v="8"/>
    <x v="17"/>
    <n v="11547369"/>
    <n v="714298"/>
    <n v="19"/>
    <n v="250"/>
    <n v="4750"/>
    <s v="190+268"/>
    <s v="Yes"/>
    <m/>
    <s v="Yes"/>
    <m/>
    <s v="Yes"/>
    <m/>
    <s v="Yes"/>
    <m/>
    <s v="N/A"/>
    <m/>
    <s v="Yes"/>
    <m/>
    <s v="Yes"/>
    <m/>
    <s v="New"/>
    <s v="infasco"/>
    <n v="106.94"/>
    <n v="106.94"/>
  </r>
  <r>
    <x v="8"/>
    <x v="17"/>
    <n v="11549170"/>
    <n v="714385"/>
    <n v="35"/>
    <n v="400"/>
    <n v="14000"/>
    <s v="190+268"/>
    <s v="Yes"/>
    <m/>
    <s v="Yes"/>
    <m/>
    <s v="Yes"/>
    <m/>
    <s v="Yes"/>
    <m/>
    <s v="N/A"/>
    <m/>
    <s v="Yes"/>
    <m/>
    <s v="Yes"/>
    <m/>
    <s v="New"/>
    <s v="infasco"/>
    <n v="106.94"/>
    <n v="106.94"/>
  </r>
  <r>
    <x v="8"/>
    <x v="17"/>
    <s v="06511799AA"/>
    <n v="712205"/>
    <n v="32"/>
    <n v="1800"/>
    <n v="57600"/>
    <s v="190+268"/>
    <s v="Yes"/>
    <m/>
    <s v="Yes"/>
    <m/>
    <s v="Yes"/>
    <m/>
    <s v="Yes"/>
    <m/>
    <s v="N/A"/>
    <m/>
    <s v="Yes"/>
    <m/>
    <s v="Yes"/>
    <m/>
    <s v="New"/>
    <s v="infasco"/>
    <n v="106.94"/>
    <n v="106.94"/>
  </r>
  <r>
    <x v="8"/>
    <x v="17"/>
    <s v="06105049AA"/>
    <n v="716098"/>
    <n v="25"/>
    <n v="800"/>
    <n v="20000"/>
    <s v="190+268"/>
    <s v="Yes"/>
    <m/>
    <s v="Yes"/>
    <m/>
    <s v="Yes"/>
    <m/>
    <s v="Yes"/>
    <m/>
    <s v="N/A"/>
    <m/>
    <s v="Yes"/>
    <m/>
    <s v="Yes"/>
    <m/>
    <s v="New"/>
    <s v="infasco"/>
    <n v="280.16000000000003"/>
    <n v="280.16000000000003"/>
  </r>
  <r>
    <x v="8"/>
    <x v="32"/>
    <n v="94012078"/>
    <n v="714721"/>
    <n v="22"/>
    <n v="100"/>
    <n v="2200"/>
    <s v="294+252"/>
    <s v="Yes"/>
    <m/>
    <s v="Yes"/>
    <m/>
    <s v="Yes"/>
    <m/>
    <s v="Yes"/>
    <m/>
    <s v="N/A"/>
    <m/>
    <s v="Yes"/>
    <m/>
    <s v="Yes"/>
    <m/>
    <s v="New"/>
    <s v="infasco"/>
    <n v="55.73"/>
    <n v="55.73"/>
  </r>
  <r>
    <x v="8"/>
    <x v="32"/>
    <n v="11546703"/>
    <n v="713855"/>
    <n v="34"/>
    <n v="4000"/>
    <n v="136000"/>
    <s v="294+252"/>
    <s v="Yes"/>
    <m/>
    <s v="Yes"/>
    <m/>
    <s v="Yes"/>
    <m/>
    <s v="Yes"/>
    <m/>
    <s v="N/A"/>
    <m/>
    <s v="Yes"/>
    <m/>
    <s v="Yes"/>
    <m/>
    <s v="New"/>
    <s v="infasco"/>
    <n v="135.07999999999998"/>
    <n v="135.07999999999998"/>
  </r>
  <r>
    <x v="8"/>
    <x v="32"/>
    <s v="06511672AA"/>
    <n v="713867"/>
    <n v="33"/>
    <n v="1400"/>
    <n v="46200"/>
    <s v="294+252"/>
    <s v="Yes"/>
    <m/>
    <s v="Yes"/>
    <m/>
    <s v="Yes"/>
    <m/>
    <s v="Yes"/>
    <m/>
    <s v="N/A"/>
    <m/>
    <s v="Yes"/>
    <m/>
    <s v="Yes"/>
    <m/>
    <s v="New"/>
    <s v="infasco"/>
    <n v="106.94"/>
    <n v="106.94"/>
  </r>
  <r>
    <x v="8"/>
    <x v="32"/>
    <s v="06511799AA"/>
    <n v="712206"/>
    <n v="31"/>
    <n v="1800"/>
    <n v="55800"/>
    <s v="294+252"/>
    <s v="Yes"/>
    <m/>
    <s v="Yes"/>
    <m/>
    <s v="Yes"/>
    <m/>
    <s v="Yes"/>
    <m/>
    <s v="N/A"/>
    <m/>
    <s v="Yes"/>
    <m/>
    <s v="Yes"/>
    <m/>
    <s v="New"/>
    <s v="infasco"/>
    <n v="106.94"/>
    <n v="106.94"/>
  </r>
  <r>
    <x v="8"/>
    <x v="13"/>
    <n v="11547369"/>
    <n v="714478"/>
    <n v="18"/>
    <n v="250"/>
    <n v="4500"/>
    <s v="011+293"/>
    <s v="Yes"/>
    <m/>
    <s v="Yes"/>
    <m/>
    <s v="Yes"/>
    <m/>
    <s v="Yes"/>
    <m/>
    <s v="N/A"/>
    <m/>
    <s v="Yes"/>
    <m/>
    <s v="Yes"/>
    <m/>
    <s v="New"/>
    <s v="infasco"/>
    <n v="106.94"/>
    <n v="106.94"/>
  </r>
  <r>
    <x v="8"/>
    <x v="13"/>
    <n v="22800396"/>
    <n v="715802"/>
    <n v="23"/>
    <n v="1300"/>
    <n v="29900"/>
    <s v="011+293"/>
    <s v="Yes"/>
    <m/>
    <s v="Yes"/>
    <m/>
    <s v="Yes"/>
    <m/>
    <s v="Yes"/>
    <m/>
    <s v="N/A"/>
    <m/>
    <s v="Yes"/>
    <m/>
    <s v="Yes"/>
    <m/>
    <s v="New"/>
    <s v="infasco"/>
    <n v="106.94"/>
    <n v="106.94"/>
  </r>
  <r>
    <x v="8"/>
    <x v="13"/>
    <n v="11546571"/>
    <n v="716003"/>
    <n v="27"/>
    <n v="1550"/>
    <n v="41850"/>
    <s v="011+293"/>
    <s v="Yes"/>
    <m/>
    <s v="Yes"/>
    <m/>
    <s v="Yes"/>
    <m/>
    <s v="Yes"/>
    <m/>
    <s v="N/A"/>
    <m/>
    <s v="Yes"/>
    <m/>
    <s v="Yes"/>
    <m/>
    <s v="New"/>
    <s v="infasco"/>
    <n v="135.07999999999998"/>
    <n v="135.07999999999998"/>
  </r>
  <r>
    <x v="8"/>
    <x v="13"/>
    <s v="06511799AA"/>
    <n v="712977"/>
    <n v="35"/>
    <n v="1800"/>
    <n v="63000"/>
    <s v="011+293"/>
    <s v="Yes"/>
    <m/>
    <s v="Yes"/>
    <m/>
    <s v="Yes"/>
    <m/>
    <s v="Yes"/>
    <m/>
    <s v="N/A"/>
    <m/>
    <s v="Yes"/>
    <m/>
    <s v="Yes"/>
    <m/>
    <s v="New"/>
    <s v="infasco"/>
    <n v="106.94"/>
    <n v="106.94"/>
  </r>
  <r>
    <x v="8"/>
    <x v="13"/>
    <n v="11546449"/>
    <n v="715754"/>
    <n v="18"/>
    <n v="2500"/>
    <n v="45000"/>
    <s v="011+293"/>
    <s v="Yes"/>
    <m/>
    <s v="Yes"/>
    <m/>
    <s v="Yes"/>
    <m/>
    <s v="Yes"/>
    <m/>
    <s v="N/A"/>
    <m/>
    <s v="Yes"/>
    <m/>
    <s v="Yes"/>
    <m/>
    <s v="Re-certified"/>
    <s v="infasco"/>
    <n v="0"/>
    <n v="0"/>
  </r>
  <r>
    <x v="8"/>
    <x v="33"/>
    <n v="11547369"/>
    <n v="714299"/>
    <n v="8"/>
    <n v="250"/>
    <n v="2000"/>
    <n v="279"/>
    <s v="Yes"/>
    <m/>
    <s v="Yes"/>
    <m/>
    <s v="Yes"/>
    <m/>
    <s v="Yes"/>
    <m/>
    <s v="N/A"/>
    <m/>
    <s v="Yes"/>
    <m/>
    <s v="Yes"/>
    <m/>
    <s v="New"/>
    <s v="infasco"/>
    <n v="106.94"/>
    <n v="106.94"/>
  </r>
  <r>
    <x v="8"/>
    <x v="33"/>
    <s v="06511672AA"/>
    <n v="711774"/>
    <n v="31"/>
    <n v="1400"/>
    <n v="43400"/>
    <n v="279"/>
    <s v="Yes"/>
    <m/>
    <s v="Yes"/>
    <m/>
    <s v="Yes"/>
    <m/>
    <s v="Yes"/>
    <m/>
    <s v="N/A"/>
    <m/>
    <s v="Yes"/>
    <m/>
    <s v="Yes"/>
    <m/>
    <s v="New"/>
    <s v="infasco"/>
    <n v="106.94"/>
    <n v="106.94"/>
  </r>
  <r>
    <x v="8"/>
    <x v="33"/>
    <s v="11549168-CA-IN"/>
    <n v="710829"/>
    <n v="18"/>
    <n v="1000"/>
    <n v="18000"/>
    <n v="279"/>
    <s v="Yes"/>
    <m/>
    <s v="Yes"/>
    <m/>
    <s v="Yes"/>
    <m/>
    <s v="Yes"/>
    <m/>
    <s v="N/A"/>
    <m/>
    <s v="Yes"/>
    <m/>
    <s v="Yes"/>
    <m/>
    <s v="Re-certified"/>
    <s v="infasco"/>
    <n v="0"/>
    <n v="0"/>
  </r>
  <r>
    <x v="9"/>
    <x v="11"/>
    <n v="11546545"/>
    <n v="716271"/>
    <n v="24"/>
    <n v="2500"/>
    <n v="60000"/>
    <n v="275"/>
    <s v="Yes"/>
    <m/>
    <s v="Yes"/>
    <m/>
    <s v="Yes"/>
    <m/>
    <s v="Yes"/>
    <m/>
    <s v="N/A"/>
    <m/>
    <s v="Yes"/>
    <m/>
    <s v="Yes"/>
    <m/>
    <s v="New"/>
    <s v="infasco"/>
    <n v="106.94"/>
    <n v="106.94"/>
  </r>
  <r>
    <x v="9"/>
    <x v="11"/>
    <n v="11546545"/>
    <n v="716265"/>
    <n v="9"/>
    <n v="2500"/>
    <n v="22500"/>
    <n v="275"/>
    <s v="Yes"/>
    <m/>
    <s v="Yes"/>
    <m/>
    <s v="Yes"/>
    <m/>
    <s v="Yes"/>
    <m/>
    <s v="N/A"/>
    <m/>
    <s v="Yes"/>
    <m/>
    <s v="Yes"/>
    <m/>
    <s v="Re-certified"/>
    <s v="infasco"/>
    <n v="0"/>
    <n v="0"/>
  </r>
  <r>
    <x v="9"/>
    <x v="9"/>
    <n v="7151143403"/>
    <n v="715804"/>
    <n v="16"/>
    <n v="1750"/>
    <n v="28000"/>
    <n v="275"/>
    <s v="Yes"/>
    <m/>
    <s v="Yes"/>
    <m/>
    <s v="Yes"/>
    <m/>
    <s v="Yes"/>
    <m/>
    <s v="N/A"/>
    <m/>
    <s v="Yes"/>
    <m/>
    <s v="Yes"/>
    <m/>
    <s v="New"/>
    <s v="infasco"/>
    <n v="106.94"/>
    <n v="106.94"/>
  </r>
  <r>
    <x v="9"/>
    <x v="9"/>
    <n v="11561645"/>
    <n v="714428"/>
    <n v="3"/>
    <n v="4000"/>
    <n v="12000"/>
    <n v="275"/>
    <s v="Yes"/>
    <m/>
    <s v="Yes"/>
    <m/>
    <s v="Yes"/>
    <m/>
    <s v="Yes"/>
    <m/>
    <s v="N/A"/>
    <m/>
    <s v="Yes"/>
    <m/>
    <s v="Yes"/>
    <m/>
    <s v="Re-certified"/>
    <s v="infasco"/>
    <n v="0"/>
    <n v="0"/>
  </r>
  <r>
    <x v="9"/>
    <x v="8"/>
    <s v="11546367-MY-AK"/>
    <n v="714196"/>
    <n v="6"/>
    <n v="700"/>
    <n v="4200"/>
    <n v="275"/>
    <s v="Yes"/>
    <m/>
    <s v="Yes"/>
    <m/>
    <s v="Yes"/>
    <m/>
    <s v="Yes"/>
    <m/>
    <s v="N/A"/>
    <m/>
    <s v="Yes"/>
    <m/>
    <s v="Yes"/>
    <m/>
    <s v="New"/>
    <s v="infasco"/>
    <n v="106.94"/>
    <n v="106.94"/>
  </r>
  <r>
    <x v="9"/>
    <x v="8"/>
    <n v="11549168"/>
    <n v="714308"/>
    <n v="40"/>
    <n v="1000"/>
    <n v="40000"/>
    <n v="275"/>
    <s v="Yes"/>
    <m/>
    <s v="Yes"/>
    <m/>
    <s v="Yes"/>
    <m/>
    <s v="Yes"/>
    <m/>
    <s v="N/A"/>
    <m/>
    <s v="Yes"/>
    <m/>
    <s v="Yes"/>
    <m/>
    <s v="New"/>
    <s v="infasco"/>
    <n v="106.94"/>
    <n v="106.94"/>
  </r>
  <r>
    <x v="9"/>
    <x v="8"/>
    <n v="11549168"/>
    <n v="714305"/>
    <n v="12"/>
    <n v="1000"/>
    <n v="12000"/>
    <n v="275"/>
    <s v="Yes"/>
    <m/>
    <s v="Yes"/>
    <m/>
    <s v="Yes"/>
    <m/>
    <s v="Yes"/>
    <m/>
    <s v="N/A"/>
    <m/>
    <s v="Yes"/>
    <m/>
    <s v="Yes"/>
    <m/>
    <s v="Re-certified"/>
    <s v="infasco"/>
    <n v="0"/>
    <n v="0"/>
  </r>
  <r>
    <x v="9"/>
    <x v="7"/>
    <s v="06104388AA"/>
    <n v="715866"/>
    <n v="19"/>
    <n v="660"/>
    <n v="12540"/>
    <n v="275"/>
    <s v="Yes"/>
    <m/>
    <s v="Yes"/>
    <m/>
    <s v="Yes"/>
    <m/>
    <s v="Yes"/>
    <m/>
    <s v="N/A"/>
    <m/>
    <s v="Yes"/>
    <m/>
    <s v="Yes"/>
    <m/>
    <s v="Re-certified"/>
    <s v="infasco"/>
    <n v="0"/>
    <n v="0"/>
  </r>
  <r>
    <x v="9"/>
    <x v="10"/>
    <n v="11546545"/>
    <n v="716266"/>
    <n v="12"/>
    <n v="2500"/>
    <n v="30000"/>
    <n v="275"/>
    <s v="Yes"/>
    <m/>
    <s v="Yes"/>
    <m/>
    <s v="Yes"/>
    <m/>
    <s v="Yes"/>
    <m/>
    <s v="N/A"/>
    <m/>
    <s v="Yes"/>
    <m/>
    <s v="Yes"/>
    <m/>
    <s v="New"/>
    <s v="infasco"/>
    <n v="106.94"/>
    <n v="106.94"/>
  </r>
  <r>
    <x v="9"/>
    <x v="10"/>
    <n v="11546545"/>
    <n v="716260"/>
    <n v="18"/>
    <n v="2500"/>
    <n v="45000"/>
    <n v="275"/>
    <s v="Yes"/>
    <m/>
    <s v="Yes"/>
    <m/>
    <s v="Yes"/>
    <m/>
    <s v="Yes"/>
    <m/>
    <s v="N/A"/>
    <m/>
    <s v="Yes"/>
    <m/>
    <s v="Yes"/>
    <m/>
    <s v="Re-certified"/>
    <s v="infasco"/>
    <n v="0"/>
    <n v="0"/>
  </r>
  <r>
    <x v="9"/>
    <x v="6"/>
    <n v="11546545"/>
    <n v="716268"/>
    <n v="13"/>
    <n v="2500"/>
    <n v="32500"/>
    <n v="275"/>
    <s v="Yes"/>
    <m/>
    <s v="Yes"/>
    <m/>
    <s v="Yes"/>
    <m/>
    <s v="Yes"/>
    <m/>
    <s v="N/A"/>
    <m/>
    <s v="Yes"/>
    <m/>
    <s v="Yes"/>
    <m/>
    <s v="New"/>
    <s v="infasco"/>
    <n v="106.94"/>
    <n v="106.94"/>
  </r>
  <r>
    <x v="9"/>
    <x v="6"/>
    <n v="11546545"/>
    <n v="716262"/>
    <n v="24"/>
    <n v="2500"/>
    <n v="60000"/>
    <n v="275"/>
    <s v="Yes"/>
    <m/>
    <s v="Yes"/>
    <m/>
    <s v="Yes"/>
    <m/>
    <s v="Yes"/>
    <m/>
    <s v="N/A"/>
    <m/>
    <s v="Yes"/>
    <m/>
    <s v="Yes"/>
    <m/>
    <s v="Re-certified"/>
    <s v="infasco"/>
    <n v="0"/>
    <n v="0"/>
  </r>
  <r>
    <x v="9"/>
    <x v="12"/>
    <n v="11546463"/>
    <n v="716595"/>
    <n v="14"/>
    <n v="450"/>
    <n v="6300"/>
    <n v="275"/>
    <s v="Yes"/>
    <m/>
    <s v="Yes"/>
    <m/>
    <s v="Yes"/>
    <m/>
    <s v="Yes"/>
    <m/>
    <s v="N/A"/>
    <m/>
    <s v="Yes"/>
    <m/>
    <s v="Yes"/>
    <m/>
    <s v="New"/>
    <s v="infasco"/>
    <n v="106.94"/>
    <n v="106.94"/>
  </r>
  <r>
    <x v="9"/>
    <x v="12"/>
    <n v="11546463"/>
    <n v="716596"/>
    <n v="36"/>
    <n v="450"/>
    <n v="16200"/>
    <n v="275"/>
    <s v="Yes"/>
    <m/>
    <s v="Yes"/>
    <m/>
    <s v="Yes"/>
    <m/>
    <s v="Yes"/>
    <m/>
    <s v="N/A"/>
    <m/>
    <s v="Yes"/>
    <m/>
    <s v="Yes"/>
    <m/>
    <s v="New"/>
    <s v="infasco"/>
    <n v="106.94"/>
    <n v="106.94"/>
  </r>
  <r>
    <x v="9"/>
    <x v="12"/>
    <n v="11546463"/>
    <n v="716593"/>
    <n v="36"/>
    <n v="450"/>
    <n v="16200"/>
    <n v="275"/>
    <s v="Yes"/>
    <m/>
    <s v="Yes"/>
    <m/>
    <s v="Yes"/>
    <m/>
    <s v="Yes"/>
    <m/>
    <s v="N/A"/>
    <m/>
    <s v="Yes"/>
    <m/>
    <s v="Yes"/>
    <m/>
    <s v="New"/>
    <s v="infasco"/>
    <n v="106.94"/>
    <n v="106.94"/>
  </r>
  <r>
    <x v="9"/>
    <x v="27"/>
    <n v="11549168"/>
    <n v="713682"/>
    <n v="15"/>
    <n v="1000"/>
    <n v="15000"/>
    <n v="290"/>
    <s v="Yes"/>
    <m/>
    <s v="Yes"/>
    <m/>
    <s v="Yes"/>
    <m/>
    <s v="Yes"/>
    <m/>
    <s v="N/A"/>
    <m/>
    <s v="Yes"/>
    <m/>
    <s v="Yes"/>
    <m/>
    <s v="New"/>
    <s v="infasco"/>
    <n v="106.94"/>
    <n v="106.94"/>
  </r>
  <r>
    <x v="9"/>
    <x v="27"/>
    <n v="11549168"/>
    <n v="714309"/>
    <n v="40"/>
    <n v="1000"/>
    <n v="40000"/>
    <n v="290"/>
    <s v="Yes"/>
    <m/>
    <s v="Yes"/>
    <m/>
    <s v="Yes"/>
    <m/>
    <s v="Yes"/>
    <m/>
    <s v="N/A"/>
    <m/>
    <s v="Yes"/>
    <m/>
    <s v="Yes"/>
    <m/>
    <s v="Re-certified"/>
    <s v="infasco"/>
    <n v="0"/>
    <n v="0"/>
  </r>
  <r>
    <x v="9"/>
    <x v="26"/>
    <n v="11549168"/>
    <n v="714304"/>
    <n v="7"/>
    <n v="1000"/>
    <n v="7000"/>
    <n v="290"/>
    <s v="Yes"/>
    <m/>
    <s v="Yes"/>
    <m/>
    <s v="Yes"/>
    <m/>
    <s v="Yes"/>
    <m/>
    <s v="N/A"/>
    <m/>
    <s v="Yes"/>
    <m/>
    <s v="Yes"/>
    <m/>
    <s v="New"/>
    <s v="infasco"/>
    <n v="106.94"/>
    <n v="106.94"/>
  </r>
  <r>
    <x v="9"/>
    <x v="26"/>
    <n v="11549168"/>
    <n v="713681"/>
    <n v="66"/>
    <n v="1000"/>
    <n v="66000"/>
    <n v="290"/>
    <s v="Yes"/>
    <m/>
    <s v="Yes"/>
    <m/>
    <s v="Yes"/>
    <m/>
    <s v="Yes"/>
    <m/>
    <s v="N/A"/>
    <m/>
    <s v="Yes"/>
    <m/>
    <s v="Yes"/>
    <m/>
    <s v="New"/>
    <s v="infasco"/>
    <n v="106.94"/>
    <n v="106.94"/>
  </r>
  <r>
    <x v="9"/>
    <x v="26"/>
    <n v="11549168"/>
    <n v="714311"/>
    <n v="40"/>
    <n v="1000"/>
    <n v="40000"/>
    <n v="290"/>
    <s v="Yes"/>
    <m/>
    <s v="Yes"/>
    <m/>
    <s v="Yes"/>
    <m/>
    <s v="Yes"/>
    <m/>
    <s v="N/A"/>
    <m/>
    <s v="Yes"/>
    <m/>
    <s v="Yes"/>
    <m/>
    <s v="New"/>
    <s v="infasco"/>
    <n v="106.94"/>
    <n v="106.94"/>
  </r>
  <r>
    <x v="9"/>
    <x v="26"/>
    <n v="11549168"/>
    <n v="714307"/>
    <n v="2"/>
    <n v="1000"/>
    <n v="2000"/>
    <n v="290"/>
    <s v="Yes"/>
    <m/>
    <s v="Yes"/>
    <m/>
    <s v="Yes"/>
    <m/>
    <s v="Yes"/>
    <m/>
    <s v="N/A"/>
    <m/>
    <s v="Yes"/>
    <m/>
    <s v="Yes"/>
    <m/>
    <s v="Re-certified"/>
    <s v="infasco"/>
    <n v="0"/>
    <n v="0"/>
  </r>
  <r>
    <x v="9"/>
    <x v="31"/>
    <s v="11549169-MY-AK"/>
    <n v="714521"/>
    <n v="24"/>
    <n v="660"/>
    <n v="15840"/>
    <n v="290"/>
    <s v="Yes"/>
    <m/>
    <s v="Yes"/>
    <m/>
    <s v="Yes"/>
    <m/>
    <s v="Yes"/>
    <m/>
    <s v="N/A"/>
    <m/>
    <s v="Yes"/>
    <m/>
    <s v="Yes"/>
    <m/>
    <s v="New"/>
    <s v="infasco"/>
    <n v="106.94"/>
    <n v="106.94"/>
  </r>
  <r>
    <x v="9"/>
    <x v="31"/>
    <s v="11549169-MY-AK"/>
    <n v="715954"/>
    <n v="36"/>
    <n v="660"/>
    <n v="23760"/>
    <n v="290"/>
    <s v="Yes"/>
    <m/>
    <s v="Yes"/>
    <m/>
    <s v="Yes"/>
    <m/>
    <s v="Yes"/>
    <m/>
    <s v="N/A"/>
    <m/>
    <s v="Yes"/>
    <m/>
    <s v="Yes"/>
    <m/>
    <s v="New"/>
    <s v="infasco"/>
    <n v="106.94"/>
    <n v="106.94"/>
  </r>
  <r>
    <x v="9"/>
    <x v="31"/>
    <s v="11549169-MY-AK"/>
    <n v="714519"/>
    <n v="36"/>
    <n v="660"/>
    <n v="23760"/>
    <n v="290"/>
    <s v="Yes"/>
    <m/>
    <s v="Yes"/>
    <m/>
    <s v="Yes"/>
    <m/>
    <s v="Yes"/>
    <m/>
    <s v="N/A"/>
    <m/>
    <s v="Yes"/>
    <m/>
    <s v="Yes"/>
    <m/>
    <s v="Re-certified"/>
    <s v="infasco"/>
    <n v="0"/>
    <n v="0"/>
  </r>
  <r>
    <x v="9"/>
    <x v="30"/>
    <n v="11549170"/>
    <n v="713709"/>
    <n v="33"/>
    <n v="400"/>
    <n v="13200"/>
    <n v="290"/>
    <s v="Yes"/>
    <m/>
    <s v="Yes"/>
    <m/>
    <s v="Yes"/>
    <m/>
    <s v="Yes"/>
    <m/>
    <s v="N/A"/>
    <m/>
    <s v="Yes"/>
    <m/>
    <s v="Yes"/>
    <m/>
    <s v="New"/>
    <s v="infasco"/>
    <n v="106.94"/>
    <n v="106.94"/>
  </r>
  <r>
    <x v="9"/>
    <x v="30"/>
    <s v="11546368-MY-AK"/>
    <n v="714096"/>
    <n v="36"/>
    <n v="450"/>
    <n v="16200"/>
    <n v="290"/>
    <s v="Yes"/>
    <m/>
    <s v="Yes"/>
    <m/>
    <s v="Yes"/>
    <m/>
    <s v="Yes"/>
    <m/>
    <s v="N/A"/>
    <m/>
    <s v="Yes"/>
    <m/>
    <s v="Yes"/>
    <m/>
    <s v="New"/>
    <s v="infasco"/>
    <n v="106.94"/>
    <n v="106.94"/>
  </r>
  <r>
    <x v="9"/>
    <x v="30"/>
    <s v="11546368-MY-AK"/>
    <n v="714104"/>
    <n v="36"/>
    <n v="450"/>
    <n v="16200"/>
    <n v="290"/>
    <s v="Yes"/>
    <m/>
    <s v="Yes"/>
    <m/>
    <s v="Yes"/>
    <m/>
    <s v="Yes"/>
    <m/>
    <s v="N/A"/>
    <m/>
    <s v="Yes"/>
    <m/>
    <s v="Yes"/>
    <m/>
    <s v="New"/>
    <s v="infasco"/>
    <n v="106.94"/>
    <n v="106.94"/>
  </r>
  <r>
    <x v="9"/>
    <x v="29"/>
    <n v="11546545"/>
    <n v="716261"/>
    <n v="16"/>
    <n v="2500"/>
    <n v="40000"/>
    <n v="290"/>
    <s v="Yes"/>
    <m/>
    <s v="Yes"/>
    <m/>
    <s v="Yes"/>
    <m/>
    <s v="Yes"/>
    <m/>
    <s v="N/A"/>
    <m/>
    <s v="Yes"/>
    <m/>
    <s v="Yes"/>
    <m/>
    <s v="New"/>
    <s v="infasco"/>
    <n v="106.94"/>
    <n v="106.94"/>
  </r>
  <r>
    <x v="9"/>
    <x v="29"/>
    <n v="11546545"/>
    <n v="716263"/>
    <n v="21"/>
    <n v="2500"/>
    <n v="52500"/>
    <n v="290"/>
    <s v="Yes"/>
    <m/>
    <s v="Yes"/>
    <m/>
    <s v="Yes"/>
    <m/>
    <s v="Yes"/>
    <m/>
    <s v="N/A"/>
    <m/>
    <s v="Yes"/>
    <m/>
    <s v="Yes"/>
    <m/>
    <s v="Re-certified"/>
    <s v="infasco"/>
    <n v="0"/>
    <n v="0"/>
  </r>
  <r>
    <x v="9"/>
    <x v="3"/>
    <n v="11549170"/>
    <n v="714632"/>
    <n v="26"/>
    <n v="400"/>
    <n v="10400"/>
    <n v="292"/>
    <s v="Yes"/>
    <m/>
    <s v="Yes"/>
    <m/>
    <s v="Yes"/>
    <m/>
    <s v="Yes"/>
    <m/>
    <s v="N/A"/>
    <m/>
    <s v="Yes"/>
    <m/>
    <s v="Yes"/>
    <m/>
    <s v="New"/>
    <s v="infasco"/>
    <n v="106.94"/>
    <n v="106.94"/>
  </r>
  <r>
    <x v="9"/>
    <x v="3"/>
    <s v="11546368-MY-AK"/>
    <n v="714097"/>
    <n v="36"/>
    <n v="450"/>
    <n v="16200"/>
    <n v="292"/>
    <s v="Yes"/>
    <m/>
    <s v="Yes"/>
    <m/>
    <s v="Yes"/>
    <m/>
    <s v="Yes"/>
    <m/>
    <s v="N/A"/>
    <m/>
    <s v="Yes"/>
    <m/>
    <s v="Yes"/>
    <m/>
    <s v="New"/>
    <s v="infasco"/>
    <n v="106.94"/>
    <n v="106.94"/>
  </r>
  <r>
    <x v="9"/>
    <x v="3"/>
    <s v="11546368-MY-AK"/>
    <n v="714095"/>
    <n v="36"/>
    <n v="450"/>
    <n v="16200"/>
    <n v="292"/>
    <s v="Yes"/>
    <m/>
    <s v="Yes"/>
    <m/>
    <s v="Yes"/>
    <m/>
    <s v="Yes"/>
    <m/>
    <s v="N/A"/>
    <m/>
    <s v="Yes"/>
    <m/>
    <s v="Yes"/>
    <m/>
    <s v="New"/>
    <s v="infasco"/>
    <n v="106.94"/>
    <n v="106.94"/>
  </r>
  <r>
    <x v="9"/>
    <x v="3"/>
    <s v="11546368-MY-AK"/>
    <n v="714105"/>
    <n v="29"/>
    <n v="450"/>
    <n v="13050"/>
    <n v="292"/>
    <s v="Yes"/>
    <m/>
    <s v="Yes"/>
    <m/>
    <s v="Yes"/>
    <m/>
    <s v="Yes"/>
    <m/>
    <s v="N/A"/>
    <m/>
    <s v="Yes"/>
    <m/>
    <s v="Yes"/>
    <m/>
    <s v="New"/>
    <s v="infasco"/>
    <n v="106.94"/>
    <n v="106.94"/>
  </r>
  <r>
    <x v="9"/>
    <x v="5"/>
    <s v="11549169-MY-AK"/>
    <n v="714520"/>
    <n v="36"/>
    <n v="660"/>
    <n v="23760"/>
    <n v="292"/>
    <s v="Yes"/>
    <m/>
    <s v="Yes"/>
    <m/>
    <s v="Yes"/>
    <m/>
    <s v="Yes"/>
    <m/>
    <s v="N/A"/>
    <m/>
    <s v="Yes"/>
    <m/>
    <s v="Yes"/>
    <m/>
    <s v="New"/>
    <s v="infasco"/>
    <n v="106.94"/>
    <n v="106.94"/>
  </r>
  <r>
    <x v="9"/>
    <x v="5"/>
    <s v="11549169-MY-AK"/>
    <n v="714518"/>
    <n v="36"/>
    <n v="660"/>
    <n v="23760"/>
    <n v="292"/>
    <s v="Yes"/>
    <m/>
    <s v="Yes"/>
    <m/>
    <s v="Yes"/>
    <m/>
    <s v="Yes"/>
    <m/>
    <s v="N/A"/>
    <m/>
    <s v="Yes"/>
    <m/>
    <s v="Yes"/>
    <m/>
    <s v="New"/>
    <s v="infasco"/>
    <n v="106.94"/>
    <n v="106.94"/>
  </r>
  <r>
    <x v="9"/>
    <x v="5"/>
    <n v="11546463"/>
    <n v="716594"/>
    <n v="10"/>
    <n v="450"/>
    <n v="4500"/>
    <n v="292"/>
    <s v="Yes"/>
    <m/>
    <s v="Yes"/>
    <m/>
    <s v="Yes"/>
    <m/>
    <s v="Yes"/>
    <m/>
    <s v="N/A"/>
    <m/>
    <s v="Yes"/>
    <m/>
    <s v="Yes"/>
    <m/>
    <s v="Re-certified"/>
    <s v="infasco"/>
    <n v="0"/>
    <n v="0"/>
  </r>
  <r>
    <x v="9"/>
    <x v="2"/>
    <n v="11549168"/>
    <n v="713690"/>
    <n v="11"/>
    <n v="1000"/>
    <n v="11000"/>
    <n v="292"/>
    <s v="Yes"/>
    <m/>
    <s v="Yes"/>
    <m/>
    <s v="Yes"/>
    <m/>
    <s v="Yes"/>
    <m/>
    <s v="N/A"/>
    <m/>
    <s v="Yes"/>
    <m/>
    <s v="Yes"/>
    <m/>
    <s v="New"/>
    <s v="infasco"/>
    <n v="106.94"/>
    <n v="106.94"/>
  </r>
  <r>
    <x v="9"/>
    <x v="2"/>
    <n v="11549168"/>
    <n v="714306"/>
    <n v="10"/>
    <n v="1000"/>
    <n v="10000"/>
    <n v="292"/>
    <s v="Yes"/>
    <m/>
    <s v="Yes"/>
    <m/>
    <s v="Yes"/>
    <m/>
    <s v="Yes"/>
    <m/>
    <s v="N/A"/>
    <m/>
    <s v="Yes"/>
    <m/>
    <s v="Yes"/>
    <m/>
    <s v="Re-certified"/>
    <s v="infasco"/>
    <n v="0"/>
    <n v="0"/>
  </r>
  <r>
    <x v="9"/>
    <x v="0"/>
    <s v="06101968-A"/>
    <n v="716081"/>
    <n v="16"/>
    <n v="2200"/>
    <n v="35200"/>
    <n v="292"/>
    <s v="Yes"/>
    <m/>
    <s v="Yes"/>
    <m/>
    <s v="Yes"/>
    <m/>
    <s v="Yes"/>
    <m/>
    <s v="N/A"/>
    <m/>
    <s v="Yes"/>
    <m/>
    <s v="Yes"/>
    <m/>
    <s v="New"/>
    <s v="infasco"/>
    <n v="106.94"/>
    <n v="106.94"/>
  </r>
  <r>
    <x v="9"/>
    <x v="0"/>
    <s v="06101968-A"/>
    <n v="715606"/>
    <n v="2"/>
    <n v="2200"/>
    <n v="4400"/>
    <n v="292"/>
    <s v="Yes"/>
    <m/>
    <s v="Yes"/>
    <m/>
    <s v="Yes"/>
    <m/>
    <s v="Yes"/>
    <m/>
    <s v="N/A"/>
    <m/>
    <s v="Yes"/>
    <m/>
    <s v="Yes"/>
    <m/>
    <s v="Re-certified"/>
    <s v="infasco"/>
    <n v="0"/>
    <n v="0"/>
  </r>
  <r>
    <x v="9"/>
    <x v="1"/>
    <s v="W711468-S437"/>
    <n v="713268"/>
    <n v="9"/>
    <n v="1600"/>
    <n v="14400"/>
    <n v="292"/>
    <s v="Yes"/>
    <m/>
    <s v="Yes"/>
    <m/>
    <s v="Yes"/>
    <m/>
    <s v="Yes"/>
    <m/>
    <s v="N/A"/>
    <m/>
    <s v="Yes"/>
    <m/>
    <s v="Yes"/>
    <m/>
    <s v="New"/>
    <s v="infasco"/>
    <n v="106.94"/>
    <n v="106.94"/>
  </r>
  <r>
    <x v="9"/>
    <x v="1"/>
    <n v="11546377"/>
    <n v="716616"/>
    <n v="4"/>
    <n v="2150"/>
    <n v="8600"/>
    <n v="292"/>
    <s v="Yes"/>
    <m/>
    <s v="Yes"/>
    <m/>
    <s v="Yes"/>
    <m/>
    <s v="Yes"/>
    <m/>
    <s v="N/A"/>
    <m/>
    <s v="Yes"/>
    <m/>
    <s v="Yes"/>
    <m/>
    <s v="Re-certified"/>
    <s v="infasco"/>
    <n v="0"/>
    <n v="0"/>
  </r>
  <r>
    <x v="9"/>
    <x v="19"/>
    <s v="11549168-CA-IN"/>
    <n v="712288"/>
    <n v="36"/>
    <n v="1000"/>
    <n v="36000"/>
    <n v="272"/>
    <s v="Yes"/>
    <m/>
    <s v="Yes"/>
    <m/>
    <s v="Yes"/>
    <m/>
    <s v="Yes"/>
    <m/>
    <s v="N/A"/>
    <m/>
    <s v="Yes"/>
    <m/>
    <s v="Yes"/>
    <m/>
    <s v="New"/>
    <s v="infasco"/>
    <n v="213.88"/>
    <n v="213.88"/>
  </r>
  <r>
    <x v="9"/>
    <x v="19"/>
    <s v="11549168-CA-IN"/>
    <n v="712370"/>
    <n v="30"/>
    <n v="1000"/>
    <n v="30000"/>
    <n v="272"/>
    <s v="Yes"/>
    <m/>
    <s v="Yes"/>
    <m/>
    <s v="Yes"/>
    <m/>
    <s v="Yes"/>
    <m/>
    <s v="N/A"/>
    <m/>
    <s v="Yes"/>
    <m/>
    <s v="Yes"/>
    <m/>
    <s v="Re-certified"/>
    <s v="infasco"/>
    <n v="0"/>
    <n v="0"/>
  </r>
  <r>
    <x v="9"/>
    <x v="20"/>
    <n v="11549168"/>
    <n v="713687"/>
    <n v="48"/>
    <n v="1000"/>
    <n v="48000"/>
    <n v="280"/>
    <s v="Yes"/>
    <m/>
    <s v="Yes"/>
    <m/>
    <s v="Yes"/>
    <m/>
    <s v="Yes"/>
    <m/>
    <s v="N/A"/>
    <m/>
    <s v="Yes"/>
    <m/>
    <s v="Yes"/>
    <m/>
    <s v="New"/>
    <s v="infasco"/>
    <n v="106.94"/>
    <n v="106.94"/>
  </r>
  <r>
    <x v="9"/>
    <x v="25"/>
    <n v="11546449"/>
    <n v="716281"/>
    <n v="25"/>
    <n v="2500"/>
    <n v="62500"/>
    <n v="280"/>
    <s v="Yes"/>
    <m/>
    <s v="Yes"/>
    <m/>
    <s v="Yes"/>
    <m/>
    <s v="Yes"/>
    <m/>
    <s v="N/A"/>
    <m/>
    <s v="Yes"/>
    <m/>
    <s v="Yes"/>
    <m/>
    <s v="Re-certified"/>
    <s v="infasco"/>
    <n v="0"/>
    <n v="0"/>
  </r>
  <r>
    <x v="9"/>
    <x v="24"/>
    <n v="11546545"/>
    <n v="716269"/>
    <n v="18"/>
    <n v="2500"/>
    <n v="45000"/>
    <n v="280"/>
    <s v="Yes"/>
    <m/>
    <s v="Yes"/>
    <m/>
    <s v="Yes"/>
    <m/>
    <s v="Yes"/>
    <m/>
    <s v="N/A"/>
    <m/>
    <s v="Yes"/>
    <m/>
    <s v="Yes"/>
    <m/>
    <s v="New"/>
    <s v="infasco"/>
    <n v="106.94"/>
    <n v="106.94"/>
  </r>
  <r>
    <x v="9"/>
    <x v="24"/>
    <s v="W520113-S440"/>
    <n v="714527"/>
    <n v="12"/>
    <n v="1050"/>
    <n v="12600"/>
    <n v="280"/>
    <s v="Yes"/>
    <m/>
    <s v="Yes"/>
    <m/>
    <s v="Yes"/>
    <m/>
    <s v="Yes"/>
    <m/>
    <s v="N/A"/>
    <m/>
    <s v="Yes"/>
    <m/>
    <s v="Yes"/>
    <m/>
    <s v="Re-certified"/>
    <s v="infasco"/>
    <n v="0"/>
    <n v="0"/>
  </r>
  <r>
    <x v="9"/>
    <x v="21"/>
    <n v="11546449"/>
    <n v="716280"/>
    <n v="36"/>
    <n v="2500"/>
    <n v="90000"/>
    <n v="280"/>
    <s v="Yes"/>
    <m/>
    <s v="Yes"/>
    <m/>
    <s v="Yes"/>
    <m/>
    <s v="Yes"/>
    <m/>
    <s v="N/A"/>
    <m/>
    <s v="Yes"/>
    <m/>
    <s v="Yes"/>
    <m/>
    <s v="New"/>
    <s v="infasco"/>
    <n v="106.94"/>
    <n v="106.94"/>
  </r>
  <r>
    <x v="9"/>
    <x v="21"/>
    <n v="11546449"/>
    <n v="716287"/>
    <n v="36"/>
    <n v="2500"/>
    <n v="90000"/>
    <n v="280"/>
    <s v="Yes"/>
    <m/>
    <s v="Yes"/>
    <m/>
    <s v="Yes"/>
    <m/>
    <s v="Yes"/>
    <m/>
    <s v="N/A"/>
    <m/>
    <s v="Yes"/>
    <m/>
    <s v="Yes"/>
    <m/>
    <s v="New"/>
    <s v="infasco"/>
    <n v="106.94"/>
    <n v="106.94"/>
  </r>
  <r>
    <x v="9"/>
    <x v="21"/>
    <n v="11546449"/>
    <n v="716283"/>
    <n v="8"/>
    <n v="2500"/>
    <n v="20000"/>
    <n v="280"/>
    <s v="Yes"/>
    <m/>
    <s v="Yes"/>
    <m/>
    <s v="Yes"/>
    <m/>
    <s v="Yes"/>
    <m/>
    <s v="N/A"/>
    <m/>
    <s v="Yes"/>
    <m/>
    <s v="Yes"/>
    <m/>
    <s v="Re-certified"/>
    <s v="infasco"/>
    <n v="0"/>
    <n v="0"/>
  </r>
  <r>
    <x v="9"/>
    <x v="14"/>
    <n v="11612078"/>
    <n v="710173"/>
    <n v="9"/>
    <n v="1850"/>
    <n v="16650"/>
    <n v="4"/>
    <s v="Yes"/>
    <m/>
    <s v="Yes"/>
    <m/>
    <s v="Yes"/>
    <m/>
    <s v="Yes"/>
    <m/>
    <s v="N/A"/>
    <m/>
    <s v="Yes"/>
    <m/>
    <s v="Yes"/>
    <m/>
    <s v="Re-certified"/>
    <s v="infasco"/>
    <n v="0"/>
    <n v="0"/>
  </r>
  <r>
    <x v="9"/>
    <x v="15"/>
    <n v="11546449"/>
    <n v="715756"/>
    <n v="23"/>
    <n v="2500"/>
    <n v="57500"/>
    <s v="157+245"/>
    <s v="Yes"/>
    <m/>
    <s v="Yes"/>
    <m/>
    <s v="Yes"/>
    <m/>
    <s v="Yes"/>
    <m/>
    <s v="N/A"/>
    <m/>
    <s v="Yes"/>
    <m/>
    <s v="Yes"/>
    <m/>
    <s v="New"/>
    <s v="infasco"/>
    <n v="106.94"/>
    <n v="106.94"/>
  </r>
  <r>
    <x v="9"/>
    <x v="15"/>
    <s v="06105049AA"/>
    <n v="716097"/>
    <n v="34"/>
    <n v="800"/>
    <n v="27200"/>
    <s v="157+245"/>
    <s v="Yes"/>
    <m/>
    <s v="Yes"/>
    <m/>
    <s v="Yes"/>
    <m/>
    <s v="Yes"/>
    <m/>
    <s v="N/A"/>
    <m/>
    <s v="Yes"/>
    <m/>
    <s v="Yes"/>
    <m/>
    <s v="New"/>
    <s v="infasco"/>
    <n v="280.16000000000003"/>
    <n v="280.16000000000003"/>
  </r>
  <r>
    <x v="9"/>
    <x v="15"/>
    <n v="11546449"/>
    <n v="715755"/>
    <n v="37"/>
    <n v="2500"/>
    <n v="92500"/>
    <s v="157+245"/>
    <s v="Yes"/>
    <m/>
    <s v="Yes"/>
    <m/>
    <s v="Yes"/>
    <m/>
    <s v="Yes"/>
    <m/>
    <s v="N/A"/>
    <m/>
    <s v="Yes"/>
    <m/>
    <s v="Yes"/>
    <m/>
    <s v="New"/>
    <s v="infasco"/>
    <n v="106.94"/>
    <n v="106.94"/>
  </r>
  <r>
    <x v="9"/>
    <x v="15"/>
    <n v="11547059"/>
    <n v="714713"/>
    <n v="48"/>
    <n v="550"/>
    <n v="26400"/>
    <s v="157+245"/>
    <s v="Yes"/>
    <m/>
    <s v="Yes"/>
    <m/>
    <s v="Yes"/>
    <m/>
    <s v="Yes"/>
    <m/>
    <s v="N/A"/>
    <m/>
    <s v="Yes"/>
    <m/>
    <s v="Yes"/>
    <m/>
    <s v="New"/>
    <s v="infasco"/>
    <n v="135.07999999999998"/>
    <n v="135.07999999999998"/>
  </r>
  <r>
    <x v="9"/>
    <x v="15"/>
    <n v="11547059"/>
    <n v="714711"/>
    <n v="34"/>
    <n v="550"/>
    <n v="18700"/>
    <s v="157+245"/>
    <s v="Yes"/>
    <m/>
    <s v="Yes"/>
    <m/>
    <s v="Yes"/>
    <m/>
    <s v="Yes"/>
    <m/>
    <s v="N/A"/>
    <m/>
    <s v="Yes"/>
    <m/>
    <s v="Yes"/>
    <m/>
    <s v="New"/>
    <s v="infasco"/>
    <n v="135.07999999999998"/>
    <n v="135.07999999999998"/>
  </r>
  <r>
    <x v="9"/>
    <x v="15"/>
    <s v="11546370-MY-AK"/>
    <n v="714684"/>
    <n v="33"/>
    <n v="220"/>
    <n v="7260"/>
    <s v="157+245"/>
    <s v="Yes"/>
    <m/>
    <s v="Yes"/>
    <m/>
    <s v="Yes"/>
    <m/>
    <s v="Yes"/>
    <m/>
    <s v="N/A"/>
    <m/>
    <s v="Yes"/>
    <m/>
    <s v="Yes"/>
    <m/>
    <s v="New"/>
    <s v="infasco"/>
    <n v="106.94"/>
    <n v="106.94"/>
  </r>
  <r>
    <x v="9"/>
    <x v="15"/>
    <n v="82246"/>
    <n v="716665"/>
    <n v="27"/>
    <n v="250"/>
    <n v="6750"/>
    <s v="157+245"/>
    <s v="Yes"/>
    <m/>
    <s v="Yes"/>
    <m/>
    <s v="Yes"/>
    <m/>
    <s v="Yes"/>
    <m/>
    <s v="N/A"/>
    <m/>
    <s v="Yes"/>
    <m/>
    <s v="Yes"/>
    <m/>
    <s v="New"/>
    <s v="infasco"/>
    <n v="280.15999999999997"/>
    <n v="280.15999999999997"/>
  </r>
  <r>
    <x v="9"/>
    <x v="15"/>
    <s v="11549168-CA-IN"/>
    <n v="708736"/>
    <n v="2"/>
    <n v="1000"/>
    <n v="2000"/>
    <s v="157+245"/>
    <s v="Yes"/>
    <m/>
    <s v="Yes"/>
    <m/>
    <s v="Yes"/>
    <m/>
    <s v="Yes"/>
    <m/>
    <s v="N/A"/>
    <m/>
    <s v="Yes"/>
    <m/>
    <s v="Yes"/>
    <m/>
    <s v="Re-certified"/>
    <s v="infasco"/>
    <n v="0"/>
    <n v="0"/>
  </r>
  <r>
    <x v="9"/>
    <x v="16"/>
    <s v="11546368-IN-PN"/>
    <n v="713232"/>
    <n v="36"/>
    <n v="450"/>
    <n v="16200"/>
    <s v="285+391"/>
    <s v="Yes"/>
    <m/>
    <s v="Yes"/>
    <m/>
    <s v="Yes"/>
    <m/>
    <s v="Yes"/>
    <m/>
    <s v="N/A"/>
    <m/>
    <s v="Yes"/>
    <m/>
    <s v="Yes"/>
    <m/>
    <s v="New"/>
    <s v="infasco"/>
    <n v="106.94"/>
    <n v="106.94"/>
  </r>
  <r>
    <x v="9"/>
    <x v="16"/>
    <s v="11546370-MY-AK"/>
    <n v="714689"/>
    <n v="36"/>
    <n v="220"/>
    <n v="7920"/>
    <s v="285+391"/>
    <s v="Yes"/>
    <m/>
    <s v="Yes"/>
    <m/>
    <s v="Yes"/>
    <m/>
    <s v="Yes"/>
    <m/>
    <s v="N/A"/>
    <m/>
    <s v="Yes"/>
    <m/>
    <s v="Yes"/>
    <m/>
    <s v="New"/>
    <s v="infasco"/>
    <n v="106.94"/>
    <n v="106.94"/>
  </r>
  <r>
    <x v="9"/>
    <x v="16"/>
    <s v="11546370-MY-AK"/>
    <n v="714685"/>
    <n v="21"/>
    <n v="220"/>
    <n v="4620"/>
    <s v="285+391"/>
    <s v="Yes"/>
    <m/>
    <s v="Yes"/>
    <m/>
    <s v="Yes"/>
    <m/>
    <s v="Yes"/>
    <m/>
    <s v="N/A"/>
    <m/>
    <s v="Yes"/>
    <m/>
    <s v="Yes"/>
    <m/>
    <s v="New"/>
    <s v="infasco"/>
    <n v="106.94"/>
    <n v="106.94"/>
  </r>
  <r>
    <x v="9"/>
    <x v="16"/>
    <n v="82246"/>
    <n v="716668"/>
    <n v="29"/>
    <n v="250"/>
    <n v="7250"/>
    <s v="285+391"/>
    <s v="Yes"/>
    <m/>
    <s v="Yes"/>
    <m/>
    <s v="Yes"/>
    <m/>
    <s v="Yes"/>
    <m/>
    <s v="N/A"/>
    <m/>
    <s v="Yes"/>
    <m/>
    <s v="Yes"/>
    <m/>
    <s v="New"/>
    <s v="infasco"/>
    <n v="280.15999999999997"/>
    <n v="280.15999999999997"/>
  </r>
  <r>
    <x v="9"/>
    <x v="16"/>
    <s v="1K2GZ0-00"/>
    <n v="715799"/>
    <n v="6"/>
    <n v="4500"/>
    <n v="27000"/>
    <s v="285+391"/>
    <s v="Yes"/>
    <m/>
    <s v="Yes"/>
    <m/>
    <s v="Yes"/>
    <m/>
    <s v="Yes"/>
    <m/>
    <s v="N/A"/>
    <m/>
    <s v="Yes"/>
    <m/>
    <s v="Yes"/>
    <m/>
    <s v="New"/>
    <s v="infasco"/>
    <n v="106.94"/>
    <n v="106.94"/>
  </r>
  <r>
    <x v="9"/>
    <x v="16"/>
    <s v="06105049AA"/>
    <n v="716096"/>
    <n v="26"/>
    <n v="800"/>
    <n v="20800"/>
    <s v="285+391"/>
    <s v="Yes"/>
    <m/>
    <s v="Yes"/>
    <m/>
    <s v="Yes"/>
    <m/>
    <s v="Yes"/>
    <m/>
    <s v="N/A"/>
    <m/>
    <s v="Yes"/>
    <m/>
    <s v="Yes"/>
    <m/>
    <s v="New"/>
    <s v="infasco"/>
    <n v="280.16000000000003"/>
    <n v="280.16000000000003"/>
  </r>
  <r>
    <x v="9"/>
    <x v="16"/>
    <s v="NU3516-00-B"/>
    <n v="713790"/>
    <n v="1"/>
    <n v="11000"/>
    <n v="11000"/>
    <s v="285+391"/>
    <s v="Yes"/>
    <m/>
    <s v="Yes"/>
    <m/>
    <s v="Yes"/>
    <m/>
    <s v="Yes"/>
    <m/>
    <s v="N/A"/>
    <m/>
    <s v="Yes"/>
    <m/>
    <s v="Yes"/>
    <m/>
    <s v="New"/>
    <e v="#N/A"/>
    <e v="#N/A"/>
    <e v="#N/A"/>
  </r>
  <r>
    <x v="9"/>
    <x v="16"/>
    <s v="NU3516-00-B"/>
    <n v="713306"/>
    <n v="1"/>
    <n v="11000"/>
    <n v="11000"/>
    <s v="285+391"/>
    <s v="Yes"/>
    <m/>
    <s v="Yes"/>
    <m/>
    <s v="Yes"/>
    <m/>
    <s v="Yes"/>
    <m/>
    <s v="N/A"/>
    <m/>
    <s v="Yes"/>
    <m/>
    <s v="Yes"/>
    <m/>
    <s v="New"/>
    <e v="#N/A"/>
    <e v="#N/A"/>
    <e v="#N/A"/>
  </r>
  <r>
    <x v="9"/>
    <x v="16"/>
    <n v="11610126"/>
    <n v="715789"/>
    <n v="30"/>
    <n v="1200"/>
    <n v="36000"/>
    <s v="285+391"/>
    <s v="Yes"/>
    <m/>
    <s v="Yes"/>
    <m/>
    <s v="Yes"/>
    <m/>
    <s v="Yes"/>
    <m/>
    <s v="N/A"/>
    <m/>
    <s v="Yes"/>
    <m/>
    <s v="Yes"/>
    <m/>
    <s v="New"/>
    <s v="infasco"/>
    <n v="106.94"/>
    <n v="106.94"/>
  </r>
  <r>
    <x v="9"/>
    <x v="17"/>
    <s v="06105049AA"/>
    <n v="716099"/>
    <n v="14"/>
    <n v="800"/>
    <n v="11200"/>
    <s v="190+268"/>
    <s v="Yes"/>
    <m/>
    <s v="Yes"/>
    <m/>
    <s v="Yes"/>
    <m/>
    <s v="Yes"/>
    <m/>
    <s v="N/A"/>
    <m/>
    <s v="Yes"/>
    <m/>
    <s v="Yes"/>
    <m/>
    <m/>
    <s v="infasco"/>
    <n v="280.16000000000003"/>
    <n v="280.16000000000003"/>
  </r>
  <r>
    <x v="9"/>
    <x v="17"/>
    <s v="NU3516-00-B"/>
    <n v="713305"/>
    <n v="1"/>
    <n v="11000"/>
    <n v="11000"/>
    <s v="190+268"/>
    <s v="Yes"/>
    <m/>
    <s v="Yes"/>
    <m/>
    <s v="Yes"/>
    <m/>
    <s v="Yes"/>
    <m/>
    <s v="N/A"/>
    <m/>
    <s v="Yes"/>
    <m/>
    <s v="Yes"/>
    <m/>
    <s v="New"/>
    <e v="#N/A"/>
    <e v="#N/A"/>
    <e v="#N/A"/>
  </r>
  <r>
    <x v="9"/>
    <x v="17"/>
    <s v="NU3516-00-B"/>
    <n v="713309"/>
    <n v="1"/>
    <n v="16820"/>
    <n v="16820"/>
    <s v="190+268"/>
    <s v="Yes"/>
    <m/>
    <s v="Yes"/>
    <m/>
    <s v="Yes"/>
    <m/>
    <s v="Yes"/>
    <m/>
    <s v="N/A"/>
    <m/>
    <s v="Yes"/>
    <m/>
    <s v="Yes"/>
    <m/>
    <s v="New"/>
    <e v="#N/A"/>
    <e v="#N/A"/>
    <e v="#N/A"/>
  </r>
  <r>
    <x v="9"/>
    <x v="17"/>
    <s v="W715851-S450"/>
    <n v="715801"/>
    <n v="36"/>
    <n v="1900"/>
    <n v="68400"/>
    <s v="190+268"/>
    <s v="Yes"/>
    <m/>
    <s v="Yes"/>
    <m/>
    <s v="Yes"/>
    <m/>
    <s v="Yes"/>
    <m/>
    <s v="N/A"/>
    <m/>
    <s v="Yes"/>
    <m/>
    <s v="Yes"/>
    <m/>
    <s v="New"/>
    <s v="infasco"/>
    <n v="106.94"/>
    <n v="106.94"/>
  </r>
  <r>
    <x v="9"/>
    <x v="17"/>
    <n v="11546449"/>
    <n v="715753"/>
    <n v="37"/>
    <n v="2500"/>
    <n v="92500"/>
    <s v="190+268"/>
    <s v="Yes"/>
    <m/>
    <s v="Yes"/>
    <m/>
    <s v="Yes"/>
    <m/>
    <s v="Yes"/>
    <m/>
    <s v="N/A"/>
    <m/>
    <s v="Yes"/>
    <m/>
    <s v="Yes"/>
    <m/>
    <s v="New"/>
    <s v="infasco"/>
    <n v="106.94"/>
    <n v="106.94"/>
  </r>
  <r>
    <x v="9"/>
    <x v="17"/>
    <s v="11546370-MY-AK"/>
    <n v="714682"/>
    <n v="36"/>
    <n v="220"/>
    <n v="7920"/>
    <s v="190+268"/>
    <s v="Yes"/>
    <m/>
    <s v="Yes"/>
    <m/>
    <s v="Yes"/>
    <m/>
    <s v="Yes"/>
    <m/>
    <s v="N/A"/>
    <m/>
    <s v="Yes"/>
    <m/>
    <s v="Yes"/>
    <m/>
    <s v="New"/>
    <s v="infasco"/>
    <n v="106.94"/>
    <n v="106.94"/>
  </r>
  <r>
    <x v="9"/>
    <x v="17"/>
    <s v="11546370-MY-AK"/>
    <n v="714688"/>
    <n v="36"/>
    <n v="220"/>
    <n v="7920"/>
    <s v="190+268"/>
    <s v="Yes"/>
    <m/>
    <s v="Yes"/>
    <m/>
    <s v="Yes"/>
    <m/>
    <s v="Yes"/>
    <m/>
    <s v="N/A"/>
    <m/>
    <s v="Yes"/>
    <m/>
    <s v="Yes"/>
    <m/>
    <s v="New"/>
    <s v="infasco"/>
    <n v="106.94"/>
    <n v="106.94"/>
  </r>
  <r>
    <x v="9"/>
    <x v="17"/>
    <s v="11546370-MY-AK"/>
    <n v="714687"/>
    <n v="28"/>
    <n v="220"/>
    <n v="6160"/>
    <s v="190+268"/>
    <s v="Yes"/>
    <m/>
    <s v="Yes"/>
    <m/>
    <s v="Yes"/>
    <m/>
    <s v="Yes"/>
    <m/>
    <s v="N/A"/>
    <m/>
    <s v="Yes"/>
    <m/>
    <s v="Yes"/>
    <m/>
    <s v="New"/>
    <s v="infasco"/>
    <n v="106.94"/>
    <n v="106.94"/>
  </r>
  <r>
    <x v="9"/>
    <x v="17"/>
    <n v="82246"/>
    <n v="716666"/>
    <n v="31"/>
    <n v="250"/>
    <n v="7750"/>
    <s v="190+268"/>
    <s v="Yes"/>
    <m/>
    <s v="Yes"/>
    <m/>
    <s v="Yes"/>
    <m/>
    <s v="Yes"/>
    <m/>
    <s v="N/A"/>
    <m/>
    <s v="Yes"/>
    <m/>
    <s v="Yes"/>
    <m/>
    <s v="New"/>
    <s v="infasco"/>
    <n v="280.15999999999997"/>
    <n v="280.15999999999997"/>
  </r>
  <r>
    <x v="9"/>
    <x v="32"/>
    <n v="11609746"/>
    <n v="714016"/>
    <n v="29"/>
    <n v="2200"/>
    <n v="63800"/>
    <s v="294+252"/>
    <s v="Yes"/>
    <m/>
    <s v="Yes"/>
    <m/>
    <s v="Yes"/>
    <m/>
    <s v="Yes"/>
    <m/>
    <s v="N/A"/>
    <m/>
    <s v="Yes"/>
    <m/>
    <s v="Yes"/>
    <m/>
    <s v="New"/>
    <s v="infasco"/>
    <n v="106.94"/>
    <n v="106.94"/>
  </r>
  <r>
    <x v="9"/>
    <x v="32"/>
    <s v="11546368-IN-PN"/>
    <n v="713236"/>
    <n v="43"/>
    <n v="450"/>
    <n v="19350"/>
    <s v="294+252"/>
    <s v="Yes"/>
    <m/>
    <s v="Yes"/>
    <m/>
    <s v="Yes"/>
    <m/>
    <s v="Yes"/>
    <m/>
    <s v="N/A"/>
    <m/>
    <s v="Yes"/>
    <m/>
    <s v="Yes"/>
    <m/>
    <s v="New"/>
    <s v="infasco"/>
    <n v="106.94"/>
    <n v="106.94"/>
  </r>
  <r>
    <x v="9"/>
    <x v="32"/>
    <n v="11610126"/>
    <n v="715788"/>
    <n v="27"/>
    <n v="1200"/>
    <n v="32400"/>
    <s v="294+252"/>
    <s v="Yes"/>
    <m/>
    <s v="Yes"/>
    <m/>
    <s v="Yes"/>
    <m/>
    <s v="Yes"/>
    <m/>
    <s v="N/A"/>
    <m/>
    <s v="Yes"/>
    <m/>
    <s v="Yes"/>
    <m/>
    <s v="New"/>
    <s v="infasco"/>
    <n v="106.94"/>
    <n v="106.94"/>
  </r>
  <r>
    <x v="9"/>
    <x v="32"/>
    <s v="11546368-IN-PN"/>
    <n v="713240"/>
    <n v="41"/>
    <n v="450"/>
    <n v="18450"/>
    <s v="294+252"/>
    <s v="Yes"/>
    <m/>
    <s v="Yes"/>
    <m/>
    <s v="Yes"/>
    <m/>
    <s v="Yes"/>
    <m/>
    <s v="N/A"/>
    <m/>
    <s v="Yes"/>
    <m/>
    <s v="Yes"/>
    <m/>
    <s v="New"/>
    <s v="infasco"/>
    <n v="106.94"/>
    <n v="106.94"/>
  </r>
  <r>
    <x v="9"/>
    <x v="32"/>
    <n v="11546566"/>
    <n v="715791"/>
    <n v="27"/>
    <n v="1800"/>
    <n v="48600"/>
    <s v="294+252"/>
    <s v="Yes"/>
    <m/>
    <s v="Yes"/>
    <m/>
    <s v="Yes"/>
    <m/>
    <s v="Yes"/>
    <m/>
    <s v="N/A"/>
    <m/>
    <s v="Yes"/>
    <m/>
    <s v="Yes"/>
    <m/>
    <s v="New"/>
    <s v="infasco"/>
    <n v="135.07999999999998"/>
    <n v="135.07999999999998"/>
  </r>
  <r>
    <x v="9"/>
    <x v="32"/>
    <s v="11546370-MY-AK"/>
    <n v="714681"/>
    <n v="35"/>
    <n v="220"/>
    <n v="7700"/>
    <s v="294+252"/>
    <s v="Yes"/>
    <m/>
    <s v="Yes"/>
    <m/>
    <s v="Yes"/>
    <m/>
    <s v="Yes"/>
    <m/>
    <s v="N/A"/>
    <m/>
    <s v="Yes"/>
    <m/>
    <s v="Yes"/>
    <m/>
    <s v="New"/>
    <s v="infasco"/>
    <n v="106.94"/>
    <n v="106.94"/>
  </r>
  <r>
    <x v="9"/>
    <x v="32"/>
    <n v="82246"/>
    <n v="716667"/>
    <n v="31"/>
    <n v="250"/>
    <n v="7750"/>
    <s v="294+252"/>
    <s v="Yes"/>
    <m/>
    <s v="Yes"/>
    <m/>
    <s v="Yes"/>
    <m/>
    <s v="Yes"/>
    <m/>
    <s v="N/A"/>
    <m/>
    <s v="Yes"/>
    <m/>
    <s v="Yes"/>
    <m/>
    <s v="New"/>
    <s v="infasco"/>
    <n v="280.15999999999997"/>
    <n v="280.15999999999997"/>
  </r>
  <r>
    <x v="9"/>
    <x v="13"/>
    <n v="11546449"/>
    <n v="715754"/>
    <n v="7"/>
    <n v="2500"/>
    <n v="17500"/>
    <s v="011+293"/>
    <s v="Yes"/>
    <m/>
    <s v="Yes"/>
    <m/>
    <s v="Yes"/>
    <m/>
    <s v="Yes"/>
    <m/>
    <s v="N/A"/>
    <m/>
    <s v="Yes"/>
    <m/>
    <s v="Yes"/>
    <m/>
    <s v="New"/>
    <s v="infasco"/>
    <n v="106.94"/>
    <n v="106.94"/>
  </r>
  <r>
    <x v="9"/>
    <x v="13"/>
    <s v="NU3516-00-B"/>
    <n v="713310"/>
    <n v="1"/>
    <n v="15695"/>
    <n v="15695"/>
    <s v="011+293"/>
    <s v="Yes"/>
    <m/>
    <s v="Yes"/>
    <m/>
    <s v="Yes"/>
    <m/>
    <s v="Yes"/>
    <m/>
    <s v="N/A"/>
    <m/>
    <s v="Yes"/>
    <m/>
    <s v="Yes"/>
    <m/>
    <s v="New"/>
    <e v="#N/A"/>
    <e v="#N/A"/>
    <e v="#N/A"/>
  </r>
  <r>
    <x v="9"/>
    <x v="13"/>
    <s v="NU3516-00-B"/>
    <n v="713304"/>
    <n v="1"/>
    <n v="11000"/>
    <n v="11000"/>
    <s v="011+293"/>
    <s v="Yes"/>
    <m/>
    <s v="Yes"/>
    <m/>
    <s v="Yes"/>
    <m/>
    <s v="Yes"/>
    <m/>
    <s v="N/A"/>
    <m/>
    <s v="Yes"/>
    <m/>
    <s v="Yes"/>
    <m/>
    <s v="New"/>
    <e v="#N/A"/>
    <e v="#N/A"/>
    <e v="#N/A"/>
  </r>
  <r>
    <x v="9"/>
    <x v="13"/>
    <s v="NU3516-00-B"/>
    <n v="713311"/>
    <n v="1"/>
    <n v="11000"/>
    <n v="11000"/>
    <s v="011+293"/>
    <s v="Yes"/>
    <m/>
    <s v="Yes"/>
    <m/>
    <s v="Yes"/>
    <m/>
    <s v="Yes"/>
    <m/>
    <s v="N/A"/>
    <m/>
    <s v="Yes"/>
    <m/>
    <s v="Yes"/>
    <m/>
    <s v="New"/>
    <e v="#N/A"/>
    <e v="#N/A"/>
    <e v="#N/A"/>
  </r>
  <r>
    <x v="9"/>
    <x v="13"/>
    <s v="W715851-S450"/>
    <n v="715800"/>
    <n v="30"/>
    <n v="1900"/>
    <n v="57000"/>
    <s v="011+293"/>
    <s v="Yes"/>
    <m/>
    <s v="Yes"/>
    <m/>
    <s v="Yes"/>
    <m/>
    <s v="Yes"/>
    <m/>
    <s v="N/A"/>
    <m/>
    <s v="Yes"/>
    <m/>
    <s v="Yes"/>
    <m/>
    <s v="New"/>
    <s v="infasco"/>
    <n v="106.94"/>
    <n v="106.94"/>
  </r>
  <r>
    <x v="9"/>
    <x v="13"/>
    <n v="11547059"/>
    <n v="714710"/>
    <n v="48"/>
    <n v="550"/>
    <n v="26400"/>
    <s v="011+293"/>
    <s v="Yes"/>
    <m/>
    <s v="Yes"/>
    <m/>
    <s v="Yes"/>
    <m/>
    <s v="Yes"/>
    <m/>
    <s v="N/A"/>
    <m/>
    <s v="Yes"/>
    <m/>
    <s v="Yes"/>
    <m/>
    <s v="New"/>
    <s v="infasco"/>
    <n v="135.07999999999998"/>
    <n v="135.07999999999998"/>
  </r>
  <r>
    <x v="9"/>
    <x v="13"/>
    <n v="11547059"/>
    <n v="714712"/>
    <n v="32"/>
    <n v="550"/>
    <n v="17600"/>
    <s v="011+293"/>
    <s v="Yes"/>
    <m/>
    <s v="Yes"/>
    <m/>
    <s v="Yes"/>
    <m/>
    <s v="Yes"/>
    <m/>
    <s v="N/A"/>
    <m/>
    <s v="Yes"/>
    <m/>
    <s v="Yes"/>
    <m/>
    <s v="New"/>
    <s v="infasco"/>
    <n v="135.07999999999998"/>
    <n v="135.07999999999998"/>
  </r>
  <r>
    <x v="9"/>
    <x v="13"/>
    <s v="11546370-MY-AK"/>
    <n v="714686"/>
    <n v="36"/>
    <n v="220"/>
    <n v="7920"/>
    <s v="011+293"/>
    <s v="Yes"/>
    <m/>
    <s v="Yes"/>
    <m/>
    <s v="Yes"/>
    <m/>
    <s v="Yes"/>
    <m/>
    <s v="N/A"/>
    <m/>
    <s v="Yes"/>
    <m/>
    <s v="Yes"/>
    <m/>
    <s v="New"/>
    <s v="infasco"/>
    <n v="106.94"/>
    <n v="106.94"/>
  </r>
  <r>
    <x v="9"/>
    <x v="13"/>
    <s v="11546370-MY-AK"/>
    <n v="714683"/>
    <n v="38"/>
    <n v="220"/>
    <n v="8360"/>
    <s v="011+293"/>
    <s v="Yes"/>
    <m/>
    <s v="Yes"/>
    <m/>
    <s v="Yes"/>
    <m/>
    <s v="Yes"/>
    <m/>
    <s v="N/A"/>
    <m/>
    <s v="Yes"/>
    <m/>
    <s v="Yes"/>
    <m/>
    <s v="New"/>
    <s v="infasco"/>
    <n v="106.94"/>
    <n v="106.94"/>
  </r>
  <r>
    <x v="9"/>
    <x v="13"/>
    <s v="11549168-CA-IN"/>
    <n v="705483"/>
    <n v="2"/>
    <n v="1000"/>
    <n v="2000"/>
    <s v="011+293"/>
    <s v="Yes"/>
    <m/>
    <s v="Yes"/>
    <m/>
    <s v="Yes"/>
    <m/>
    <s v="Yes"/>
    <m/>
    <s v="N/A"/>
    <m/>
    <s v="Yes"/>
    <m/>
    <s v="Yes"/>
    <m/>
    <s v="Re-certified"/>
    <s v="infasco"/>
    <n v="0"/>
    <n v="0"/>
  </r>
  <r>
    <x v="9"/>
    <x v="33"/>
    <s v="11549168-CA-IN"/>
    <n v="710829"/>
    <n v="9"/>
    <n v="1000"/>
    <n v="9000"/>
    <n v="279"/>
    <s v="Yes"/>
    <m/>
    <s v="Yes"/>
    <m/>
    <s v="Yes"/>
    <m/>
    <s v="Yes"/>
    <m/>
    <s v="N/A"/>
    <m/>
    <s v="Yes"/>
    <m/>
    <s v="Yes"/>
    <m/>
    <s v="New"/>
    <s v="infasco"/>
    <n v="213.88"/>
    <n v="213.88"/>
  </r>
  <r>
    <x v="9"/>
    <x v="33"/>
    <s v="11546368-IN-PN"/>
    <n v="713230"/>
    <n v="36"/>
    <n v="450"/>
    <n v="16200"/>
    <n v="279"/>
    <s v="Yes"/>
    <m/>
    <s v="Yes"/>
    <m/>
    <s v="Yes"/>
    <m/>
    <s v="Yes"/>
    <m/>
    <s v="N/A"/>
    <m/>
    <s v="Yes"/>
    <m/>
    <s v="Yes"/>
    <m/>
    <s v="New"/>
    <s v="infasco"/>
    <n v="106.94"/>
    <n v="106.94"/>
  </r>
  <r>
    <x v="9"/>
    <x v="33"/>
    <s v="11546370-MY-AK"/>
    <n v="714680"/>
    <n v="30"/>
    <n v="220"/>
    <n v="6600"/>
    <n v="279"/>
    <s v="Yes"/>
    <m/>
    <s v="Yes"/>
    <m/>
    <s v="Yes"/>
    <m/>
    <s v="Yes"/>
    <m/>
    <s v="N/A"/>
    <m/>
    <s v="Yes"/>
    <m/>
    <s v="Yes"/>
    <m/>
    <s v="Re-certified"/>
    <s v="infasco"/>
    <n v="0"/>
    <n v="0"/>
  </r>
  <r>
    <x v="10"/>
    <x v="19"/>
    <s v="11549168-CA-IN"/>
    <n v="712370"/>
    <n v="6"/>
    <n v="1000"/>
    <n v="6000"/>
    <n v="272"/>
    <s v="Yes"/>
    <m/>
    <s v="Yes"/>
    <m/>
    <s v="Yes"/>
    <m/>
    <s v="Yes"/>
    <m/>
    <s v="N/A"/>
    <m/>
    <s v="Yes"/>
    <m/>
    <s v="Yes"/>
    <m/>
    <s v="New"/>
    <s v="infasco"/>
    <n v="213.88"/>
    <n v="213.88"/>
  </r>
  <r>
    <x v="10"/>
    <x v="19"/>
    <s v="11549168-CA-IN"/>
    <n v="710402"/>
    <n v="47"/>
    <n v="1000"/>
    <n v="47000"/>
    <n v="272"/>
    <s v="Yes"/>
    <m/>
    <s v="Yes"/>
    <m/>
    <s v="Yes"/>
    <m/>
    <s v="Yes"/>
    <m/>
    <s v="N/A"/>
    <m/>
    <s v="Yes"/>
    <m/>
    <s v="Yes"/>
    <m/>
    <s v="New"/>
    <s v="infasco"/>
    <n v="213.88"/>
    <n v="213.88"/>
  </r>
  <r>
    <x v="10"/>
    <x v="9"/>
    <n v="11561645"/>
    <n v="714428"/>
    <n v="29"/>
    <n v="4000"/>
    <n v="116000"/>
    <n v="275"/>
    <s v="Yes"/>
    <m/>
    <s v="Yes"/>
    <m/>
    <s v="Yes"/>
    <m/>
    <s v="Yes"/>
    <m/>
    <s v="N/A"/>
    <m/>
    <s v="Yes"/>
    <m/>
    <s v="Yes"/>
    <m/>
    <s v="New"/>
    <s v="infasco"/>
    <n v="106.94"/>
    <n v="106.94"/>
  </r>
  <r>
    <x v="10"/>
    <x v="12"/>
    <n v="11546463"/>
    <n v="716598"/>
    <n v="9"/>
    <n v="450"/>
    <n v="4050"/>
    <n v="275"/>
    <s v="Yes"/>
    <m/>
    <s v="Yes"/>
    <m/>
    <s v="Yes"/>
    <m/>
    <s v="Yes"/>
    <m/>
    <s v="N/A"/>
    <m/>
    <s v="Yes"/>
    <m/>
    <s v="Yes"/>
    <m/>
    <s v="New"/>
    <s v="infasco"/>
    <n v="106.94"/>
    <n v="106.94"/>
  </r>
  <r>
    <x v="10"/>
    <x v="12"/>
    <n v="11546463"/>
    <n v="716600"/>
    <n v="27"/>
    <n v="450"/>
    <n v="12150"/>
    <n v="275"/>
    <s v="Yes"/>
    <m/>
    <s v="Yes"/>
    <m/>
    <s v="Yes"/>
    <m/>
    <s v="Yes"/>
    <m/>
    <s v="N/A"/>
    <m/>
    <s v="Yes"/>
    <m/>
    <s v="Yes"/>
    <m/>
    <s v="New"/>
    <s v="infasco"/>
    <n v="106.94"/>
    <n v="106.94"/>
  </r>
  <r>
    <x v="10"/>
    <x v="12"/>
    <n v="11546463"/>
    <n v="716597"/>
    <n v="42"/>
    <n v="450"/>
    <n v="18900"/>
    <n v="275"/>
    <s v="Yes"/>
    <m/>
    <s v="Yes"/>
    <m/>
    <s v="Yes"/>
    <m/>
    <s v="Yes"/>
    <m/>
    <s v="N/A"/>
    <m/>
    <s v="Yes"/>
    <m/>
    <s v="Yes"/>
    <m/>
    <s v="New"/>
    <s v="infasco"/>
    <n v="106.94"/>
    <n v="106.94"/>
  </r>
  <r>
    <x v="10"/>
    <x v="12"/>
    <n v="11549170"/>
    <n v="714640"/>
    <n v="12"/>
    <n v="400"/>
    <n v="4800"/>
    <n v="275"/>
    <s v="Yes"/>
    <m/>
    <s v="Yes"/>
    <m/>
    <s v="Yes"/>
    <m/>
    <s v="Yes"/>
    <m/>
    <s v="N/A"/>
    <m/>
    <s v="Yes"/>
    <m/>
    <s v="Yes"/>
    <m/>
    <s v="Re-certified"/>
    <s v="infasco"/>
    <n v="0"/>
    <n v="0"/>
  </r>
  <r>
    <x v="10"/>
    <x v="6"/>
    <n v="11546545"/>
    <n v="716262"/>
    <n v="12"/>
    <n v="2500"/>
    <n v="30000"/>
    <n v="275"/>
    <s v="Yes"/>
    <m/>
    <s v="Yes"/>
    <m/>
    <s v="Yes"/>
    <m/>
    <s v="Yes"/>
    <m/>
    <s v="N/A"/>
    <m/>
    <s v="Yes"/>
    <m/>
    <s v="Yes"/>
    <m/>
    <s v="New"/>
    <s v="infasco"/>
    <n v="106.94"/>
    <n v="106.94"/>
  </r>
  <r>
    <x v="10"/>
    <x v="6"/>
    <s v="W520101-S450"/>
    <n v="714690"/>
    <n v="18"/>
    <n v="3000"/>
    <n v="54000"/>
    <n v="275"/>
    <s v="Yes"/>
    <m/>
    <s v="Yes"/>
    <m/>
    <s v="Yes"/>
    <m/>
    <s v="Yes"/>
    <m/>
    <s v="N/A"/>
    <m/>
    <s v="Yes"/>
    <m/>
    <s v="Yes"/>
    <m/>
    <s v="Re-certified"/>
    <s v="infasco"/>
    <n v="0"/>
    <n v="0"/>
  </r>
  <r>
    <x v="10"/>
    <x v="10"/>
    <n v="11546545"/>
    <n v="716260"/>
    <n v="18"/>
    <n v="2500"/>
    <n v="45000"/>
    <n v="275"/>
    <s v="Yes"/>
    <m/>
    <s v="Yes"/>
    <m/>
    <s v="Yes"/>
    <m/>
    <s v="Yes"/>
    <m/>
    <s v="N/A"/>
    <m/>
    <s v="Yes"/>
    <m/>
    <s v="Yes"/>
    <m/>
    <s v="New"/>
    <s v="infasco"/>
    <n v="106.94"/>
    <n v="106.94"/>
  </r>
  <r>
    <x v="10"/>
    <x v="10"/>
    <n v="11546449"/>
    <n v="716282"/>
    <n v="18"/>
    <n v="2500"/>
    <n v="45000"/>
    <n v="275"/>
    <s v="Yes"/>
    <m/>
    <s v="Yes"/>
    <m/>
    <s v="Yes"/>
    <m/>
    <s v="Yes"/>
    <m/>
    <s v="N/A"/>
    <m/>
    <s v="Yes"/>
    <m/>
    <s v="Yes"/>
    <m/>
    <s v="Re-certified"/>
    <s v="infasco"/>
    <n v="0"/>
    <n v="0"/>
  </r>
  <r>
    <x v="10"/>
    <x v="11"/>
    <n v="11546545"/>
    <n v="716265"/>
    <n v="21"/>
    <n v="2500"/>
    <n v="52500"/>
    <n v="275"/>
    <s v="Yes"/>
    <m/>
    <s v="Yes"/>
    <m/>
    <s v="Yes"/>
    <m/>
    <s v="Yes"/>
    <m/>
    <s v="N/A"/>
    <m/>
    <s v="Yes"/>
    <m/>
    <s v="Yes"/>
    <m/>
    <s v="New"/>
    <s v="infasco"/>
    <n v="106.94"/>
    <n v="106.94"/>
  </r>
  <r>
    <x v="10"/>
    <x v="11"/>
    <n v="11546449"/>
    <n v="716273"/>
    <n v="22"/>
    <n v="2500"/>
    <n v="55000"/>
    <n v="275"/>
    <s v="Yes"/>
    <m/>
    <s v="Yes"/>
    <m/>
    <s v="Yes"/>
    <m/>
    <s v="Yes"/>
    <m/>
    <s v="N/A"/>
    <m/>
    <s v="Yes"/>
    <m/>
    <s v="Yes"/>
    <m/>
    <s v="Re-certified"/>
    <s v="infasco"/>
    <n v="0"/>
    <n v="0"/>
  </r>
  <r>
    <x v="10"/>
    <x v="8"/>
    <n v="11549168"/>
    <n v="714305"/>
    <n v="32"/>
    <n v="1000"/>
    <n v="32000"/>
    <n v="275"/>
    <s v="Yes"/>
    <m/>
    <s v="Yes"/>
    <m/>
    <s v="Yes"/>
    <m/>
    <s v="Yes"/>
    <m/>
    <s v="N/A"/>
    <m/>
    <s v="Yes"/>
    <m/>
    <s v="Yes"/>
    <m/>
    <s v="New"/>
    <s v="infasco"/>
    <n v="106.94"/>
    <n v="106.94"/>
  </r>
  <r>
    <x v="10"/>
    <x v="8"/>
    <n v="11549170"/>
    <n v="715782"/>
    <n v="36"/>
    <n v="400"/>
    <n v="14400"/>
    <n v="275"/>
    <s v="Yes"/>
    <m/>
    <s v="Yes"/>
    <m/>
    <s v="Yes"/>
    <m/>
    <s v="Yes"/>
    <m/>
    <s v="N/A"/>
    <m/>
    <s v="Yes"/>
    <m/>
    <s v="Yes"/>
    <m/>
    <s v="New"/>
    <s v="infasco"/>
    <n v="106.94"/>
    <n v="106.94"/>
  </r>
  <r>
    <x v="10"/>
    <x v="7"/>
    <s v="06104388AA"/>
    <n v="715866"/>
    <n v="17"/>
    <n v="660"/>
    <n v="11220"/>
    <n v="275"/>
    <s v="Yes"/>
    <m/>
    <s v="Yes"/>
    <m/>
    <s v="Yes"/>
    <m/>
    <s v="Yes"/>
    <m/>
    <s v="N/A"/>
    <m/>
    <s v="Yes"/>
    <m/>
    <s v="Yes"/>
    <m/>
    <s v="New"/>
    <s v="infasco"/>
    <n v="135.08000000000001"/>
    <n v="135.08000000000001"/>
  </r>
  <r>
    <x v="10"/>
    <x v="7"/>
    <s v="06104388AA"/>
    <n v="715865"/>
    <n v="12"/>
    <n v="660"/>
    <n v="7920"/>
    <n v="275"/>
    <s v="Yes"/>
    <m/>
    <s v="Yes"/>
    <m/>
    <s v="Yes"/>
    <m/>
    <s v="Yes"/>
    <m/>
    <s v="N/A"/>
    <m/>
    <s v="Yes"/>
    <m/>
    <s v="Yes"/>
    <m/>
    <s v="Re-certified"/>
    <s v="infasco"/>
    <n v="0"/>
    <n v="0"/>
  </r>
  <r>
    <x v="10"/>
    <x v="29"/>
    <n v="11546545"/>
    <n v="716263"/>
    <n v="18"/>
    <n v="2500"/>
    <n v="45000"/>
    <n v="290"/>
    <s v="Yes"/>
    <m/>
    <s v="Yes"/>
    <m/>
    <s v="Yes"/>
    <m/>
    <s v="Yes"/>
    <m/>
    <s v="N/A"/>
    <m/>
    <s v="Yes"/>
    <m/>
    <s v="Yes"/>
    <m/>
    <s v="New"/>
    <s v="infasco"/>
    <n v="106.94"/>
    <n v="106.94"/>
  </r>
  <r>
    <x v="10"/>
    <x v="29"/>
    <n v="11546449"/>
    <n v="716276"/>
    <n v="17"/>
    <n v="2500"/>
    <n v="42500"/>
    <n v="290"/>
    <s v="Yes"/>
    <m/>
    <s v="Yes"/>
    <m/>
    <s v="Yes"/>
    <m/>
    <s v="Yes"/>
    <m/>
    <s v="N/A"/>
    <m/>
    <s v="Yes"/>
    <m/>
    <s v="Yes"/>
    <m/>
    <s v="New"/>
    <s v="infasco"/>
    <n v="106.94"/>
    <n v="106.94"/>
  </r>
  <r>
    <x v="10"/>
    <x v="30"/>
    <s v="11546368-MY-AK"/>
    <n v="714094"/>
    <n v="32"/>
    <n v="450"/>
    <n v="14400"/>
    <n v="290"/>
    <s v="Yes"/>
    <m/>
    <s v="Yes"/>
    <m/>
    <s v="Yes"/>
    <m/>
    <s v="Yes"/>
    <m/>
    <s v="N/A"/>
    <m/>
    <s v="Yes"/>
    <m/>
    <s v="Yes"/>
    <m/>
    <s v="New"/>
    <s v="infasco"/>
    <n v="106.94"/>
    <n v="106.94"/>
  </r>
  <r>
    <x v="10"/>
    <x v="30"/>
    <n v="11549170"/>
    <n v="715818"/>
    <n v="36"/>
    <n v="400"/>
    <n v="14400"/>
    <n v="290"/>
    <s v="Yes"/>
    <m/>
    <s v="Yes"/>
    <m/>
    <s v="Yes"/>
    <m/>
    <s v="Yes"/>
    <m/>
    <s v="N/A"/>
    <m/>
    <s v="Yes"/>
    <m/>
    <s v="Yes"/>
    <m/>
    <s v="New"/>
    <s v="infasco"/>
    <n v="106.94"/>
    <n v="106.94"/>
  </r>
  <r>
    <x v="10"/>
    <x v="30"/>
    <n v="11549170"/>
    <n v="715827"/>
    <n v="36"/>
    <n v="400"/>
    <n v="14400"/>
    <n v="290"/>
    <s v="Yes"/>
    <m/>
    <s v="Yes"/>
    <m/>
    <s v="Yes"/>
    <m/>
    <s v="Yes"/>
    <m/>
    <s v="N/A"/>
    <m/>
    <s v="Yes"/>
    <m/>
    <s v="Yes"/>
    <m/>
    <s v="New"/>
    <s v="infasco"/>
    <n v="106.94"/>
    <n v="106.94"/>
  </r>
  <r>
    <x v="10"/>
    <x v="30"/>
    <n v="11549170"/>
    <n v="714366"/>
    <n v="36"/>
    <n v="400"/>
    <n v="14400"/>
    <n v="290"/>
    <s v="Yes"/>
    <m/>
    <s v="Yes"/>
    <m/>
    <s v="Yes"/>
    <m/>
    <s v="Yes"/>
    <m/>
    <s v="N/A"/>
    <m/>
    <s v="Yes"/>
    <m/>
    <s v="Yes"/>
    <m/>
    <s v="New"/>
    <s v="infasco"/>
    <n v="106.94"/>
    <n v="106.94"/>
  </r>
  <r>
    <x v="10"/>
    <x v="28"/>
    <s v="06105048AA"/>
    <n v="716103"/>
    <n v="25"/>
    <n v="800"/>
    <n v="20000"/>
    <n v="290"/>
    <s v="Yes"/>
    <m/>
    <s v="Yes"/>
    <m/>
    <s v="Yes"/>
    <m/>
    <s v="Yes"/>
    <m/>
    <s v="N/A"/>
    <m/>
    <s v="Yes"/>
    <m/>
    <s v="Yes"/>
    <m/>
    <s v="New"/>
    <s v="infasco"/>
    <n v="280.15999999999997"/>
    <n v="280.15999999999997"/>
  </r>
  <r>
    <x v="10"/>
    <x v="28"/>
    <s v="06105048AA"/>
    <n v="716102"/>
    <n v="2"/>
    <n v="800"/>
    <n v="1600"/>
    <n v="290"/>
    <s v="Yes"/>
    <m/>
    <s v="Yes"/>
    <m/>
    <s v="Yes"/>
    <m/>
    <s v="Yes"/>
    <m/>
    <s v="N/A"/>
    <m/>
    <s v="Yes"/>
    <m/>
    <s v="Yes"/>
    <m/>
    <s v="Re-certified"/>
    <s v="infasco"/>
    <n v="0"/>
    <n v="0"/>
  </r>
  <r>
    <x v="10"/>
    <x v="27"/>
    <s v="06511847AA"/>
    <n v="716163"/>
    <n v="31"/>
    <n v="750"/>
    <n v="23250"/>
    <n v="290"/>
    <s v="Yes"/>
    <m/>
    <s v="Yes"/>
    <m/>
    <s v="Yes"/>
    <m/>
    <s v="Yes"/>
    <m/>
    <s v="N/A"/>
    <m/>
    <s v="Yes"/>
    <m/>
    <s v="Yes"/>
    <m/>
    <s v="Re-certified"/>
    <s v="infasco"/>
    <n v="0"/>
    <n v="0"/>
  </r>
  <r>
    <x v="10"/>
    <x v="26"/>
    <n v="11549170"/>
    <n v="714641"/>
    <n v="6"/>
    <n v="400"/>
    <n v="2400"/>
    <n v="290"/>
    <s v="Yes"/>
    <m/>
    <s v="Yes"/>
    <m/>
    <s v="Yes"/>
    <m/>
    <s v="Yes"/>
    <m/>
    <s v="N/A"/>
    <m/>
    <s v="Yes"/>
    <m/>
    <s v="Yes"/>
    <m/>
    <s v="Re-certified"/>
    <s v="infasco"/>
    <n v="0"/>
    <n v="0"/>
  </r>
  <r>
    <x v="10"/>
    <x v="26"/>
    <n v="11549170"/>
    <n v="714307"/>
    <n v="35"/>
    <n v="1000"/>
    <n v="35000"/>
    <n v="290"/>
    <s v="Yes"/>
    <m/>
    <s v="Yes"/>
    <m/>
    <s v="Yes"/>
    <m/>
    <s v="Yes"/>
    <m/>
    <s v="N/A"/>
    <m/>
    <s v="Yes"/>
    <m/>
    <s v="Yes"/>
    <m/>
    <s v="New"/>
    <s v="infasco"/>
    <n v="106.94"/>
    <n v="106.94"/>
  </r>
  <r>
    <x v="10"/>
    <x v="26"/>
    <n v="11549170"/>
    <n v="714372"/>
    <n v="36"/>
    <n v="400"/>
    <n v="14400"/>
    <n v="290"/>
    <s v="Yes"/>
    <m/>
    <s v="Yes"/>
    <m/>
    <s v="Yes"/>
    <m/>
    <s v="Yes"/>
    <m/>
    <s v="N/A"/>
    <m/>
    <s v="Yes"/>
    <m/>
    <s v="Yes"/>
    <m/>
    <s v="New"/>
    <s v="infasco"/>
    <n v="106.94"/>
    <n v="106.94"/>
  </r>
  <r>
    <x v="10"/>
    <x v="26"/>
    <n v="11549170"/>
    <n v="715825"/>
    <n v="36"/>
    <n v="400"/>
    <n v="14400"/>
    <n v="290"/>
    <s v="Yes"/>
    <m/>
    <s v="Yes"/>
    <m/>
    <s v="Yes"/>
    <m/>
    <s v="Yes"/>
    <m/>
    <s v="N/A"/>
    <m/>
    <s v="Yes"/>
    <m/>
    <s v="Yes"/>
    <m/>
    <s v="New"/>
    <s v="infasco"/>
    <n v="106.94"/>
    <n v="106.94"/>
  </r>
  <r>
    <x v="10"/>
    <x v="26"/>
    <n v="11549170"/>
    <n v="714628"/>
    <n v="36"/>
    <n v="400"/>
    <n v="14400"/>
    <n v="290"/>
    <s v="Yes"/>
    <m/>
    <s v="Yes"/>
    <m/>
    <s v="Yes"/>
    <m/>
    <s v="Yes"/>
    <m/>
    <s v="N/A"/>
    <m/>
    <s v="Yes"/>
    <m/>
    <s v="Yes"/>
    <m/>
    <s v="New"/>
    <s v="infasco"/>
    <n v="106.94"/>
    <n v="106.94"/>
  </r>
  <r>
    <x v="10"/>
    <x v="31"/>
    <s v="11549169-MY-AK"/>
    <n v="714519"/>
    <n v="16"/>
    <n v="660"/>
    <n v="10560"/>
    <n v="290"/>
    <s v="Yes"/>
    <m/>
    <s v="Yes"/>
    <m/>
    <s v="Yes"/>
    <m/>
    <s v="Yes"/>
    <m/>
    <s v="N/A"/>
    <m/>
    <s v="Yes"/>
    <m/>
    <s v="Yes"/>
    <m/>
    <s v="New"/>
    <s v="infasco"/>
    <n v="106.94"/>
    <n v="106.94"/>
  </r>
  <r>
    <x v="10"/>
    <x v="31"/>
    <n v="11549170"/>
    <n v="714371"/>
    <n v="36"/>
    <n v="400"/>
    <n v="14400"/>
    <n v="290"/>
    <s v="Yes"/>
    <m/>
    <s v="Yes"/>
    <m/>
    <s v="Yes"/>
    <m/>
    <s v="Yes"/>
    <m/>
    <s v="N/A"/>
    <m/>
    <s v="Yes"/>
    <m/>
    <s v="Yes"/>
    <m/>
    <s v="New"/>
    <s v="infasco"/>
    <n v="106.94"/>
    <n v="106.94"/>
  </r>
  <r>
    <x v="10"/>
    <x v="31"/>
    <n v="11549170"/>
    <n v="715824"/>
    <n v="36"/>
    <n v="400"/>
    <n v="14400"/>
    <n v="290"/>
    <s v="Yes"/>
    <m/>
    <s v="Yes"/>
    <m/>
    <s v="Yes"/>
    <m/>
    <s v="Yes"/>
    <m/>
    <s v="N/A"/>
    <m/>
    <s v="Yes"/>
    <m/>
    <s v="Yes"/>
    <m/>
    <s v="New"/>
    <s v="infasco"/>
    <n v="106.94"/>
    <n v="106.94"/>
  </r>
  <r>
    <x v="10"/>
    <x v="31"/>
    <n v="11549170"/>
    <n v="714630"/>
    <n v="30"/>
    <n v="400"/>
    <n v="12000"/>
    <n v="290"/>
    <s v="Yes"/>
    <m/>
    <s v="Yes"/>
    <m/>
    <s v="Yes"/>
    <m/>
    <s v="Yes"/>
    <m/>
    <s v="N/A"/>
    <m/>
    <s v="Yes"/>
    <m/>
    <s v="Yes"/>
    <m/>
    <s v="Re-certified"/>
    <s v="infasco"/>
    <n v="0"/>
    <n v="0"/>
  </r>
  <r>
    <x v="10"/>
    <x v="2"/>
    <n v="11549168"/>
    <n v="714306"/>
    <n v="26"/>
    <n v="1000"/>
    <n v="26000"/>
    <n v="292"/>
    <s v="Yes"/>
    <m/>
    <s v="Yes"/>
    <m/>
    <s v="Yes"/>
    <m/>
    <s v="Yes"/>
    <m/>
    <s v="N/A"/>
    <m/>
    <s v="Yes"/>
    <m/>
    <s v="Yes"/>
    <m/>
    <s v="New"/>
    <s v="infasco"/>
    <n v="106.94"/>
    <n v="106.94"/>
  </r>
  <r>
    <x v="10"/>
    <x v="19"/>
    <s v="11546366-MY-AK"/>
    <n v="714531"/>
    <n v="15"/>
    <n v="1000"/>
    <n v="15000"/>
    <n v="292"/>
    <s v="Yes"/>
    <m/>
    <s v="Yes"/>
    <m/>
    <s v="Yes"/>
    <m/>
    <s v="Yes"/>
    <m/>
    <s v="N/A"/>
    <m/>
    <s v="Yes"/>
    <m/>
    <s v="Yes"/>
    <m/>
    <s v="Re-certified"/>
    <s v="infasco"/>
    <n v="0"/>
    <n v="0"/>
  </r>
  <r>
    <x v="10"/>
    <x v="5"/>
    <n v="11546463"/>
    <n v="716594"/>
    <n v="16"/>
    <n v="450"/>
    <n v="7200"/>
    <n v="292"/>
    <s v="Yes"/>
    <m/>
    <s v="Yes"/>
    <m/>
    <s v="Yes"/>
    <m/>
    <s v="Yes"/>
    <m/>
    <s v="N/A"/>
    <m/>
    <s v="Yes"/>
    <m/>
    <s v="Yes"/>
    <m/>
    <s v="New"/>
    <s v="infasco"/>
    <n v="106.94"/>
    <n v="106.94"/>
  </r>
  <r>
    <x v="10"/>
    <x v="5"/>
    <n v="11546463"/>
    <n v="716599"/>
    <n v="37"/>
    <n v="450"/>
    <n v="16650"/>
    <n v="292"/>
    <s v="Yes"/>
    <m/>
    <s v="Yes"/>
    <m/>
    <s v="Yes"/>
    <m/>
    <s v="Yes"/>
    <m/>
    <s v="N/A"/>
    <m/>
    <s v="Yes"/>
    <m/>
    <s v="Yes"/>
    <m/>
    <s v="New"/>
    <s v="infasco"/>
    <n v="106.94"/>
    <n v="106.94"/>
  </r>
  <r>
    <x v="10"/>
    <x v="5"/>
    <s v="11546367-MY-AK"/>
    <n v="715730"/>
    <n v="36"/>
    <n v="700"/>
    <n v="25200"/>
    <n v="292"/>
    <s v="Yes"/>
    <m/>
    <s v="Yes"/>
    <m/>
    <s v="Yes"/>
    <m/>
    <s v="Yes"/>
    <m/>
    <s v="N/A"/>
    <m/>
    <s v="Yes"/>
    <m/>
    <s v="Yes"/>
    <m/>
    <s v="New"/>
    <s v="infasco"/>
    <n v="106.94"/>
    <n v="106.94"/>
  </r>
  <r>
    <x v="10"/>
    <x v="5"/>
    <s v="11546367-MY-AK"/>
    <n v="715728"/>
    <n v="20"/>
    <n v="700"/>
    <n v="14000"/>
    <n v="292"/>
    <s v="Yes"/>
    <m/>
    <s v="Yes"/>
    <m/>
    <s v="Yes"/>
    <m/>
    <s v="Yes"/>
    <m/>
    <s v="N/A"/>
    <m/>
    <s v="Yes"/>
    <m/>
    <s v="Yes"/>
    <m/>
    <s v="Re-certified"/>
    <s v="infasco"/>
    <n v="0"/>
    <n v="0"/>
  </r>
  <r>
    <x v="10"/>
    <x v="4"/>
    <s v="W520413-S450"/>
    <n v="714703"/>
    <n v="36"/>
    <n v="1900"/>
    <n v="68400"/>
    <n v="292"/>
    <s v="Yes"/>
    <m/>
    <s v="Yes"/>
    <m/>
    <s v="Yes"/>
    <m/>
    <s v="Yes"/>
    <m/>
    <s v="N/A"/>
    <m/>
    <s v="Yes"/>
    <m/>
    <s v="Yes"/>
    <m/>
    <s v="New"/>
    <s v="infasco"/>
    <n v="106.94"/>
    <n v="106.94"/>
  </r>
  <r>
    <x v="10"/>
    <x v="4"/>
    <s v="W520413-S450"/>
    <n v="714702"/>
    <n v="5"/>
    <n v="1900"/>
    <n v="9500"/>
    <n v="292"/>
    <s v="Yes"/>
    <m/>
    <s v="Yes"/>
    <m/>
    <s v="Yes"/>
    <m/>
    <s v="Yes"/>
    <m/>
    <s v="N/A"/>
    <m/>
    <s v="Yes"/>
    <m/>
    <s v="Yes"/>
    <m/>
    <s v="Re-certified"/>
    <s v="infasco"/>
    <n v="0"/>
    <n v="0"/>
  </r>
  <r>
    <x v="10"/>
    <x v="3"/>
    <s v="11546368-MY-AK"/>
    <n v="714176"/>
    <n v="36"/>
    <n v="450"/>
    <n v="16200"/>
    <n v="292"/>
    <s v="Yes"/>
    <m/>
    <s v="Yes"/>
    <m/>
    <s v="Yes"/>
    <m/>
    <s v="Yes"/>
    <m/>
    <s v="N/A"/>
    <m/>
    <s v="Yes"/>
    <m/>
    <s v="Yes"/>
    <m/>
    <s v="New"/>
    <s v="infasco"/>
    <n v="106.94"/>
    <n v="106.94"/>
  </r>
  <r>
    <x v="10"/>
    <x v="3"/>
    <s v="11546368-MY-AK"/>
    <n v="714177"/>
    <n v="32"/>
    <n v="450"/>
    <n v="14400"/>
    <n v="292"/>
    <s v="Yes"/>
    <m/>
    <s v="Yes"/>
    <m/>
    <s v="Yes"/>
    <m/>
    <s v="Yes"/>
    <m/>
    <s v="N/A"/>
    <m/>
    <s v="Yes"/>
    <m/>
    <s v="Yes"/>
    <m/>
    <s v="New"/>
    <s v="infasco"/>
    <n v="106.94"/>
    <n v="106.94"/>
  </r>
  <r>
    <x v="10"/>
    <x v="3"/>
    <n v="11549170"/>
    <n v="715828"/>
    <n v="36"/>
    <n v="400"/>
    <n v="14400"/>
    <n v="292"/>
    <s v="Yes"/>
    <m/>
    <s v="Yes"/>
    <m/>
    <s v="Yes"/>
    <m/>
    <s v="Yes"/>
    <m/>
    <s v="N/A"/>
    <m/>
    <s v="Yes"/>
    <m/>
    <s v="Yes"/>
    <m/>
    <s v="New"/>
    <s v="infasco"/>
    <n v="106.94"/>
    <n v="106.94"/>
  </r>
  <r>
    <x v="10"/>
    <x v="3"/>
    <n v="11549170"/>
    <n v="715777"/>
    <n v="36"/>
    <n v="400"/>
    <n v="14400"/>
    <n v="292"/>
    <s v="Yes"/>
    <m/>
    <s v="Yes"/>
    <m/>
    <s v="Yes"/>
    <m/>
    <s v="Yes"/>
    <m/>
    <s v="N/A"/>
    <m/>
    <s v="Yes"/>
    <m/>
    <s v="Yes"/>
    <m/>
    <s v="New"/>
    <s v="infasco"/>
    <n v="106.94"/>
    <n v="106.94"/>
  </r>
  <r>
    <x v="10"/>
    <x v="3"/>
    <n v="11549170"/>
    <n v="714365"/>
    <n v="15"/>
    <n v="400"/>
    <n v="6000"/>
    <n v="292"/>
    <s v="Yes"/>
    <m/>
    <s v="Yes"/>
    <m/>
    <s v="Yes"/>
    <m/>
    <s v="Yes"/>
    <m/>
    <s v="N/A"/>
    <m/>
    <s v="Yes"/>
    <m/>
    <s v="Yes"/>
    <m/>
    <s v="Re-certified"/>
    <s v="infasco"/>
    <n v="0"/>
    <n v="0"/>
  </r>
  <r>
    <x v="10"/>
    <x v="0"/>
    <s v="06101968-A"/>
    <n v="715606"/>
    <n v="21"/>
    <n v="2200"/>
    <n v="46200"/>
    <n v="292"/>
    <s v="Yes"/>
    <m/>
    <s v="Yes"/>
    <m/>
    <s v="Yes"/>
    <m/>
    <s v="Yes"/>
    <m/>
    <s v="N/A"/>
    <m/>
    <s v="Yes"/>
    <m/>
    <s v="Yes"/>
    <m/>
    <s v="Re-certified"/>
    <s v="infasco"/>
    <n v="0"/>
    <n v="0"/>
  </r>
  <r>
    <x v="10"/>
    <x v="1"/>
    <n v="11546377"/>
    <n v="716616"/>
    <n v="15"/>
    <n v="2150"/>
    <n v="32250"/>
    <n v="292"/>
    <s v="Yes"/>
    <m/>
    <s v="Yes"/>
    <m/>
    <s v="Yes"/>
    <m/>
    <s v="Yes"/>
    <m/>
    <s v="N/A"/>
    <m/>
    <s v="Yes"/>
    <m/>
    <s v="Yes"/>
    <m/>
    <s v="New"/>
    <s v="infasco"/>
    <n v="106.94"/>
    <n v="106.94"/>
  </r>
  <r>
    <x v="10"/>
    <x v="1"/>
    <s v="11546365-MY-AK"/>
    <n v="714536"/>
    <n v="5"/>
    <n v="1900"/>
    <n v="9500"/>
    <n v="292"/>
    <s v="Yes"/>
    <m/>
    <s v="Yes"/>
    <m/>
    <s v="Yes"/>
    <m/>
    <s v="Yes"/>
    <m/>
    <s v="N/A"/>
    <m/>
    <s v="Yes"/>
    <m/>
    <s v="Yes"/>
    <m/>
    <s v="Re-certified"/>
    <s v="infasco"/>
    <n v="0"/>
    <n v="0"/>
  </r>
  <r>
    <x v="10"/>
    <x v="15"/>
    <s v="11549168-CA-IN"/>
    <n v="708736"/>
    <n v="42"/>
    <n v="1000"/>
    <n v="42000"/>
    <n v="157"/>
    <s v="Yes"/>
    <m/>
    <s v="Yes"/>
    <m/>
    <s v="Yes"/>
    <m/>
    <s v="Yes"/>
    <m/>
    <s v="N/A"/>
    <m/>
    <s v="Yes"/>
    <m/>
    <s v="Yes"/>
    <m/>
    <s v="New"/>
    <s v="infasco"/>
    <n v="213.88"/>
    <n v="213.88"/>
  </r>
  <r>
    <x v="10"/>
    <x v="15"/>
    <s v="06511834AA"/>
    <n v="716328"/>
    <n v="32"/>
    <n v="100"/>
    <n v="3200"/>
    <n v="157"/>
    <s v="Yes"/>
    <m/>
    <s v="Yes"/>
    <m/>
    <s v="Yes"/>
    <m/>
    <s v="Yes"/>
    <m/>
    <s v="N/A"/>
    <m/>
    <s v="Yes"/>
    <m/>
    <s v="Yes"/>
    <m/>
    <s v="New"/>
    <s v="infasco"/>
    <n v="135.07999999999998"/>
    <n v="135.07999999999998"/>
  </r>
  <r>
    <x v="10"/>
    <x v="15"/>
    <s v="11546367-CA-IN"/>
    <n v="713922"/>
    <n v="4"/>
    <n v="700"/>
    <n v="2800"/>
    <n v="157"/>
    <s v="Yes"/>
    <m/>
    <s v="Yes"/>
    <m/>
    <s v="Yes"/>
    <m/>
    <s v="Yes"/>
    <m/>
    <s v="N/A"/>
    <m/>
    <s v="Yes"/>
    <m/>
    <s v="Yes"/>
    <m/>
    <s v="Re-certified"/>
    <s v="infasco"/>
    <n v="0"/>
    <n v="0"/>
  </r>
  <r>
    <x v="10"/>
    <x v="16"/>
    <s v="NU3014-02"/>
    <n v="716250"/>
    <n v="1"/>
    <n v="10154"/>
    <n v="10154"/>
    <s v="285+391"/>
    <s v="Yes"/>
    <m/>
    <s v="Yes"/>
    <m/>
    <s v="Yes"/>
    <m/>
    <s v="Yes"/>
    <m/>
    <s v="N/A"/>
    <m/>
    <s v="Yes"/>
    <m/>
    <s v="Yes"/>
    <m/>
    <s v="New"/>
    <s v="infasco"/>
    <n v="129.44999999999999"/>
    <n v="129.44999999999999"/>
  </r>
  <r>
    <x v="10"/>
    <x v="16"/>
    <s v="W520101-S437"/>
    <n v="714701"/>
    <n v="36"/>
    <n v="3000"/>
    <n v="108000"/>
    <s v="285+391"/>
    <s v="Yes"/>
    <m/>
    <s v="Yes"/>
    <m/>
    <s v="Yes"/>
    <m/>
    <s v="Yes"/>
    <m/>
    <s v="N/A"/>
    <m/>
    <s v="Yes"/>
    <m/>
    <s v="Yes"/>
    <m/>
    <s v="New"/>
    <s v="infasco"/>
    <n v="106.94"/>
    <n v="106.94"/>
  </r>
  <r>
    <x v="10"/>
    <x v="16"/>
    <s v="W520101-S437"/>
    <n v="714699"/>
    <n v="47"/>
    <n v="3000"/>
    <n v="141000"/>
    <s v="285+391"/>
    <s v="Yes"/>
    <m/>
    <s v="Yes"/>
    <m/>
    <s v="Yes"/>
    <m/>
    <s v="Yes"/>
    <m/>
    <s v="N/A"/>
    <m/>
    <s v="Yes"/>
    <m/>
    <s v="Yes"/>
    <m/>
    <s v="New"/>
    <s v="infasco"/>
    <n v="106.94"/>
    <n v="106.94"/>
  </r>
  <r>
    <x v="10"/>
    <x v="16"/>
    <n v="11547369"/>
    <n v="714480"/>
    <n v="44"/>
    <n v="250"/>
    <n v="11000"/>
    <s v="285+391"/>
    <s v="Yes"/>
    <m/>
    <s v="Yes"/>
    <m/>
    <s v="Yes"/>
    <m/>
    <s v="Yes"/>
    <m/>
    <s v="N/A"/>
    <m/>
    <s v="Yes"/>
    <m/>
    <s v="Yes"/>
    <m/>
    <s v="New"/>
    <s v="infasco"/>
    <n v="106.94"/>
    <n v="106.94"/>
  </r>
  <r>
    <x v="10"/>
    <x v="16"/>
    <s v="06511834AA"/>
    <n v="716326"/>
    <n v="36"/>
    <n v="100"/>
    <n v="3600"/>
    <s v="285+391"/>
    <s v="Yes"/>
    <m/>
    <s v="Yes"/>
    <m/>
    <s v="Yes"/>
    <m/>
    <s v="Yes"/>
    <m/>
    <s v="N/A"/>
    <m/>
    <s v="Yes"/>
    <m/>
    <s v="Yes"/>
    <m/>
    <s v="New"/>
    <s v="infasco"/>
    <n v="135.07999999999998"/>
    <n v="135.07999999999998"/>
  </r>
  <r>
    <x v="10"/>
    <x v="16"/>
    <s v="06511834AA"/>
    <n v="716327"/>
    <n v="21"/>
    <n v="100"/>
    <n v="2100"/>
    <s v="285+391"/>
    <s v="Yes"/>
    <m/>
    <s v="Yes"/>
    <m/>
    <s v="Yes"/>
    <m/>
    <s v="Yes"/>
    <m/>
    <s v="N/A"/>
    <m/>
    <s v="Yes"/>
    <m/>
    <s v="Yes"/>
    <m/>
    <s v="New"/>
    <s v="infasco"/>
    <n v="135.07999999999998"/>
    <n v="135.07999999999998"/>
  </r>
  <r>
    <x v="10"/>
    <x v="16"/>
    <s v="W520101-S437"/>
    <n v="714700"/>
    <n v="41"/>
    <n v="3000"/>
    <n v="123000"/>
    <s v="285+391"/>
    <s v="Yes"/>
    <m/>
    <s v="Yes"/>
    <m/>
    <s v="Yes"/>
    <m/>
    <s v="Yes"/>
    <m/>
    <s v="N/A"/>
    <m/>
    <s v="Yes"/>
    <m/>
    <s v="Yes"/>
    <m/>
    <s v="New"/>
    <s v="infasco"/>
    <n v="106.94"/>
    <n v="106.94"/>
  </r>
  <r>
    <x v="10"/>
    <x v="16"/>
    <n v="11547369"/>
    <n v="714475"/>
    <n v="28"/>
    <n v="250"/>
    <n v="7000"/>
    <s v="285+391"/>
    <s v="Yes"/>
    <m/>
    <s v="Yes"/>
    <m/>
    <s v="Yes"/>
    <m/>
    <s v="Yes"/>
    <m/>
    <s v="N/A"/>
    <m/>
    <s v="Yes"/>
    <m/>
    <s v="Yes"/>
    <m/>
    <s v="New"/>
    <s v="infasco"/>
    <n v="106.94"/>
    <n v="106.94"/>
  </r>
  <r>
    <x v="10"/>
    <x v="17"/>
    <s v="06511834AA"/>
    <n v="716325"/>
    <n v="31"/>
    <n v="100"/>
    <n v="3100"/>
    <s v="190+268"/>
    <s v="Yes"/>
    <m/>
    <s v="Yes"/>
    <m/>
    <s v="Yes"/>
    <m/>
    <s v="Yes"/>
    <m/>
    <s v="N/A"/>
    <m/>
    <s v="Yes"/>
    <m/>
    <s v="Yes"/>
    <m/>
    <s v="New"/>
    <s v="infasco"/>
    <n v="135.07999999999998"/>
    <n v="135.07999999999998"/>
  </r>
  <r>
    <x v="10"/>
    <x v="17"/>
    <n v="11547369"/>
    <n v="714472"/>
    <n v="36"/>
    <n v="250"/>
    <n v="9000"/>
    <s v="190+268"/>
    <s v="Yes"/>
    <m/>
    <s v="Yes"/>
    <m/>
    <s v="Yes"/>
    <m/>
    <s v="Yes"/>
    <m/>
    <s v="N/A"/>
    <m/>
    <s v="Yes"/>
    <m/>
    <s v="Yes"/>
    <m/>
    <s v="New"/>
    <s v="infasco"/>
    <n v="106.94"/>
    <n v="106.94"/>
  </r>
  <r>
    <x v="10"/>
    <x v="17"/>
    <n v="11547369"/>
    <n v="714300"/>
    <n v="36"/>
    <n v="250"/>
    <n v="9000"/>
    <s v="190+268"/>
    <s v="Yes"/>
    <m/>
    <s v="Yes"/>
    <m/>
    <s v="Yes"/>
    <m/>
    <s v="Yes"/>
    <m/>
    <s v="N/A"/>
    <m/>
    <s v="Yes"/>
    <m/>
    <s v="Yes"/>
    <m/>
    <s v="New"/>
    <s v="infasco"/>
    <n v="106.94"/>
    <n v="106.94"/>
  </r>
  <r>
    <x v="10"/>
    <x v="17"/>
    <n v="11547369"/>
    <n v="714476"/>
    <n v="30"/>
    <n v="250"/>
    <n v="7500"/>
    <s v="190+268"/>
    <s v="Yes"/>
    <m/>
    <s v="Yes"/>
    <m/>
    <s v="Yes"/>
    <m/>
    <s v="Yes"/>
    <m/>
    <s v="N/A"/>
    <m/>
    <s v="Yes"/>
    <m/>
    <s v="Yes"/>
    <m/>
    <s v="Re-certified"/>
    <s v="infasco"/>
    <n v="0"/>
    <n v="0"/>
  </r>
  <r>
    <x v="10"/>
    <x v="17"/>
    <s v="NU3014-02"/>
    <n v="716248"/>
    <n v="1"/>
    <n v="9980"/>
    <n v="9980"/>
    <s v="190+268"/>
    <s v="Yes"/>
    <m/>
    <s v="Yes"/>
    <m/>
    <s v="Yes"/>
    <m/>
    <s v="Yes"/>
    <m/>
    <s v="N/A"/>
    <m/>
    <s v="Yes"/>
    <m/>
    <s v="Yes"/>
    <m/>
    <s v="New"/>
    <s v="infasco"/>
    <n v="129.44999999999999"/>
    <n v="129.44999999999999"/>
  </r>
  <r>
    <x v="10"/>
    <x v="17"/>
    <s v="W520111-S450B"/>
    <n v="714706"/>
    <n v="36"/>
    <n v="3500"/>
    <n v="126000"/>
    <s v="190+268"/>
    <s v="Yes"/>
    <m/>
    <s v="Yes"/>
    <m/>
    <s v="Yes"/>
    <m/>
    <s v="Yes"/>
    <m/>
    <s v="N/A"/>
    <m/>
    <s v="Yes"/>
    <m/>
    <s v="Yes"/>
    <m/>
    <s v="New"/>
    <s v="infasco"/>
    <n v="106.94"/>
    <n v="106.94"/>
  </r>
  <r>
    <x v="10"/>
    <x v="17"/>
    <s v="W520111-S450B"/>
    <n v="714704"/>
    <n v="36"/>
    <n v="3500"/>
    <n v="126000"/>
    <s v="190+268"/>
    <s v="Yes"/>
    <m/>
    <s v="Yes"/>
    <m/>
    <s v="Yes"/>
    <m/>
    <s v="Yes"/>
    <m/>
    <s v="N/A"/>
    <m/>
    <s v="Yes"/>
    <m/>
    <s v="Yes"/>
    <m/>
    <s v="New"/>
    <s v="infasco"/>
    <n v="106.94"/>
    <n v="106.94"/>
  </r>
  <r>
    <x v="10"/>
    <x v="17"/>
    <s v="W520111-S450B"/>
    <n v="714705"/>
    <n v="36"/>
    <n v="3500"/>
    <n v="126000"/>
    <s v="190+268"/>
    <s v="Yes"/>
    <m/>
    <s v="Yes"/>
    <m/>
    <s v="Yes"/>
    <m/>
    <s v="Yes"/>
    <m/>
    <s v="N/A"/>
    <m/>
    <s v="Yes"/>
    <m/>
    <s v="Yes"/>
    <m/>
    <s v="New"/>
    <s v="infasco"/>
    <n v="106.94"/>
    <n v="106.94"/>
  </r>
  <r>
    <x v="10"/>
    <x v="17"/>
    <s v="W520111-S450B"/>
    <n v="714707"/>
    <n v="36"/>
    <n v="3500"/>
    <n v="126000"/>
    <s v="190+268"/>
    <s v="Yes"/>
    <m/>
    <s v="Yes"/>
    <m/>
    <s v="Yes"/>
    <m/>
    <s v="Yes"/>
    <m/>
    <s v="N/A"/>
    <m/>
    <s v="Yes"/>
    <m/>
    <s v="Yes"/>
    <m/>
    <s v="New"/>
    <s v="infasco"/>
    <n v="106.94"/>
    <n v="106.94"/>
  </r>
  <r>
    <x v="10"/>
    <x v="32"/>
    <s v="NU3014-02"/>
    <n v="716253"/>
    <n v="1"/>
    <n v="9250"/>
    <n v="9250"/>
    <s v="294+252"/>
    <s v="Yes"/>
    <m/>
    <s v="Yes"/>
    <m/>
    <s v="Yes"/>
    <m/>
    <s v="Yes"/>
    <m/>
    <s v="N/A"/>
    <m/>
    <s v="Yes"/>
    <m/>
    <s v="Yes"/>
    <m/>
    <s v="New"/>
    <s v="infasco"/>
    <n v="129.44999999999999"/>
    <n v="129.44999999999999"/>
  </r>
  <r>
    <x v="10"/>
    <x v="32"/>
    <s v="NU3014-02"/>
    <n v="716246"/>
    <n v="1"/>
    <n v="10000"/>
    <n v="10000"/>
    <s v="294+252"/>
    <s v="Yes"/>
    <m/>
    <s v="Yes"/>
    <m/>
    <s v="Yes"/>
    <m/>
    <s v="Yes"/>
    <m/>
    <s v="N/A"/>
    <m/>
    <s v="Yes"/>
    <m/>
    <s v="Yes"/>
    <m/>
    <s v="New"/>
    <s v="infasco"/>
    <n v="129.44999999999999"/>
    <n v="129.44999999999999"/>
  </r>
  <r>
    <x v="10"/>
    <x v="32"/>
    <s v="11546367-CA-IN"/>
    <n v="713921"/>
    <n v="32"/>
    <n v="700"/>
    <n v="22400"/>
    <s v="294+252"/>
    <s v="Yes"/>
    <m/>
    <s v="Yes"/>
    <m/>
    <s v="Yes"/>
    <m/>
    <s v="Yes"/>
    <m/>
    <s v="N/A"/>
    <m/>
    <s v="Yes"/>
    <m/>
    <s v="Yes"/>
    <m/>
    <s v="New"/>
    <s v="infasco"/>
    <n v="213.88"/>
    <n v="213.88"/>
  </r>
  <r>
    <x v="10"/>
    <x v="32"/>
    <n v="11547369"/>
    <n v="714481"/>
    <n v="36"/>
    <n v="250"/>
    <n v="9000"/>
    <s v="294+252"/>
    <s v="Yes"/>
    <m/>
    <s v="Yes"/>
    <m/>
    <s v="Yes"/>
    <m/>
    <s v="Yes"/>
    <m/>
    <s v="N/A"/>
    <m/>
    <s v="Yes"/>
    <m/>
    <s v="Yes"/>
    <m/>
    <s v="New"/>
    <s v="infasco"/>
    <n v="106.94"/>
    <n v="106.94"/>
  </r>
  <r>
    <x v="10"/>
    <x v="32"/>
    <n v="11547369"/>
    <n v="714479"/>
    <n v="51"/>
    <n v="250"/>
    <n v="12750"/>
    <s v="294+252"/>
    <s v="Yes"/>
    <m/>
    <s v="Yes"/>
    <m/>
    <s v="Yes"/>
    <m/>
    <s v="Yes"/>
    <m/>
    <s v="N/A"/>
    <m/>
    <s v="Yes"/>
    <m/>
    <s v="Yes"/>
    <m/>
    <s v="New"/>
    <s v="infasco"/>
    <n v="106.94"/>
    <n v="106.94"/>
  </r>
  <r>
    <x v="10"/>
    <x v="32"/>
    <s v="11546367-CA-IN"/>
    <n v="714350"/>
    <n v="25"/>
    <n v="700"/>
    <n v="17500"/>
    <s v="294+252"/>
    <s v="Yes"/>
    <m/>
    <s v="Yes"/>
    <m/>
    <s v="Yes"/>
    <m/>
    <s v="Yes"/>
    <m/>
    <s v="N/A"/>
    <m/>
    <s v="Yes"/>
    <m/>
    <s v="Yes"/>
    <m/>
    <s v="New"/>
    <s v="infasco"/>
    <n v="213.88"/>
    <n v="213.88"/>
  </r>
  <r>
    <x v="10"/>
    <x v="32"/>
    <s v="11546369-MY-AK"/>
    <n v="713473"/>
    <n v="35"/>
    <n v="300"/>
    <n v="10500"/>
    <s v="294+252"/>
    <s v="Yes"/>
    <m/>
    <s v="Yes"/>
    <m/>
    <s v="Yes"/>
    <m/>
    <s v="Yes"/>
    <m/>
    <s v="N/A"/>
    <m/>
    <s v="Yes"/>
    <m/>
    <s v="Yes"/>
    <m/>
    <s v="New"/>
    <s v="infasco"/>
    <n v="106.94"/>
    <n v="106.94"/>
  </r>
  <r>
    <x v="10"/>
    <x v="32"/>
    <s v="11546367-CA-IN"/>
    <n v="713920"/>
    <n v="4"/>
    <n v="700"/>
    <n v="2800"/>
    <s v="294+252"/>
    <s v="Yes"/>
    <m/>
    <s v="Yes"/>
    <m/>
    <s v="Yes"/>
    <m/>
    <s v="Yes"/>
    <m/>
    <s v="N/A"/>
    <m/>
    <s v="Yes"/>
    <m/>
    <s v="Yes"/>
    <m/>
    <s v="Re-certified"/>
    <s v="infasco"/>
    <n v="0"/>
    <n v="0"/>
  </r>
  <r>
    <x v="10"/>
    <x v="13"/>
    <s v="11549168-CA-IN"/>
    <n v="705483"/>
    <n v="38"/>
    <n v="1000"/>
    <n v="38000"/>
    <n v="11"/>
    <s v="Yes"/>
    <m/>
    <s v="Yes"/>
    <m/>
    <s v="Yes"/>
    <m/>
    <s v="Yes"/>
    <m/>
    <s v="N/A"/>
    <m/>
    <s v="Yes"/>
    <m/>
    <s v="Yes"/>
    <m/>
    <s v="New"/>
    <s v="infasco"/>
    <n v="213.88"/>
    <n v="213.88"/>
  </r>
  <r>
    <x v="10"/>
    <x v="13"/>
    <s v="11546367-CA-IN"/>
    <n v="714352"/>
    <n v="35"/>
    <n v="700"/>
    <n v="24500"/>
    <s v="11+272"/>
    <s v="Yes"/>
    <m/>
    <s v="Yes"/>
    <m/>
    <s v="Yes"/>
    <m/>
    <s v="Yes"/>
    <m/>
    <s v="N/A"/>
    <m/>
    <s v="Yes"/>
    <m/>
    <s v="Yes"/>
    <m/>
    <s v="New"/>
    <s v="infasco"/>
    <n v="213.88"/>
    <n v="213.88"/>
  </r>
  <r>
    <x v="10"/>
    <x v="13"/>
    <s v="06104388AA"/>
    <n v="716496"/>
    <n v="7"/>
    <n v="660"/>
    <n v="4620"/>
    <s v="11+272"/>
    <s v="Yes"/>
    <m/>
    <s v="Yes"/>
    <m/>
    <s v="Yes"/>
    <m/>
    <s v="Yes"/>
    <m/>
    <s v="N/A"/>
    <m/>
    <s v="Yes"/>
    <m/>
    <s v="Yes"/>
    <m/>
    <s v="New"/>
    <s v="infasco"/>
    <n v="135.08000000000001"/>
    <n v="135.08000000000001"/>
  </r>
  <r>
    <x v="10"/>
    <x v="13"/>
    <n v="11547369"/>
    <n v="714474"/>
    <n v="20"/>
    <n v="250"/>
    <n v="5000"/>
    <s v="11+272"/>
    <s v="Yes"/>
    <m/>
    <s v="Yes"/>
    <m/>
    <s v="Yes"/>
    <m/>
    <s v="Yes"/>
    <m/>
    <s v="N/A"/>
    <m/>
    <s v="Yes"/>
    <m/>
    <s v="Yes"/>
    <m/>
    <s v="Re-certified"/>
    <s v="infasco"/>
    <n v="0"/>
    <n v="0"/>
  </r>
  <r>
    <x v="10"/>
    <x v="33"/>
    <s v="11546370-MY-AK"/>
    <n v="714680"/>
    <n v="6"/>
    <n v="220"/>
    <n v="1320"/>
    <s v="279+293+245"/>
    <s v="Yes"/>
    <m/>
    <s v="Yes"/>
    <m/>
    <s v="Yes"/>
    <m/>
    <s v="Yes"/>
    <m/>
    <s v="N/A"/>
    <m/>
    <s v="Yes"/>
    <m/>
    <s v="Yes"/>
    <m/>
    <s v="New"/>
    <s v="infasco"/>
    <n v="106.94"/>
    <n v="106.94"/>
  </r>
  <r>
    <x v="10"/>
    <x v="33"/>
    <s v="NU3014-02"/>
    <n v="716249"/>
    <n v="1"/>
    <n v="9875"/>
    <n v="9875"/>
    <s v="279+293+245"/>
    <s v="Yes"/>
    <m/>
    <s v="Yes"/>
    <m/>
    <s v="Yes"/>
    <m/>
    <s v="Yes"/>
    <m/>
    <s v="N/A"/>
    <m/>
    <s v="Yes"/>
    <m/>
    <s v="Yes"/>
    <m/>
    <s v="New"/>
    <s v="infasco"/>
    <n v="129.44999999999999"/>
    <n v="129.44999999999999"/>
  </r>
  <r>
    <x v="10"/>
    <x v="33"/>
    <s v="NU3014-02"/>
    <n v="716247"/>
    <n v="1"/>
    <n v="10092"/>
    <n v="10092"/>
    <s v="279+293+245"/>
    <s v="Yes"/>
    <m/>
    <s v="Yes"/>
    <m/>
    <s v="Yes"/>
    <m/>
    <s v="Yes"/>
    <m/>
    <s v="N/A"/>
    <m/>
    <s v="Yes"/>
    <m/>
    <s v="Yes"/>
    <m/>
    <s v="New"/>
    <s v="infasco"/>
    <n v="129.44999999999999"/>
    <n v="129.44999999999999"/>
  </r>
  <r>
    <x v="10"/>
    <x v="33"/>
    <s v="06511834AA"/>
    <n v="715603"/>
    <n v="36"/>
    <n v="100"/>
    <n v="3600"/>
    <s v="279+293+245"/>
    <s v="Yes"/>
    <m/>
    <s v="Yes"/>
    <m/>
    <s v="Yes"/>
    <m/>
    <s v="Yes"/>
    <m/>
    <s v="N/A"/>
    <m/>
    <s v="Yes"/>
    <m/>
    <s v="Yes"/>
    <m/>
    <s v="New"/>
    <s v="infasco"/>
    <n v="135.07999999999998"/>
    <n v="135.07999999999998"/>
  </r>
  <r>
    <x v="10"/>
    <x v="33"/>
    <s v="06511834AA"/>
    <n v="715602"/>
    <n v="23"/>
    <n v="100"/>
    <n v="2300"/>
    <s v="279+293+245"/>
    <s v="Yes"/>
    <m/>
    <s v="Yes"/>
    <m/>
    <s v="Yes"/>
    <m/>
    <s v="Yes"/>
    <m/>
    <s v="N/A"/>
    <m/>
    <s v="Yes"/>
    <m/>
    <s v="Yes"/>
    <m/>
    <s v="New"/>
    <s v="infasco"/>
    <n v="135.07999999999998"/>
    <n v="135.07999999999998"/>
  </r>
  <r>
    <x v="10"/>
    <x v="33"/>
    <n v="11547369"/>
    <n v="714482"/>
    <n v="45"/>
    <n v="250"/>
    <n v="11250"/>
    <s v="293+245"/>
    <s v="Yes"/>
    <m/>
    <s v="Yes"/>
    <m/>
    <s v="Yes"/>
    <m/>
    <s v="Yes"/>
    <m/>
    <s v="N/A"/>
    <m/>
    <s v="Yes"/>
    <m/>
    <s v="Yes"/>
    <m/>
    <s v="New"/>
    <s v="infasco"/>
    <n v="106.94"/>
    <n v="106.94"/>
  </r>
  <r>
    <x v="10"/>
    <x v="33"/>
    <s v="11546367-CA-IN"/>
    <n v="714351"/>
    <n v="39"/>
    <n v="700"/>
    <n v="27300"/>
    <s v="293+245"/>
    <s v="Yes"/>
    <m/>
    <s v="Yes"/>
    <m/>
    <s v="Yes"/>
    <m/>
    <s v="Yes"/>
    <m/>
    <s v="N/A"/>
    <m/>
    <s v="Yes"/>
    <m/>
    <s v="Yes"/>
    <m/>
    <s v="New"/>
    <s v="infasco"/>
    <n v="213.88"/>
    <n v="213.88"/>
  </r>
  <r>
    <x v="10"/>
    <x v="33"/>
    <s v="11546367-CA-IN"/>
    <n v="713918"/>
    <n v="2"/>
    <n v="700"/>
    <n v="1400"/>
    <s v="293+245"/>
    <s v="Yes"/>
    <m/>
    <s v="Yes"/>
    <m/>
    <s v="Yes"/>
    <m/>
    <s v="Yes"/>
    <m/>
    <s v="N/A"/>
    <m/>
    <s v="Yes"/>
    <m/>
    <s v="Yes"/>
    <m/>
    <s v="Re-certified"/>
    <s v="infasco"/>
    <n v="0"/>
    <n v="0"/>
  </r>
  <r>
    <x v="10"/>
    <x v="25"/>
    <n v="11546449"/>
    <n v="716281"/>
    <n v="13"/>
    <n v="2500"/>
    <n v="32500"/>
    <n v="280"/>
    <s v="Yes"/>
    <m/>
    <s v="Yes"/>
    <m/>
    <s v="Yes"/>
    <m/>
    <s v="Yes"/>
    <m/>
    <s v="N/A"/>
    <m/>
    <s v="Yes"/>
    <m/>
    <s v="Yes"/>
    <m/>
    <s v="New"/>
    <s v="infasco"/>
    <n v="106.94"/>
    <n v="106.94"/>
  </r>
  <r>
    <x v="10"/>
    <x v="25"/>
    <s v="W520113-S440"/>
    <n v="714528"/>
    <n v="24"/>
    <n v="1050"/>
    <n v="25200"/>
    <n v="280"/>
    <s v="Yes"/>
    <m/>
    <s v="Yes"/>
    <m/>
    <s v="Yes"/>
    <m/>
    <s v="Yes"/>
    <m/>
    <s v="N/A"/>
    <m/>
    <s v="Yes"/>
    <m/>
    <s v="Yes"/>
    <m/>
    <s v="Re-certified"/>
    <s v="infasco"/>
    <n v="0"/>
    <n v="0"/>
  </r>
  <r>
    <x v="10"/>
    <x v="24"/>
    <s v="W520113-S440"/>
    <n v="714527"/>
    <n v="24"/>
    <n v="1050"/>
    <n v="25200"/>
    <n v="280"/>
    <s v="Yes"/>
    <m/>
    <s v="Yes"/>
    <m/>
    <s v="Yes"/>
    <m/>
    <s v="Yes"/>
    <m/>
    <s v="N/A"/>
    <m/>
    <s v="Yes"/>
    <m/>
    <s v="Yes"/>
    <m/>
    <s v="New"/>
    <s v="infasco"/>
    <n v="106.94"/>
    <n v="106.94"/>
  </r>
  <r>
    <x v="10"/>
    <x v="24"/>
    <s v="W520113-S440"/>
    <n v="714529"/>
    <n v="32"/>
    <n v="1050"/>
    <n v="33600"/>
    <n v="280"/>
    <s v="Yes"/>
    <m/>
    <s v="Yes"/>
    <m/>
    <s v="Yes"/>
    <m/>
    <s v="Yes"/>
    <m/>
    <s v="N/A"/>
    <m/>
    <s v="Yes"/>
    <m/>
    <s v="Yes"/>
    <m/>
    <s v="Re-certified"/>
    <s v="infasco"/>
    <n v="0"/>
    <n v="0"/>
  </r>
  <r>
    <x v="10"/>
    <x v="23"/>
    <s v="11546437-MY-AK"/>
    <n v="716074"/>
    <n v="15"/>
    <n v="1500"/>
    <n v="22500"/>
    <n v="280"/>
    <s v="Yes"/>
    <m/>
    <s v="Yes"/>
    <m/>
    <s v="Yes"/>
    <m/>
    <s v="Yes"/>
    <m/>
    <s v="N/A"/>
    <m/>
    <s v="Yes"/>
    <m/>
    <s v="Yes"/>
    <m/>
    <s v="Re-certified"/>
    <s v="infasco"/>
    <n v="0"/>
    <n v="0"/>
  </r>
  <r>
    <x v="10"/>
    <x v="22"/>
    <n v="11546377"/>
    <n v="716613"/>
    <n v="15"/>
    <n v="2150"/>
    <n v="32250"/>
    <n v="280"/>
    <s v="Yes"/>
    <m/>
    <s v="Yes"/>
    <m/>
    <s v="Yes"/>
    <m/>
    <s v="Yes"/>
    <m/>
    <s v="N/A"/>
    <m/>
    <s v="Yes"/>
    <m/>
    <s v="Yes"/>
    <m/>
    <s v="Re-certified"/>
    <s v="infasco"/>
    <n v="0"/>
    <n v="0"/>
  </r>
  <r>
    <x v="10"/>
    <x v="21"/>
    <n v="11546449"/>
    <n v="716283"/>
    <n v="23"/>
    <n v="2500"/>
    <n v="57500"/>
    <n v="280"/>
    <s v="Yes"/>
    <m/>
    <s v="Yes"/>
    <m/>
    <s v="Yes"/>
    <m/>
    <s v="Yes"/>
    <m/>
    <s v="N/A"/>
    <m/>
    <s v="Yes"/>
    <m/>
    <s v="Yes"/>
    <m/>
    <s v="New"/>
    <s v="infasco"/>
    <n v="106.94"/>
    <n v="106.94"/>
  </r>
  <r>
    <x v="10"/>
    <x v="21"/>
    <n v="11546449"/>
    <n v="716279"/>
    <n v="36"/>
    <n v="2500"/>
    <n v="90000"/>
    <n v="280"/>
    <s v="Yes"/>
    <m/>
    <s v="Yes"/>
    <m/>
    <s v="Yes"/>
    <m/>
    <s v="Yes"/>
    <m/>
    <s v="N/A"/>
    <m/>
    <s v="Yes"/>
    <m/>
    <s v="Yes"/>
    <m/>
    <s v="New"/>
    <s v="infasco"/>
    <n v="106.94"/>
    <n v="106.94"/>
  </r>
  <r>
    <x v="10"/>
    <x v="21"/>
    <n v="11546449"/>
    <n v="716274"/>
    <n v="14"/>
    <n v="2500"/>
    <n v="35000"/>
    <n v="280"/>
    <s v="Yes"/>
    <m/>
    <s v="Yes"/>
    <m/>
    <s v="Yes"/>
    <m/>
    <s v="Yes"/>
    <m/>
    <s v="N/A"/>
    <m/>
    <s v="Yes"/>
    <m/>
    <s v="Yes"/>
    <m/>
    <s v="Re-certified"/>
    <s v="infasco"/>
    <n v="0"/>
    <n v="0"/>
  </r>
  <r>
    <x v="10"/>
    <x v="20"/>
    <s v="11546367-MY-AK"/>
    <n v="715731"/>
    <n v="36"/>
    <n v="700"/>
    <n v="25200"/>
    <n v="280"/>
    <s v="Yes"/>
    <m/>
    <s v="Yes"/>
    <m/>
    <s v="Yes"/>
    <m/>
    <s v="Yes"/>
    <m/>
    <s v="N/A"/>
    <m/>
    <s v="Yes"/>
    <m/>
    <s v="Yes"/>
    <m/>
    <s v="New"/>
    <s v="infasco"/>
    <n v="106.94"/>
    <n v="106.94"/>
  </r>
  <r>
    <x v="10"/>
    <x v="20"/>
    <s v="11546367-MY-AK"/>
    <n v="715729"/>
    <n v="16"/>
    <n v="700"/>
    <n v="11200"/>
    <n v="280"/>
    <s v="Yes"/>
    <m/>
    <s v="Yes"/>
    <m/>
    <s v="Yes"/>
    <m/>
    <s v="Yes"/>
    <m/>
    <s v="N/A"/>
    <m/>
    <s v="Yes"/>
    <m/>
    <s v="Yes"/>
    <m/>
    <s v="Re-certified"/>
    <s v="infasco"/>
    <n v="0"/>
    <n v="0"/>
  </r>
  <r>
    <x v="10"/>
    <x v="14"/>
    <n v="11612078"/>
    <n v="710173"/>
    <n v="8"/>
    <n v="1850"/>
    <n v="14800"/>
    <n v="4"/>
    <s v="Yes"/>
    <m/>
    <s v="Yes"/>
    <m/>
    <s v="Yes"/>
    <m/>
    <s v="Yes"/>
    <m/>
    <s v="N/A"/>
    <m/>
    <s v="Yes"/>
    <m/>
    <s v="Yes"/>
    <m/>
    <s v="New"/>
    <s v="infasco"/>
    <n v="247.64"/>
    <n v="247.64"/>
  </r>
  <r>
    <x v="10"/>
    <x v="14"/>
    <n v="11612078"/>
    <n v="706811"/>
    <n v="17"/>
    <n v="1850"/>
    <n v="31450"/>
    <n v="4"/>
    <s v="Yes"/>
    <m/>
    <s v="Yes"/>
    <m/>
    <s v="Yes"/>
    <m/>
    <s v="Yes"/>
    <m/>
    <s v="N/A"/>
    <m/>
    <s v="Yes"/>
    <m/>
    <s v="Yes"/>
    <m/>
    <s v="Re-certified"/>
    <s v="infasco"/>
    <n v="0"/>
    <n v="0"/>
  </r>
  <r>
    <x v="11"/>
    <x v="12"/>
    <n v="11549170"/>
    <n v="714640"/>
    <n v="24"/>
    <n v="400"/>
    <n v="9600"/>
    <n v="275"/>
    <s v="Yes"/>
    <m/>
    <s v="Yes"/>
    <m/>
    <s v="Yes"/>
    <m/>
    <s v="Yes"/>
    <m/>
    <s v="N/A"/>
    <m/>
    <s v="Yes"/>
    <m/>
    <s v="Yes"/>
    <m/>
    <s v="New"/>
    <s v="infasco"/>
    <n v="106.94"/>
    <n v="106.94"/>
  </r>
  <r>
    <x v="11"/>
    <x v="12"/>
    <n v="11549170"/>
    <n v="715823"/>
    <n v="36"/>
    <n v="400"/>
    <n v="14400"/>
    <n v="275"/>
    <s v="Yes"/>
    <m/>
    <s v="Yes"/>
    <m/>
    <s v="Yes"/>
    <m/>
    <s v="Yes"/>
    <m/>
    <s v="N/A"/>
    <m/>
    <s v="Yes"/>
    <m/>
    <s v="Yes"/>
    <m/>
    <s v="New"/>
    <s v="infasco"/>
    <n v="106.94"/>
    <n v="106.94"/>
  </r>
  <r>
    <x v="11"/>
    <x v="12"/>
    <s v="11546368-MY-AK"/>
    <n v="715721"/>
    <n v="20"/>
    <n v="450"/>
    <n v="9000"/>
    <n v="275"/>
    <s v="Yes"/>
    <m/>
    <s v="Yes"/>
    <m/>
    <s v="Yes"/>
    <m/>
    <s v="Yes"/>
    <m/>
    <s v="N/A"/>
    <m/>
    <s v="Yes"/>
    <m/>
    <s v="Yes"/>
    <m/>
    <s v="Re-certified"/>
    <s v="infasco"/>
    <n v="0"/>
    <n v="0"/>
  </r>
  <r>
    <x v="11"/>
    <x v="6"/>
    <s v="W520101-S450"/>
    <n v="714690"/>
    <n v="18"/>
    <n v="3000"/>
    <n v="54000"/>
    <n v="275"/>
    <s v="Yes"/>
    <m/>
    <s v="Yes"/>
    <m/>
    <s v="Yes"/>
    <m/>
    <s v="Yes"/>
    <m/>
    <s v="N/A"/>
    <m/>
    <s v="Yes"/>
    <m/>
    <s v="Yes"/>
    <m/>
    <s v="New"/>
    <s v="infasco"/>
    <n v="106.94"/>
    <n v="106.94"/>
  </r>
  <r>
    <x v="11"/>
    <x v="6"/>
    <s v="W520101-S450"/>
    <n v="714697"/>
    <n v="19"/>
    <n v="3000"/>
    <n v="57000"/>
    <n v="275"/>
    <s v="Yes"/>
    <m/>
    <s v="Yes"/>
    <m/>
    <s v="Yes"/>
    <m/>
    <s v="Yes"/>
    <m/>
    <s v="N/A"/>
    <m/>
    <s v="Yes"/>
    <m/>
    <s v="Yes"/>
    <m/>
    <s v="Re-certified"/>
    <s v="infasco"/>
    <n v="0"/>
    <n v="0"/>
  </r>
  <r>
    <x v="11"/>
    <x v="10"/>
    <n v="11546449"/>
    <n v="716282"/>
    <n v="18"/>
    <n v="2500"/>
    <n v="45000"/>
    <n v="275"/>
    <s v="Yes"/>
    <m/>
    <s v="Yes"/>
    <m/>
    <s v="Yes"/>
    <m/>
    <s v="Yes"/>
    <m/>
    <s v="N/A"/>
    <m/>
    <s v="Yes"/>
    <m/>
    <s v="Yes"/>
    <m/>
    <s v="New"/>
    <s v="infasco"/>
    <n v="106.94"/>
    <n v="106.94"/>
  </r>
  <r>
    <x v="11"/>
    <x v="10"/>
    <n v="11546449"/>
    <n v="716275"/>
    <n v="14"/>
    <n v="2500"/>
    <n v="35000"/>
    <n v="275"/>
    <s v="Yes"/>
    <m/>
    <s v="Yes"/>
    <m/>
    <s v="Yes"/>
    <m/>
    <s v="Yes"/>
    <m/>
    <s v="N/A"/>
    <m/>
    <s v="Yes"/>
    <m/>
    <s v="Yes"/>
    <m/>
    <s v="Re-certified"/>
    <s v="infasco"/>
    <n v="0"/>
    <n v="0"/>
  </r>
  <r>
    <x v="11"/>
    <x v="7"/>
    <s v="06104388AA"/>
    <n v="715866"/>
    <n v="9"/>
    <n v="660"/>
    <n v="5940"/>
    <n v="275"/>
    <s v="Yes"/>
    <m/>
    <s v="Yes"/>
    <m/>
    <s v="Yes"/>
    <m/>
    <s v="Yes"/>
    <m/>
    <s v="N/A"/>
    <m/>
    <s v="Yes"/>
    <m/>
    <s v="Yes"/>
    <m/>
    <s v="New"/>
    <s v="infasco"/>
    <n v="135.08000000000001"/>
    <n v="135.08000000000001"/>
  </r>
  <r>
    <x v="11"/>
    <x v="7"/>
    <n v="11547176"/>
    <n v="716682"/>
    <n v="20"/>
    <n v="850"/>
    <n v="17000"/>
    <n v="275"/>
    <s v="Yes"/>
    <m/>
    <s v="Yes"/>
    <m/>
    <s v="Yes"/>
    <m/>
    <s v="Yes"/>
    <m/>
    <s v="N/A"/>
    <m/>
    <s v="Yes"/>
    <m/>
    <s v="Yes"/>
    <m/>
    <s v="Re-certified"/>
    <s v="infasco"/>
    <n v="0"/>
    <n v="0"/>
  </r>
  <r>
    <x v="11"/>
    <x v="8"/>
    <n v="11549170"/>
    <n v="715826"/>
    <n v="36"/>
    <n v="400"/>
    <n v="14400"/>
    <n v="275"/>
    <s v="Yes"/>
    <m/>
    <s v="Yes"/>
    <m/>
    <s v="Yes"/>
    <m/>
    <s v="Yes"/>
    <m/>
    <s v="N/A"/>
    <m/>
    <s v="Yes"/>
    <m/>
    <s v="Yes"/>
    <m/>
    <s v="New"/>
    <s v="infasco"/>
    <n v="106.94"/>
    <n v="106.94"/>
  </r>
  <r>
    <x v="11"/>
    <x v="8"/>
    <n v="11549170"/>
    <n v="715829"/>
    <n v="52"/>
    <n v="400"/>
    <n v="20800"/>
    <n v="275"/>
    <s v="Yes"/>
    <m/>
    <s v="Yes"/>
    <m/>
    <s v="Yes"/>
    <m/>
    <s v="Yes"/>
    <m/>
    <s v="N/A"/>
    <m/>
    <s v="Yes"/>
    <m/>
    <s v="Yes"/>
    <m/>
    <s v="New"/>
    <s v="infasco"/>
    <n v="106.94"/>
    <n v="106.94"/>
  </r>
  <r>
    <x v="11"/>
    <x v="11"/>
    <n v="11546449"/>
    <n v="716273"/>
    <n v="14"/>
    <n v="2500"/>
    <n v="35000"/>
    <n v="275"/>
    <s v="Yes"/>
    <m/>
    <s v="Yes"/>
    <m/>
    <s v="Yes"/>
    <m/>
    <s v="Yes"/>
    <m/>
    <s v="N/A"/>
    <m/>
    <s v="Yes"/>
    <m/>
    <s v="Yes"/>
    <m/>
    <s v="New"/>
    <s v="infasco"/>
    <n v="106.94"/>
    <n v="106.94"/>
  </r>
  <r>
    <x v="11"/>
    <x v="11"/>
    <n v="11546449"/>
    <n v="716272"/>
    <n v="22"/>
    <n v="2500"/>
    <n v="55000"/>
    <n v="275"/>
    <s v="Yes"/>
    <m/>
    <s v="Yes"/>
    <m/>
    <s v="Yes"/>
    <m/>
    <s v="Yes"/>
    <m/>
    <s v="N/A"/>
    <m/>
    <s v="Yes"/>
    <m/>
    <s v="Yes"/>
    <m/>
    <s v="Re-certified"/>
    <s v="infasco"/>
    <n v="0"/>
    <n v="0"/>
  </r>
  <r>
    <x v="11"/>
    <x v="9"/>
    <s v="11546365-MY-AK"/>
    <n v="714539"/>
    <n v="36"/>
    <n v="1900"/>
    <n v="68400"/>
    <n v="275"/>
    <s v="Yes"/>
    <m/>
    <s v="Yes"/>
    <m/>
    <s v="Yes"/>
    <m/>
    <s v="Yes"/>
    <m/>
    <s v="N/A"/>
    <m/>
    <s v="Yes"/>
    <m/>
    <s v="Yes"/>
    <m/>
    <s v="New"/>
    <s v="infasco"/>
    <n v="106.94"/>
    <n v="106.94"/>
  </r>
  <r>
    <x v="11"/>
    <x v="9"/>
    <s v="11546365-MY-AK"/>
    <n v="714540"/>
    <n v="23"/>
    <n v="1900"/>
    <n v="43700"/>
    <n v="275"/>
    <s v="Yes"/>
    <m/>
    <s v="Yes"/>
    <m/>
    <s v="Yes"/>
    <m/>
    <s v="Yes"/>
    <m/>
    <s v="N/A"/>
    <m/>
    <s v="Yes"/>
    <m/>
    <s v="Yes"/>
    <m/>
    <s v="Re-certified"/>
    <s v="infasco"/>
    <n v="0"/>
    <n v="0"/>
  </r>
  <r>
    <x v="11"/>
    <x v="26"/>
    <n v="11549170"/>
    <n v="714641"/>
    <n v="30"/>
    <n v="400"/>
    <n v="12000"/>
    <n v="290"/>
    <s v="Yes"/>
    <m/>
    <s v="Yes"/>
    <m/>
    <s v="Yes"/>
    <m/>
    <s v="Yes"/>
    <m/>
    <s v="N/A"/>
    <m/>
    <s v="Yes"/>
    <m/>
    <s v="Yes"/>
    <m/>
    <s v="New"/>
    <s v="infasco"/>
    <n v="106.94"/>
    <n v="106.94"/>
  </r>
  <r>
    <x v="11"/>
    <x v="26"/>
    <n v="11549170"/>
    <n v="714629"/>
    <n v="36"/>
    <n v="400"/>
    <n v="14400"/>
    <n v="290"/>
    <s v="Yes"/>
    <m/>
    <s v="Yes"/>
    <m/>
    <s v="Yes"/>
    <m/>
    <s v="Yes"/>
    <m/>
    <s v="N/A"/>
    <m/>
    <s v="Yes"/>
    <m/>
    <s v="Yes"/>
    <m/>
    <s v="New"/>
    <s v="infasco"/>
    <n v="106.94"/>
    <n v="106.94"/>
  </r>
  <r>
    <x v="11"/>
    <x v="26"/>
    <n v="11549168"/>
    <n v="715770"/>
    <n v="36"/>
    <n v="1000"/>
    <n v="36000"/>
    <n v="290"/>
    <s v="Yes"/>
    <m/>
    <s v="Yes"/>
    <m/>
    <s v="Yes"/>
    <m/>
    <s v="Yes"/>
    <m/>
    <s v="N/A"/>
    <m/>
    <s v="Yes"/>
    <m/>
    <s v="Yes"/>
    <m/>
    <s v="New"/>
    <s v="infasco"/>
    <n v="106.94"/>
    <n v="106.94"/>
  </r>
  <r>
    <x v="11"/>
    <x v="26"/>
    <n v="11549168"/>
    <n v="715773"/>
    <n v="6"/>
    <n v="1000"/>
    <n v="6000"/>
    <n v="290"/>
    <s v="Yes"/>
    <m/>
    <s v="Yes"/>
    <m/>
    <s v="Yes"/>
    <m/>
    <s v="Yes"/>
    <m/>
    <s v="N/A"/>
    <m/>
    <s v="Yes"/>
    <m/>
    <s v="Yes"/>
    <m/>
    <s v="Re-certified"/>
    <s v="infasco"/>
    <n v="0"/>
    <n v="0"/>
  </r>
  <r>
    <x v="11"/>
    <x v="31"/>
    <n v="11549170"/>
    <n v="714630"/>
    <n v="6"/>
    <n v="400"/>
    <n v="2400"/>
    <n v="290"/>
    <s v="Yes"/>
    <m/>
    <s v="Yes"/>
    <m/>
    <s v="Yes"/>
    <m/>
    <s v="Yes"/>
    <m/>
    <s v="N/A"/>
    <m/>
    <s v="Yes"/>
    <m/>
    <s v="Yes"/>
    <m/>
    <s v="New"/>
    <s v="infasco"/>
    <n v="106.94"/>
    <n v="106.94"/>
  </r>
  <r>
    <x v="11"/>
    <x v="31"/>
    <n v="11549170"/>
    <n v="715819"/>
    <n v="36"/>
    <n v="400"/>
    <n v="14400"/>
    <n v="290"/>
    <s v="Yes"/>
    <m/>
    <s v="Yes"/>
    <m/>
    <s v="Yes"/>
    <m/>
    <s v="Yes"/>
    <m/>
    <s v="N/A"/>
    <m/>
    <s v="Yes"/>
    <m/>
    <s v="Yes"/>
    <m/>
    <s v="New"/>
    <s v="infasco"/>
    <n v="106.94"/>
    <n v="106.94"/>
  </r>
  <r>
    <x v="11"/>
    <x v="31"/>
    <n v="11549170"/>
    <n v="715776"/>
    <n v="36"/>
    <n v="400"/>
    <n v="14400"/>
    <n v="290"/>
    <s v="Yes"/>
    <m/>
    <s v="Yes"/>
    <m/>
    <s v="Yes"/>
    <m/>
    <s v="Yes"/>
    <m/>
    <s v="N/A"/>
    <m/>
    <s v="Yes"/>
    <m/>
    <s v="Yes"/>
    <m/>
    <s v="New"/>
    <s v="infasco"/>
    <n v="106.94"/>
    <n v="106.94"/>
  </r>
  <r>
    <x v="11"/>
    <x v="31"/>
    <s v="06101831-A"/>
    <n v="716504"/>
    <n v="14"/>
    <n v="1000"/>
    <n v="14000"/>
    <n v="290"/>
    <s v="Yes"/>
    <m/>
    <s v="Yes"/>
    <m/>
    <s v="Yes"/>
    <m/>
    <s v="Yes"/>
    <m/>
    <s v="N/A"/>
    <m/>
    <s v="Yes"/>
    <m/>
    <s v="Yes"/>
    <m/>
    <s v="Re-certified"/>
    <s v="infasco"/>
    <n v="0"/>
    <n v="0"/>
  </r>
  <r>
    <x v="11"/>
    <x v="28"/>
    <s v="06105048AA"/>
    <n v="716102"/>
    <n v="22"/>
    <n v="800"/>
    <n v="17600"/>
    <n v="290"/>
    <s v="Yes"/>
    <m/>
    <s v="Yes"/>
    <m/>
    <s v="Yes"/>
    <m/>
    <s v="Yes"/>
    <m/>
    <s v="N/A"/>
    <m/>
    <s v="Yes"/>
    <m/>
    <s v="Yes"/>
    <m/>
    <s v="New"/>
    <s v="infasco"/>
    <n v="280.15999999999997"/>
    <n v="280.15999999999997"/>
  </r>
  <r>
    <x v="11"/>
    <x v="29"/>
    <n v="11546449"/>
    <n v="715764"/>
    <n v="37"/>
    <n v="2500"/>
    <n v="92500"/>
    <n v="290"/>
    <s v="Yes"/>
    <m/>
    <s v="Yes"/>
    <m/>
    <s v="Yes"/>
    <m/>
    <s v="Yes"/>
    <m/>
    <s v="N/A"/>
    <m/>
    <s v="Yes"/>
    <m/>
    <s v="Yes"/>
    <m/>
    <s v="New"/>
    <s v="infasco"/>
    <n v="106.94"/>
    <n v="106.94"/>
  </r>
  <r>
    <x v="11"/>
    <x v="29"/>
    <n v="11546449"/>
    <n v="715762"/>
    <n v="9"/>
    <n v="2500"/>
    <n v="22500"/>
    <n v="290"/>
    <s v="Yes"/>
    <m/>
    <s v="Yes"/>
    <m/>
    <s v="Yes"/>
    <m/>
    <s v="Yes"/>
    <m/>
    <s v="N/A"/>
    <m/>
    <s v="Yes"/>
    <m/>
    <s v="Yes"/>
    <m/>
    <s v="Re-certified"/>
    <s v="infasco"/>
    <n v="0"/>
    <n v="0"/>
  </r>
  <r>
    <x v="11"/>
    <x v="30"/>
    <n v="11549170"/>
    <n v="714631"/>
    <n v="36"/>
    <n v="400"/>
    <n v="14400"/>
    <n v="290"/>
    <s v="Yes"/>
    <m/>
    <s v="Yes"/>
    <m/>
    <s v="Yes"/>
    <m/>
    <s v="Yes"/>
    <m/>
    <s v="N/A"/>
    <m/>
    <s v="Yes"/>
    <m/>
    <s v="Yes"/>
    <m/>
    <s v="New"/>
    <s v="infasco"/>
    <n v="106.94"/>
    <n v="106.94"/>
  </r>
  <r>
    <x v="11"/>
    <x v="30"/>
    <n v="11549170"/>
    <n v="715783"/>
    <n v="58"/>
    <n v="400"/>
    <n v="23200"/>
    <n v="290"/>
    <s v="Yes"/>
    <m/>
    <s v="Yes"/>
    <m/>
    <s v="Yes"/>
    <m/>
    <s v="Yes"/>
    <m/>
    <s v="N/A"/>
    <m/>
    <s v="Yes"/>
    <m/>
    <s v="Yes"/>
    <m/>
    <s v="New"/>
    <s v="infasco"/>
    <n v="106.94"/>
    <n v="106.94"/>
  </r>
  <r>
    <x v="11"/>
    <x v="30"/>
    <s v="11549168-MY-AK"/>
    <n v="715719"/>
    <n v="36"/>
    <n v="450"/>
    <n v="16200"/>
    <n v="290"/>
    <s v="Yes"/>
    <m/>
    <s v="Yes"/>
    <m/>
    <s v="Yes"/>
    <m/>
    <s v="Yes"/>
    <m/>
    <s v="N/A"/>
    <m/>
    <s v="Yes"/>
    <m/>
    <s v="Yes"/>
    <m/>
    <s v="New"/>
    <s v="infasco"/>
    <n v="106.94"/>
    <n v="106.94"/>
  </r>
  <r>
    <x v="11"/>
    <x v="19"/>
    <s v="11546366-MY-AK"/>
    <n v="714531"/>
    <n v="21"/>
    <n v="1000"/>
    <n v="21000"/>
    <n v="292"/>
    <s v="Yes"/>
    <m/>
    <s v="Yes"/>
    <m/>
    <s v="Yes"/>
    <m/>
    <s v="Yes"/>
    <m/>
    <s v="N/A"/>
    <m/>
    <s v="Yes"/>
    <m/>
    <s v="Yes"/>
    <m/>
    <s v="New"/>
    <s v="infasco"/>
    <n v="106.94"/>
    <n v="106.94"/>
  </r>
  <r>
    <x v="11"/>
    <x v="0"/>
    <s v="06101968-A"/>
    <n v="715606"/>
    <n v="3"/>
    <n v="2200"/>
    <n v="6600"/>
    <n v="292"/>
    <s v="Yes"/>
    <m/>
    <s v="Yes"/>
    <m/>
    <s v="Yes"/>
    <m/>
    <s v="Yes"/>
    <m/>
    <s v="N/A"/>
    <m/>
    <s v="Yes"/>
    <m/>
    <s v="Yes"/>
    <m/>
    <s v="New"/>
    <s v="infasco"/>
    <n v="106.94"/>
    <n v="106.94"/>
  </r>
  <r>
    <x v="11"/>
    <x v="0"/>
    <s v="11546366-MY-AK"/>
    <n v="714530"/>
    <n v="41"/>
    <n v="1000"/>
    <n v="41000"/>
    <n v="292"/>
    <s v="Yes"/>
    <m/>
    <s v="Yes"/>
    <m/>
    <s v="Yes"/>
    <m/>
    <s v="Yes"/>
    <m/>
    <s v="N/A"/>
    <m/>
    <s v="Yes"/>
    <m/>
    <s v="Yes"/>
    <m/>
    <s v="New"/>
    <s v="infasco"/>
    <n v="106.94"/>
    <n v="106.94"/>
  </r>
  <r>
    <x v="11"/>
    <x v="3"/>
    <n v="11549170"/>
    <n v="714365"/>
    <n v="21"/>
    <n v="400"/>
    <n v="8400"/>
    <n v="292"/>
    <s v="Yes"/>
    <m/>
    <s v="Yes"/>
    <m/>
    <s v="Yes"/>
    <m/>
    <s v="Yes"/>
    <m/>
    <s v="N/A"/>
    <m/>
    <s v="Yes"/>
    <m/>
    <s v="Yes"/>
    <m/>
    <s v="New"/>
    <s v="infasco"/>
    <n v="106.94"/>
    <n v="106.94"/>
  </r>
  <r>
    <x v="11"/>
    <x v="3"/>
    <n v="11549170"/>
    <n v="715822"/>
    <n v="55"/>
    <n v="400"/>
    <n v="22000"/>
    <n v="292"/>
    <s v="Yes"/>
    <m/>
    <s v="Yes"/>
    <m/>
    <s v="Yes"/>
    <m/>
    <s v="Yes"/>
    <m/>
    <s v="N/A"/>
    <m/>
    <s v="Yes"/>
    <m/>
    <s v="Yes"/>
    <m/>
    <s v="New"/>
    <s v="infasco"/>
    <n v="106.94"/>
    <n v="106.94"/>
  </r>
  <r>
    <x v="11"/>
    <x v="3"/>
    <s v="11546368-MY-AK"/>
    <n v="715717"/>
    <n v="36"/>
    <n v="450"/>
    <n v="16200"/>
    <n v="292"/>
    <s v="Yes"/>
    <m/>
    <s v="Yes"/>
    <m/>
    <s v="Yes"/>
    <m/>
    <s v="Yes"/>
    <m/>
    <s v="N/A"/>
    <m/>
    <s v="Yes"/>
    <m/>
    <s v="Yes"/>
    <m/>
    <s v="New"/>
    <s v="infasco"/>
    <n v="106.94"/>
    <n v="106.94"/>
  </r>
  <r>
    <x v="11"/>
    <x v="2"/>
    <n v="11549168"/>
    <n v="714306"/>
    <n v="6"/>
    <n v="1000"/>
    <n v="6000"/>
    <n v="292"/>
    <s v="Yes"/>
    <m/>
    <s v="Yes"/>
    <m/>
    <s v="Yes"/>
    <m/>
    <s v="Yes"/>
    <m/>
    <s v="N/A"/>
    <m/>
    <s v="Yes"/>
    <m/>
    <s v="Yes"/>
    <m/>
    <s v="New"/>
    <s v="infasco"/>
    <n v="106.94"/>
    <n v="106.94"/>
  </r>
  <r>
    <x v="11"/>
    <x v="2"/>
    <n v="11549168"/>
    <n v="715768"/>
    <n v="20"/>
    <n v="1000"/>
    <n v="20000"/>
    <n v="292"/>
    <s v="Yes"/>
    <m/>
    <s v="Yes"/>
    <m/>
    <s v="Yes"/>
    <m/>
    <s v="Yes"/>
    <m/>
    <s v="N/A"/>
    <m/>
    <s v="Yes"/>
    <m/>
    <s v="Yes"/>
    <m/>
    <s v="Re-certified"/>
    <s v="infasco"/>
    <n v="0"/>
    <n v="0"/>
  </r>
  <r>
    <x v="11"/>
    <x v="1"/>
    <s v="11546365-MY-AK"/>
    <n v="714536"/>
    <n v="23"/>
    <n v="1900"/>
    <n v="43700"/>
    <n v="292"/>
    <s v="Yes"/>
    <m/>
    <s v="Yes"/>
    <m/>
    <s v="Yes"/>
    <m/>
    <s v="Yes"/>
    <m/>
    <s v="N/A"/>
    <m/>
    <s v="Yes"/>
    <m/>
    <s v="Yes"/>
    <m/>
    <s v="Re-certified"/>
    <s v="infasco"/>
    <n v="0"/>
    <n v="0"/>
  </r>
  <r>
    <x v="11"/>
    <x v="4"/>
    <s v="W520413-S450"/>
    <n v="714702"/>
    <n v="29"/>
    <n v="1900"/>
    <n v="55100"/>
    <n v="292"/>
    <s v="Yes"/>
    <m/>
    <s v="Yes"/>
    <m/>
    <s v="Yes"/>
    <m/>
    <s v="Yes"/>
    <m/>
    <s v="N/A"/>
    <m/>
    <s v="Yes"/>
    <m/>
    <s v="Yes"/>
    <m/>
    <s v="New"/>
    <s v="infasco"/>
    <n v="106.94"/>
    <n v="106.94"/>
  </r>
  <r>
    <x v="11"/>
    <x v="4"/>
    <s v="W716298-S450"/>
    <n v="714425"/>
    <n v="5"/>
    <n v="3500"/>
    <n v="17500"/>
    <n v="292"/>
    <s v="Yes"/>
    <m/>
    <s v="Yes"/>
    <m/>
    <s v="Yes"/>
    <m/>
    <s v="Yes"/>
    <m/>
    <s v="N/A"/>
    <m/>
    <s v="Yes"/>
    <m/>
    <s v="Yes"/>
    <m/>
    <s v="Re-certified"/>
    <s v="infasco"/>
    <n v="0"/>
    <n v="0"/>
  </r>
  <r>
    <x v="11"/>
    <x v="5"/>
    <s v="11546367-MY-AK"/>
    <n v="715728"/>
    <n v="16"/>
    <n v="700"/>
    <n v="11200"/>
    <n v="292"/>
    <s v="Yes"/>
    <m/>
    <s v="Yes"/>
    <m/>
    <s v="Yes"/>
    <m/>
    <s v="Yes"/>
    <m/>
    <s v="N/A"/>
    <m/>
    <s v="Yes"/>
    <m/>
    <s v="Yes"/>
    <m/>
    <s v="New"/>
    <s v="infasco"/>
    <n v="106.94"/>
    <n v="106.94"/>
  </r>
  <r>
    <x v="11"/>
    <x v="5"/>
    <s v="11546367-MY-AK"/>
    <n v="715725"/>
    <n v="36"/>
    <n v="700"/>
    <n v="25200"/>
    <n v="292"/>
    <s v="Yes"/>
    <m/>
    <s v="Yes"/>
    <m/>
    <s v="Yes"/>
    <m/>
    <s v="Yes"/>
    <m/>
    <s v="N/A"/>
    <m/>
    <s v="Yes"/>
    <m/>
    <s v="Yes"/>
    <m/>
    <s v="New"/>
    <s v="infasco"/>
    <n v="106.94"/>
    <n v="106.94"/>
  </r>
  <r>
    <x v="11"/>
    <x v="5"/>
    <s v="11546367-MY-AK"/>
    <n v="715724"/>
    <n v="30"/>
    <n v="700"/>
    <n v="21000"/>
    <n v="292"/>
    <s v="Yes"/>
    <m/>
    <s v="Yes"/>
    <m/>
    <s v="Yes"/>
    <m/>
    <s v="Yes"/>
    <m/>
    <s v="N/A"/>
    <m/>
    <s v="Yes"/>
    <m/>
    <s v="Yes"/>
    <m/>
    <s v="Re-certified"/>
    <s v="infasco"/>
    <n v="0"/>
    <n v="0"/>
  </r>
  <r>
    <x v="11"/>
    <x v="27"/>
    <s v="06511847AA"/>
    <n v="716163"/>
    <n v="5"/>
    <n v="750"/>
    <n v="3750"/>
    <n v="290"/>
    <s v="Yes"/>
    <m/>
    <s v="Yes"/>
    <m/>
    <s v="Yes"/>
    <m/>
    <s v="Yes"/>
    <m/>
    <s v="N/A"/>
    <m/>
    <s v="Yes"/>
    <m/>
    <s v="Yes"/>
    <m/>
    <s v="New"/>
    <s v="infasco"/>
    <n v="106.94"/>
    <n v="106.94"/>
  </r>
  <r>
    <x v="11"/>
    <x v="27"/>
    <s v="06511847AA"/>
    <n v="716162"/>
    <n v="30"/>
    <n v="750"/>
    <n v="22500"/>
    <n v="290"/>
    <s v="Yes"/>
    <m/>
    <s v="Yes"/>
    <m/>
    <s v="Yes"/>
    <m/>
    <s v="Yes"/>
    <m/>
    <s v="N/A"/>
    <m/>
    <s v="Yes"/>
    <m/>
    <s v="Yes"/>
    <m/>
    <s v="New"/>
    <s v="infasco"/>
    <n v="106.94"/>
    <n v="106.94"/>
  </r>
  <r>
    <x v="11"/>
    <x v="27"/>
    <s v="NU5210-03"/>
    <n v="717106"/>
    <n v="1"/>
    <n v="29000"/>
    <n v="29000"/>
    <n v="290"/>
    <s v="Yes"/>
    <m/>
    <s v="Yes"/>
    <m/>
    <s v="Yes"/>
    <m/>
    <s v="Yes"/>
    <m/>
    <s v="N/A"/>
    <m/>
    <s v="Yes"/>
    <m/>
    <s v="Yes"/>
    <m/>
    <s v="Re-certified"/>
    <s v="infasco"/>
    <n v="0"/>
    <n v="0"/>
  </r>
  <r>
    <x v="11"/>
    <x v="32"/>
    <s v="11546367-CA-IN"/>
    <n v="713920"/>
    <n v="33"/>
    <n v="700"/>
    <n v="23100"/>
    <s v="294+252"/>
    <s v="Yes"/>
    <m/>
    <s v="Yes"/>
    <m/>
    <s v="Yes"/>
    <m/>
    <s v="Yes"/>
    <m/>
    <s v="N/A"/>
    <m/>
    <s v="Yes"/>
    <m/>
    <s v="Yes"/>
    <m/>
    <s v="New"/>
    <s v="infasco"/>
    <n v="213.88"/>
    <n v="213.88"/>
  </r>
  <r>
    <x v="11"/>
    <x v="32"/>
    <s v="06513404AA"/>
    <n v="716089"/>
    <n v="37"/>
    <n v="1200"/>
    <n v="44400"/>
    <s v="294+252"/>
    <s v="Yes"/>
    <m/>
    <s v="Yes"/>
    <m/>
    <s v="Yes"/>
    <m/>
    <s v="Yes"/>
    <m/>
    <s v="N/A"/>
    <m/>
    <s v="Yes"/>
    <m/>
    <s v="Yes"/>
    <m/>
    <s v="New"/>
    <s v="infasco"/>
    <n v="106.94"/>
    <n v="106.94"/>
  </r>
  <r>
    <x v="11"/>
    <x v="32"/>
    <s v="11546368-IN-PN"/>
    <n v="713812"/>
    <n v="30"/>
    <n v="450"/>
    <n v="13500"/>
    <s v="294+252"/>
    <s v="Yes"/>
    <m/>
    <s v="Yes"/>
    <m/>
    <s v="Yes"/>
    <m/>
    <s v="Yes"/>
    <m/>
    <s v="N/A"/>
    <m/>
    <s v="Yes"/>
    <m/>
    <s v="Yes"/>
    <m/>
    <s v="New"/>
    <s v="infasco"/>
    <n v="106.94"/>
    <n v="106.94"/>
  </r>
  <r>
    <x v="11"/>
    <x v="32"/>
    <n v="11546703"/>
    <n v="713856"/>
    <n v="31"/>
    <n v="4000"/>
    <n v="124000"/>
    <s v="294+252"/>
    <s v="Yes"/>
    <m/>
    <s v="Yes"/>
    <m/>
    <s v="Yes"/>
    <m/>
    <s v="Yes"/>
    <m/>
    <s v="N/A"/>
    <m/>
    <s v="Yes"/>
    <m/>
    <s v="Yes"/>
    <m/>
    <s v="New"/>
    <s v="infasco"/>
    <n v="135.07999999999998"/>
    <n v="135.07999999999998"/>
  </r>
  <r>
    <x v="11"/>
    <x v="32"/>
    <s v="06105048AA"/>
    <n v="716669"/>
    <n v="14"/>
    <n v="800"/>
    <n v="11200"/>
    <s v="294+252"/>
    <s v="Yes"/>
    <m/>
    <s v="Yes"/>
    <m/>
    <s v="Yes"/>
    <m/>
    <s v="Yes"/>
    <m/>
    <s v="N/A"/>
    <m/>
    <s v="Yes"/>
    <m/>
    <s v="Yes"/>
    <m/>
    <s v="New"/>
    <s v="infasco"/>
    <n v="280.15999999999997"/>
    <n v="280.15999999999997"/>
  </r>
  <r>
    <x v="11"/>
    <x v="32"/>
    <s v="06105102AA"/>
    <n v="716690"/>
    <n v="24"/>
    <n v="670"/>
    <n v="16080"/>
    <s v="294+252"/>
    <s v="Yes"/>
    <m/>
    <s v="Yes"/>
    <m/>
    <s v="Yes"/>
    <m/>
    <s v="Yes"/>
    <m/>
    <s v="N/A"/>
    <m/>
    <s v="Yes"/>
    <m/>
    <s v="Yes"/>
    <m/>
    <s v="New"/>
    <s v="infasco"/>
    <n v="280.16000000000003"/>
    <n v="280.16000000000003"/>
  </r>
  <r>
    <x v="11"/>
    <x v="32"/>
    <n v="11546703"/>
    <n v="713853"/>
    <n v="35"/>
    <n v="4000"/>
    <n v="140000"/>
    <s v="294+252"/>
    <s v="Yes"/>
    <m/>
    <s v="Yes"/>
    <m/>
    <s v="Yes"/>
    <m/>
    <s v="Yes"/>
    <m/>
    <s v="N/A"/>
    <m/>
    <s v="Yes"/>
    <m/>
    <s v="Yes"/>
    <m/>
    <s v="New"/>
    <s v="infasco"/>
    <n v="135.07999999999998"/>
    <n v="135.07999999999998"/>
  </r>
  <r>
    <x v="11"/>
    <x v="32"/>
    <n v="11602031"/>
    <n v="716718"/>
    <n v="36"/>
    <n v="145"/>
    <n v="5220"/>
    <s v="294+252"/>
    <s v="Yes"/>
    <m/>
    <s v="Yes"/>
    <m/>
    <s v="Yes"/>
    <m/>
    <s v="Yes"/>
    <m/>
    <s v="N/A"/>
    <m/>
    <s v="Yes"/>
    <m/>
    <s v="Yes"/>
    <m/>
    <s v="New"/>
    <s v="infasco"/>
    <n v="135.07999999999998"/>
    <n v="135.07999999999998"/>
  </r>
  <r>
    <x v="11"/>
    <x v="32"/>
    <n v="11602031"/>
    <n v="716714"/>
    <n v="27"/>
    <n v="145"/>
    <n v="3915"/>
    <s v="294+252"/>
    <s v="Yes"/>
    <m/>
    <s v="Yes"/>
    <m/>
    <s v="Yes"/>
    <m/>
    <s v="Yes"/>
    <m/>
    <s v="N/A"/>
    <m/>
    <s v="Yes"/>
    <m/>
    <s v="Yes"/>
    <m/>
    <s v="New"/>
    <s v="infasco"/>
    <n v="135.07999999999998"/>
    <n v="135.07999999999998"/>
  </r>
  <r>
    <x v="11"/>
    <x v="32"/>
    <n v="11602031"/>
    <n v="716713"/>
    <n v="5"/>
    <n v="145"/>
    <n v="725"/>
    <s v="294+252"/>
    <s v="Yes"/>
    <m/>
    <s v="Yes"/>
    <m/>
    <s v="Yes"/>
    <m/>
    <s v="Yes"/>
    <m/>
    <s v="N/A"/>
    <m/>
    <s v="Yes"/>
    <m/>
    <s v="Yes"/>
    <m/>
    <s v="Re-certified"/>
    <s v="infasco"/>
    <n v="0"/>
    <n v="0"/>
  </r>
  <r>
    <x v="11"/>
    <x v="15"/>
    <s v="11546367-CA-IN"/>
    <n v="713922"/>
    <n v="30"/>
    <n v="700"/>
    <n v="21000"/>
    <s v="157+245"/>
    <s v="Yes"/>
    <m/>
    <s v="Yes"/>
    <m/>
    <s v="Yes"/>
    <m/>
    <s v="Yes"/>
    <m/>
    <s v="N/A"/>
    <m/>
    <s v="Yes"/>
    <m/>
    <s v="Yes"/>
    <m/>
    <s v="New"/>
    <s v="infasco"/>
    <n v="213.88"/>
    <n v="213.88"/>
  </r>
  <r>
    <x v="11"/>
    <x v="15"/>
    <s v="06513404AA"/>
    <n v="716088"/>
    <n v="36"/>
    <n v="120"/>
    <n v="4320"/>
    <s v="157+245"/>
    <s v="Yes"/>
    <m/>
    <s v="Yes"/>
    <m/>
    <s v="Yes"/>
    <m/>
    <s v="Yes"/>
    <m/>
    <s v="N/A"/>
    <m/>
    <s v="Yes"/>
    <m/>
    <s v="Yes"/>
    <m/>
    <s v="New"/>
    <s v="infasco"/>
    <n v="106.94"/>
    <n v="106.94"/>
  </r>
  <r>
    <x v="11"/>
    <x v="15"/>
    <s v="06513404AA"/>
    <n v="716094"/>
    <n v="36"/>
    <n v="120"/>
    <n v="4320"/>
    <s v="157+245"/>
    <s v="Yes"/>
    <m/>
    <s v="Yes"/>
    <m/>
    <s v="Yes"/>
    <m/>
    <s v="Yes"/>
    <m/>
    <s v="N/A"/>
    <m/>
    <s v="Yes"/>
    <m/>
    <s v="Yes"/>
    <m/>
    <s v="New"/>
    <s v="infasco"/>
    <n v="106.94"/>
    <n v="106.94"/>
  </r>
  <r>
    <x v="11"/>
    <x v="15"/>
    <s v="06513404AA"/>
    <n v="716090"/>
    <n v="37"/>
    <n v="120"/>
    <n v="4440"/>
    <s v="157+245"/>
    <s v="Yes"/>
    <m/>
    <s v="Yes"/>
    <m/>
    <s v="Yes"/>
    <m/>
    <s v="Yes"/>
    <m/>
    <s v="N/A"/>
    <m/>
    <s v="Yes"/>
    <m/>
    <s v="Yes"/>
    <m/>
    <s v="New"/>
    <s v="infasco"/>
    <n v="106.94"/>
    <n v="106.94"/>
  </r>
  <r>
    <x v="11"/>
    <x v="15"/>
    <s v="06105048AA"/>
    <n v="716672"/>
    <n v="36"/>
    <n v="800"/>
    <n v="28800"/>
    <s v="157+245"/>
    <s v="Yes"/>
    <m/>
    <s v="Yes"/>
    <m/>
    <s v="Yes"/>
    <m/>
    <s v="Yes"/>
    <m/>
    <s v="N/A"/>
    <m/>
    <s v="Yes"/>
    <m/>
    <s v="Yes"/>
    <m/>
    <s v="New"/>
    <s v="infasco"/>
    <n v="280.15999999999997"/>
    <n v="280.15999999999997"/>
  </r>
  <r>
    <x v="11"/>
    <x v="15"/>
    <n v="61525"/>
    <n v="717228"/>
    <n v="35"/>
    <n v="3000"/>
    <n v="105000"/>
    <s v="157+245"/>
    <s v="Yes"/>
    <m/>
    <s v="Yes"/>
    <m/>
    <s v="Yes"/>
    <m/>
    <s v="Yes"/>
    <m/>
    <s v="N/A"/>
    <m/>
    <s v="Yes"/>
    <m/>
    <s v="Yes"/>
    <m/>
    <s v="New"/>
    <s v="infasco"/>
    <n v="224.49"/>
    <n v="224.49"/>
  </r>
  <r>
    <x v="11"/>
    <x v="15"/>
    <n v="11602031"/>
    <n v="716717"/>
    <n v="36"/>
    <n v="145"/>
    <n v="5220"/>
    <s v="157+245"/>
    <s v="Yes"/>
    <m/>
    <s v="Yes"/>
    <m/>
    <s v="Yes"/>
    <m/>
    <s v="Yes"/>
    <m/>
    <s v="N/A"/>
    <m/>
    <s v="Yes"/>
    <m/>
    <s v="Yes"/>
    <m/>
    <s v="New"/>
    <s v="infasco"/>
    <n v="135.07999999999998"/>
    <n v="135.07999999999998"/>
  </r>
  <r>
    <x v="11"/>
    <x v="15"/>
    <n v="11602031"/>
    <n v="716715"/>
    <n v="22"/>
    <n v="145"/>
    <n v="3190"/>
    <s v="157+245"/>
    <s v="Yes"/>
    <m/>
    <s v="Yes"/>
    <m/>
    <s v="Yes"/>
    <m/>
    <s v="Yes"/>
    <m/>
    <s v="N/A"/>
    <m/>
    <s v="Yes"/>
    <m/>
    <s v="Yes"/>
    <m/>
    <s v="New"/>
    <s v="infasco"/>
    <n v="135.07999999999998"/>
    <n v="135.07999999999998"/>
  </r>
  <r>
    <x v="11"/>
    <x v="15"/>
    <n v="11517665"/>
    <n v="716867"/>
    <n v="9"/>
    <n v="3000"/>
    <n v="27000"/>
    <s v="157+245"/>
    <s v="Yes"/>
    <m/>
    <s v="Yes"/>
    <m/>
    <s v="Yes"/>
    <m/>
    <s v="Yes"/>
    <m/>
    <s v="N/A"/>
    <m/>
    <s v="Yes"/>
    <m/>
    <s v="Yes"/>
    <m/>
    <s v="New"/>
    <s v="infasco"/>
    <n v="106.94"/>
    <n v="106.94"/>
  </r>
  <r>
    <x v="11"/>
    <x v="15"/>
    <s v="06513514AA"/>
    <n v="716771"/>
    <n v="18"/>
    <n v="360"/>
    <n v="6480"/>
    <s v="157+245"/>
    <s v="Yes"/>
    <m/>
    <s v="Yes"/>
    <m/>
    <s v="Yes"/>
    <m/>
    <s v="Yes"/>
    <m/>
    <s v="N/A"/>
    <m/>
    <s v="Yes"/>
    <m/>
    <s v="Yes"/>
    <m/>
    <s v="Re-certified"/>
    <s v="infasco"/>
    <n v="0"/>
    <n v="0"/>
  </r>
  <r>
    <x v="11"/>
    <x v="14"/>
    <n v="11612078"/>
    <n v="706811"/>
    <n v="9"/>
    <n v="1850"/>
    <n v="16650"/>
    <n v="4"/>
    <s v="Yes"/>
    <m/>
    <s v="Yes"/>
    <m/>
    <s v="Yes"/>
    <m/>
    <s v="Yes"/>
    <m/>
    <s v="N/A"/>
    <m/>
    <s v="Yes"/>
    <m/>
    <s v="Yes"/>
    <m/>
    <s v="New"/>
    <s v="infasco"/>
    <n v="247.64"/>
    <n v="247.64"/>
  </r>
  <r>
    <x v="11"/>
    <x v="14"/>
    <n v="11612078"/>
    <n v="709057"/>
    <n v="14"/>
    <n v="1850"/>
    <n v="25900"/>
    <n v="4"/>
    <s v="Yes"/>
    <m/>
    <s v="Yes"/>
    <m/>
    <s v="Yes"/>
    <m/>
    <s v="Yes"/>
    <m/>
    <s v="N/A"/>
    <m/>
    <s v="Yes"/>
    <m/>
    <s v="Yes"/>
    <m/>
    <s v="Re-certified"/>
    <s v="infasco"/>
    <n v="0"/>
    <n v="0"/>
  </r>
  <r>
    <x v="11"/>
    <x v="25"/>
    <s v="W520113-S440"/>
    <n v="714528"/>
    <n v="18"/>
    <n v="1050"/>
    <n v="18900"/>
    <n v="280"/>
    <s v="Yes"/>
    <m/>
    <s v="Yes"/>
    <m/>
    <s v="Yes"/>
    <m/>
    <s v="Yes"/>
    <m/>
    <s v="N/A"/>
    <m/>
    <s v="Yes"/>
    <m/>
    <s v="Yes"/>
    <m/>
    <s v="New"/>
    <s v="infasco"/>
    <n v="106.94"/>
    <n v="106.94"/>
  </r>
  <r>
    <x v="11"/>
    <x v="24"/>
    <s v="W520113-S440"/>
    <n v="714529"/>
    <n v="11"/>
    <n v="1050"/>
    <n v="11550"/>
    <n v="280"/>
    <s v="Yes"/>
    <m/>
    <s v="Yes"/>
    <m/>
    <s v="Yes"/>
    <m/>
    <s v="Yes"/>
    <m/>
    <s v="N/A"/>
    <m/>
    <s v="Yes"/>
    <m/>
    <s v="Yes"/>
    <m/>
    <s v="New"/>
    <s v="infasco"/>
    <n v="106.94"/>
    <n v="106.94"/>
  </r>
  <r>
    <x v="11"/>
    <x v="24"/>
    <s v="W520113-S440"/>
    <n v="714526"/>
    <n v="38"/>
    <n v="1050"/>
    <n v="39900"/>
    <n v="280"/>
    <s v="Yes"/>
    <m/>
    <s v="Yes"/>
    <m/>
    <s v="Yes"/>
    <m/>
    <s v="Yes"/>
    <m/>
    <s v="N/A"/>
    <m/>
    <s v="Yes"/>
    <m/>
    <s v="Yes"/>
    <m/>
    <s v="Re-certified"/>
    <s v="infasco"/>
    <n v="0"/>
    <n v="0"/>
  </r>
  <r>
    <x v="11"/>
    <x v="23"/>
    <s v="11546437-MY-AK"/>
    <n v="716074"/>
    <n v="44"/>
    <n v="1500"/>
    <n v="66000"/>
    <n v="280"/>
    <s v="Yes"/>
    <m/>
    <s v="Yes"/>
    <m/>
    <s v="Yes"/>
    <m/>
    <s v="Yes"/>
    <m/>
    <s v="N/A"/>
    <m/>
    <s v="Yes"/>
    <m/>
    <s v="Yes"/>
    <m/>
    <s v="New"/>
    <s v="infasco"/>
    <n v="106.94"/>
    <n v="106.94"/>
  </r>
  <r>
    <x v="11"/>
    <x v="23"/>
    <n v="11546449"/>
    <n v="715765"/>
    <n v="36"/>
    <n v="2500"/>
    <n v="90000"/>
    <n v="280"/>
    <s v="Yes"/>
    <m/>
    <s v="Yes"/>
    <m/>
    <s v="Yes"/>
    <m/>
    <s v="Yes"/>
    <m/>
    <s v="N/A"/>
    <m/>
    <s v="Yes"/>
    <m/>
    <s v="Yes"/>
    <m/>
    <s v="New"/>
    <s v="infasco"/>
    <n v="106.94"/>
    <n v="106.94"/>
  </r>
  <r>
    <x v="11"/>
    <x v="23"/>
    <n v="11546449"/>
    <n v="716523"/>
    <n v="4"/>
    <n v="2500"/>
    <n v="10000"/>
    <n v="280"/>
    <s v="Yes"/>
    <m/>
    <s v="Yes"/>
    <m/>
    <s v="Yes"/>
    <m/>
    <s v="Yes"/>
    <m/>
    <s v="N/A"/>
    <m/>
    <s v="Yes"/>
    <m/>
    <s v="Yes"/>
    <m/>
    <s v="Re-certified"/>
    <s v="infasco"/>
    <n v="0"/>
    <n v="0"/>
  </r>
  <r>
    <x v="11"/>
    <x v="22"/>
    <n v="11546377"/>
    <n v="716613"/>
    <n v="21"/>
    <n v="2150"/>
    <n v="45150"/>
    <n v="280"/>
    <s v="Yes"/>
    <m/>
    <s v="Yes"/>
    <m/>
    <s v="Yes"/>
    <m/>
    <s v="Yes"/>
    <m/>
    <s v="N/A"/>
    <m/>
    <s v="Yes"/>
    <m/>
    <s v="Yes"/>
    <m/>
    <s v="New"/>
    <s v="infasco"/>
    <n v="106.94"/>
    <n v="106.94"/>
  </r>
  <r>
    <x v="11"/>
    <x v="21"/>
    <n v="11546449"/>
    <n v="716274"/>
    <n v="22"/>
    <n v="2500"/>
    <n v="55000"/>
    <n v="280"/>
    <s v="Yes"/>
    <m/>
    <s v="Yes"/>
    <m/>
    <s v="Yes"/>
    <m/>
    <s v="Yes"/>
    <m/>
    <s v="N/A"/>
    <m/>
    <s v="Yes"/>
    <m/>
    <s v="Yes"/>
    <m/>
    <s v="New"/>
    <s v="infasco"/>
    <n v="106.94"/>
    <n v="106.94"/>
  </r>
  <r>
    <x v="11"/>
    <x v="21"/>
    <n v="11546449"/>
    <n v="716277"/>
    <n v="36"/>
    <n v="2500"/>
    <n v="90000"/>
    <n v="280"/>
    <s v="Yes"/>
    <m/>
    <s v="Yes"/>
    <m/>
    <s v="Yes"/>
    <m/>
    <s v="Yes"/>
    <m/>
    <s v="N/A"/>
    <m/>
    <s v="Yes"/>
    <m/>
    <s v="Yes"/>
    <m/>
    <s v="New"/>
    <s v="infasco"/>
    <n v="106.94"/>
    <n v="106.94"/>
  </r>
  <r>
    <x v="11"/>
    <x v="21"/>
    <n v="11546449"/>
    <n v="715763"/>
    <n v="18"/>
    <n v="2500"/>
    <n v="45000"/>
    <n v="280"/>
    <s v="Yes"/>
    <m/>
    <s v="Yes"/>
    <m/>
    <s v="Yes"/>
    <m/>
    <s v="Yes"/>
    <m/>
    <s v="N/A"/>
    <m/>
    <s v="Yes"/>
    <m/>
    <s v="Yes"/>
    <m/>
    <s v="Re-certified"/>
    <s v="infasco"/>
    <n v="0"/>
    <n v="0"/>
  </r>
  <r>
    <x v="11"/>
    <x v="20"/>
    <s v="11546367-MY-AK"/>
    <n v="715729"/>
    <n v="20"/>
    <n v="700"/>
    <n v="14000"/>
    <n v="280"/>
    <s v="Yes"/>
    <m/>
    <s v="Yes"/>
    <m/>
    <s v="Yes"/>
    <m/>
    <s v="Yes"/>
    <m/>
    <s v="N/A"/>
    <m/>
    <s v="Yes"/>
    <m/>
    <s v="Yes"/>
    <m/>
    <s v="New"/>
    <s v="infasco"/>
    <n v="106.94"/>
    <n v="106.94"/>
  </r>
  <r>
    <x v="11"/>
    <x v="16"/>
    <n v="11602031"/>
    <n v="716712"/>
    <n v="17"/>
    <n v="145"/>
    <n v="2465"/>
    <s v="285+391"/>
    <s v="Yes"/>
    <m/>
    <s v="Yes"/>
    <m/>
    <s v="Yes"/>
    <m/>
    <s v="Yes"/>
    <m/>
    <s v="N/A"/>
    <m/>
    <s v="Yes"/>
    <m/>
    <s v="Yes"/>
    <m/>
    <s v="New"/>
    <s v="infasco"/>
    <n v="135.07999999999998"/>
    <n v="135.07999999999998"/>
  </r>
  <r>
    <x v="11"/>
    <x v="16"/>
    <s v="11546368-IN-PN"/>
    <n v="713814"/>
    <n v="38"/>
    <n v="450"/>
    <n v="17100"/>
    <s v="285+391"/>
    <s v="Yes"/>
    <m/>
    <s v="Yes"/>
    <m/>
    <s v="Yes"/>
    <m/>
    <s v="Yes"/>
    <m/>
    <s v="N/A"/>
    <m/>
    <s v="Yes"/>
    <m/>
    <s v="Yes"/>
    <m/>
    <s v="New"/>
    <s v="infasco"/>
    <n v="106.94"/>
    <n v="106.94"/>
  </r>
  <r>
    <x v="11"/>
    <x v="16"/>
    <n v="11547059"/>
    <n v="711043"/>
    <n v="36"/>
    <n v="550"/>
    <n v="19800"/>
    <s v="285+391"/>
    <s v="Yes"/>
    <m/>
    <s v="Yes"/>
    <m/>
    <s v="Yes"/>
    <m/>
    <s v="Yes"/>
    <m/>
    <s v="N/A"/>
    <m/>
    <s v="Yes"/>
    <m/>
    <s v="Yes"/>
    <m/>
    <s v="New"/>
    <s v="infasco"/>
    <n v="135.07999999999998"/>
    <n v="135.07999999999998"/>
  </r>
  <r>
    <x v="11"/>
    <x v="16"/>
    <n v="11547059"/>
    <n v="717248"/>
    <n v="15"/>
    <n v="550"/>
    <n v="8250"/>
    <s v="285+391"/>
    <s v="Yes"/>
    <m/>
    <s v="Yes"/>
    <m/>
    <s v="Yes"/>
    <m/>
    <s v="Yes"/>
    <m/>
    <s v="N/A"/>
    <m/>
    <s v="Yes"/>
    <m/>
    <s v="Yes"/>
    <m/>
    <s v="New"/>
    <s v="infasco"/>
    <n v="135.07999999999998"/>
    <n v="135.07999999999998"/>
  </r>
  <r>
    <x v="11"/>
    <x v="16"/>
    <n v="11547059"/>
    <n v="711038"/>
    <n v="33"/>
    <n v="550"/>
    <n v="18150"/>
    <s v="285+391"/>
    <s v="Yes"/>
    <m/>
    <s v="Yes"/>
    <m/>
    <s v="Yes"/>
    <m/>
    <s v="Yes"/>
    <m/>
    <s v="N/A"/>
    <m/>
    <s v="Yes"/>
    <m/>
    <s v="Yes"/>
    <m/>
    <s v="New"/>
    <s v="infasco"/>
    <n v="135.07999999999998"/>
    <n v="135.07999999999998"/>
  </r>
  <r>
    <x v="11"/>
    <x v="16"/>
    <s v="11546367-CA-IN"/>
    <n v="713919"/>
    <n v="39"/>
    <n v="700"/>
    <n v="27300"/>
    <s v="285+391"/>
    <s v="Yes"/>
    <m/>
    <s v="Yes"/>
    <m/>
    <s v="Yes"/>
    <m/>
    <s v="Yes"/>
    <m/>
    <s v="N/A"/>
    <m/>
    <s v="Yes"/>
    <m/>
    <s v="Yes"/>
    <m/>
    <s v="New"/>
    <s v="infasco"/>
    <n v="213.88"/>
    <n v="213.88"/>
  </r>
  <r>
    <x v="11"/>
    <x v="16"/>
    <s v="11546368-IN-PN"/>
    <n v="713808"/>
    <n v="27"/>
    <n v="450"/>
    <n v="12150"/>
    <s v="285+391"/>
    <s v="Yes"/>
    <m/>
    <s v="Yes"/>
    <m/>
    <s v="Yes"/>
    <m/>
    <s v="Yes"/>
    <m/>
    <s v="N/A"/>
    <m/>
    <s v="Yes"/>
    <m/>
    <s v="Yes"/>
    <m/>
    <s v="New"/>
    <s v="infasco"/>
    <n v="106.94"/>
    <n v="106.94"/>
  </r>
  <r>
    <x v="11"/>
    <x v="16"/>
    <s v="06513404AA"/>
    <n v="716095"/>
    <n v="36"/>
    <n v="120"/>
    <n v="4320"/>
    <s v="285+391"/>
    <s v="Yes"/>
    <m/>
    <s v="Yes"/>
    <m/>
    <s v="Yes"/>
    <m/>
    <s v="Yes"/>
    <m/>
    <s v="N/A"/>
    <m/>
    <s v="Yes"/>
    <m/>
    <s v="Yes"/>
    <m/>
    <s v="New"/>
    <s v="infasco"/>
    <n v="106.94"/>
    <n v="106.94"/>
  </r>
  <r>
    <x v="11"/>
    <x v="16"/>
    <s v="06513404AA"/>
    <n v="716091"/>
    <n v="36"/>
    <n v="120"/>
    <n v="4320"/>
    <s v="285+391"/>
    <s v="Yes"/>
    <m/>
    <s v="Yes"/>
    <m/>
    <s v="Yes"/>
    <m/>
    <s v="Yes"/>
    <m/>
    <s v="N/A"/>
    <m/>
    <s v="Yes"/>
    <m/>
    <s v="Yes"/>
    <m/>
    <s v="New"/>
    <s v="infasco"/>
    <n v="106.94"/>
    <n v="106.94"/>
  </r>
  <r>
    <x v="11"/>
    <x v="16"/>
    <s v="06105048AA"/>
    <n v="716671"/>
    <n v="34"/>
    <n v="800"/>
    <n v="27200"/>
    <s v="285+391"/>
    <s v="Yes"/>
    <m/>
    <s v="Yes"/>
    <m/>
    <s v="Yes"/>
    <m/>
    <s v="Yes"/>
    <m/>
    <s v="N/A"/>
    <m/>
    <s v="Yes"/>
    <m/>
    <s v="Yes"/>
    <m/>
    <s v="New"/>
    <s v="infasco"/>
    <n v="280.15999999999997"/>
    <n v="280.15999999999997"/>
  </r>
  <r>
    <x v="11"/>
    <x v="17"/>
    <s v="06105048AA"/>
    <n v="716670"/>
    <n v="13"/>
    <n v="800"/>
    <n v="10400"/>
    <s v="190+268"/>
    <s v="Yes"/>
    <m/>
    <s v="Yes"/>
    <m/>
    <s v="Yes"/>
    <m/>
    <s v="Yes"/>
    <m/>
    <s v="N/A"/>
    <m/>
    <s v="Yes"/>
    <m/>
    <s v="Yes"/>
    <m/>
    <s v="New"/>
    <s v="infasco"/>
    <n v="280.15999999999997"/>
    <n v="280.15999999999997"/>
  </r>
  <r>
    <x v="11"/>
    <x v="17"/>
    <s v="06105102AA"/>
    <n v="716689"/>
    <n v="33"/>
    <n v="670"/>
    <n v="22110"/>
    <s v="190+268"/>
    <s v="Yes"/>
    <m/>
    <s v="Yes"/>
    <m/>
    <s v="Yes"/>
    <m/>
    <s v="Yes"/>
    <m/>
    <s v="N/A"/>
    <m/>
    <s v="Yes"/>
    <m/>
    <s v="Yes"/>
    <m/>
    <s v="New"/>
    <s v="infasco"/>
    <n v="280.16000000000003"/>
    <n v="280.16000000000003"/>
  </r>
  <r>
    <x v="11"/>
    <x v="17"/>
    <n v="11602031"/>
    <n v="716716"/>
    <n v="27"/>
    <n v="145"/>
    <n v="3915"/>
    <s v="190+268"/>
    <s v="Yes"/>
    <m/>
    <s v="Yes"/>
    <m/>
    <s v="Yes"/>
    <m/>
    <s v="Yes"/>
    <m/>
    <s v="N/A"/>
    <m/>
    <s v="Yes"/>
    <m/>
    <s v="Yes"/>
    <m/>
    <s v="New"/>
    <s v="infasco"/>
    <n v="135.07999999999998"/>
    <n v="135.07999999999998"/>
  </r>
  <r>
    <x v="11"/>
    <x v="17"/>
    <n v="11602031"/>
    <n v="716711"/>
    <n v="31"/>
    <n v="145"/>
    <n v="4495"/>
    <s v="190+268"/>
    <s v="Yes"/>
    <m/>
    <s v="Yes"/>
    <m/>
    <s v="Yes"/>
    <m/>
    <s v="Yes"/>
    <m/>
    <s v="N/A"/>
    <m/>
    <s v="Yes"/>
    <m/>
    <s v="Yes"/>
    <m/>
    <s v="New"/>
    <s v="infasco"/>
    <n v="135.07999999999998"/>
    <n v="135.07999999999998"/>
  </r>
  <r>
    <x v="11"/>
    <x v="17"/>
    <n v="11547369"/>
    <n v="714476"/>
    <n v="20"/>
    <n v="250"/>
    <n v="5000"/>
    <s v="190+268"/>
    <s v="Yes"/>
    <m/>
    <s v="Yes"/>
    <m/>
    <s v="Yes"/>
    <m/>
    <s v="Yes"/>
    <m/>
    <s v="N/A"/>
    <m/>
    <s v="Yes"/>
    <m/>
    <s v="Yes"/>
    <m/>
    <s v="New"/>
    <s v="infasco"/>
    <n v="106.94"/>
    <n v="106.94"/>
  </r>
  <r>
    <x v="11"/>
    <x v="17"/>
    <n v="40110160"/>
    <n v="714076"/>
    <n v="31"/>
    <n v="200"/>
    <n v="6200"/>
    <s v="190+268"/>
    <s v="Yes"/>
    <m/>
    <s v="Yes"/>
    <m/>
    <s v="Yes"/>
    <m/>
    <s v="Yes"/>
    <m/>
    <s v="N/A"/>
    <m/>
    <s v="Yes"/>
    <m/>
    <s v="Yes"/>
    <m/>
    <s v="New"/>
    <s v="infasco"/>
    <n v="106.94"/>
    <n v="106.94"/>
  </r>
  <r>
    <x v="11"/>
    <x v="17"/>
    <n v="40110160"/>
    <n v="714078"/>
    <n v="26"/>
    <n v="200"/>
    <n v="5200"/>
    <s v="190+268"/>
    <s v="Yes"/>
    <m/>
    <s v="Yes"/>
    <m/>
    <s v="Yes"/>
    <m/>
    <s v="Yes"/>
    <m/>
    <s v="N/A"/>
    <m/>
    <s v="Yes"/>
    <m/>
    <s v="Yes"/>
    <m/>
    <s v="New"/>
    <s v="infasco"/>
    <n v="106.94"/>
    <n v="106.94"/>
  </r>
  <r>
    <x v="11"/>
    <x v="17"/>
    <s v="11546368-IN-PN"/>
    <n v="713818"/>
    <n v="31"/>
    <n v="450"/>
    <n v="13950"/>
    <s v="190+268"/>
    <s v="Yes"/>
    <m/>
    <s v="Yes"/>
    <m/>
    <s v="Yes"/>
    <m/>
    <s v="Yes"/>
    <m/>
    <s v="N/A"/>
    <m/>
    <s v="Yes"/>
    <m/>
    <s v="Yes"/>
    <m/>
    <s v="New"/>
    <s v="infasco"/>
    <n v="106.94"/>
    <n v="106.94"/>
  </r>
  <r>
    <x v="11"/>
    <x v="17"/>
    <n v="61525"/>
    <n v="717229"/>
    <n v="23"/>
    <n v="3000"/>
    <n v="69000"/>
    <s v="190+268"/>
    <s v="Yes"/>
    <m/>
    <s v="Yes"/>
    <m/>
    <s v="Yes"/>
    <m/>
    <s v="Yes"/>
    <m/>
    <s v="N/A"/>
    <m/>
    <s v="Yes"/>
    <m/>
    <s v="Yes"/>
    <m/>
    <s v="New"/>
    <s v="infasco"/>
    <n v="224.49"/>
    <n v="224.49"/>
  </r>
  <r>
    <x v="11"/>
    <x v="13"/>
    <n v="11547369"/>
    <n v="714474"/>
    <n v="25"/>
    <n v="250"/>
    <n v="6250"/>
    <s v="011+293"/>
    <s v="Yes"/>
    <m/>
    <s v="Yes"/>
    <m/>
    <s v="Yes"/>
    <m/>
    <s v="Yes"/>
    <m/>
    <s v="N/A"/>
    <m/>
    <s v="Yes"/>
    <m/>
    <s v="Yes"/>
    <m/>
    <s v="New"/>
    <s v="infasco"/>
    <n v="106.94"/>
    <n v="106.94"/>
  </r>
  <r>
    <x v="11"/>
    <x v="13"/>
    <n v="40110160"/>
    <n v="714077"/>
    <n v="33"/>
    <n v="200"/>
    <n v="6600"/>
    <s v="011+293"/>
    <s v="Yes"/>
    <m/>
    <s v="Yes"/>
    <m/>
    <s v="Yes"/>
    <m/>
    <s v="Yes"/>
    <m/>
    <s v="N/A"/>
    <m/>
    <s v="Yes"/>
    <m/>
    <s v="Yes"/>
    <m/>
    <s v="New"/>
    <s v="infasco"/>
    <n v="106.94"/>
    <n v="106.94"/>
  </r>
  <r>
    <x v="11"/>
    <x v="13"/>
    <s v="06513404AA"/>
    <n v="716092"/>
    <n v="40"/>
    <n v="120"/>
    <n v="4800"/>
    <s v="011+293"/>
    <s v="Yes"/>
    <m/>
    <s v="Yes"/>
    <m/>
    <s v="Yes"/>
    <m/>
    <s v="Yes"/>
    <m/>
    <s v="N/A"/>
    <m/>
    <s v="Yes"/>
    <m/>
    <s v="Yes"/>
    <m/>
    <s v="New"/>
    <s v="infasco"/>
    <n v="106.94"/>
    <n v="106.94"/>
  </r>
  <r>
    <x v="11"/>
    <x v="13"/>
    <s v="06513404AA"/>
    <n v="716093"/>
    <n v="39"/>
    <n v="120"/>
    <n v="4680"/>
    <s v="011+293"/>
    <s v="Yes"/>
    <m/>
    <s v="Yes"/>
    <m/>
    <s v="Yes"/>
    <m/>
    <s v="Yes"/>
    <m/>
    <s v="N/A"/>
    <m/>
    <s v="Yes"/>
    <m/>
    <s v="Yes"/>
    <m/>
    <s v="New"/>
    <s v="infasco"/>
    <n v="106.94"/>
    <n v="106.94"/>
  </r>
  <r>
    <x v="11"/>
    <x v="13"/>
    <n v="11546703"/>
    <n v="714423"/>
    <n v="27"/>
    <n v="4000"/>
    <n v="108000"/>
    <s v="011+293"/>
    <s v="Yes"/>
    <m/>
    <s v="Yes"/>
    <m/>
    <s v="Yes"/>
    <m/>
    <s v="Yes"/>
    <m/>
    <s v="N/A"/>
    <m/>
    <s v="Yes"/>
    <m/>
    <s v="Yes"/>
    <m/>
    <s v="New"/>
    <s v="infasco"/>
    <n v="135.07999999999998"/>
    <n v="135.07999999999998"/>
  </r>
  <r>
    <x v="11"/>
    <x v="13"/>
    <n v="11546703"/>
    <n v="713854"/>
    <n v="32"/>
    <n v="4000"/>
    <n v="128000"/>
    <s v="011+293"/>
    <s v="Yes"/>
    <m/>
    <s v="Yes"/>
    <m/>
    <s v="Yes"/>
    <m/>
    <s v="Yes"/>
    <m/>
    <s v="N/A"/>
    <m/>
    <s v="Yes"/>
    <m/>
    <s v="Yes"/>
    <m/>
    <s v="New"/>
    <s v="infasco"/>
    <n v="135.07999999999998"/>
    <n v="135.07999999999998"/>
  </r>
  <r>
    <x v="11"/>
    <x v="13"/>
    <s v="06511799AA"/>
    <n v="712207"/>
    <n v="33"/>
    <n v="1800"/>
    <n v="59400"/>
    <s v="011+293"/>
    <s v="Yes"/>
    <m/>
    <s v="Yes"/>
    <m/>
    <s v="Yes"/>
    <m/>
    <s v="Yes"/>
    <m/>
    <s v="N/A"/>
    <m/>
    <s v="Yes"/>
    <m/>
    <s v="Yes"/>
    <m/>
    <s v="New"/>
    <s v="infasco"/>
    <n v="106.94"/>
    <n v="106.94"/>
  </r>
  <r>
    <x v="11"/>
    <x v="13"/>
    <s v="06513514AA"/>
    <n v="716772"/>
    <n v="10"/>
    <n v="360"/>
    <n v="3600"/>
    <s v="011+293"/>
    <s v="Yes"/>
    <m/>
    <s v="Yes"/>
    <m/>
    <s v="Yes"/>
    <m/>
    <s v="Yes"/>
    <m/>
    <s v="N/A"/>
    <m/>
    <s v="Yes"/>
    <m/>
    <s v="Yes"/>
    <m/>
    <s v="Re-certified"/>
    <s v="infasco"/>
    <n v="0"/>
    <n v="0"/>
  </r>
  <r>
    <x v="12"/>
    <x v="11"/>
    <n v="11546449"/>
    <n v="716272"/>
    <n v="14"/>
    <n v="2500"/>
    <n v="35000"/>
    <n v="275"/>
    <s v="Yes"/>
    <m/>
    <s v="Yes"/>
    <m/>
    <s v="Yes"/>
    <m/>
    <s v="Yes"/>
    <m/>
    <s v="N/A"/>
    <m/>
    <s v="Yes"/>
    <m/>
    <s v="Yes"/>
    <m/>
    <s v="New"/>
    <s v="infasco"/>
    <n v="106.94"/>
    <n v="106.94"/>
  </r>
  <r>
    <x v="12"/>
    <x v="11"/>
    <n v="11546449"/>
    <n v="716527"/>
    <n v="27"/>
    <n v="2500"/>
    <n v="67500"/>
    <n v="275"/>
    <s v="Yes"/>
    <m/>
    <s v="Yes"/>
    <m/>
    <s v="Yes"/>
    <m/>
    <s v="Yes"/>
    <m/>
    <s v="N/A"/>
    <m/>
    <s v="Yes"/>
    <m/>
    <s v="Yes"/>
    <m/>
    <s v="Re-certified"/>
    <s v="infasco"/>
    <n v="0"/>
    <n v="0"/>
  </r>
  <r>
    <x v="12"/>
    <x v="12"/>
    <s v="11546368-MY-AK"/>
    <n v="715721"/>
    <n v="16"/>
    <n v="450"/>
    <n v="7200"/>
    <n v="275"/>
    <s v="Yes"/>
    <m/>
    <s v="Yes"/>
    <m/>
    <s v="Yes"/>
    <m/>
    <s v="Yes"/>
    <m/>
    <s v="N/A"/>
    <m/>
    <s v="Yes"/>
    <m/>
    <s v="Yes"/>
    <m/>
    <s v="New"/>
    <s v="infasco"/>
    <n v="106.94"/>
    <n v="106.94"/>
  </r>
  <r>
    <x v="12"/>
    <x v="12"/>
    <s v="11546368-MY-AK"/>
    <n v="714179"/>
    <n v="36"/>
    <n v="450"/>
    <n v="16200"/>
    <n v="275"/>
    <s v="Yes"/>
    <m/>
    <s v="Yes"/>
    <m/>
    <s v="Yes"/>
    <m/>
    <s v="Yes"/>
    <m/>
    <s v="N/A"/>
    <m/>
    <s v="Yes"/>
    <m/>
    <s v="Yes"/>
    <m/>
    <s v="New"/>
    <s v="infasco"/>
    <n v="106.94"/>
    <n v="106.94"/>
  </r>
  <r>
    <x v="12"/>
    <x v="12"/>
    <s v="11546368-MY-AK"/>
    <n v="715718"/>
    <n v="30"/>
    <n v="450"/>
    <n v="13500"/>
    <n v="275"/>
    <s v="Yes"/>
    <m/>
    <s v="Yes"/>
    <m/>
    <s v="Yes"/>
    <m/>
    <s v="Yes"/>
    <m/>
    <s v="N/A"/>
    <m/>
    <s v="Yes"/>
    <m/>
    <s v="Yes"/>
    <m/>
    <s v="Re-certified"/>
    <s v="infasco"/>
    <n v="0"/>
    <n v="0"/>
  </r>
  <r>
    <x v="12"/>
    <x v="6"/>
    <s v="W520101-S450"/>
    <n v="714697"/>
    <n v="33"/>
    <n v="3000"/>
    <n v="99000"/>
    <n v="275"/>
    <s v="Yes"/>
    <m/>
    <s v="Yes"/>
    <m/>
    <s v="Yes"/>
    <m/>
    <s v="Yes"/>
    <m/>
    <s v="N/A"/>
    <m/>
    <s v="Yes"/>
    <m/>
    <s v="Yes"/>
    <m/>
    <s v="New"/>
    <s v="infasco"/>
    <n v="106.94"/>
    <n v="106.94"/>
  </r>
  <r>
    <x v="12"/>
    <x v="6"/>
    <s v="W520101-S450"/>
    <n v="714692"/>
    <n v="5"/>
    <n v="3000"/>
    <n v="15000"/>
    <n v="275"/>
    <s v="Yes"/>
    <m/>
    <s v="Yes"/>
    <m/>
    <s v="Yes"/>
    <m/>
    <s v="Yes"/>
    <m/>
    <s v="N/A"/>
    <m/>
    <s v="Yes"/>
    <m/>
    <s v="Yes"/>
    <m/>
    <s v="Re-certified"/>
    <s v="infasco"/>
    <n v="0"/>
    <n v="0"/>
  </r>
  <r>
    <x v="12"/>
    <x v="10"/>
    <n v="11546449"/>
    <n v="716275"/>
    <n v="22"/>
    <n v="2500"/>
    <n v="55000"/>
    <n v="275"/>
    <s v="Yes"/>
    <m/>
    <s v="Yes"/>
    <m/>
    <s v="Yes"/>
    <m/>
    <s v="Yes"/>
    <m/>
    <s v="N/A"/>
    <m/>
    <s v="Yes"/>
    <m/>
    <s v="Yes"/>
    <m/>
    <s v="New"/>
    <s v="infasco"/>
    <n v="106.94"/>
    <n v="106.94"/>
  </r>
  <r>
    <x v="12"/>
    <x v="10"/>
    <n v="11546449"/>
    <n v="716528"/>
    <n v="9"/>
    <n v="2500"/>
    <n v="22500"/>
    <n v="275"/>
    <s v="Yes"/>
    <m/>
    <s v="Yes"/>
    <m/>
    <s v="Yes"/>
    <m/>
    <s v="Yes"/>
    <m/>
    <s v="N/A"/>
    <m/>
    <s v="Yes"/>
    <m/>
    <s v="Yes"/>
    <m/>
    <s v="Re-certified"/>
    <s v="infasco"/>
    <n v="0"/>
    <n v="0"/>
  </r>
  <r>
    <x v="12"/>
    <x v="7"/>
    <n v="11547176"/>
    <n v="716682"/>
    <n v="16"/>
    <n v="850"/>
    <n v="13600"/>
    <n v="275"/>
    <s v="Yes"/>
    <m/>
    <s v="Yes"/>
    <m/>
    <s v="Yes"/>
    <m/>
    <s v="Yes"/>
    <m/>
    <s v="N/A"/>
    <m/>
    <s v="Yes"/>
    <m/>
    <s v="Yes"/>
    <m/>
    <s v="New"/>
    <s v="infasco"/>
    <n v="280.15999999999997"/>
    <n v="280.15999999999997"/>
  </r>
  <r>
    <x v="12"/>
    <x v="7"/>
    <n v="11547176"/>
    <n v="716681"/>
    <n v="14"/>
    <n v="850"/>
    <n v="11900"/>
    <n v="275"/>
    <s v="Yes"/>
    <m/>
    <s v="Yes"/>
    <m/>
    <s v="Yes"/>
    <m/>
    <s v="Yes"/>
    <m/>
    <s v="N/A"/>
    <m/>
    <s v="Yes"/>
    <m/>
    <s v="Yes"/>
    <m/>
    <s v="Re-certified"/>
    <s v="infasco"/>
    <n v="0"/>
    <n v="0"/>
  </r>
  <r>
    <x v="12"/>
    <x v="8"/>
    <s v="11546368-MY-AK"/>
    <n v="715720"/>
    <n v="27"/>
    <n v="450"/>
    <n v="12150"/>
    <n v="275"/>
    <s v="Yes"/>
    <m/>
    <s v="Yes"/>
    <m/>
    <s v="Yes"/>
    <m/>
    <s v="Yes"/>
    <m/>
    <s v="N/A"/>
    <m/>
    <s v="Yes"/>
    <m/>
    <s v="Yes"/>
    <m/>
    <s v="New"/>
    <s v="infasco"/>
    <n v="106.94"/>
    <n v="106.94"/>
  </r>
  <r>
    <x v="12"/>
    <x v="8"/>
    <s v="11546368-MY-AK"/>
    <n v="715716"/>
    <n v="36"/>
    <n v="450"/>
    <n v="16200"/>
    <n v="275"/>
    <s v="Yes"/>
    <m/>
    <s v="Yes"/>
    <m/>
    <s v="Yes"/>
    <m/>
    <s v="Yes"/>
    <m/>
    <s v="N/A"/>
    <m/>
    <s v="Yes"/>
    <m/>
    <s v="Yes"/>
    <m/>
    <s v="New"/>
    <s v="infasco"/>
    <n v="106.94"/>
    <n v="106.94"/>
  </r>
  <r>
    <x v="12"/>
    <x v="8"/>
    <s v="11546368-MY-AK"/>
    <n v="714180"/>
    <n v="15"/>
    <n v="450"/>
    <n v="6750"/>
    <n v="275"/>
    <s v="Yes"/>
    <m/>
    <s v="Yes"/>
    <m/>
    <s v="Yes"/>
    <m/>
    <s v="Yes"/>
    <m/>
    <s v="N/A"/>
    <m/>
    <s v="Yes"/>
    <m/>
    <s v="Yes"/>
    <m/>
    <s v="Re-certified"/>
    <s v="infasco"/>
    <n v="0"/>
    <n v="0"/>
  </r>
  <r>
    <x v="12"/>
    <x v="9"/>
    <s v="11546365-MY-AK"/>
    <n v="714540"/>
    <n v="13"/>
    <n v="1900"/>
    <n v="24700"/>
    <n v="275"/>
    <s v="Yes"/>
    <m/>
    <s v="Yes"/>
    <m/>
    <s v="Yes"/>
    <m/>
    <s v="Yes"/>
    <m/>
    <s v="N/A"/>
    <m/>
    <s v="Yes"/>
    <m/>
    <s v="Yes"/>
    <m/>
    <s v="New"/>
    <s v="infasco"/>
    <n v="106.94"/>
    <n v="106.94"/>
  </r>
  <r>
    <x v="12"/>
    <x v="9"/>
    <s v="11546365-MY-AK"/>
    <n v="714538"/>
    <n v="30"/>
    <n v="1900"/>
    <n v="57000"/>
    <n v="275"/>
    <s v="Yes"/>
    <m/>
    <s v="Yes"/>
    <m/>
    <s v="Yes"/>
    <m/>
    <s v="Yes"/>
    <m/>
    <s v="N/A"/>
    <m/>
    <s v="Yes"/>
    <m/>
    <s v="Yes"/>
    <m/>
    <s v="Re-certified"/>
    <s v="infasco"/>
    <n v="0"/>
    <n v="0"/>
  </r>
  <r>
    <x v="12"/>
    <x v="29"/>
    <n v="11546449"/>
    <n v="715762"/>
    <n v="25"/>
    <n v="2500"/>
    <n v="62500"/>
    <n v="290"/>
    <s v="Yes"/>
    <m/>
    <s v="Yes"/>
    <m/>
    <s v="Yes"/>
    <m/>
    <s v="Yes"/>
    <m/>
    <s v="N/A"/>
    <m/>
    <s v="Yes"/>
    <m/>
    <s v="Yes"/>
    <m/>
    <s v="New"/>
    <s v="infasco"/>
    <n v="106.94"/>
    <n v="106.94"/>
  </r>
  <r>
    <x v="12"/>
    <x v="29"/>
    <n v="11546449"/>
    <n v="716522"/>
    <n v="20"/>
    <n v="2500"/>
    <n v="50000"/>
    <n v="290"/>
    <s v="Yes"/>
    <m/>
    <s v="Yes"/>
    <m/>
    <s v="Yes"/>
    <m/>
    <s v="Yes"/>
    <m/>
    <s v="N/A"/>
    <m/>
    <s v="Yes"/>
    <m/>
    <s v="Yes"/>
    <m/>
    <s v="Re-certified"/>
    <s v="infasco"/>
    <n v="0"/>
    <n v="0"/>
  </r>
  <r>
    <x v="12"/>
    <x v="30"/>
    <s v="11546368-MY-AK"/>
    <n v="714174"/>
    <n v="36"/>
    <n v="450"/>
    <n v="16200"/>
    <n v="290"/>
    <s v="Yes"/>
    <m/>
    <s v="Yes"/>
    <m/>
    <s v="Yes"/>
    <m/>
    <s v="Yes"/>
    <m/>
    <s v="N/A"/>
    <m/>
    <s v="Yes"/>
    <m/>
    <s v="Yes"/>
    <m/>
    <s v="New"/>
    <s v="infasco"/>
    <n v="106.94"/>
    <n v="106.94"/>
  </r>
  <r>
    <x v="12"/>
    <x v="30"/>
    <s v="11546368-MY-AK"/>
    <n v="714098"/>
    <n v="36"/>
    <n v="450"/>
    <n v="16200"/>
    <n v="290"/>
    <s v="Yes"/>
    <m/>
    <s v="Yes"/>
    <m/>
    <s v="Yes"/>
    <m/>
    <s v="Yes"/>
    <m/>
    <s v="N/A"/>
    <m/>
    <s v="Yes"/>
    <m/>
    <s v="Yes"/>
    <m/>
    <s v="New"/>
    <s v="infasco"/>
    <n v="106.94"/>
    <n v="106.94"/>
  </r>
  <r>
    <x v="12"/>
    <x v="30"/>
    <s v="11546368-MY-AK"/>
    <n v="715726"/>
    <n v="36"/>
    <n v="450"/>
    <n v="16200"/>
    <n v="290"/>
    <s v="Yes"/>
    <m/>
    <s v="Yes"/>
    <m/>
    <s v="Yes"/>
    <m/>
    <s v="Yes"/>
    <m/>
    <s v="N/A"/>
    <m/>
    <s v="Yes"/>
    <m/>
    <s v="Yes"/>
    <m/>
    <s v="New"/>
    <s v="infasco"/>
    <n v="106.94"/>
    <n v="106.94"/>
  </r>
  <r>
    <x v="12"/>
    <x v="30"/>
    <s v="11546368-MY-AK"/>
    <n v="714103"/>
    <n v="12"/>
    <n v="450"/>
    <n v="5400"/>
    <n v="290"/>
    <s v="Yes"/>
    <m/>
    <s v="Yes"/>
    <m/>
    <s v="Yes"/>
    <m/>
    <s v="Yes"/>
    <m/>
    <s v="N/A"/>
    <m/>
    <s v="Yes"/>
    <m/>
    <s v="Yes"/>
    <m/>
    <s v="New"/>
    <s v="infasco"/>
    <n v="106.94"/>
    <n v="106.94"/>
  </r>
  <r>
    <x v="12"/>
    <x v="28"/>
    <s v="06105049AA"/>
    <n v="716677"/>
    <n v="22"/>
    <n v="800"/>
    <n v="17600"/>
    <n v="290"/>
    <s v="Yes"/>
    <m/>
    <s v="Yes"/>
    <m/>
    <s v="Yes"/>
    <m/>
    <s v="Yes"/>
    <m/>
    <s v="N/A"/>
    <m/>
    <s v="Yes"/>
    <m/>
    <s v="Yes"/>
    <m/>
    <s v="Re-certified"/>
    <s v="infasco"/>
    <n v="0"/>
    <n v="0"/>
  </r>
  <r>
    <x v="12"/>
    <x v="31"/>
    <s v="06101831-A"/>
    <n v="716504"/>
    <n v="22"/>
    <n v="1000"/>
    <n v="22000"/>
    <n v="290"/>
    <s v="Yes"/>
    <m/>
    <s v="Yes"/>
    <m/>
    <s v="Yes"/>
    <m/>
    <s v="Yes"/>
    <m/>
    <s v="N/A"/>
    <m/>
    <s v="Yes"/>
    <m/>
    <s v="Yes"/>
    <m/>
    <s v="New"/>
    <s v="infasco"/>
    <n v="106.94"/>
    <n v="106.94"/>
  </r>
  <r>
    <x v="12"/>
    <x v="31"/>
    <s v="06101831-A"/>
    <n v="716503"/>
    <n v="21"/>
    <n v="1000"/>
    <n v="21000"/>
    <n v="290"/>
    <s v="Yes"/>
    <m/>
    <s v="Yes"/>
    <m/>
    <s v="Yes"/>
    <m/>
    <s v="Yes"/>
    <m/>
    <s v="N/A"/>
    <m/>
    <s v="Yes"/>
    <m/>
    <s v="Yes"/>
    <m/>
    <s v="New"/>
    <s v="infasco"/>
    <n v="106.94"/>
    <n v="106.94"/>
  </r>
  <r>
    <x v="12"/>
    <x v="31"/>
    <s v="06101831-A"/>
    <n v="716505"/>
    <n v="36"/>
    <n v="1000"/>
    <n v="36000"/>
    <n v="290"/>
    <s v="Yes"/>
    <m/>
    <s v="Yes"/>
    <m/>
    <s v="Yes"/>
    <m/>
    <s v="Yes"/>
    <m/>
    <s v="N/A"/>
    <m/>
    <s v="Yes"/>
    <m/>
    <s v="Yes"/>
    <m/>
    <s v="New"/>
    <s v="infasco"/>
    <n v="106.94"/>
    <n v="106.94"/>
  </r>
  <r>
    <x v="12"/>
    <x v="31"/>
    <s v="06101831-A"/>
    <n v="716508"/>
    <n v="14"/>
    <n v="1000"/>
    <n v="14000"/>
    <n v="290"/>
    <s v="Yes"/>
    <m/>
    <s v="Yes"/>
    <m/>
    <s v="Yes"/>
    <m/>
    <s v="Yes"/>
    <m/>
    <s v="N/A"/>
    <m/>
    <s v="Yes"/>
    <m/>
    <s v="Yes"/>
    <m/>
    <s v="Re-certified"/>
    <s v="infasco"/>
    <n v="0"/>
    <n v="0"/>
  </r>
  <r>
    <x v="12"/>
    <x v="26"/>
    <n v="11549168"/>
    <n v="715773"/>
    <n v="30"/>
    <n v="1000"/>
    <n v="30000"/>
    <n v="290"/>
    <s v="Yes"/>
    <m/>
    <s v="Yes"/>
    <m/>
    <s v="Yes"/>
    <m/>
    <s v="Yes"/>
    <m/>
    <s v="N/A"/>
    <m/>
    <s v="Yes"/>
    <m/>
    <s v="Yes"/>
    <m/>
    <s v="New"/>
    <s v="infasco"/>
    <n v="106.94"/>
    <n v="106.94"/>
  </r>
  <r>
    <x v="12"/>
    <x v="26"/>
    <n v="11549168"/>
    <n v="715772"/>
    <n v="36"/>
    <n v="1000"/>
    <n v="36000"/>
    <n v="290"/>
    <s v="Yes"/>
    <m/>
    <s v="Yes"/>
    <m/>
    <s v="Yes"/>
    <m/>
    <s v="Yes"/>
    <m/>
    <s v="N/A"/>
    <m/>
    <s v="Yes"/>
    <m/>
    <s v="Yes"/>
    <m/>
    <s v="New"/>
    <s v="infasco"/>
    <n v="106.94"/>
    <n v="106.94"/>
  </r>
  <r>
    <x v="12"/>
    <x v="26"/>
    <n v="11549168"/>
    <n v="715775"/>
    <n v="36"/>
    <n v="1000"/>
    <n v="36000"/>
    <n v="290"/>
    <s v="Yes"/>
    <m/>
    <s v="Yes"/>
    <m/>
    <s v="Yes"/>
    <m/>
    <s v="Yes"/>
    <m/>
    <s v="N/A"/>
    <m/>
    <s v="Yes"/>
    <m/>
    <s v="Yes"/>
    <m/>
    <s v="New"/>
    <s v="infasco"/>
    <n v="106.94"/>
    <n v="106.94"/>
  </r>
  <r>
    <x v="12"/>
    <x v="26"/>
    <n v="11549168"/>
    <n v="715771"/>
    <n v="36"/>
    <n v="1000"/>
    <n v="36000"/>
    <n v="290"/>
    <s v="Yes"/>
    <m/>
    <s v="Yes"/>
    <m/>
    <s v="Yes"/>
    <m/>
    <s v="Yes"/>
    <m/>
    <s v="N/A"/>
    <m/>
    <s v="Yes"/>
    <m/>
    <s v="Yes"/>
    <m/>
    <s v="Re-certified"/>
    <s v="infasco"/>
    <m/>
    <n v="0"/>
  </r>
  <r>
    <x v="12"/>
    <x v="27"/>
    <s v="NU5210-03"/>
    <n v="717106"/>
    <n v="1"/>
    <n v="8210"/>
    <n v="8210"/>
    <n v="290"/>
    <s v="Yes"/>
    <m/>
    <s v="Yes"/>
    <m/>
    <s v="Yes"/>
    <m/>
    <s v="Yes"/>
    <m/>
    <s v="N/A"/>
    <m/>
    <s v="Yes"/>
    <m/>
    <s v="Yes"/>
    <m/>
    <s v="New"/>
    <s v="infasco"/>
    <n v="129.44999999999999"/>
    <n v="129.44999999999999"/>
  </r>
  <r>
    <x v="12"/>
    <x v="27"/>
    <s v="11546367-MY-AK"/>
    <n v="715723"/>
    <n v="36"/>
    <n v="700"/>
    <n v="25200"/>
    <n v="290"/>
    <s v="Yes"/>
    <m/>
    <s v="Yes"/>
    <m/>
    <s v="Yes"/>
    <m/>
    <s v="Yes"/>
    <m/>
    <s v="N/A"/>
    <m/>
    <s v="Yes"/>
    <m/>
    <s v="Yes"/>
    <m/>
    <s v="New"/>
    <s v="infasco"/>
    <n v="106.94"/>
    <n v="106.94"/>
  </r>
  <r>
    <x v="12"/>
    <x v="27"/>
    <s v="11546367-MY-AK"/>
    <n v="716136"/>
    <n v="24"/>
    <n v="700"/>
    <n v="16800"/>
    <n v="290"/>
    <s v="Yes"/>
    <m/>
    <s v="Yes"/>
    <m/>
    <s v="Yes"/>
    <m/>
    <s v="Yes"/>
    <m/>
    <s v="N/A"/>
    <m/>
    <s v="Yes"/>
    <m/>
    <s v="Yes"/>
    <m/>
    <s v="Re-certified"/>
    <s v="infasco"/>
    <n v="0"/>
    <n v="0"/>
  </r>
  <r>
    <x v="12"/>
    <x v="16"/>
    <n v="11562515"/>
    <n v="713212"/>
    <n v="13"/>
    <n v="1900"/>
    <n v="24700"/>
    <s v="285+391"/>
    <s v="Yes"/>
    <m/>
    <s v="Yes"/>
    <m/>
    <s v="Yes"/>
    <m/>
    <s v="Yes"/>
    <m/>
    <s v="N/A"/>
    <m/>
    <s v="Yes"/>
    <m/>
    <s v="Yes"/>
    <m/>
    <s v="New"/>
    <s v="infasco"/>
    <n v="135.07999999999998"/>
    <n v="135.07999999999998"/>
  </r>
  <r>
    <x v="12"/>
    <x v="16"/>
    <s v="06105102AA"/>
    <n v="716697"/>
    <n v="23"/>
    <n v="670"/>
    <n v="15410"/>
    <s v="285+391"/>
    <s v="Yes"/>
    <m/>
    <s v="Yes"/>
    <m/>
    <s v="Yes"/>
    <m/>
    <s v="Yes"/>
    <m/>
    <s v="N/A"/>
    <m/>
    <s v="Yes"/>
    <m/>
    <s v="Yes"/>
    <m/>
    <s v="New"/>
    <s v="infasco"/>
    <n v="280.16000000000003"/>
    <n v="280.16000000000003"/>
  </r>
  <r>
    <x v="12"/>
    <x v="16"/>
    <s v="11546774-MY-AK"/>
    <n v="714277"/>
    <n v="28"/>
    <n v="450"/>
    <n v="12600"/>
    <s v="285+391"/>
    <s v="Yes"/>
    <m/>
    <s v="Yes"/>
    <m/>
    <s v="Yes"/>
    <m/>
    <s v="Yes"/>
    <m/>
    <s v="N/A"/>
    <m/>
    <s v="Yes"/>
    <m/>
    <s v="Yes"/>
    <m/>
    <s v="New"/>
    <s v="infasco"/>
    <n v="106.94"/>
    <n v="106.94"/>
  </r>
  <r>
    <x v="12"/>
    <x v="16"/>
    <s v="06105102AA"/>
    <n v="716693"/>
    <n v="30"/>
    <n v="670"/>
    <n v="20100"/>
    <s v="285+391"/>
    <s v="Yes"/>
    <m/>
    <s v="Yes"/>
    <m/>
    <s v="Yes"/>
    <m/>
    <s v="Yes"/>
    <m/>
    <s v="N/A"/>
    <m/>
    <s v="Yes"/>
    <m/>
    <s v="Yes"/>
    <m/>
    <s v="New"/>
    <s v="infasco"/>
    <n v="280.16000000000003"/>
    <n v="280.16000000000003"/>
  </r>
  <r>
    <x v="12"/>
    <x v="16"/>
    <n v="11588714"/>
    <n v="717113"/>
    <n v="36"/>
    <n v="1400"/>
    <n v="50400"/>
    <s v="285+391"/>
    <s v="Yes"/>
    <m/>
    <s v="Yes"/>
    <m/>
    <s v="Yes"/>
    <m/>
    <s v="Yes"/>
    <m/>
    <s v="N/A"/>
    <m/>
    <s v="Yes"/>
    <m/>
    <s v="Yes"/>
    <m/>
    <s v="New"/>
    <s v="infasco"/>
    <n v="280.15999999999997"/>
    <n v="280.15999999999997"/>
  </r>
  <r>
    <x v="12"/>
    <x v="16"/>
    <s v="HL3W-4320-AA"/>
    <n v="713049"/>
    <n v="24"/>
    <n v="200"/>
    <n v="4800"/>
    <s v="285+391"/>
    <s v="Yes"/>
    <m/>
    <s v="Yes"/>
    <m/>
    <s v="Yes"/>
    <m/>
    <s v="Yes"/>
    <m/>
    <s v="N/A"/>
    <m/>
    <s v="Yes"/>
    <m/>
    <s v="Yes"/>
    <m/>
    <s v="New"/>
    <s v="infasco"/>
    <n v="129.44999999999999"/>
    <n v="129.44999999999999"/>
  </r>
  <r>
    <x v="12"/>
    <x v="16"/>
    <s v="HL3W-4320-AA"/>
    <n v="714257"/>
    <n v="24"/>
    <n v="200"/>
    <n v="4800"/>
    <s v="285+391"/>
    <s v="Yes"/>
    <m/>
    <s v="Yes"/>
    <m/>
    <s v="Yes"/>
    <m/>
    <s v="Yes"/>
    <m/>
    <s v="N/A"/>
    <m/>
    <s v="Yes"/>
    <m/>
    <s v="Yes"/>
    <m/>
    <s v="New"/>
    <s v="infasco"/>
    <n v="129.44999999999999"/>
    <n v="129.44999999999999"/>
  </r>
  <r>
    <x v="12"/>
    <x v="16"/>
    <s v="HL3W-4320-AA"/>
    <n v="714256"/>
    <n v="48"/>
    <n v="200"/>
    <n v="9600"/>
    <s v="285+391"/>
    <s v="Yes"/>
    <m/>
    <s v="Yes"/>
    <m/>
    <s v="Yes"/>
    <m/>
    <s v="Yes"/>
    <m/>
    <s v="N/A"/>
    <m/>
    <s v="Yes"/>
    <m/>
    <s v="Yes"/>
    <m/>
    <s v="New"/>
    <s v="infasco"/>
    <n v="129.44999999999999"/>
    <n v="129.44999999999999"/>
  </r>
  <r>
    <x v="12"/>
    <x v="16"/>
    <s v="HL3W-4320-AA"/>
    <n v="713052"/>
    <n v="20"/>
    <n v="200"/>
    <n v="4000"/>
    <s v="285+391"/>
    <s v="Yes"/>
    <m/>
    <s v="Yes"/>
    <m/>
    <s v="Yes"/>
    <m/>
    <s v="Yes"/>
    <m/>
    <s v="N/A"/>
    <m/>
    <s v="Yes"/>
    <m/>
    <s v="Yes"/>
    <m/>
    <s v="New"/>
    <s v="infasco"/>
    <n v="129.44999999999999"/>
    <n v="129.44999999999999"/>
  </r>
  <r>
    <x v="12"/>
    <x v="16"/>
    <n v="11562515"/>
    <n v="713211"/>
    <n v="36"/>
    <n v="1900"/>
    <n v="68400"/>
    <s v="285+391"/>
    <s v="Yes"/>
    <m/>
    <s v="Yes"/>
    <m/>
    <s v="Yes"/>
    <m/>
    <s v="Yes"/>
    <m/>
    <s v="N/A"/>
    <m/>
    <s v="Yes"/>
    <m/>
    <s v="Yes"/>
    <m/>
    <s v="New"/>
    <s v="infasco"/>
    <n v="135.07999999999998"/>
    <n v="135.07999999999998"/>
  </r>
  <r>
    <x v="12"/>
    <x v="4"/>
    <s v="W716298-S450"/>
    <n v="714425"/>
    <n v="31"/>
    <n v="3500"/>
    <n v="108500"/>
    <n v="292"/>
    <s v="Yes"/>
    <m/>
    <s v="Yes"/>
    <m/>
    <s v="Yes"/>
    <m/>
    <s v="Yes"/>
    <m/>
    <s v="N/A"/>
    <m/>
    <s v="Yes"/>
    <m/>
    <s v="Yes"/>
    <m/>
    <s v="New"/>
    <s v="infasco"/>
    <n v="106.94"/>
    <n v="106.94"/>
  </r>
  <r>
    <x v="12"/>
    <x v="4"/>
    <s v="11546364-MY-AK"/>
    <n v="716333"/>
    <n v="10"/>
    <n v="3500"/>
    <n v="35000"/>
    <n v="292"/>
    <s v="Yes"/>
    <m/>
    <s v="Yes"/>
    <m/>
    <s v="Yes"/>
    <m/>
    <s v="Yes"/>
    <m/>
    <s v="N/A"/>
    <m/>
    <s v="Yes"/>
    <m/>
    <s v="Yes"/>
    <m/>
    <s v="Re-certified"/>
    <s v="infasco"/>
    <n v="0"/>
    <n v="0"/>
  </r>
  <r>
    <x v="12"/>
    <x v="5"/>
    <s v="11546367-MY-AK"/>
    <n v="715724"/>
    <n v="6"/>
    <n v="700"/>
    <n v="4200"/>
    <n v="292"/>
    <s v="Yes"/>
    <m/>
    <s v="Yes"/>
    <m/>
    <s v="Yes"/>
    <m/>
    <s v="Yes"/>
    <m/>
    <s v="N/A"/>
    <m/>
    <s v="Yes"/>
    <m/>
    <s v="Yes"/>
    <m/>
    <s v="New"/>
    <s v="infasco"/>
    <n v="106.94"/>
    <n v="106.94"/>
  </r>
  <r>
    <x v="12"/>
    <x v="5"/>
    <s v="11546367-MY-AK"/>
    <n v="716131"/>
    <n v="36"/>
    <n v="700"/>
    <n v="25200"/>
    <n v="292"/>
    <s v="Yes"/>
    <m/>
    <s v="Yes"/>
    <m/>
    <s v="Yes"/>
    <m/>
    <s v="Yes"/>
    <m/>
    <s v="N/A"/>
    <m/>
    <s v="Yes"/>
    <m/>
    <s v="Yes"/>
    <m/>
    <s v="New"/>
    <s v="infasco"/>
    <n v="106.94"/>
    <n v="106.94"/>
  </r>
  <r>
    <x v="12"/>
    <x v="5"/>
    <s v="11546367-MY-AK"/>
    <n v="716130"/>
    <n v="29"/>
    <n v="700"/>
    <n v="20300"/>
    <n v="292"/>
    <s v="Yes"/>
    <m/>
    <s v="Yes"/>
    <m/>
    <s v="Yes"/>
    <m/>
    <s v="Yes"/>
    <m/>
    <s v="N/A"/>
    <m/>
    <s v="Yes"/>
    <m/>
    <s v="Yes"/>
    <m/>
    <s v="New"/>
    <s v="infasco"/>
    <n v="106.94"/>
    <n v="106.94"/>
  </r>
  <r>
    <x v="12"/>
    <x v="5"/>
    <n v="11610091"/>
    <n v="716450"/>
    <n v="10"/>
    <n v="2500"/>
    <n v="25000"/>
    <n v="292"/>
    <s v="Yes"/>
    <m/>
    <s v="Yes"/>
    <m/>
    <s v="Yes"/>
    <m/>
    <s v="Yes"/>
    <m/>
    <s v="N/A"/>
    <m/>
    <s v="Yes"/>
    <m/>
    <s v="Yes"/>
    <m/>
    <s v="Re-certified"/>
    <s v="infasco"/>
    <n v="0"/>
    <n v="0"/>
  </r>
  <r>
    <x v="12"/>
    <x v="3"/>
    <s v="11546368-MY-AK"/>
    <n v="715727"/>
    <n v="36"/>
    <n v="450"/>
    <n v="16200"/>
    <n v="292"/>
    <s v="Yes"/>
    <m/>
    <s v="Yes"/>
    <m/>
    <s v="Yes"/>
    <m/>
    <s v="Yes"/>
    <m/>
    <s v="N/A"/>
    <m/>
    <s v="Yes"/>
    <m/>
    <s v="Yes"/>
    <m/>
    <s v="New"/>
    <s v="infasco"/>
    <n v="106.94"/>
    <n v="106.94"/>
  </r>
  <r>
    <x v="12"/>
    <x v="3"/>
    <s v="11546774-MY-AK"/>
    <n v="714652"/>
    <n v="36"/>
    <n v="450"/>
    <n v="16200"/>
    <n v="292"/>
    <s v="Yes"/>
    <m/>
    <s v="Yes"/>
    <m/>
    <s v="Yes"/>
    <m/>
    <s v="Yes"/>
    <m/>
    <s v="N/A"/>
    <m/>
    <s v="Yes"/>
    <m/>
    <s v="Yes"/>
    <m/>
    <s v="New"/>
    <s v="infasco"/>
    <n v="106.94"/>
    <n v="106.94"/>
  </r>
  <r>
    <x v="12"/>
    <x v="3"/>
    <s v="11546774-MY-AK"/>
    <n v="714648"/>
    <n v="15"/>
    <n v="450"/>
    <n v="6750"/>
    <n v="292"/>
    <s v="Yes"/>
    <m/>
    <s v="Yes"/>
    <m/>
    <s v="Yes"/>
    <m/>
    <s v="Yes"/>
    <m/>
    <s v="N/A"/>
    <m/>
    <s v="Yes"/>
    <m/>
    <s v="Yes"/>
    <m/>
    <s v="New"/>
    <s v="infasco"/>
    <n v="106.94"/>
    <n v="106.94"/>
  </r>
  <r>
    <x v="12"/>
    <x v="0"/>
    <s v="11546366-MY-AK"/>
    <n v="714530"/>
    <n v="8"/>
    <n v="1000"/>
    <n v="8000"/>
    <n v="292"/>
    <s v="Yes"/>
    <m/>
    <s v="Yes"/>
    <m/>
    <s v="Yes"/>
    <m/>
    <s v="Yes"/>
    <m/>
    <s v="N/A"/>
    <m/>
    <s v="Yes"/>
    <m/>
    <s v="Yes"/>
    <m/>
    <s v="New"/>
    <s v="infasco"/>
    <n v="106.94"/>
    <n v="106.94"/>
  </r>
  <r>
    <x v="12"/>
    <x v="0"/>
    <s v="W711468-S437"/>
    <n v="714084"/>
    <n v="10"/>
    <n v="1600"/>
    <n v="16000"/>
    <n v="292"/>
    <s v="Yes"/>
    <m/>
    <s v="Yes"/>
    <m/>
    <s v="Yes"/>
    <m/>
    <s v="Yes"/>
    <m/>
    <s v="N/A"/>
    <m/>
    <s v="Yes"/>
    <m/>
    <s v="Yes"/>
    <m/>
    <s v="Re-certified"/>
    <s v="infasco"/>
    <n v="0"/>
    <n v="0"/>
  </r>
  <r>
    <x v="12"/>
    <x v="19"/>
    <s v="W711468-S437"/>
    <n v="714086"/>
    <n v="20"/>
    <n v="1600"/>
    <n v="32000"/>
    <n v="292"/>
    <s v="Yes"/>
    <m/>
    <s v="Yes"/>
    <m/>
    <s v="Yes"/>
    <m/>
    <s v="Yes"/>
    <m/>
    <s v="N/A"/>
    <m/>
    <s v="Yes"/>
    <m/>
    <s v="Yes"/>
    <m/>
    <s v="New"/>
    <s v="infasco"/>
    <n v="106.94"/>
    <n v="106.94"/>
  </r>
  <r>
    <x v="12"/>
    <x v="19"/>
    <s v="W711468-S437"/>
    <n v="714261"/>
    <n v="39"/>
    <n v="1600"/>
    <n v="62400"/>
    <n v="292"/>
    <s v="Yes"/>
    <m/>
    <s v="Yes"/>
    <m/>
    <s v="Yes"/>
    <m/>
    <s v="Yes"/>
    <m/>
    <s v="N/A"/>
    <m/>
    <s v="Yes"/>
    <m/>
    <s v="Yes"/>
    <m/>
    <s v="New"/>
    <s v="infasco"/>
    <n v="106.94"/>
    <n v="106.94"/>
  </r>
  <r>
    <x v="12"/>
    <x v="19"/>
    <n v="11610091"/>
    <n v="716454"/>
    <n v="10"/>
    <n v="2500"/>
    <n v="25000"/>
    <n v="292"/>
    <s v="Yes"/>
    <m/>
    <s v="Yes"/>
    <m/>
    <s v="Yes"/>
    <m/>
    <s v="Yes"/>
    <m/>
    <s v="N/A"/>
    <m/>
    <s v="Yes"/>
    <m/>
    <s v="Yes"/>
    <m/>
    <s v="Re-certified"/>
    <s v="infasco"/>
    <n v="0"/>
    <n v="0"/>
  </r>
  <r>
    <x v="12"/>
    <x v="2"/>
    <n v="11549168"/>
    <n v="715768"/>
    <n v="16"/>
    <n v="1000"/>
    <n v="16000"/>
    <n v="292"/>
    <s v="Yes"/>
    <m/>
    <s v="Yes"/>
    <m/>
    <s v="Yes"/>
    <m/>
    <s v="Yes"/>
    <m/>
    <s v="N/A"/>
    <m/>
    <s v="Yes"/>
    <m/>
    <s v="Yes"/>
    <m/>
    <s v="New"/>
    <s v="infasco"/>
    <n v="106.94"/>
    <n v="106.94"/>
  </r>
  <r>
    <x v="12"/>
    <x v="2"/>
    <n v="11549168"/>
    <n v="715769"/>
    <n v="20"/>
    <n v="1000"/>
    <n v="20000"/>
    <n v="292"/>
    <s v="Yes"/>
    <m/>
    <s v="Yes"/>
    <m/>
    <s v="Yes"/>
    <m/>
    <s v="Yes"/>
    <m/>
    <s v="N/A"/>
    <m/>
    <s v="Yes"/>
    <m/>
    <s v="Yes"/>
    <m/>
    <s v="Re-certified"/>
    <s v="infasco"/>
    <n v="0"/>
    <n v="0"/>
  </r>
  <r>
    <x v="12"/>
    <x v="1"/>
    <s v="11546365-MY-AK"/>
    <n v="714536"/>
    <n v="9"/>
    <n v="1900"/>
    <n v="17100"/>
    <n v="292"/>
    <s v="Yes"/>
    <m/>
    <s v="Yes"/>
    <m/>
    <s v="Yes"/>
    <m/>
    <s v="Yes"/>
    <m/>
    <s v="N/A"/>
    <m/>
    <s v="Yes"/>
    <m/>
    <s v="Yes"/>
    <m/>
    <s v="New"/>
    <s v="infasco"/>
    <n v="106.94"/>
    <n v="106.94"/>
  </r>
  <r>
    <x v="12"/>
    <x v="1"/>
    <s v="11546365-MY-AK"/>
    <n v="714541"/>
    <n v="10"/>
    <n v="1900"/>
    <n v="19000"/>
    <n v="292"/>
    <s v="Yes"/>
    <m/>
    <s v="Yes"/>
    <m/>
    <s v="Yes"/>
    <m/>
    <s v="Yes"/>
    <m/>
    <s v="N/A"/>
    <m/>
    <s v="Yes"/>
    <m/>
    <s v="Yes"/>
    <m/>
    <s v="Re-certified"/>
    <s v="infasco"/>
    <n v="0"/>
    <n v="0"/>
  </r>
  <r>
    <x v="12"/>
    <x v="25"/>
    <s v="W711468-S437"/>
    <n v="714087"/>
    <n v="37"/>
    <n v="1600"/>
    <n v="59200"/>
    <n v="280"/>
    <s v="Yes"/>
    <m/>
    <s v="Yes"/>
    <m/>
    <s v="Yes"/>
    <m/>
    <s v="Yes"/>
    <m/>
    <s v="N/A"/>
    <m/>
    <s v="Yes"/>
    <m/>
    <s v="Yes"/>
    <m/>
    <s v="New"/>
    <s v="infasco"/>
    <n v="106.94"/>
    <n v="106.94"/>
  </r>
  <r>
    <x v="12"/>
    <x v="24"/>
    <s v="11546364-MY-AK"/>
    <n v="716334"/>
    <n v="23"/>
    <n v="3500"/>
    <n v="80500"/>
    <n v="280"/>
    <s v="Yes"/>
    <m/>
    <s v="Yes"/>
    <m/>
    <s v="Yes"/>
    <m/>
    <s v="Yes"/>
    <m/>
    <s v="N/A"/>
    <m/>
    <s v="Yes"/>
    <m/>
    <s v="Yes"/>
    <m/>
    <s v="Re-certified"/>
    <s v="infasco"/>
    <n v="0"/>
    <n v="0"/>
  </r>
  <r>
    <x v="12"/>
    <x v="23"/>
    <n v="11546449"/>
    <n v="716523"/>
    <n v="32"/>
    <n v="2500"/>
    <n v="80000"/>
    <n v="280"/>
    <s v="Yes"/>
    <m/>
    <s v="Yes"/>
    <m/>
    <s v="Yes"/>
    <m/>
    <s v="Yes"/>
    <m/>
    <s v="N/A"/>
    <m/>
    <s v="Yes"/>
    <m/>
    <s v="Yes"/>
    <m/>
    <s v="New"/>
    <s v="infasco"/>
    <n v="106.94"/>
    <n v="106.94"/>
  </r>
  <r>
    <x v="12"/>
    <x v="23"/>
    <n v="11546449"/>
    <n v="716521"/>
    <n v="35"/>
    <n v="2500"/>
    <n v="87500"/>
    <n v="280"/>
    <s v="Yes"/>
    <m/>
    <s v="Yes"/>
    <m/>
    <s v="Yes"/>
    <m/>
    <s v="Yes"/>
    <m/>
    <s v="N/A"/>
    <m/>
    <s v="Yes"/>
    <m/>
    <s v="Yes"/>
    <m/>
    <s v="New"/>
    <s v="infasco"/>
    <n v="106.94"/>
    <n v="106.94"/>
  </r>
  <r>
    <x v="12"/>
    <x v="23"/>
    <n v="11546449"/>
    <n v="716516"/>
    <n v="36"/>
    <n v="2500"/>
    <n v="90000"/>
    <n v="280"/>
    <s v="Yes"/>
    <m/>
    <s v="Yes"/>
    <m/>
    <s v="Yes"/>
    <m/>
    <s v="Yes"/>
    <m/>
    <s v="N/A"/>
    <m/>
    <s v="Yes"/>
    <m/>
    <s v="Yes"/>
    <m/>
    <s v="New"/>
    <s v="infasco"/>
    <n v="106.94"/>
    <n v="106.94"/>
  </r>
  <r>
    <x v="12"/>
    <x v="20"/>
    <s v="11546367-MY-AK"/>
    <n v="715722"/>
    <n v="20"/>
    <n v="700"/>
    <n v="14000"/>
    <n v="280"/>
    <s v="Yes"/>
    <m/>
    <s v="Yes"/>
    <m/>
    <s v="Yes"/>
    <m/>
    <s v="Yes"/>
    <m/>
    <s v="N/A"/>
    <m/>
    <s v="Yes"/>
    <m/>
    <s v="Yes"/>
    <m/>
    <s v="New"/>
    <s v="infasco"/>
    <n v="106.94"/>
    <n v="106.94"/>
  </r>
  <r>
    <x v="12"/>
    <x v="20"/>
    <s v="11546367-MY-AK"/>
    <n v="716137"/>
    <n v="33"/>
    <n v="700"/>
    <n v="23100"/>
    <n v="280"/>
    <s v="Yes"/>
    <m/>
    <s v="Yes"/>
    <m/>
    <s v="Yes"/>
    <m/>
    <s v="Yes"/>
    <m/>
    <s v="N/A"/>
    <m/>
    <s v="Yes"/>
    <m/>
    <s v="Yes"/>
    <m/>
    <s v="New"/>
    <s v="infasco"/>
    <n v="106.94"/>
    <n v="106.94"/>
  </r>
  <r>
    <x v="12"/>
    <x v="21"/>
    <n v="11546449"/>
    <n v="715763"/>
    <n v="18"/>
    <n v="2500"/>
    <n v="45000"/>
    <n v="280"/>
    <s v="Yes"/>
    <m/>
    <s v="Yes"/>
    <m/>
    <s v="Yes"/>
    <m/>
    <s v="Yes"/>
    <m/>
    <s v="N/A"/>
    <m/>
    <s v="Yes"/>
    <m/>
    <s v="Yes"/>
    <m/>
    <s v="New"/>
    <s v="infasco"/>
    <n v="106.94"/>
    <n v="106.94"/>
  </r>
  <r>
    <x v="12"/>
    <x v="21"/>
    <n v="11546449"/>
    <n v="716526"/>
    <n v="36"/>
    <n v="2500"/>
    <n v="90000"/>
    <n v="280"/>
    <s v="Yes"/>
    <m/>
    <s v="Yes"/>
    <m/>
    <s v="Yes"/>
    <m/>
    <s v="Yes"/>
    <m/>
    <s v="N/A"/>
    <m/>
    <s v="Yes"/>
    <m/>
    <s v="Yes"/>
    <m/>
    <s v="New"/>
    <s v="infasco"/>
    <n v="106.94"/>
    <n v="106.94"/>
  </r>
  <r>
    <x v="12"/>
    <x v="21"/>
    <n v="11546449"/>
    <n v="716519"/>
    <n v="36"/>
    <n v="2500"/>
    <n v="90000"/>
    <n v="280"/>
    <s v="Yes"/>
    <m/>
    <s v="Yes"/>
    <m/>
    <s v="Yes"/>
    <m/>
    <s v="Yes"/>
    <m/>
    <s v="N/A"/>
    <m/>
    <s v="Yes"/>
    <m/>
    <s v="Yes"/>
    <m/>
    <s v="New"/>
    <s v="infasco"/>
    <n v="106.94"/>
    <n v="106.94"/>
  </r>
  <r>
    <x v="12"/>
    <x v="21"/>
    <n v="11546449"/>
    <n v="716524"/>
    <n v="20"/>
    <n v="2500"/>
    <n v="50000"/>
    <n v="280"/>
    <s v="Yes"/>
    <m/>
    <s v="Yes"/>
    <m/>
    <s v="Yes"/>
    <m/>
    <s v="Yes"/>
    <m/>
    <s v="N/A"/>
    <m/>
    <s v="Yes"/>
    <m/>
    <s v="Yes"/>
    <m/>
    <s v="Re-certified"/>
    <s v="infasco"/>
    <n v="0"/>
    <n v="0"/>
  </r>
  <r>
    <x v="12"/>
    <x v="14"/>
    <n v="11612078"/>
    <n v="709057"/>
    <n v="20"/>
    <n v="1850"/>
    <n v="37000"/>
    <n v="4"/>
    <s v="Yes"/>
    <m/>
    <s v="Yes"/>
    <m/>
    <s v="Yes"/>
    <m/>
    <s v="Yes"/>
    <m/>
    <s v="N/A"/>
    <m/>
    <s v="Yes"/>
    <m/>
    <s v="Yes"/>
    <m/>
    <s v="New"/>
    <s v="infasco"/>
    <n v="247.64"/>
    <n v="247.64"/>
  </r>
  <r>
    <x v="12"/>
    <x v="14"/>
    <n v="11612078"/>
    <n v="708874"/>
    <n v="3"/>
    <n v="1850"/>
    <n v="5550"/>
    <n v="4"/>
    <s v="Yes"/>
    <m/>
    <s v="Yes"/>
    <m/>
    <s v="Yes"/>
    <m/>
    <s v="Yes"/>
    <m/>
    <s v="N/A"/>
    <m/>
    <s v="Yes"/>
    <m/>
    <s v="Yes"/>
    <m/>
    <s v="Re-certified"/>
    <s v="infasco"/>
    <n v="0"/>
    <n v="0"/>
  </r>
  <r>
    <x v="12"/>
    <x v="15"/>
    <s v="06513514AA"/>
    <n v="716771"/>
    <n v="9"/>
    <n v="360"/>
    <n v="3240"/>
    <s v="157+245"/>
    <s v="Yes"/>
    <m/>
    <s v="Yes"/>
    <m/>
    <s v="Yes"/>
    <m/>
    <s v="Yes"/>
    <m/>
    <s v="N/A"/>
    <m/>
    <s v="Yes"/>
    <m/>
    <s v="Yes"/>
    <m/>
    <s v="New"/>
    <s v="infasco"/>
    <n v="135.08000000000001"/>
    <n v="135.08000000000001"/>
  </r>
  <r>
    <x v="12"/>
    <x v="15"/>
    <n v="11602659"/>
    <n v="714714"/>
    <n v="31"/>
    <n v="550"/>
    <n v="17050"/>
    <s v="157+245"/>
    <s v="Yes"/>
    <m/>
    <s v="Yes"/>
    <m/>
    <s v="Yes"/>
    <m/>
    <s v="Yes"/>
    <m/>
    <s v="N/A"/>
    <m/>
    <s v="Yes"/>
    <m/>
    <s v="Yes"/>
    <m/>
    <s v="New"/>
    <s v="infasco"/>
    <n v="135.07999999999998"/>
    <n v="135.07999999999998"/>
  </r>
  <r>
    <x v="12"/>
    <x v="15"/>
    <s v="06511777AA"/>
    <n v="714614"/>
    <n v="48"/>
    <n v="410"/>
    <n v="19680"/>
    <s v="157+245"/>
    <s v="Yes"/>
    <m/>
    <s v="Yes"/>
    <m/>
    <s v="Yes"/>
    <m/>
    <s v="Yes"/>
    <m/>
    <s v="N/A"/>
    <m/>
    <s v="Yes"/>
    <m/>
    <s v="Yes"/>
    <m/>
    <s v="New"/>
    <s v="infasco"/>
    <n v="135.07999999999998"/>
    <n v="135.07999999999998"/>
  </r>
  <r>
    <x v="12"/>
    <x v="15"/>
    <s v="06104388AA"/>
    <n v="716289"/>
    <n v="36"/>
    <n v="660"/>
    <n v="23760"/>
    <s v="157+245"/>
    <s v="Yes"/>
    <m/>
    <s v="Yes"/>
    <m/>
    <s v="Yes"/>
    <m/>
    <s v="Yes"/>
    <m/>
    <s v="N/A"/>
    <m/>
    <s v="Yes"/>
    <m/>
    <s v="Yes"/>
    <m/>
    <s v="New"/>
    <s v="infasco"/>
    <n v="135.08000000000001"/>
    <n v="135.08000000000001"/>
  </r>
  <r>
    <x v="12"/>
    <x v="15"/>
    <s v="06104388AA"/>
    <n v="716291"/>
    <n v="27"/>
    <n v="660"/>
    <n v="17820"/>
    <s v="157+245"/>
    <s v="Yes"/>
    <m/>
    <s v="Yes"/>
    <m/>
    <s v="Yes"/>
    <m/>
    <s v="Yes"/>
    <m/>
    <s v="N/A"/>
    <m/>
    <s v="Yes"/>
    <m/>
    <s v="Yes"/>
    <m/>
    <s v="New"/>
    <s v="infasco"/>
    <n v="135.08000000000001"/>
    <n v="135.08000000000001"/>
  </r>
  <r>
    <x v="12"/>
    <x v="15"/>
    <s v="W520113-S440"/>
    <n v="714526"/>
    <n v="36"/>
    <n v="1050"/>
    <n v="37800"/>
    <s v="157+245"/>
    <s v="Yes"/>
    <m/>
    <s v="Yes"/>
    <m/>
    <s v="Yes"/>
    <m/>
    <s v="Yes"/>
    <m/>
    <s v="N/A"/>
    <m/>
    <s v="Yes"/>
    <m/>
    <s v="Yes"/>
    <m/>
    <s v="New"/>
    <s v="infasco"/>
    <n v="106.94"/>
    <n v="106.94"/>
  </r>
  <r>
    <x v="12"/>
    <x v="15"/>
    <s v="W520113-S440"/>
    <n v="714529"/>
    <n v="8"/>
    <n v="1050"/>
    <n v="8400"/>
    <s v="157+245"/>
    <s v="Yes"/>
    <m/>
    <s v="Yes"/>
    <m/>
    <s v="Yes"/>
    <m/>
    <s v="Yes"/>
    <m/>
    <s v="N/A"/>
    <m/>
    <s v="Yes"/>
    <m/>
    <s v="Yes"/>
    <m/>
    <s v="New"/>
    <s v="infasco"/>
    <n v="106.94"/>
    <n v="106.94"/>
  </r>
  <r>
    <x v="12"/>
    <x v="15"/>
    <s v="06105102AA"/>
    <n v="716688"/>
    <n v="33"/>
    <n v="670"/>
    <n v="22110"/>
    <s v="157+245"/>
    <s v="Yes"/>
    <m/>
    <s v="Yes"/>
    <m/>
    <s v="Yes"/>
    <m/>
    <s v="Yes"/>
    <m/>
    <s v="N/A"/>
    <m/>
    <s v="Yes"/>
    <m/>
    <s v="Yes"/>
    <m/>
    <s v="New"/>
    <s v="infasco"/>
    <n v="280.16000000000003"/>
    <n v="280.16000000000003"/>
  </r>
  <r>
    <x v="12"/>
    <x v="15"/>
    <s v="06105102AA"/>
    <n v="716691"/>
    <n v="36"/>
    <n v="670"/>
    <n v="24120"/>
    <s v="157+245"/>
    <s v="Yes"/>
    <m/>
    <s v="Yes"/>
    <m/>
    <s v="Yes"/>
    <m/>
    <s v="Yes"/>
    <m/>
    <s v="N/A"/>
    <m/>
    <s v="Yes"/>
    <m/>
    <s v="Yes"/>
    <m/>
    <s v="New"/>
    <s v="infasco"/>
    <n v="280.16000000000003"/>
    <n v="280.16000000000003"/>
  </r>
  <r>
    <x v="12"/>
    <x v="15"/>
    <s v="06105102AA"/>
    <n v="716695"/>
    <n v="22"/>
    <n v="670"/>
    <n v="14740"/>
    <s v="157+245"/>
    <s v="Yes"/>
    <m/>
    <s v="Yes"/>
    <m/>
    <s v="Yes"/>
    <m/>
    <s v="Yes"/>
    <m/>
    <s v="N/A"/>
    <m/>
    <s v="Yes"/>
    <m/>
    <s v="Yes"/>
    <m/>
    <s v="New"/>
    <s v="infasco"/>
    <n v="280.16000000000003"/>
    <n v="280.16000000000003"/>
  </r>
  <r>
    <x v="12"/>
    <x v="15"/>
    <n v="11588714"/>
    <n v="717085"/>
    <n v="22"/>
    <n v="1400"/>
    <n v="30800"/>
    <s v="157+245"/>
    <s v="Yes"/>
    <m/>
    <s v="Yes"/>
    <m/>
    <s v="Yes"/>
    <m/>
    <s v="Yes"/>
    <m/>
    <s v="N/A"/>
    <m/>
    <s v="Yes"/>
    <m/>
    <s v="Yes"/>
    <m/>
    <s v="New"/>
    <s v="infasco"/>
    <n v="280.15999999999997"/>
    <n v="280.15999999999997"/>
  </r>
  <r>
    <x v="12"/>
    <x v="15"/>
    <s v="NU3014-02"/>
    <n v="716251"/>
    <n v="1"/>
    <n v="3000"/>
    <n v="3000"/>
    <s v="157+245"/>
    <s v="Yes"/>
    <m/>
    <s v="Yes"/>
    <m/>
    <s v="Yes"/>
    <m/>
    <s v="Yes"/>
    <m/>
    <s v="N/A"/>
    <m/>
    <s v="Yes"/>
    <m/>
    <s v="Yes"/>
    <m/>
    <s v="Re-certified"/>
    <s v="infasco"/>
    <n v="0"/>
    <n v="0"/>
  </r>
  <r>
    <x v="12"/>
    <x v="17"/>
    <s v="06511777AA"/>
    <n v="714617"/>
    <n v="38"/>
    <n v="410"/>
    <n v="15580"/>
    <s v="190+268"/>
    <s v="Yes"/>
    <m/>
    <s v="Yes"/>
    <m/>
    <s v="Yes"/>
    <m/>
    <s v="Yes"/>
    <m/>
    <s v="N/A"/>
    <m/>
    <s v="Yes"/>
    <m/>
    <s v="Yes"/>
    <m/>
    <s v="New"/>
    <s v="infasco"/>
    <n v="135.07999999999998"/>
    <n v="135.07999999999998"/>
  </r>
  <r>
    <x v="12"/>
    <x v="17"/>
    <s v="06511777AA"/>
    <n v="713044"/>
    <n v="39"/>
    <n v="410"/>
    <n v="15990"/>
    <s v="190+268"/>
    <s v="Yes"/>
    <m/>
    <s v="Yes"/>
    <m/>
    <s v="Yes"/>
    <m/>
    <s v="Yes"/>
    <m/>
    <s v="N/A"/>
    <m/>
    <s v="Yes"/>
    <m/>
    <s v="Yes"/>
    <m/>
    <s v="New"/>
    <s v="infasco"/>
    <n v="135.07999999999998"/>
    <n v="135.07999999999998"/>
  </r>
  <r>
    <x v="12"/>
    <x v="17"/>
    <n v="11602659"/>
    <n v="714715"/>
    <n v="33"/>
    <n v="550"/>
    <n v="18150"/>
    <s v="190+268"/>
    <s v="Yes"/>
    <m/>
    <s v="Yes"/>
    <m/>
    <s v="Yes"/>
    <m/>
    <s v="Yes"/>
    <m/>
    <s v="N/A"/>
    <m/>
    <s v="Yes"/>
    <m/>
    <s v="Yes"/>
    <m/>
    <s v="New"/>
    <s v="infasco"/>
    <n v="135.07999999999998"/>
    <n v="135.07999999999998"/>
  </r>
  <r>
    <x v="12"/>
    <x v="17"/>
    <s v="06104388AA"/>
    <n v="716288"/>
    <n v="22"/>
    <n v="660"/>
    <n v="14520"/>
    <s v="190+268"/>
    <s v="Yes"/>
    <m/>
    <s v="Yes"/>
    <m/>
    <s v="Yes"/>
    <m/>
    <s v="Yes"/>
    <m/>
    <s v="N/A"/>
    <m/>
    <s v="Yes"/>
    <m/>
    <s v="Yes"/>
    <m/>
    <s v="New"/>
    <s v="infasco"/>
    <n v="135.08000000000001"/>
    <n v="135.08000000000001"/>
  </r>
  <r>
    <x v="12"/>
    <x v="17"/>
    <s v="55718-S2"/>
    <n v="660087"/>
    <n v="37"/>
    <n v="900"/>
    <n v="33300"/>
    <s v="190+268"/>
    <s v="Yes"/>
    <m/>
    <s v="Yes"/>
    <m/>
    <s v="Yes"/>
    <m/>
    <s v="Yes"/>
    <m/>
    <s v="N/A"/>
    <m/>
    <s v="Yes"/>
    <m/>
    <s v="Yes"/>
    <m/>
    <s v="New"/>
    <s v="infasco"/>
    <n v="106.94"/>
    <n v="106.94"/>
  </r>
  <r>
    <x v="12"/>
    <x v="17"/>
    <n v="11562515"/>
    <n v="713210"/>
    <n v="20"/>
    <n v="1900"/>
    <n v="38000"/>
    <s v="190+268"/>
    <s v="Yes"/>
    <m/>
    <s v="Yes"/>
    <m/>
    <s v="Yes"/>
    <m/>
    <s v="Yes"/>
    <m/>
    <s v="N/A"/>
    <m/>
    <s v="Yes"/>
    <m/>
    <s v="Yes"/>
    <m/>
    <s v="New"/>
    <s v="infasco"/>
    <n v="135.07999999999998"/>
    <n v="135.07999999999998"/>
  </r>
  <r>
    <x v="12"/>
    <x v="17"/>
    <s v="06105102AA"/>
    <n v="716698"/>
    <n v="36"/>
    <n v="670"/>
    <n v="24120"/>
    <s v="190+268"/>
    <s v="Yes"/>
    <m/>
    <s v="Yes"/>
    <m/>
    <s v="Yes"/>
    <m/>
    <s v="Yes"/>
    <m/>
    <s v="N/A"/>
    <m/>
    <s v="Yes"/>
    <m/>
    <s v="Yes"/>
    <m/>
    <s v="New"/>
    <s v="infasco"/>
    <n v="280.16000000000003"/>
    <n v="280.16000000000003"/>
  </r>
  <r>
    <x v="12"/>
    <x v="17"/>
    <s v="06105102AA"/>
    <n v="716687"/>
    <n v="36"/>
    <n v="670"/>
    <n v="24120"/>
    <s v="190+268"/>
    <s v="Yes"/>
    <m/>
    <s v="Yes"/>
    <m/>
    <s v="Yes"/>
    <m/>
    <s v="Yes"/>
    <m/>
    <s v="N/A"/>
    <m/>
    <s v="Yes"/>
    <m/>
    <s v="Yes"/>
    <m/>
    <s v="New"/>
    <s v="infasco"/>
    <n v="280.16000000000003"/>
    <n v="280.16000000000003"/>
  </r>
  <r>
    <x v="12"/>
    <x v="17"/>
    <s v="06105102AA"/>
    <n v="716692"/>
    <n v="36"/>
    <n v="670"/>
    <n v="24120"/>
    <s v="190+268"/>
    <s v="Yes"/>
    <m/>
    <s v="Yes"/>
    <m/>
    <s v="Yes"/>
    <m/>
    <s v="Yes"/>
    <m/>
    <s v="N/A"/>
    <m/>
    <s v="Yes"/>
    <m/>
    <s v="Yes"/>
    <m/>
    <s v="New"/>
    <s v="infasco"/>
    <n v="280.16000000000003"/>
    <n v="280.16000000000003"/>
  </r>
  <r>
    <x v="12"/>
    <x v="17"/>
    <s v="06105102AA"/>
    <n v="716696"/>
    <n v="16"/>
    <n v="670"/>
    <n v="10720"/>
    <s v="190+268"/>
    <s v="Yes"/>
    <m/>
    <s v="Yes"/>
    <m/>
    <s v="Yes"/>
    <m/>
    <s v="Yes"/>
    <m/>
    <s v="N/A"/>
    <m/>
    <s v="Yes"/>
    <m/>
    <s v="Yes"/>
    <m/>
    <s v="New"/>
    <s v="infasco"/>
    <n v="280.16000000000003"/>
    <n v="280.16000000000003"/>
  </r>
  <r>
    <x v="12"/>
    <x v="32"/>
    <n v="11602031"/>
    <n v="716713"/>
    <n v="27"/>
    <n v="145"/>
    <n v="3915"/>
    <s v="294+252"/>
    <s v="Yes"/>
    <m/>
    <s v="Yes"/>
    <m/>
    <s v="Yes"/>
    <m/>
    <s v="Yes"/>
    <m/>
    <s v="N/A"/>
    <m/>
    <s v="Yes"/>
    <m/>
    <s v="Yes"/>
    <m/>
    <s v="New"/>
    <s v="infasco"/>
    <n v="135.07999999999998"/>
    <n v="135.07999999999998"/>
  </r>
  <r>
    <x v="12"/>
    <x v="32"/>
    <s v="06511777AA"/>
    <n v="713045"/>
    <n v="30"/>
    <n v="410"/>
    <n v="12300"/>
    <s v="294+252"/>
    <s v="Yes"/>
    <m/>
    <s v="Yes"/>
    <m/>
    <s v="Yes"/>
    <m/>
    <s v="Yes"/>
    <m/>
    <s v="N/A"/>
    <m/>
    <s v="Yes"/>
    <m/>
    <s v="Yes"/>
    <m/>
    <s v="New"/>
    <s v="infasco"/>
    <n v="135.07999999999998"/>
    <n v="135.07999999999998"/>
  </r>
  <r>
    <x v="12"/>
    <x v="32"/>
    <n v="11602659"/>
    <n v="714718"/>
    <n v="32"/>
    <n v="550"/>
    <n v="17600"/>
    <s v="294+252"/>
    <s v="Yes"/>
    <m/>
    <s v="Yes"/>
    <m/>
    <s v="Yes"/>
    <m/>
    <s v="Yes"/>
    <m/>
    <s v="N/A"/>
    <m/>
    <s v="Yes"/>
    <m/>
    <s v="Yes"/>
    <m/>
    <s v="New"/>
    <s v="infasco"/>
    <n v="135.07999999999998"/>
    <n v="135.07999999999998"/>
  </r>
  <r>
    <x v="12"/>
    <x v="32"/>
    <s v="06104388AA"/>
    <n v="716290"/>
    <n v="34"/>
    <n v="660"/>
    <n v="22440"/>
    <s v="294+252"/>
    <s v="Yes"/>
    <m/>
    <s v="Yes"/>
    <m/>
    <s v="Yes"/>
    <m/>
    <s v="Yes"/>
    <m/>
    <s v="N/A"/>
    <m/>
    <s v="Yes"/>
    <m/>
    <s v="Yes"/>
    <m/>
    <s v="New"/>
    <s v="infasco"/>
    <n v="135.08000000000001"/>
    <n v="135.08000000000001"/>
  </r>
  <r>
    <x v="12"/>
    <x v="32"/>
    <s v="24576407-B"/>
    <n v="714393"/>
    <n v="5"/>
    <n v="1700"/>
    <n v="8500"/>
    <s v="294+252"/>
    <s v="Yes"/>
    <m/>
    <s v="Yes"/>
    <m/>
    <s v="Yes"/>
    <m/>
    <s v="Yes"/>
    <m/>
    <s v="N/A"/>
    <m/>
    <s v="Yes"/>
    <m/>
    <s v="Yes"/>
    <m/>
    <s v="New"/>
    <s v="infasco"/>
    <n v="106.94"/>
    <n v="106.94"/>
  </r>
  <r>
    <x v="12"/>
    <x v="32"/>
    <s v="11546774-MY-AK"/>
    <n v="714649"/>
    <n v="17"/>
    <n v="450"/>
    <n v="7650"/>
    <s v="294+252"/>
    <s v="Yes"/>
    <m/>
    <s v="Yes"/>
    <m/>
    <s v="Yes"/>
    <m/>
    <s v="Yes"/>
    <m/>
    <s v="N/A"/>
    <m/>
    <s v="Yes"/>
    <m/>
    <s v="Yes"/>
    <m/>
    <s v="New"/>
    <s v="infasco"/>
    <n v="106.94"/>
    <n v="106.94"/>
  </r>
  <r>
    <x v="12"/>
    <x v="32"/>
    <n v="11562515"/>
    <n v="713213"/>
    <n v="23"/>
    <n v="1900"/>
    <n v="43700"/>
    <s v="294+252"/>
    <s v="Yes"/>
    <m/>
    <s v="Yes"/>
    <m/>
    <s v="Yes"/>
    <m/>
    <s v="Yes"/>
    <m/>
    <s v="N/A"/>
    <m/>
    <s v="Yes"/>
    <m/>
    <s v="Yes"/>
    <m/>
    <s v="New"/>
    <s v="infasco"/>
    <n v="135.07999999999998"/>
    <n v="135.07999999999998"/>
  </r>
  <r>
    <x v="12"/>
    <x v="32"/>
    <s v="11546774-MY-AK"/>
    <n v="714274"/>
    <n v="27"/>
    <n v="450"/>
    <n v="12150"/>
    <s v="294+252"/>
    <s v="Yes"/>
    <m/>
    <s v="Yes"/>
    <m/>
    <s v="Yes"/>
    <m/>
    <s v="Yes"/>
    <m/>
    <s v="N/A"/>
    <m/>
    <s v="Yes"/>
    <m/>
    <s v="Yes"/>
    <m/>
    <s v="New"/>
    <s v="infasco"/>
    <n v="106.94"/>
    <n v="106.94"/>
  </r>
  <r>
    <x v="12"/>
    <x v="32"/>
    <s v="11546774-MY-AK"/>
    <n v="714651"/>
    <n v="25"/>
    <n v="450"/>
    <n v="11250"/>
    <s v="294+252"/>
    <s v="Yes"/>
    <m/>
    <s v="Yes"/>
    <m/>
    <s v="Yes"/>
    <m/>
    <s v="Yes"/>
    <m/>
    <s v="N/A"/>
    <m/>
    <s v="Yes"/>
    <m/>
    <s v="Yes"/>
    <m/>
    <s v="New"/>
    <s v="infasco"/>
    <n v="106.94"/>
    <n v="106.94"/>
  </r>
  <r>
    <x v="12"/>
    <x v="32"/>
    <n v="11588714"/>
    <n v="717084"/>
    <n v="27"/>
    <n v="1400"/>
    <n v="37800"/>
    <n v="252"/>
    <s v="Yes"/>
    <m/>
    <s v="Yes"/>
    <m/>
    <s v="Yes"/>
    <m/>
    <s v="Yes"/>
    <m/>
    <s v="N/A"/>
    <m/>
    <s v="Yes"/>
    <m/>
    <s v="Yes"/>
    <m/>
    <s v="New"/>
    <s v="infasco"/>
    <n v="280.15999999999997"/>
    <n v="280.15999999999997"/>
  </r>
  <r>
    <x v="12"/>
    <x v="32"/>
    <n v="11588714"/>
    <n v="717086"/>
    <n v="18"/>
    <n v="1400"/>
    <n v="25200"/>
    <n v="252"/>
    <s v="Yes"/>
    <m/>
    <s v="Yes"/>
    <m/>
    <s v="Yes"/>
    <m/>
    <s v="Yes"/>
    <m/>
    <s v="N/A"/>
    <m/>
    <s v="Yes"/>
    <m/>
    <s v="Yes"/>
    <m/>
    <s v="Re-certified"/>
    <s v="infasco"/>
    <n v="0"/>
    <n v="0"/>
  </r>
  <r>
    <x v="12"/>
    <x v="13"/>
    <s v="06513514AA"/>
    <n v="716772"/>
    <n v="18"/>
    <n v="360"/>
    <n v="6480"/>
    <s v="011+293"/>
    <s v="Yes"/>
    <m/>
    <s v="Yes"/>
    <m/>
    <s v="Yes"/>
    <m/>
    <s v="Yes"/>
    <m/>
    <s v="N/A"/>
    <m/>
    <s v="Yes"/>
    <m/>
    <s v="Yes"/>
    <m/>
    <s v="New"/>
    <s v="infasco"/>
    <n v="135.08000000000001"/>
    <n v="135.08000000000001"/>
  </r>
  <r>
    <x v="12"/>
    <x v="13"/>
    <s v="11546367-CA-IN"/>
    <n v="713918"/>
    <n v="37"/>
    <n v="700"/>
    <n v="25900"/>
    <s v="011+293"/>
    <s v="Yes"/>
    <m/>
    <s v="Yes"/>
    <m/>
    <s v="Yes"/>
    <m/>
    <s v="Yes"/>
    <m/>
    <s v="N/A"/>
    <m/>
    <s v="Yes"/>
    <m/>
    <s v="Yes"/>
    <m/>
    <s v="New"/>
    <s v="infasco"/>
    <n v="213.88"/>
    <n v="213.88"/>
  </r>
  <r>
    <x v="12"/>
    <x v="13"/>
    <s v="55718-S2"/>
    <n v="660088"/>
    <n v="43"/>
    <n v="900"/>
    <n v="38700"/>
    <s v="011+293"/>
    <s v="Yes"/>
    <m/>
    <s v="Yes"/>
    <m/>
    <s v="Yes"/>
    <m/>
    <s v="Yes"/>
    <m/>
    <s v="N/A"/>
    <m/>
    <s v="Yes"/>
    <m/>
    <s v="Yes"/>
    <m/>
    <s v="New"/>
    <s v="infasco"/>
    <n v="106.94"/>
    <n v="106.94"/>
  </r>
  <r>
    <x v="12"/>
    <x v="13"/>
    <s v="W520113-S440"/>
    <n v="714528"/>
    <n v="42"/>
    <n v="1050"/>
    <n v="44100"/>
    <s v="011+293"/>
    <s v="Yes"/>
    <m/>
    <s v="Yes"/>
    <m/>
    <s v="Yes"/>
    <m/>
    <s v="Yes"/>
    <m/>
    <s v="N/A"/>
    <m/>
    <s v="Yes"/>
    <m/>
    <s v="Yes"/>
    <m/>
    <s v="New"/>
    <s v="infasco"/>
    <n v="106.94"/>
    <n v="106.94"/>
  </r>
  <r>
    <x v="12"/>
    <x v="13"/>
    <s v="06105102AA"/>
    <n v="716694"/>
    <n v="28"/>
    <n v="670"/>
    <n v="18760"/>
    <s v="011+293"/>
    <s v="Yes"/>
    <m/>
    <s v="Yes"/>
    <m/>
    <s v="Yes"/>
    <m/>
    <s v="Yes"/>
    <m/>
    <s v="N/A"/>
    <m/>
    <s v="Yes"/>
    <m/>
    <s v="Yes"/>
    <m/>
    <s v="New"/>
    <s v="infasco"/>
    <n v="280.16000000000003"/>
    <n v="280.16000000000003"/>
  </r>
  <r>
    <x v="12"/>
    <x v="13"/>
    <n v="11588714"/>
    <n v="717114"/>
    <n v="36"/>
    <n v="1400"/>
    <n v="50400"/>
    <s v="011+293"/>
    <s v="Yes"/>
    <m/>
    <s v="Yes"/>
    <m/>
    <s v="Yes"/>
    <m/>
    <s v="Yes"/>
    <m/>
    <s v="N/A"/>
    <m/>
    <s v="Yes"/>
    <m/>
    <s v="Yes"/>
    <m/>
    <s v="New"/>
    <s v="infasco"/>
    <n v="280.15999999999997"/>
    <n v="280.15999999999997"/>
  </r>
  <r>
    <x v="12"/>
    <x v="13"/>
    <n v="11588714"/>
    <n v="717083"/>
    <n v="15"/>
    <n v="1400"/>
    <n v="21000"/>
    <s v="011+293"/>
    <s v="Yes"/>
    <m/>
    <s v="Yes"/>
    <m/>
    <s v="Yes"/>
    <m/>
    <s v="Yes"/>
    <m/>
    <s v="N/A"/>
    <m/>
    <s v="Yes"/>
    <m/>
    <s v="Yes"/>
    <m/>
    <s v="New"/>
    <s v="infasco"/>
    <n v="280.15999999999997"/>
    <n v="280.15999999999997"/>
  </r>
  <r>
    <x v="11"/>
    <x v="20"/>
    <s v="11546367-MY-AK"/>
    <n v="715722"/>
    <n v="16"/>
    <n v="700"/>
    <n v="11200"/>
    <n v="280"/>
    <s v="Yes"/>
    <m/>
    <s v="Yes"/>
    <m/>
    <s v="Yes"/>
    <m/>
    <s v="Yes"/>
    <m/>
    <s v="N/A"/>
    <m/>
    <s v="Yes"/>
    <m/>
    <s v="Yes"/>
    <m/>
    <s v="Re-certified"/>
    <s v="infasco"/>
    <n v="0"/>
    <n v="0"/>
  </r>
  <r>
    <x v="13"/>
    <x v="14"/>
    <n v="11612078"/>
    <n v="708874"/>
    <n v="25"/>
    <n v="1850"/>
    <n v="46250"/>
    <n v="4"/>
    <s v="Yes"/>
    <m/>
    <s v="Yes"/>
    <m/>
    <s v="Yes"/>
    <m/>
    <s v="Yes"/>
    <m/>
    <s v="N/A"/>
    <m/>
    <s v="Yes"/>
    <m/>
    <s v="Yes"/>
    <m/>
    <s v="Re-certified"/>
    <s v="infasco"/>
    <n v="0"/>
    <n v="0"/>
  </r>
  <r>
    <x v="14"/>
    <x v="14"/>
    <n v="11612078"/>
    <n v="708874"/>
    <n v="8"/>
    <n v="1850"/>
    <n v="14800"/>
    <n v="4"/>
    <s v="Yes"/>
    <m/>
    <s v="Yes"/>
    <m/>
    <s v="Yes"/>
    <m/>
    <s v="Yes"/>
    <m/>
    <s v="N/A"/>
    <m/>
    <s v="Yes"/>
    <m/>
    <s v="Yes"/>
    <m/>
    <s v="New"/>
    <s v="infasco"/>
    <n v="247.64"/>
    <n v="247.64"/>
  </r>
  <r>
    <x v="14"/>
    <x v="14"/>
    <n v="11612078"/>
    <n v="709059"/>
    <n v="14"/>
    <n v="1850"/>
    <n v="25900"/>
    <n v="4"/>
    <s v="Yes"/>
    <m/>
    <s v="Yes"/>
    <m/>
    <s v="Yes"/>
    <m/>
    <s v="Yes"/>
    <m/>
    <s v="N/A"/>
    <m/>
    <s v="Yes"/>
    <m/>
    <s v="Yes"/>
    <m/>
    <s v="Re-certified"/>
    <s v="infasco"/>
    <n v="0"/>
    <n v="0"/>
  </r>
  <r>
    <x v="15"/>
    <x v="11"/>
    <n v="11546437"/>
    <n v="716760"/>
    <n v="9"/>
    <n v="1500"/>
    <n v="13500"/>
    <n v="275"/>
    <s v="Yes"/>
    <m/>
    <s v="Yes"/>
    <m/>
    <s v="Yes"/>
    <m/>
    <s v="Yes"/>
    <m/>
    <s v="N/A"/>
    <m/>
    <s v="Yes"/>
    <m/>
    <s v="Yes"/>
    <m/>
    <s v="Re-certified"/>
    <s v="infasco"/>
    <n v="0"/>
    <n v="0"/>
  </r>
  <r>
    <x v="15"/>
    <x v="11"/>
    <n v="11546449"/>
    <n v="716878"/>
    <n v="17"/>
    <n v="2500"/>
    <n v="42500"/>
    <n v="275"/>
    <s v="Yes"/>
    <m/>
    <s v="Yes"/>
    <m/>
    <s v="Yes"/>
    <m/>
    <s v="Yes"/>
    <m/>
    <s v="N/A"/>
    <m/>
    <s v="Yes"/>
    <m/>
    <s v="Yes"/>
    <m/>
    <s v="New"/>
    <s v="infasco"/>
    <n v="106.94"/>
    <n v="106.94"/>
  </r>
  <r>
    <x v="14"/>
    <x v="25"/>
    <s v="W711468-S437"/>
    <n v="713267"/>
    <n v="27"/>
    <n v="1600"/>
    <n v="43200"/>
    <n v="280"/>
    <s v="Yes"/>
    <m/>
    <s v="Yes"/>
    <m/>
    <s v="Yes"/>
    <m/>
    <s v="Yes"/>
    <m/>
    <s v="N/A"/>
    <m/>
    <s v="Yes"/>
    <m/>
    <s v="Yes"/>
    <m/>
    <s v="New"/>
    <s v="infasco"/>
    <n v="106.94"/>
    <n v="106.94"/>
  </r>
  <r>
    <x v="13"/>
    <x v="32"/>
    <n v="11548535"/>
    <n v="713508"/>
    <n v="37"/>
    <n v="150"/>
    <n v="5550"/>
    <s v="294+252"/>
    <s v="Yes"/>
    <m/>
    <s v="Yes"/>
    <m/>
    <s v="Yes"/>
    <m/>
    <s v="Yes"/>
    <m/>
    <s v="N/A"/>
    <m/>
    <s v="Yes"/>
    <m/>
    <s v="Yes"/>
    <m/>
    <s v="New"/>
    <s v="infasco"/>
    <n v="106.94"/>
    <n v="106.94"/>
  </r>
  <r>
    <x v="13"/>
    <x v="27"/>
    <n v="11546774"/>
    <n v="713582"/>
    <n v="36"/>
    <n v="450"/>
    <n v="16200"/>
    <n v="290"/>
    <s v="Yes"/>
    <m/>
    <s v="Yes"/>
    <m/>
    <s v="Yes"/>
    <m/>
    <s v="Yes"/>
    <m/>
    <s v="N/A"/>
    <m/>
    <s v="Yes"/>
    <m/>
    <s v="Yes"/>
    <m/>
    <s v="New"/>
    <s v="infasco"/>
    <n v="106.94"/>
    <n v="106.94"/>
  </r>
  <r>
    <x v="13"/>
    <x v="27"/>
    <n v="11546774"/>
    <n v="713584"/>
    <n v="6"/>
    <n v="450"/>
    <n v="2700"/>
    <n v="290"/>
    <s v="Yes"/>
    <m/>
    <s v="Yes"/>
    <m/>
    <s v="Yes"/>
    <m/>
    <s v="Yes"/>
    <m/>
    <s v="N/A"/>
    <m/>
    <s v="Yes"/>
    <m/>
    <s v="Yes"/>
    <m/>
    <s v="Re-certified"/>
    <s v="infasco"/>
    <n v="0"/>
    <n v="0"/>
  </r>
  <r>
    <x v="14"/>
    <x v="27"/>
    <n v="11546774"/>
    <n v="713584"/>
    <n v="7"/>
    <n v="450"/>
    <n v="3150"/>
    <n v="290"/>
    <s v="Yes"/>
    <m/>
    <s v="Yes"/>
    <m/>
    <s v="Yes"/>
    <m/>
    <s v="Yes"/>
    <m/>
    <s v="N/A"/>
    <m/>
    <s v="Yes"/>
    <m/>
    <s v="Yes"/>
    <m/>
    <s v="New"/>
    <s v="infasco"/>
    <n v="106.94"/>
    <n v="106.94"/>
  </r>
  <r>
    <x v="13"/>
    <x v="16"/>
    <n v="11546703"/>
    <n v="713853"/>
    <n v="35"/>
    <n v="4000"/>
    <n v="140000"/>
    <s v="285+391"/>
    <s v="Yes"/>
    <m/>
    <s v="Yes"/>
    <m/>
    <s v="Yes"/>
    <m/>
    <s v="Yes"/>
    <m/>
    <s v="N/A"/>
    <m/>
    <s v="Yes"/>
    <m/>
    <s v="Yes"/>
    <m/>
    <s v="New"/>
    <s v="infasco"/>
    <n v="135.07999999999998"/>
    <n v="135.07999999999998"/>
  </r>
  <r>
    <x v="14"/>
    <x v="32"/>
    <n v="11546703"/>
    <n v="713854"/>
    <n v="24"/>
    <n v="4000"/>
    <n v="96000"/>
    <n v="252"/>
    <s v="Yes"/>
    <m/>
    <s v="Yes"/>
    <m/>
    <s v="Yes"/>
    <m/>
    <s v="Yes"/>
    <m/>
    <s v="N/A"/>
    <m/>
    <s v="Yes"/>
    <m/>
    <s v="Yes"/>
    <m/>
    <s v="Re-certified"/>
    <s v="infasco"/>
    <n v="0"/>
    <n v="0"/>
  </r>
  <r>
    <x v="15"/>
    <x v="6"/>
    <s v="W520101-S450"/>
    <n v="714691"/>
    <n v="38"/>
    <n v="3000"/>
    <n v="114000"/>
    <n v="275"/>
    <s v="Yes"/>
    <m/>
    <s v="Yes"/>
    <m/>
    <s v="Yes"/>
    <m/>
    <s v="Yes"/>
    <m/>
    <s v="N/A"/>
    <m/>
    <s v="Yes"/>
    <m/>
    <s v="Yes"/>
    <m/>
    <s v="New"/>
    <s v="infasco"/>
    <n v="106.94"/>
    <n v="106.94"/>
  </r>
  <r>
    <x v="13"/>
    <x v="13"/>
    <n v="11546703"/>
    <n v="713858"/>
    <n v="31"/>
    <n v="4000"/>
    <n v="124000"/>
    <s v="011+293"/>
    <s v="Yes"/>
    <m/>
    <s v="Yes"/>
    <m/>
    <s v="Yes"/>
    <m/>
    <s v="Yes"/>
    <m/>
    <s v="N/A"/>
    <m/>
    <s v="Yes"/>
    <m/>
    <s v="Yes"/>
    <m/>
    <s v="New"/>
    <s v="infasco"/>
    <n v="135.07999999999998"/>
    <n v="135.07999999999998"/>
  </r>
  <r>
    <x v="14"/>
    <x v="16"/>
    <n v="11546703"/>
    <n v="713859"/>
    <n v="34"/>
    <n v="4000"/>
    <n v="136000"/>
    <s v="285+391"/>
    <s v="Yes"/>
    <m/>
    <s v="Yes"/>
    <m/>
    <s v="Yes"/>
    <m/>
    <s v="Yes"/>
    <m/>
    <s v="N/A"/>
    <m/>
    <s v="Yes"/>
    <m/>
    <s v="Yes"/>
    <m/>
    <s v="New"/>
    <s v="infasco"/>
    <n v="135.07999999999998"/>
    <n v="135.07999999999998"/>
  </r>
  <r>
    <x v="15"/>
    <x v="10"/>
    <n v="11546437"/>
    <n v="716759"/>
    <n v="39"/>
    <n v="1500"/>
    <n v="58500"/>
    <n v="275"/>
    <s v="Yes"/>
    <m/>
    <s v="Yes"/>
    <m/>
    <s v="Yes"/>
    <m/>
    <s v="Yes"/>
    <m/>
    <s v="N/A"/>
    <m/>
    <s v="Yes"/>
    <m/>
    <s v="Yes"/>
    <m/>
    <s v="New"/>
    <s v="infasco"/>
    <n v="106.94"/>
    <n v="106.94"/>
  </r>
  <r>
    <x v="15"/>
    <x v="10"/>
    <n v="11546437"/>
    <n v="716761"/>
    <n v="9"/>
    <n v="1500"/>
    <n v="13500"/>
    <n v="275"/>
    <s v="Yes"/>
    <m/>
    <s v="Yes"/>
    <m/>
    <s v="Yes"/>
    <m/>
    <s v="Yes"/>
    <m/>
    <s v="N/A"/>
    <m/>
    <s v="Yes"/>
    <m/>
    <s v="Yes"/>
    <m/>
    <s v="Re-certified"/>
    <s v="infasco"/>
    <n v="0"/>
    <n v="0"/>
  </r>
  <r>
    <x v="15"/>
    <x v="28"/>
    <s v="06105049AA"/>
    <n v="716680"/>
    <n v="7"/>
    <n v="800"/>
    <n v="5600"/>
    <n v="290"/>
    <s v="Yes"/>
    <m/>
    <s v="Yes"/>
    <m/>
    <s v="Yes"/>
    <m/>
    <s v="Yes"/>
    <m/>
    <s v="N/A"/>
    <m/>
    <s v="Yes"/>
    <m/>
    <s v="Yes"/>
    <m/>
    <s v="New"/>
    <s v="infasco"/>
    <n v="280.16000000000003"/>
    <n v="280.16000000000003"/>
  </r>
  <r>
    <x v="15"/>
    <x v="28"/>
    <s v="06509967AA"/>
    <n v="716989"/>
    <n v="13"/>
    <n v="825"/>
    <n v="10725"/>
    <n v="290"/>
    <s v="Yes"/>
    <m/>
    <s v="Yes"/>
    <m/>
    <s v="Yes"/>
    <m/>
    <s v="Yes"/>
    <m/>
    <s v="N/A"/>
    <m/>
    <s v="Yes"/>
    <m/>
    <s v="Yes"/>
    <m/>
    <s v="Re-certified"/>
    <s v="infasco"/>
    <n v="0"/>
    <n v="0"/>
  </r>
  <r>
    <x v="15"/>
    <x v="29"/>
    <n v="11546449"/>
    <n v="716870"/>
    <n v="32"/>
    <n v="2500"/>
    <n v="80000"/>
    <n v="290"/>
    <s v="Yes"/>
    <m/>
    <s v="Yes"/>
    <m/>
    <s v="Yes"/>
    <m/>
    <s v="Yes"/>
    <m/>
    <s v="N/A"/>
    <m/>
    <s v="Yes"/>
    <m/>
    <s v="Yes"/>
    <m/>
    <s v="Re-certified"/>
    <s v="infasco"/>
    <n v="0"/>
    <n v="0"/>
  </r>
  <r>
    <x v="13"/>
    <x v="0"/>
    <s v="W711468-S437"/>
    <n v="714084"/>
    <n v="16"/>
    <n v="1600"/>
    <n v="25600"/>
    <n v="292"/>
    <s v="Yes"/>
    <m/>
    <s v="Yes"/>
    <m/>
    <s v="Yes"/>
    <m/>
    <s v="Yes"/>
    <m/>
    <s v="N/A"/>
    <m/>
    <s v="Yes"/>
    <m/>
    <s v="Yes"/>
    <m/>
    <s v="Re-certified"/>
    <s v="infasco"/>
    <n v="0"/>
    <n v="0"/>
  </r>
  <r>
    <x v="14"/>
    <x v="0"/>
    <s v="W711468-S437"/>
    <n v="714084"/>
    <n v="6"/>
    <n v="1600"/>
    <n v="9600"/>
    <n v="292"/>
    <s v="Yes"/>
    <m/>
    <s v="Yes"/>
    <m/>
    <s v="Yes"/>
    <m/>
    <s v="Yes"/>
    <m/>
    <s v="N/A"/>
    <m/>
    <s v="Yes"/>
    <m/>
    <s v="Yes"/>
    <m/>
    <s v="New"/>
    <s v="infasco"/>
    <n v="106.94"/>
    <n v="106.94"/>
  </r>
  <r>
    <x v="13"/>
    <x v="25"/>
    <s v="W711468-S437"/>
    <n v="714085"/>
    <n v="28"/>
    <n v="1600"/>
    <n v="44800"/>
    <n v="280"/>
    <s v="Yes"/>
    <m/>
    <s v="Yes"/>
    <m/>
    <s v="Yes"/>
    <m/>
    <s v="Yes"/>
    <m/>
    <s v="N/A"/>
    <m/>
    <s v="Yes"/>
    <m/>
    <s v="Yes"/>
    <m/>
    <s v="Re-certified"/>
    <s v="infasco"/>
    <n v="0"/>
    <n v="0"/>
  </r>
  <r>
    <x v="14"/>
    <x v="25"/>
    <s v="W711468-S437"/>
    <n v="714085"/>
    <n v="2"/>
    <n v="1600"/>
    <n v="3200"/>
    <n v="280"/>
    <s v="Yes"/>
    <m/>
    <s v="Yes"/>
    <m/>
    <s v="Yes"/>
    <m/>
    <s v="Yes"/>
    <m/>
    <s v="N/A"/>
    <m/>
    <s v="Yes"/>
    <m/>
    <s v="Yes"/>
    <m/>
    <s v="New"/>
    <s v="infasco"/>
    <n v="106.94"/>
    <n v="106.94"/>
  </r>
  <r>
    <x v="13"/>
    <x v="30"/>
    <s v="11546368-MY-AK"/>
    <n v="714099"/>
    <n v="10"/>
    <n v="450"/>
    <n v="4500"/>
    <n v="290"/>
    <s v="Yes"/>
    <m/>
    <s v="Yes"/>
    <m/>
    <s v="Yes"/>
    <m/>
    <s v="Yes"/>
    <m/>
    <s v="N/A"/>
    <m/>
    <s v="Yes"/>
    <m/>
    <s v="Yes"/>
    <m/>
    <s v="New"/>
    <s v="infasco"/>
    <n v="106.94"/>
    <n v="106.94"/>
  </r>
  <r>
    <x v="13"/>
    <x v="12"/>
    <s v="11546368-MY-AK"/>
    <n v="714101"/>
    <n v="36"/>
    <n v="450"/>
    <n v="16200"/>
    <n v="275"/>
    <s v="Yes"/>
    <m/>
    <s v="Yes"/>
    <m/>
    <s v="Yes"/>
    <m/>
    <s v="Yes"/>
    <m/>
    <s v="N/A"/>
    <m/>
    <s v="Yes"/>
    <m/>
    <s v="Yes"/>
    <m/>
    <s v="New"/>
    <s v="infasco"/>
    <n v="106.94"/>
    <n v="106.94"/>
  </r>
  <r>
    <x v="13"/>
    <x v="30"/>
    <s v="11546368-MY-AK"/>
    <n v="714102"/>
    <n v="38"/>
    <n v="450"/>
    <n v="17100"/>
    <n v="290"/>
    <s v="Yes"/>
    <m/>
    <s v="Yes"/>
    <m/>
    <s v="Yes"/>
    <m/>
    <s v="Yes"/>
    <m/>
    <s v="N/A"/>
    <m/>
    <s v="Yes"/>
    <m/>
    <s v="Yes"/>
    <m/>
    <s v="New"/>
    <s v="infasco"/>
    <n v="106.94"/>
    <n v="106.94"/>
  </r>
  <r>
    <x v="13"/>
    <x v="30"/>
    <s v="11546368-MY-AK"/>
    <n v="714175"/>
    <n v="38"/>
    <n v="450"/>
    <n v="17100"/>
    <n v="290"/>
    <s v="Yes"/>
    <m/>
    <s v="Yes"/>
    <m/>
    <s v="Yes"/>
    <m/>
    <s v="Yes"/>
    <m/>
    <s v="N/A"/>
    <m/>
    <s v="Yes"/>
    <m/>
    <s v="Yes"/>
    <m/>
    <s v="New"/>
    <s v="infasco"/>
    <n v="106.94"/>
    <n v="106.94"/>
  </r>
  <r>
    <x v="13"/>
    <x v="8"/>
    <s v="11546368-MY-AK"/>
    <n v="714178"/>
    <n v="29"/>
    <n v="450"/>
    <n v="13050"/>
    <n v="275"/>
    <s v="Yes"/>
    <m/>
    <s v="Yes"/>
    <m/>
    <s v="Yes"/>
    <m/>
    <s v="Yes"/>
    <m/>
    <s v="N/A"/>
    <m/>
    <s v="Yes"/>
    <m/>
    <s v="Yes"/>
    <m/>
    <s v="New"/>
    <s v="infasco"/>
    <n v="106.94"/>
    <n v="106.94"/>
  </r>
  <r>
    <x v="13"/>
    <x v="8"/>
    <s v="11546368-MY-AK"/>
    <n v="714180"/>
    <n v="21"/>
    <n v="450"/>
    <n v="9450"/>
    <n v="275"/>
    <s v="Yes"/>
    <m/>
    <s v="Yes"/>
    <m/>
    <s v="Yes"/>
    <m/>
    <s v="Yes"/>
    <m/>
    <s v="N/A"/>
    <m/>
    <s v="Yes"/>
    <m/>
    <s v="Yes"/>
    <m/>
    <s v="New"/>
    <s v="infasco"/>
    <n v="106.94"/>
    <n v="106.94"/>
  </r>
  <r>
    <x v="13"/>
    <x v="12"/>
    <s v="11546368-MY-AK"/>
    <n v="714181"/>
    <n v="36"/>
    <n v="450"/>
    <n v="16200"/>
    <n v="275"/>
    <s v="Yes"/>
    <m/>
    <s v="Yes"/>
    <m/>
    <s v="Yes"/>
    <m/>
    <s v="Yes"/>
    <m/>
    <s v="N/A"/>
    <m/>
    <s v="Yes"/>
    <m/>
    <s v="Yes"/>
    <m/>
    <s v="New"/>
    <s v="infasco"/>
    <n v="106.94"/>
    <n v="106.94"/>
  </r>
  <r>
    <x v="13"/>
    <x v="3"/>
    <s v="11546774-MY-AK"/>
    <n v="714275"/>
    <n v="31"/>
    <n v="450"/>
    <n v="13950"/>
    <n v="292"/>
    <s v="Yes"/>
    <m/>
    <s v="Yes"/>
    <m/>
    <s v="Yes"/>
    <m/>
    <s v="Yes"/>
    <m/>
    <s v="N/A"/>
    <m/>
    <s v="Yes"/>
    <m/>
    <s v="Yes"/>
    <m/>
    <s v="New"/>
    <s v="infasco"/>
    <n v="106.94"/>
    <n v="106.94"/>
  </r>
  <r>
    <x v="13"/>
    <x v="3"/>
    <s v="11546774-MY-AK"/>
    <n v="714276"/>
    <n v="10"/>
    <n v="450"/>
    <n v="4500"/>
    <n v="292"/>
    <s v="Yes"/>
    <m/>
    <s v="Yes"/>
    <m/>
    <s v="Yes"/>
    <m/>
    <s v="Yes"/>
    <m/>
    <s v="N/A"/>
    <m/>
    <s v="Yes"/>
    <m/>
    <s v="Yes"/>
    <m/>
    <s v="Re-certified"/>
    <s v="infasco"/>
    <n v="0"/>
    <n v="0"/>
  </r>
  <r>
    <x v="14"/>
    <x v="3"/>
    <s v="11546774-MY-AK"/>
    <n v="714276"/>
    <n v="19"/>
    <n v="450"/>
    <n v="8550"/>
    <n v="292"/>
    <s v="Yes"/>
    <m/>
    <s v="Yes"/>
    <m/>
    <s v="Yes"/>
    <m/>
    <s v="Yes"/>
    <m/>
    <s v="N/A"/>
    <m/>
    <s v="Yes"/>
    <m/>
    <s v="Yes"/>
    <m/>
    <s v="New"/>
    <s v="infasco"/>
    <n v="106.94"/>
    <n v="106.94"/>
  </r>
  <r>
    <x v="13"/>
    <x v="17"/>
    <n v="11546703"/>
    <n v="714420"/>
    <n v="11"/>
    <n v="4000"/>
    <n v="44000"/>
    <s v="190+268"/>
    <s v="Yes"/>
    <m/>
    <s v="Yes"/>
    <m/>
    <s v="Yes"/>
    <m/>
    <s v="Yes"/>
    <m/>
    <s v="N/A"/>
    <m/>
    <s v="Yes"/>
    <m/>
    <s v="Yes"/>
    <m/>
    <s v="Re-certified"/>
    <s v="infasco"/>
    <n v="0"/>
    <n v="0"/>
  </r>
  <r>
    <x v="14"/>
    <x v="17"/>
    <n v="11546703"/>
    <n v="714420"/>
    <n v="23"/>
    <n v="4000"/>
    <n v="92000"/>
    <s v="190+268"/>
    <s v="Yes"/>
    <m/>
    <s v="Yes"/>
    <m/>
    <s v="Yes"/>
    <m/>
    <s v="Yes"/>
    <m/>
    <s v="N/A"/>
    <m/>
    <s v="Yes"/>
    <m/>
    <s v="Yes"/>
    <m/>
    <s v="New"/>
    <s v="infasco"/>
    <n v="135.07999999999998"/>
    <n v="135.07999999999998"/>
  </r>
  <r>
    <x v="13"/>
    <x v="32"/>
    <n v="11546703"/>
    <n v="714422"/>
    <n v="29"/>
    <n v="4000"/>
    <n v="116000"/>
    <s v="294+252"/>
    <s v="Yes"/>
    <m/>
    <s v="Yes"/>
    <m/>
    <s v="Yes"/>
    <m/>
    <s v="Yes"/>
    <m/>
    <s v="N/A"/>
    <m/>
    <s v="Yes"/>
    <m/>
    <s v="Yes"/>
    <m/>
    <s v="New"/>
    <s v="infasco"/>
    <n v="135.07999999999998"/>
    <n v="135.07999999999998"/>
  </r>
  <r>
    <x v="15"/>
    <x v="29"/>
    <n v="11546449"/>
    <n v="716872"/>
    <n v="1"/>
    <n v="2500"/>
    <n v="2500"/>
    <n v="290"/>
    <s v="Yes"/>
    <m/>
    <s v="Yes"/>
    <m/>
    <s v="Yes"/>
    <m/>
    <s v="Yes"/>
    <m/>
    <s v="N/A"/>
    <m/>
    <s v="Yes"/>
    <m/>
    <s v="Yes"/>
    <m/>
    <s v="New"/>
    <s v="infasco"/>
    <n v="106.94"/>
    <n v="106.94"/>
  </r>
  <r>
    <x v="13"/>
    <x v="13"/>
    <s v="W520113-S440"/>
    <n v="714527"/>
    <n v="3"/>
    <n v="1050"/>
    <n v="3150"/>
    <s v="011+293"/>
    <s v="Yes"/>
    <m/>
    <s v="Yes"/>
    <m/>
    <s v="Yes"/>
    <m/>
    <s v="Yes"/>
    <m/>
    <s v="N/A"/>
    <m/>
    <s v="Yes"/>
    <m/>
    <s v="Yes"/>
    <m/>
    <s v="Re-certified"/>
    <s v="infasco"/>
    <n v="0"/>
    <n v="0"/>
  </r>
  <r>
    <x v="14"/>
    <x v="13"/>
    <s v="W520113-S440"/>
    <n v="714527"/>
    <n v="13"/>
    <n v="1050"/>
    <n v="13650"/>
    <s v="011+293"/>
    <s v="Yes"/>
    <m/>
    <s v="Yes"/>
    <m/>
    <s v="Yes"/>
    <m/>
    <s v="Yes"/>
    <m/>
    <s v="N/A"/>
    <m/>
    <s v="Yes"/>
    <m/>
    <s v="Yes"/>
    <m/>
    <s v="Re-certified"/>
    <s v="infasco"/>
    <n v="0"/>
    <n v="0"/>
  </r>
  <r>
    <x v="15"/>
    <x v="26"/>
    <s v="11546368-MY-AK"/>
    <n v="713963"/>
    <n v="14"/>
    <n v="1250"/>
    <n v="17500"/>
    <n v="290"/>
    <s v="Yes"/>
    <m/>
    <s v="Yes"/>
    <m/>
    <s v="Yes"/>
    <m/>
    <s v="Yes"/>
    <m/>
    <s v="N/A"/>
    <m/>
    <s v="Yes"/>
    <m/>
    <s v="Yes"/>
    <m/>
    <s v="New"/>
    <s v="infasco"/>
    <n v="106.94"/>
    <n v="106.94"/>
  </r>
  <r>
    <x v="14"/>
    <x v="1"/>
    <s v="11546365-MY-AK"/>
    <n v="714537"/>
    <n v="18"/>
    <n v="1900"/>
    <n v="34200"/>
    <n v="292"/>
    <s v="Yes"/>
    <m/>
    <s v="Yes"/>
    <m/>
    <s v="Yes"/>
    <m/>
    <s v="Yes"/>
    <m/>
    <s v="N/A"/>
    <m/>
    <s v="Yes"/>
    <m/>
    <s v="Yes"/>
    <m/>
    <s v="New"/>
    <s v="infasco"/>
    <n v="106.94"/>
    <n v="106.94"/>
  </r>
  <r>
    <x v="13"/>
    <x v="9"/>
    <s v="11546365-MY-AK"/>
    <n v="714538"/>
    <n v="14"/>
    <n v="1900"/>
    <n v="26600"/>
    <n v="275"/>
    <s v="Yes"/>
    <m/>
    <s v="Yes"/>
    <m/>
    <s v="Yes"/>
    <m/>
    <s v="Yes"/>
    <m/>
    <s v="N/A"/>
    <m/>
    <s v="Yes"/>
    <m/>
    <s v="Yes"/>
    <m/>
    <s v="New"/>
    <s v="infasco"/>
    <n v="106.94"/>
    <n v="106.94"/>
  </r>
  <r>
    <x v="13"/>
    <x v="1"/>
    <s v="11546365-MY-AK"/>
    <n v="714541"/>
    <n v="26"/>
    <n v="1900"/>
    <n v="49400"/>
    <n v="292"/>
    <s v="Yes"/>
    <m/>
    <s v="Yes"/>
    <m/>
    <s v="Yes"/>
    <m/>
    <s v="Yes"/>
    <m/>
    <s v="N/A"/>
    <m/>
    <s v="Yes"/>
    <m/>
    <s v="Yes"/>
    <m/>
    <s v="New"/>
    <s v="infasco"/>
    <n v="106.94"/>
    <n v="106.94"/>
  </r>
  <r>
    <x v="14"/>
    <x v="15"/>
    <s v="F1302AB"/>
    <n v="714580"/>
    <n v="28"/>
    <n v="700"/>
    <n v="19600"/>
    <s v="157+245"/>
    <s v="Yes"/>
    <m/>
    <s v="Yes"/>
    <m/>
    <s v="Yes"/>
    <m/>
    <s v="Yes"/>
    <m/>
    <s v="N/A"/>
    <m/>
    <s v="Yes"/>
    <m/>
    <s v="Yes"/>
    <m/>
    <s v="New"/>
    <s v="infasco"/>
    <n v="135.07999999999998"/>
    <n v="135.07999999999998"/>
  </r>
  <r>
    <x v="14"/>
    <x v="13"/>
    <s v="F1302AB"/>
    <n v="714581"/>
    <n v="30"/>
    <n v="700"/>
    <n v="21000"/>
    <s v="011+293"/>
    <s v="Yes"/>
    <m/>
    <s v="Yes"/>
    <m/>
    <s v="Yes"/>
    <m/>
    <s v="Yes"/>
    <m/>
    <s v="N/A"/>
    <m/>
    <s v="Yes"/>
    <m/>
    <s v="Yes"/>
    <m/>
    <s v="New"/>
    <s v="infasco"/>
    <n v="135.07999999999998"/>
    <n v="135.07999999999998"/>
  </r>
  <r>
    <x v="15"/>
    <x v="26"/>
    <s v="11546378-my-ak"/>
    <n v="716464"/>
    <n v="36"/>
    <n v="1250"/>
    <n v="45000"/>
    <n v="290"/>
    <s v="Yes"/>
    <m/>
    <s v="Yes"/>
    <m/>
    <s v="Yes"/>
    <m/>
    <s v="Yes"/>
    <m/>
    <s v="N/A"/>
    <m/>
    <s v="Yes"/>
    <m/>
    <s v="Yes"/>
    <m/>
    <s v="New"/>
    <s v="infasco"/>
    <n v="106.94"/>
    <n v="106.94"/>
  </r>
  <r>
    <x v="15"/>
    <x v="26"/>
    <s v="11546378-my-ak"/>
    <n v="716469"/>
    <n v="31"/>
    <n v="1250"/>
    <n v="38750"/>
    <n v="290"/>
    <s v="Yes"/>
    <m/>
    <s v="Yes"/>
    <m/>
    <s v="Yes"/>
    <m/>
    <s v="Yes"/>
    <m/>
    <s v="N/A"/>
    <m/>
    <s v="Yes"/>
    <m/>
    <s v="Yes"/>
    <m/>
    <s v="Re-certified"/>
    <s v="infasco"/>
    <n v="0"/>
    <n v="0"/>
  </r>
  <r>
    <x v="13"/>
    <x v="3"/>
    <s v="11546774-MY-AK"/>
    <n v="714650"/>
    <n v="26"/>
    <n v="450"/>
    <n v="11700"/>
    <n v="292"/>
    <s v="Yes"/>
    <m/>
    <s v="Yes"/>
    <m/>
    <s v="Yes"/>
    <m/>
    <s v="Yes"/>
    <m/>
    <s v="N/A"/>
    <m/>
    <s v="Yes"/>
    <m/>
    <s v="Yes"/>
    <m/>
    <s v="New"/>
    <s v="infasco"/>
    <n v="106.94"/>
    <n v="106.94"/>
  </r>
  <r>
    <x v="15"/>
    <x v="12"/>
    <n v="11549170"/>
    <n v="716213"/>
    <n v="53"/>
    <n v="400"/>
    <n v="21200"/>
    <n v="275"/>
    <s v="Yes"/>
    <m/>
    <s v="Yes"/>
    <m/>
    <s v="Yes"/>
    <m/>
    <s v="Yes"/>
    <m/>
    <s v="N/A"/>
    <m/>
    <s v="Yes"/>
    <m/>
    <s v="Yes"/>
    <m/>
    <s v="New"/>
    <s v="infasco"/>
    <n v="106.94"/>
    <n v="106.94"/>
  </r>
  <r>
    <x v="13"/>
    <x v="3"/>
    <s v="11546774-MY-AK"/>
    <n v="714656"/>
    <n v="36"/>
    <n v="450"/>
    <n v="16200"/>
    <n v="292"/>
    <s v="Yes"/>
    <m/>
    <s v="Yes"/>
    <m/>
    <s v="Yes"/>
    <m/>
    <s v="Yes"/>
    <m/>
    <s v="N/A"/>
    <m/>
    <s v="Yes"/>
    <m/>
    <s v="Yes"/>
    <m/>
    <s v="New"/>
    <s v="infasco"/>
    <n v="106.94"/>
    <n v="106.94"/>
  </r>
  <r>
    <x v="14"/>
    <x v="15"/>
    <s v="11546774-MY-AK"/>
    <n v="714657"/>
    <n v="36"/>
    <n v="450"/>
    <n v="16200"/>
    <s v="157+245"/>
    <s v="Yes"/>
    <m/>
    <s v="Yes"/>
    <m/>
    <s v="Yes"/>
    <m/>
    <s v="Yes"/>
    <m/>
    <s v="N/A"/>
    <m/>
    <s v="Yes"/>
    <m/>
    <s v="Yes"/>
    <m/>
    <s v="Re-certified"/>
    <s v="infasco"/>
    <n v="0"/>
    <n v="0"/>
  </r>
  <r>
    <x v="15"/>
    <x v="12"/>
    <n v="11549170"/>
    <n v="716415"/>
    <n v="14"/>
    <n v="400"/>
    <n v="5600"/>
    <n v="275"/>
    <s v="Yes"/>
    <m/>
    <s v="Yes"/>
    <m/>
    <s v="Yes"/>
    <m/>
    <s v="Yes"/>
    <m/>
    <s v="N/A"/>
    <m/>
    <s v="Yes"/>
    <m/>
    <s v="Yes"/>
    <m/>
    <s v="New"/>
    <s v="infasco"/>
    <n v="106.94"/>
    <n v="106.94"/>
  </r>
  <r>
    <x v="13"/>
    <x v="6"/>
    <s v="W520101-S450"/>
    <n v="714692"/>
    <n v="31"/>
    <n v="3000"/>
    <n v="93000"/>
    <n v="275"/>
    <s v="Yes"/>
    <m/>
    <s v="Yes"/>
    <m/>
    <s v="Yes"/>
    <m/>
    <s v="Yes"/>
    <m/>
    <s v="N/A"/>
    <m/>
    <s v="Yes"/>
    <m/>
    <s v="Yes"/>
    <m/>
    <s v="New"/>
    <s v="infasco"/>
    <n v="106.94"/>
    <n v="106.94"/>
  </r>
  <r>
    <x v="14"/>
    <x v="9"/>
    <s v="W520101-S442"/>
    <n v="714693"/>
    <n v="18"/>
    <n v="3000"/>
    <n v="54000"/>
    <n v="275"/>
    <s v="Yes"/>
    <m/>
    <s v="Yes"/>
    <m/>
    <s v="Yes"/>
    <m/>
    <s v="Yes"/>
    <m/>
    <s v="N/A"/>
    <m/>
    <s v="Yes"/>
    <m/>
    <s v="Yes"/>
    <m/>
    <s v="Re-certified"/>
    <s v="infasco"/>
    <n v="0"/>
    <n v="0"/>
  </r>
  <r>
    <x v="15"/>
    <x v="30"/>
    <n v="11549170"/>
    <n v="716208"/>
    <n v="29"/>
    <n v="400"/>
    <n v="11600"/>
    <n v="290"/>
    <s v="Yes"/>
    <m/>
    <s v="Yes"/>
    <m/>
    <s v="Yes"/>
    <m/>
    <s v="Yes"/>
    <m/>
    <s v="N/A"/>
    <m/>
    <s v="Yes"/>
    <m/>
    <s v="Yes"/>
    <m/>
    <s v="New"/>
    <s v="infasco"/>
    <n v="106.94"/>
    <n v="106.94"/>
  </r>
  <r>
    <x v="14"/>
    <x v="9"/>
    <s v="W520101-S442"/>
    <n v="714694"/>
    <n v="36"/>
    <n v="3000"/>
    <n v="108000"/>
    <n v="275"/>
    <s v="Yes"/>
    <m/>
    <s v="Yes"/>
    <m/>
    <s v="Yes"/>
    <m/>
    <s v="Yes"/>
    <m/>
    <s v="N/A"/>
    <m/>
    <s v="Yes"/>
    <m/>
    <s v="Yes"/>
    <m/>
    <s v="New"/>
    <s v="infasco"/>
    <n v="106.94"/>
    <n v="106.94"/>
  </r>
  <r>
    <x v="13"/>
    <x v="9"/>
    <s v="W520101-S442"/>
    <n v="714695"/>
    <n v="36"/>
    <n v="3000"/>
    <n v="108000"/>
    <n v="275"/>
    <s v="Yes"/>
    <m/>
    <s v="Yes"/>
    <m/>
    <s v="Yes"/>
    <m/>
    <s v="Yes"/>
    <m/>
    <s v="N/A"/>
    <m/>
    <s v="Yes"/>
    <m/>
    <s v="Yes"/>
    <m/>
    <s v="New"/>
    <s v="infasco"/>
    <n v="106.94"/>
    <n v="106.94"/>
  </r>
  <r>
    <x v="13"/>
    <x v="6"/>
    <s v="W520101-S450"/>
    <n v="714696"/>
    <n v="10"/>
    <n v="3000"/>
    <n v="30000"/>
    <n v="275"/>
    <s v="Yes"/>
    <m/>
    <s v="Yes"/>
    <m/>
    <s v="Yes"/>
    <m/>
    <s v="Yes"/>
    <m/>
    <s v="N/A"/>
    <m/>
    <s v="Yes"/>
    <m/>
    <s v="Yes"/>
    <m/>
    <s v="Re-certified"/>
    <s v="infasco"/>
    <n v="0"/>
    <n v="0"/>
  </r>
  <r>
    <x v="14"/>
    <x v="6"/>
    <s v="W520101-S450"/>
    <n v="714696"/>
    <n v="37"/>
    <n v="3000"/>
    <n v="111000"/>
    <n v="275"/>
    <s v="Yes"/>
    <m/>
    <s v="Yes"/>
    <m/>
    <s v="Yes"/>
    <m/>
    <s v="Yes"/>
    <m/>
    <s v="N/A"/>
    <m/>
    <s v="Yes"/>
    <m/>
    <s v="Yes"/>
    <m/>
    <s v="New"/>
    <s v="infasco"/>
    <n v="106.94"/>
    <n v="106.94"/>
  </r>
  <r>
    <x v="15"/>
    <x v="30"/>
    <n v="11549170"/>
    <n v="716210"/>
    <n v="39"/>
    <n v="400"/>
    <n v="15600"/>
    <n v="290"/>
    <s v="Yes"/>
    <m/>
    <s v="Yes"/>
    <m/>
    <s v="Yes"/>
    <m/>
    <s v="Yes"/>
    <m/>
    <s v="N/A"/>
    <m/>
    <s v="Yes"/>
    <m/>
    <s v="Yes"/>
    <m/>
    <s v="New"/>
    <s v="infasco"/>
    <n v="106.94"/>
    <n v="106.94"/>
  </r>
  <r>
    <x v="13"/>
    <x v="17"/>
    <n v="11602659"/>
    <n v="714719"/>
    <n v="32"/>
    <n v="550"/>
    <n v="17600"/>
    <s v="190+268"/>
    <s v="Yes"/>
    <m/>
    <s v="Yes"/>
    <m/>
    <s v="Yes"/>
    <m/>
    <s v="Yes"/>
    <m/>
    <s v="N/A"/>
    <m/>
    <s v="Yes"/>
    <m/>
    <s v="Yes"/>
    <m/>
    <s v="New"/>
    <s v="infasco"/>
    <n v="135.07999999999998"/>
    <n v="135.07999999999998"/>
  </r>
  <r>
    <x v="14"/>
    <x v="26"/>
    <s v="11546368-MY-AK"/>
    <n v="715663"/>
    <n v="22"/>
    <n v="1250"/>
    <n v="27500"/>
    <n v="290"/>
    <s v="Yes"/>
    <m/>
    <s v="Yes"/>
    <m/>
    <s v="Yes"/>
    <m/>
    <s v="Yes"/>
    <m/>
    <s v="N/A"/>
    <m/>
    <s v="Yes"/>
    <m/>
    <s v="Yes"/>
    <m/>
    <s v="Re-certified"/>
    <s v="infasco"/>
    <n v="0"/>
    <n v="0"/>
  </r>
  <r>
    <x v="13"/>
    <x v="12"/>
    <s v="11546368-MY-AK"/>
    <n v="715718"/>
    <n v="6"/>
    <n v="450"/>
    <n v="2700"/>
    <n v="275"/>
    <s v="Yes"/>
    <m/>
    <s v="Yes"/>
    <m/>
    <s v="Yes"/>
    <m/>
    <s v="Yes"/>
    <m/>
    <s v="N/A"/>
    <m/>
    <s v="Yes"/>
    <m/>
    <s v="Yes"/>
    <m/>
    <s v="New"/>
    <s v="infasco"/>
    <n v="106.94"/>
    <n v="106.94"/>
  </r>
  <r>
    <x v="13"/>
    <x v="2"/>
    <n v="11549168"/>
    <n v="715769"/>
    <n v="30"/>
    <n v="1000"/>
    <n v="30000"/>
    <n v="292"/>
    <s v="Yes"/>
    <m/>
    <s v="Yes"/>
    <m/>
    <s v="Yes"/>
    <m/>
    <s v="Yes"/>
    <m/>
    <s v="N/A"/>
    <m/>
    <s v="Yes"/>
    <m/>
    <s v="Yes"/>
    <m/>
    <s v="New"/>
    <s v="infasco"/>
    <n v="106.94"/>
    <n v="106.94"/>
  </r>
  <r>
    <x v="13"/>
    <x v="26"/>
    <n v="11549168"/>
    <n v="715771"/>
    <n v="27"/>
    <n v="1000"/>
    <n v="27000"/>
    <n v="290"/>
    <s v="Yes"/>
    <m/>
    <s v="Yes"/>
    <m/>
    <s v="Yes"/>
    <m/>
    <s v="Yes"/>
    <m/>
    <s v="N/A"/>
    <m/>
    <s v="Yes"/>
    <m/>
    <s v="Yes"/>
    <m/>
    <s v="New"/>
    <s v="infasco"/>
    <n v="106.94"/>
    <n v="106.94"/>
  </r>
  <r>
    <x v="13"/>
    <x v="26"/>
    <n v="11549168"/>
    <n v="715774"/>
    <n v="41"/>
    <n v="1000"/>
    <n v="41000"/>
    <n v="290"/>
    <s v="Yes"/>
    <m/>
    <s v="Yes"/>
    <m/>
    <s v="Yes"/>
    <m/>
    <s v="Yes"/>
    <m/>
    <s v="N/A"/>
    <m/>
    <s v="Yes"/>
    <m/>
    <s v="Yes"/>
    <m/>
    <s v="New"/>
    <s v="infasco"/>
    <n v="106.94"/>
    <n v="106.94"/>
  </r>
  <r>
    <x v="13"/>
    <x v="17"/>
    <n v="11549170"/>
    <n v="715778"/>
    <n v="38"/>
    <n v="400"/>
    <n v="15200"/>
    <s v="190+268"/>
    <s v="Yes"/>
    <m/>
    <s v="Yes"/>
    <m/>
    <s v="Yes"/>
    <m/>
    <s v="Yes"/>
    <m/>
    <s v="N/A"/>
    <m/>
    <s v="Yes"/>
    <m/>
    <s v="Yes"/>
    <m/>
    <s v="New"/>
    <s v="infasco"/>
    <n v="106.94"/>
    <n v="106.94"/>
  </r>
  <r>
    <x v="13"/>
    <x v="15"/>
    <n v="11549170"/>
    <n v="715779"/>
    <n v="38"/>
    <n v="400"/>
    <n v="15200"/>
    <s v="157+245"/>
    <s v="Yes"/>
    <m/>
    <s v="Yes"/>
    <m/>
    <s v="Yes"/>
    <m/>
    <s v="Yes"/>
    <m/>
    <s v="N/A"/>
    <m/>
    <s v="Yes"/>
    <m/>
    <s v="Yes"/>
    <m/>
    <s v="New"/>
    <s v="infasco"/>
    <n v="106.94"/>
    <n v="106.94"/>
  </r>
  <r>
    <x v="15"/>
    <x v="30"/>
    <n v="11549170"/>
    <n v="716214"/>
    <n v="20"/>
    <n v="400"/>
    <n v="8000"/>
    <n v="290"/>
    <s v="Yes"/>
    <m/>
    <s v="Yes"/>
    <m/>
    <s v="Yes"/>
    <m/>
    <s v="Yes"/>
    <m/>
    <s v="N/A"/>
    <m/>
    <s v="Yes"/>
    <m/>
    <s v="Yes"/>
    <m/>
    <s v="New"/>
    <s v="infasco"/>
    <n v="106.94"/>
    <n v="106.94"/>
  </r>
  <r>
    <x v="15"/>
    <x v="31"/>
    <s v="11546366-MY-AK"/>
    <n v="715948"/>
    <n v="7"/>
    <n v="1000"/>
    <n v="7000"/>
    <n v="290"/>
    <s v="Yes"/>
    <m/>
    <s v="Yes"/>
    <m/>
    <s v="Yes"/>
    <m/>
    <s v="Yes"/>
    <m/>
    <s v="N/A"/>
    <m/>
    <s v="Yes"/>
    <m/>
    <s v="Yes"/>
    <m/>
    <s v="Re-certified"/>
    <s v="infasco"/>
    <n v="0"/>
    <n v="0"/>
  </r>
  <r>
    <x v="13"/>
    <x v="32"/>
    <n v="11610128"/>
    <n v="715796"/>
    <n v="27"/>
    <n v="1125"/>
    <n v="30375"/>
    <s v="294+252"/>
    <s v="Yes"/>
    <m/>
    <s v="Yes"/>
    <m/>
    <s v="Yes"/>
    <m/>
    <s v="Yes"/>
    <m/>
    <s v="N/A"/>
    <m/>
    <s v="Yes"/>
    <m/>
    <s v="Yes"/>
    <m/>
    <s v="New"/>
    <s v="infasco"/>
    <n v="135.07999999999998"/>
    <n v="135.07999999999998"/>
  </r>
  <r>
    <x v="13"/>
    <x v="13"/>
    <n v="11610128"/>
    <n v="715797"/>
    <n v="29"/>
    <n v="1125"/>
    <n v="32625"/>
    <s v="011+293"/>
    <s v="Yes"/>
    <m/>
    <s v="Yes"/>
    <m/>
    <s v="Yes"/>
    <m/>
    <s v="Yes"/>
    <m/>
    <s v="N/A"/>
    <m/>
    <s v="Yes"/>
    <m/>
    <s v="Yes"/>
    <m/>
    <s v="New"/>
    <s v="infasco"/>
    <n v="135.07999999999998"/>
    <n v="135.07999999999998"/>
  </r>
  <r>
    <x v="13"/>
    <x v="15"/>
    <n v="11549170"/>
    <n v="715820"/>
    <n v="36"/>
    <n v="400"/>
    <n v="14400"/>
    <s v="157+245"/>
    <s v="Yes"/>
    <m/>
    <s v="Yes"/>
    <m/>
    <s v="Yes"/>
    <m/>
    <s v="Yes"/>
    <m/>
    <s v="N/A"/>
    <m/>
    <s v="Yes"/>
    <m/>
    <s v="Yes"/>
    <m/>
    <s v="New"/>
    <s v="infasco"/>
    <n v="106.94"/>
    <n v="106.94"/>
  </r>
  <r>
    <x v="13"/>
    <x v="15"/>
    <n v="11549170"/>
    <n v="715821"/>
    <n v="57"/>
    <n v="400"/>
    <n v="22800"/>
    <s v="157+245"/>
    <s v="Yes"/>
    <m/>
    <s v="Yes"/>
    <m/>
    <s v="Yes"/>
    <m/>
    <s v="Yes"/>
    <m/>
    <s v="N/A"/>
    <m/>
    <s v="Yes"/>
    <m/>
    <s v="Yes"/>
    <m/>
    <s v="New"/>
    <s v="infasco"/>
    <n v="106.94"/>
    <n v="106.94"/>
  </r>
  <r>
    <x v="15"/>
    <x v="31"/>
    <s v="11546366-MY-AK"/>
    <n v="715950"/>
    <n v="36"/>
    <n v="1000"/>
    <n v="36000"/>
    <n v="290"/>
    <s v="Yes"/>
    <m/>
    <s v="Yes"/>
    <m/>
    <s v="Yes"/>
    <m/>
    <s v="Yes"/>
    <m/>
    <s v="N/A"/>
    <m/>
    <s v="Yes"/>
    <m/>
    <s v="Yes"/>
    <m/>
    <s v="New"/>
    <s v="infasco"/>
    <n v="106.94"/>
    <n v="106.94"/>
  </r>
  <r>
    <x v="15"/>
    <x v="31"/>
    <s v="11546367-MY-AK"/>
    <n v="716372"/>
    <n v="28"/>
    <n v="700"/>
    <n v="19600"/>
    <n v="290"/>
    <s v="Yes"/>
    <m/>
    <s v="Yes"/>
    <m/>
    <s v="Yes"/>
    <m/>
    <s v="Yes"/>
    <m/>
    <s v="N/A"/>
    <m/>
    <s v="Yes"/>
    <m/>
    <s v="Yes"/>
    <m/>
    <s v="New"/>
    <s v="infasco"/>
    <n v="106.94"/>
    <n v="106.94"/>
  </r>
  <r>
    <x v="13"/>
    <x v="26"/>
    <s v="11546378-my-ak"/>
    <n v="715962"/>
    <n v="26"/>
    <n v="1250"/>
    <n v="32500"/>
    <n v="290"/>
    <s v="Yes"/>
    <m/>
    <s v="Yes"/>
    <m/>
    <s v="Yes"/>
    <m/>
    <s v="Yes"/>
    <m/>
    <s v="N/A"/>
    <m/>
    <s v="Yes"/>
    <m/>
    <s v="Yes"/>
    <m/>
    <s v="Re-certified"/>
    <s v="infasco"/>
    <n v="0"/>
    <n v="0"/>
  </r>
  <r>
    <x v="14"/>
    <x v="26"/>
    <s v="11546378-my-ak"/>
    <n v="715962"/>
    <n v="10"/>
    <n v="1250"/>
    <n v="12500"/>
    <n v="290"/>
    <s v="Yes"/>
    <m/>
    <s v="Yes"/>
    <m/>
    <s v="Yes"/>
    <m/>
    <s v="Yes"/>
    <m/>
    <s v="N/A"/>
    <m/>
    <s v="Yes"/>
    <m/>
    <s v="Yes"/>
    <m/>
    <s v="New"/>
    <s v="infasco"/>
    <n v="106.94"/>
    <n v="106.94"/>
  </r>
  <r>
    <x v="14"/>
    <x v="26"/>
    <s v="11546378-my-ak"/>
    <n v="715965"/>
    <n v="36"/>
    <n v="1250"/>
    <n v="45000"/>
    <n v="290"/>
    <s v="Yes"/>
    <m/>
    <s v="Yes"/>
    <m/>
    <s v="Yes"/>
    <m/>
    <s v="Yes"/>
    <m/>
    <s v="N/A"/>
    <m/>
    <s v="Yes"/>
    <m/>
    <s v="Yes"/>
    <m/>
    <s v="New"/>
    <s v="infasco"/>
    <n v="106.94"/>
    <n v="106.94"/>
  </r>
  <r>
    <x v="15"/>
    <x v="8"/>
    <n v="11549170"/>
    <n v="716220"/>
    <n v="42"/>
    <n v="400"/>
    <n v="16800"/>
    <n v="275"/>
    <s v="Yes"/>
    <m/>
    <s v="Yes"/>
    <m/>
    <s v="Yes"/>
    <m/>
    <s v="Yes"/>
    <m/>
    <s v="N/A"/>
    <m/>
    <s v="Yes"/>
    <m/>
    <s v="Yes"/>
    <m/>
    <s v="Re-certified"/>
    <s v="infasco"/>
    <n v="0"/>
    <n v="0"/>
  </r>
  <r>
    <x v="14"/>
    <x v="26"/>
    <s v="11546378-my-ak"/>
    <n v="715969"/>
    <n v="36"/>
    <n v="1250"/>
    <n v="45000"/>
    <n v="290"/>
    <s v="Yes"/>
    <m/>
    <s v="Yes"/>
    <m/>
    <s v="Yes"/>
    <m/>
    <s v="Yes"/>
    <m/>
    <s v="N/A"/>
    <m/>
    <s v="Yes"/>
    <m/>
    <s v="Yes"/>
    <m/>
    <s v="New"/>
    <s v="infasco"/>
    <n v="106.94"/>
    <n v="106.94"/>
  </r>
  <r>
    <x v="15"/>
    <x v="8"/>
    <n v="11549170"/>
    <n v="716226"/>
    <n v="14"/>
    <n v="400"/>
    <n v="5600"/>
    <n v="275"/>
    <s v="Yes"/>
    <m/>
    <s v="Yes"/>
    <m/>
    <s v="Yes"/>
    <m/>
    <s v="Yes"/>
    <m/>
    <s v="N/A"/>
    <m/>
    <s v="Yes"/>
    <m/>
    <s v="Yes"/>
    <m/>
    <s v="New"/>
    <s v="infasco"/>
    <n v="106.94"/>
    <n v="106.94"/>
  </r>
  <r>
    <x v="13"/>
    <x v="17"/>
    <n v="11546571"/>
    <n v="716002"/>
    <n v="36"/>
    <n v="1550"/>
    <n v="55800"/>
    <s v="190+268"/>
    <s v="Yes"/>
    <m/>
    <s v="Yes"/>
    <m/>
    <s v="Yes"/>
    <m/>
    <s v="Yes"/>
    <m/>
    <s v="N/A"/>
    <m/>
    <s v="Yes"/>
    <m/>
    <s v="Yes"/>
    <m/>
    <s v="New"/>
    <s v="infasco"/>
    <n v="135.07999999999998"/>
    <n v="135.07999999999998"/>
  </r>
  <r>
    <x v="13"/>
    <x v="13"/>
    <s v="06503825-A"/>
    <n v="716006"/>
    <n v="18"/>
    <n v="1500"/>
    <n v="27000"/>
    <s v="011+293"/>
    <s v="Yes"/>
    <m/>
    <s v="Yes"/>
    <m/>
    <s v="Yes"/>
    <m/>
    <s v="Yes"/>
    <m/>
    <s v="N/A"/>
    <m/>
    <s v="Yes"/>
    <m/>
    <s v="Yes"/>
    <m/>
    <s v="New"/>
    <s v="infasco"/>
    <n v="226.94"/>
    <n v="226.94"/>
  </r>
  <r>
    <x v="14"/>
    <x v="17"/>
    <s v="06503825-A"/>
    <n v="716006"/>
    <n v="59"/>
    <n v="1500"/>
    <n v="88500"/>
    <s v="190+268"/>
    <s v="Yes"/>
    <m/>
    <s v="Yes"/>
    <m/>
    <s v="Yes"/>
    <m/>
    <s v="Yes"/>
    <m/>
    <s v="N/A"/>
    <m/>
    <s v="Yes"/>
    <m/>
    <s v="Yes"/>
    <m/>
    <s v="New"/>
    <s v="infasco"/>
    <n v="226.94"/>
    <n v="226.94"/>
  </r>
  <r>
    <x v="13"/>
    <x v="13"/>
    <s v="06503825-A"/>
    <n v="716007"/>
    <n v="20"/>
    <n v="1500"/>
    <n v="30000"/>
    <s v="011+293"/>
    <s v="Yes"/>
    <m/>
    <s v="Yes"/>
    <m/>
    <s v="Yes"/>
    <m/>
    <s v="Yes"/>
    <m/>
    <s v="N/A"/>
    <m/>
    <s v="Yes"/>
    <m/>
    <s v="Yes"/>
    <m/>
    <s v="New"/>
    <s v="infasco"/>
    <n v="226.94"/>
    <n v="226.94"/>
  </r>
  <r>
    <x v="13"/>
    <x v="13"/>
    <s v="06503825-A"/>
    <n v="716009"/>
    <n v="53"/>
    <n v="1500"/>
    <n v="79500"/>
    <s v="011+293"/>
    <s v="Yes"/>
    <m/>
    <s v="Yes"/>
    <m/>
    <s v="Yes"/>
    <m/>
    <s v="Yes"/>
    <m/>
    <s v="N/A"/>
    <m/>
    <s v="Yes"/>
    <m/>
    <s v="Yes"/>
    <m/>
    <s v="New"/>
    <s v="infasco"/>
    <n v="226.94"/>
    <n v="226.94"/>
  </r>
  <r>
    <x v="13"/>
    <x v="16"/>
    <s v="06512834AA"/>
    <n v="716010"/>
    <n v="32"/>
    <n v="290"/>
    <n v="9280"/>
    <s v="285+391"/>
    <s v="Yes"/>
    <m/>
    <s v="Yes"/>
    <m/>
    <s v="Yes"/>
    <m/>
    <s v="Yes"/>
    <m/>
    <s v="N/A"/>
    <m/>
    <s v="Yes"/>
    <m/>
    <s v="Yes"/>
    <m/>
    <s v="New"/>
    <s v="infasco"/>
    <n v="106.94"/>
    <n v="106.94"/>
  </r>
  <r>
    <x v="13"/>
    <x v="16"/>
    <s v="06512834AA"/>
    <n v="716011"/>
    <n v="29"/>
    <n v="290"/>
    <n v="8410"/>
    <s v="285+391"/>
    <s v="Yes"/>
    <m/>
    <s v="Yes"/>
    <m/>
    <s v="Yes"/>
    <m/>
    <s v="Yes"/>
    <m/>
    <s v="N/A"/>
    <m/>
    <s v="Yes"/>
    <m/>
    <s v="Yes"/>
    <m/>
    <s v="New"/>
    <s v="infasco"/>
    <n v="106.94"/>
    <n v="106.94"/>
  </r>
  <r>
    <x v="13"/>
    <x v="17"/>
    <s v="06105051AA"/>
    <n v="716020"/>
    <n v="20"/>
    <n v="620"/>
    <n v="12400"/>
    <s v="190+268"/>
    <s v="Yes"/>
    <m/>
    <s v="Yes"/>
    <m/>
    <s v="Yes"/>
    <m/>
    <s v="Yes"/>
    <m/>
    <s v="N/A"/>
    <m/>
    <s v="Yes"/>
    <m/>
    <s v="Yes"/>
    <m/>
    <s v="New"/>
    <s v="infasco"/>
    <n v="135.07999999999998"/>
    <n v="135.07999999999998"/>
  </r>
  <r>
    <x v="13"/>
    <x v="32"/>
    <s v="06105051AA"/>
    <n v="716021"/>
    <n v="32"/>
    <n v="620"/>
    <n v="19840"/>
    <s v="294+252"/>
    <s v="Yes"/>
    <m/>
    <s v="Yes"/>
    <m/>
    <s v="Yes"/>
    <m/>
    <s v="Yes"/>
    <m/>
    <s v="N/A"/>
    <m/>
    <s v="Yes"/>
    <m/>
    <s v="Yes"/>
    <m/>
    <s v="New"/>
    <s v="infasco"/>
    <n v="135.07999999999998"/>
    <n v="135.07999999999998"/>
  </r>
  <r>
    <x v="13"/>
    <x v="17"/>
    <s v="55364498AA"/>
    <n v="716022"/>
    <n v="7"/>
    <n v="520"/>
    <n v="3640"/>
    <s v="190+268"/>
    <s v="Yes"/>
    <m/>
    <s v="Yes"/>
    <m/>
    <s v="Yes"/>
    <m/>
    <s v="Yes"/>
    <m/>
    <s v="N/A"/>
    <m/>
    <s v="Yes"/>
    <m/>
    <s v="Yes"/>
    <m/>
    <s v="New"/>
    <s v="infasco"/>
    <n v="135.07999999999998"/>
    <n v="135.07999999999998"/>
  </r>
  <r>
    <x v="13"/>
    <x v="32"/>
    <s v="55364498AA"/>
    <n v="716023"/>
    <n v="40"/>
    <n v="520"/>
    <n v="20800"/>
    <s v="294+252"/>
    <s v="Yes"/>
    <m/>
    <s v="Yes"/>
    <m/>
    <s v="Yes"/>
    <m/>
    <s v="Yes"/>
    <m/>
    <s v="N/A"/>
    <m/>
    <s v="Yes"/>
    <m/>
    <s v="Yes"/>
    <m/>
    <s v="New"/>
    <s v="infasco"/>
    <n v="135.07999999999998"/>
    <n v="135.07999999999998"/>
  </r>
  <r>
    <x v="13"/>
    <x v="13"/>
    <s v="06512732AA"/>
    <n v="716029"/>
    <n v="15"/>
    <n v="750"/>
    <n v="11250"/>
    <s v="011+293"/>
    <s v="Yes"/>
    <m/>
    <s v="Yes"/>
    <m/>
    <s v="Yes"/>
    <m/>
    <s v="Yes"/>
    <m/>
    <s v="N/A"/>
    <m/>
    <s v="Yes"/>
    <m/>
    <s v="Yes"/>
    <m/>
    <s v="New"/>
    <s v="infasco"/>
    <n v="135.08000000000001"/>
    <n v="135.08000000000001"/>
  </r>
  <r>
    <x v="14"/>
    <x v="17"/>
    <s v="11547369-BR-HA"/>
    <n v="716032"/>
    <n v="40"/>
    <n v="250"/>
    <n v="10000"/>
    <s v="190+268"/>
    <s v="Yes"/>
    <m/>
    <s v="Yes"/>
    <m/>
    <s v="Yes"/>
    <m/>
    <s v="Yes"/>
    <m/>
    <s v="N/A"/>
    <m/>
    <s v="Yes"/>
    <m/>
    <s v="Yes"/>
    <m/>
    <s v="New"/>
    <s v="infasco"/>
    <n v="106.94"/>
    <n v="106.94"/>
  </r>
  <r>
    <x v="14"/>
    <x v="16"/>
    <s v="11547369-BR-HA"/>
    <n v="716034"/>
    <n v="20"/>
    <n v="250"/>
    <n v="5000"/>
    <s v="285+391"/>
    <s v="Yes"/>
    <m/>
    <s v="Yes"/>
    <m/>
    <s v="Yes"/>
    <m/>
    <s v="Yes"/>
    <m/>
    <s v="N/A"/>
    <m/>
    <s v="Yes"/>
    <m/>
    <s v="Yes"/>
    <m/>
    <s v="Re-certified"/>
    <s v="infasco"/>
    <n v="0"/>
    <n v="0"/>
  </r>
  <r>
    <x v="15"/>
    <x v="4"/>
    <s v="NU1405"/>
    <n v="717282"/>
    <n v="1"/>
    <n v="50000"/>
    <n v="50000"/>
    <n v="292"/>
    <s v="Yes"/>
    <m/>
    <s v="Yes"/>
    <m/>
    <s v="Yes"/>
    <m/>
    <s v="Yes"/>
    <m/>
    <s v="N/A"/>
    <m/>
    <s v="Yes"/>
    <m/>
    <s v="Yes"/>
    <m/>
    <s v="Re-certified"/>
    <s v="infasco"/>
    <n v="0"/>
    <n v="0"/>
  </r>
  <r>
    <x v="15"/>
    <x v="4"/>
    <s v="NU1405"/>
    <n v="717284"/>
    <n v="1"/>
    <n v="32500"/>
    <n v="32500"/>
    <n v="292"/>
    <s v="Yes"/>
    <m/>
    <s v="Yes"/>
    <m/>
    <s v="Yes"/>
    <m/>
    <s v="Yes"/>
    <m/>
    <s v="N/A"/>
    <m/>
    <s v="Yes"/>
    <m/>
    <s v="Yes"/>
    <m/>
    <s v="New"/>
    <s v="infasco"/>
    <n v="129.44999999999999"/>
    <n v="129.44999999999999"/>
  </r>
  <r>
    <x v="14"/>
    <x v="4"/>
    <n v="94012039"/>
    <n v="716087"/>
    <n v="24"/>
    <n v="2000"/>
    <n v="48000"/>
    <n v="292"/>
    <s v="Yes"/>
    <m/>
    <s v="Yes"/>
    <m/>
    <s v="Yes"/>
    <m/>
    <s v="Yes"/>
    <m/>
    <s v="N/A"/>
    <m/>
    <s v="Yes"/>
    <m/>
    <s v="Yes"/>
    <m/>
    <s v="New"/>
    <s v="infasco"/>
    <n v="106.94"/>
    <n v="106.94"/>
  </r>
  <r>
    <x v="15"/>
    <x v="23"/>
    <s v="06104725AA"/>
    <n v="716790"/>
    <n v="5"/>
    <n v="2800"/>
    <n v="14000"/>
    <n v="280"/>
    <s v="Yes"/>
    <m/>
    <s v="Yes"/>
    <m/>
    <s v="Yes"/>
    <m/>
    <s v="Yes"/>
    <m/>
    <s v="N/A"/>
    <m/>
    <s v="Yes"/>
    <m/>
    <s v="Yes"/>
    <m/>
    <s v="Re-certified"/>
    <s v="infasco"/>
    <n v="0"/>
    <n v="0"/>
  </r>
  <r>
    <x v="15"/>
    <x v="23"/>
    <s v="06104725AA"/>
    <n v="716797"/>
    <n v="36"/>
    <n v="2800"/>
    <n v="100800"/>
    <n v="280"/>
    <s v="Yes"/>
    <m/>
    <s v="Yes"/>
    <m/>
    <s v="Yes"/>
    <m/>
    <s v="Yes"/>
    <m/>
    <s v="N/A"/>
    <m/>
    <s v="Yes"/>
    <m/>
    <s v="Yes"/>
    <m/>
    <s v="New"/>
    <s v="infasco"/>
    <n v="106.94"/>
    <n v="106.94"/>
  </r>
  <r>
    <x v="15"/>
    <x v="23"/>
    <n v="11546449"/>
    <n v="716869"/>
    <n v="9"/>
    <n v="2500"/>
    <n v="22500"/>
    <n v="280"/>
    <s v="Yes"/>
    <m/>
    <s v="Yes"/>
    <m/>
    <s v="Yes"/>
    <m/>
    <s v="Yes"/>
    <m/>
    <s v="N/A"/>
    <m/>
    <s v="Yes"/>
    <m/>
    <s v="Yes"/>
    <m/>
    <s v="New"/>
    <s v="infasco"/>
    <n v="106.94"/>
    <n v="106.94"/>
  </r>
  <r>
    <x v="13"/>
    <x v="27"/>
    <s v="11546367-MY-AK"/>
    <n v="716136"/>
    <n v="12"/>
    <n v="700"/>
    <n v="8400"/>
    <n v="290"/>
    <s v="Yes"/>
    <m/>
    <s v="Yes"/>
    <m/>
    <s v="Yes"/>
    <m/>
    <s v="Yes"/>
    <m/>
    <s v="N/A"/>
    <m/>
    <s v="Yes"/>
    <m/>
    <s v="Yes"/>
    <m/>
    <s v="New"/>
    <s v="infasco"/>
    <n v="106.94"/>
    <n v="106.94"/>
  </r>
  <r>
    <x v="14"/>
    <x v="27"/>
    <s v="11546367-MY-AK"/>
    <n v="716139"/>
    <n v="36"/>
    <n v="700"/>
    <n v="25200"/>
    <n v="290"/>
    <s v="Yes"/>
    <m/>
    <s v="Yes"/>
    <m/>
    <s v="Yes"/>
    <m/>
    <s v="Yes"/>
    <m/>
    <s v="N/A"/>
    <m/>
    <s v="Yes"/>
    <m/>
    <s v="Yes"/>
    <m/>
    <s v="Re-certified"/>
    <s v="infasco"/>
    <n v="0"/>
    <n v="0"/>
  </r>
  <r>
    <x v="15"/>
    <x v="5"/>
    <n v="11610091"/>
    <n v="716449"/>
    <n v="10"/>
    <n v="2500"/>
    <n v="25000"/>
    <n v="292"/>
    <s v="Yes"/>
    <m/>
    <s v="Yes"/>
    <m/>
    <s v="Yes"/>
    <m/>
    <s v="Yes"/>
    <m/>
    <s v="N/A"/>
    <m/>
    <s v="Yes"/>
    <m/>
    <s v="Yes"/>
    <m/>
    <s v="New"/>
    <s v="infasco"/>
    <n v="106.94"/>
    <n v="106.94"/>
  </r>
  <r>
    <x v="13"/>
    <x v="15"/>
    <n v="11549170"/>
    <n v="716209"/>
    <n v="36"/>
    <n v="400"/>
    <n v="14400"/>
    <s v="157+245"/>
    <s v="Yes"/>
    <m/>
    <s v="Yes"/>
    <m/>
    <s v="Yes"/>
    <m/>
    <s v="Yes"/>
    <m/>
    <s v="N/A"/>
    <m/>
    <s v="Yes"/>
    <m/>
    <s v="Yes"/>
    <m/>
    <s v="New"/>
    <s v="infasco"/>
    <n v="106.94"/>
    <n v="106.94"/>
  </r>
  <r>
    <x v="15"/>
    <x v="5"/>
    <n v="11610091"/>
    <n v="716452"/>
    <n v="24"/>
    <n v="2500"/>
    <n v="60000"/>
    <n v="292"/>
    <s v="Yes"/>
    <m/>
    <s v="Yes"/>
    <m/>
    <s v="Yes"/>
    <m/>
    <s v="Yes"/>
    <m/>
    <s v="N/A"/>
    <m/>
    <s v="Yes"/>
    <m/>
    <s v="Yes"/>
    <m/>
    <s v="New"/>
    <s v="infasco"/>
    <n v="106.94"/>
    <n v="106.94"/>
  </r>
  <r>
    <x v="14"/>
    <x v="3"/>
    <n v="11549170"/>
    <n v="716211"/>
    <n v="36"/>
    <n v="400"/>
    <n v="14400"/>
    <n v="292"/>
    <s v="Yes"/>
    <m/>
    <s v="Yes"/>
    <m/>
    <s v="Yes"/>
    <m/>
    <s v="Yes"/>
    <m/>
    <s v="N/A"/>
    <m/>
    <s v="Yes"/>
    <m/>
    <s v="Yes"/>
    <m/>
    <s v="New"/>
    <s v="infasco"/>
    <n v="106.94"/>
    <n v="106.94"/>
  </r>
  <r>
    <x v="15"/>
    <x v="3"/>
    <n v="11549170"/>
    <n v="715780"/>
    <n v="37"/>
    <n v="400"/>
    <n v="14800"/>
    <n v="292"/>
    <s v="Yes"/>
    <m/>
    <s v="Yes"/>
    <m/>
    <s v="Yes"/>
    <m/>
    <s v="Yes"/>
    <m/>
    <s v="N/A"/>
    <m/>
    <s v="Yes"/>
    <m/>
    <s v="Yes"/>
    <m/>
    <s v="New"/>
    <s v="infasco"/>
    <n v="106.94"/>
    <n v="106.94"/>
  </r>
  <r>
    <x v="15"/>
    <x v="3"/>
    <n v="11549170"/>
    <n v="715781"/>
    <n v="24"/>
    <n v="400"/>
    <n v="9600"/>
    <n v="292"/>
    <s v="Yes"/>
    <m/>
    <s v="Yes"/>
    <m/>
    <s v="Yes"/>
    <m/>
    <s v="Yes"/>
    <m/>
    <s v="N/A"/>
    <m/>
    <s v="Yes"/>
    <m/>
    <s v="Yes"/>
    <m/>
    <s v="New"/>
    <s v="infasco"/>
    <n v="106.94"/>
    <n v="106.94"/>
  </r>
  <r>
    <x v="14"/>
    <x v="30"/>
    <n v="11549170"/>
    <n v="716214"/>
    <n v="36"/>
    <n v="400"/>
    <n v="14400"/>
    <n v="290"/>
    <s v="Yes"/>
    <m/>
    <s v="Yes"/>
    <m/>
    <s v="Yes"/>
    <m/>
    <s v="Yes"/>
    <m/>
    <s v="N/A"/>
    <m/>
    <s v="Yes"/>
    <m/>
    <s v="Yes"/>
    <m/>
    <s v="Re-certified"/>
    <s v="infasco"/>
    <n v="0"/>
    <n v="0"/>
  </r>
  <r>
    <x v="15"/>
    <x v="3"/>
    <n v="11549170"/>
    <n v="716212"/>
    <n v="12"/>
    <n v="400"/>
    <n v="4800"/>
    <n v="292"/>
    <s v="Yes"/>
    <m/>
    <s v="Yes"/>
    <m/>
    <s v="Yes"/>
    <m/>
    <s v="Yes"/>
    <m/>
    <s v="N/A"/>
    <m/>
    <s v="Yes"/>
    <m/>
    <s v="Yes"/>
    <m/>
    <s v="New"/>
    <s v="infasco"/>
    <n v="106.94"/>
    <n v="106.94"/>
  </r>
  <r>
    <x v="13"/>
    <x v="30"/>
    <n v="11549170"/>
    <n v="716215"/>
    <n v="14"/>
    <n v="400"/>
    <n v="5600"/>
    <n v="290"/>
    <s v="Yes"/>
    <m/>
    <s v="Yes"/>
    <m/>
    <s v="Yes"/>
    <m/>
    <s v="Yes"/>
    <m/>
    <s v="N/A"/>
    <m/>
    <s v="Yes"/>
    <m/>
    <s v="Yes"/>
    <m/>
    <s v="Re-certified"/>
    <s v="infasco"/>
    <n v="0"/>
    <n v="0"/>
  </r>
  <r>
    <x v="14"/>
    <x v="30"/>
    <n v="11549170"/>
    <n v="716215"/>
    <n v="22"/>
    <n v="400"/>
    <n v="8800"/>
    <n v="290"/>
    <s v="Yes"/>
    <m/>
    <s v="Yes"/>
    <m/>
    <s v="Yes"/>
    <m/>
    <s v="Yes"/>
    <m/>
    <s v="N/A"/>
    <m/>
    <s v="Yes"/>
    <m/>
    <s v="Yes"/>
    <m/>
    <s v="New"/>
    <s v="infasco"/>
    <n v="106.94"/>
    <n v="106.94"/>
  </r>
  <r>
    <x v="13"/>
    <x v="32"/>
    <n v="11549170"/>
    <n v="716216"/>
    <n v="38"/>
    <n v="400"/>
    <n v="15200"/>
    <s v="294+252"/>
    <s v="Yes"/>
    <m/>
    <s v="Yes"/>
    <m/>
    <s v="Yes"/>
    <m/>
    <s v="Yes"/>
    <m/>
    <s v="N/A"/>
    <m/>
    <s v="Yes"/>
    <m/>
    <s v="Yes"/>
    <m/>
    <s v="New"/>
    <s v="infasco"/>
    <n v="106.94"/>
    <n v="106.94"/>
  </r>
  <r>
    <x v="14"/>
    <x v="30"/>
    <n v="11549170"/>
    <n v="716217"/>
    <n v="36"/>
    <n v="400"/>
    <n v="14400"/>
    <n v="290"/>
    <s v="Yes"/>
    <m/>
    <s v="Yes"/>
    <m/>
    <s v="Yes"/>
    <m/>
    <s v="Yes"/>
    <m/>
    <s v="N/A"/>
    <m/>
    <s v="Yes"/>
    <m/>
    <s v="Yes"/>
    <m/>
    <s v="New"/>
    <s v="infasco"/>
    <n v="106.94"/>
    <n v="106.94"/>
  </r>
  <r>
    <x v="14"/>
    <x v="12"/>
    <n v="11549170"/>
    <n v="716218"/>
    <n v="36"/>
    <n v="400"/>
    <n v="14400"/>
    <n v="275"/>
    <s v="Yes"/>
    <m/>
    <s v="Yes"/>
    <m/>
    <s v="Yes"/>
    <m/>
    <s v="Yes"/>
    <m/>
    <s v="N/A"/>
    <m/>
    <s v="Yes"/>
    <m/>
    <s v="Yes"/>
    <m/>
    <s v="New"/>
    <s v="infasco"/>
    <n v="106.94"/>
    <n v="106.94"/>
  </r>
  <r>
    <x v="14"/>
    <x v="12"/>
    <n v="11549170"/>
    <n v="716219"/>
    <n v="36"/>
    <n v="400"/>
    <n v="14400"/>
    <n v="275"/>
    <s v="Yes"/>
    <m/>
    <s v="Yes"/>
    <m/>
    <s v="Yes"/>
    <m/>
    <s v="Yes"/>
    <m/>
    <s v="N/A"/>
    <m/>
    <s v="Yes"/>
    <m/>
    <s v="Yes"/>
    <m/>
    <s v="New"/>
    <s v="infasco"/>
    <n v="106.94"/>
    <n v="106.94"/>
  </r>
  <r>
    <x v="15"/>
    <x v="3"/>
    <n v="11548414"/>
    <n v="717049"/>
    <n v="5"/>
    <n v="485"/>
    <n v="2425"/>
    <n v="292"/>
    <s v="Yes"/>
    <m/>
    <s v="Yes"/>
    <m/>
    <s v="Yes"/>
    <m/>
    <s v="Yes"/>
    <m/>
    <s v="N/A"/>
    <m/>
    <s v="Yes"/>
    <m/>
    <s v="Yes"/>
    <m/>
    <s v="Re-certified"/>
    <s v="infasco"/>
    <n v="0"/>
    <n v="0"/>
  </r>
  <r>
    <x v="13"/>
    <x v="8"/>
    <n v="11549170"/>
    <n v="716222"/>
    <n v="20"/>
    <n v="400"/>
    <n v="8000"/>
    <n v="275"/>
    <s v="Yes"/>
    <m/>
    <s v="Yes"/>
    <m/>
    <s v="Yes"/>
    <m/>
    <s v="Yes"/>
    <m/>
    <s v="N/A"/>
    <m/>
    <s v="Yes"/>
    <m/>
    <s v="Yes"/>
    <m/>
    <s v="Re-certified"/>
    <s v="infasco"/>
    <n v="0"/>
    <n v="0"/>
  </r>
  <r>
    <x v="14"/>
    <x v="8"/>
    <n v="11549170"/>
    <n v="716222"/>
    <n v="16"/>
    <n v="400"/>
    <n v="6400"/>
    <n v="275"/>
    <s v="Yes"/>
    <m/>
    <s v="Yes"/>
    <m/>
    <s v="Yes"/>
    <m/>
    <s v="Yes"/>
    <m/>
    <s v="N/A"/>
    <m/>
    <s v="Yes"/>
    <m/>
    <s v="Yes"/>
    <m/>
    <s v="New"/>
    <s v="infasco"/>
    <n v="106.94"/>
    <n v="106.94"/>
  </r>
  <r>
    <x v="14"/>
    <x v="3"/>
    <n v="11549170"/>
    <n v="716224"/>
    <n v="36"/>
    <n v="400"/>
    <n v="14400"/>
    <n v="292"/>
    <s v="Yes"/>
    <m/>
    <s v="Yes"/>
    <m/>
    <s v="Yes"/>
    <m/>
    <s v="Yes"/>
    <m/>
    <s v="N/A"/>
    <m/>
    <s v="Yes"/>
    <m/>
    <s v="Yes"/>
    <m/>
    <s v="New"/>
    <s v="infasco"/>
    <n v="106.94"/>
    <n v="106.94"/>
  </r>
  <r>
    <x v="13"/>
    <x v="16"/>
    <n v="11549170"/>
    <n v="716225"/>
    <n v="21"/>
    <n v="400"/>
    <n v="8400"/>
    <s v="285+391"/>
    <s v="Yes"/>
    <m/>
    <s v="Yes"/>
    <m/>
    <s v="Yes"/>
    <m/>
    <s v="Yes"/>
    <m/>
    <s v="N/A"/>
    <m/>
    <s v="Yes"/>
    <m/>
    <s v="Yes"/>
    <m/>
    <s v="New"/>
    <s v="infasco"/>
    <n v="106.94"/>
    <n v="106.94"/>
  </r>
  <r>
    <x v="14"/>
    <x v="8"/>
    <n v="11549170"/>
    <n v="716226"/>
    <n v="22"/>
    <n v="400"/>
    <n v="8800"/>
    <n v="275"/>
    <s v="Yes"/>
    <m/>
    <s v="Yes"/>
    <m/>
    <s v="Yes"/>
    <m/>
    <s v="Yes"/>
    <m/>
    <s v="N/A"/>
    <m/>
    <s v="Yes"/>
    <m/>
    <s v="Yes"/>
    <m/>
    <s v="Re-certified"/>
    <s v="infasco"/>
    <n v="0"/>
    <n v="0"/>
  </r>
  <r>
    <x v="15"/>
    <x v="25"/>
    <s v="W520101-S437"/>
    <n v="714698"/>
    <n v="13"/>
    <n v="3000"/>
    <n v="39000"/>
    <n v="280"/>
    <s v="Yes"/>
    <m/>
    <s v="Yes"/>
    <m/>
    <s v="Yes"/>
    <m/>
    <s v="Yes"/>
    <m/>
    <s v="N/A"/>
    <m/>
    <s v="Yes"/>
    <m/>
    <s v="Yes"/>
    <m/>
    <s v="Re-certified"/>
    <s v="infasco"/>
    <n v="0"/>
    <n v="0"/>
  </r>
  <r>
    <x v="14"/>
    <x v="3"/>
    <n v="11549170"/>
    <n v="716227"/>
    <n v="36"/>
    <n v="400"/>
    <n v="14400"/>
    <n v="292"/>
    <s v="Yes"/>
    <m/>
    <s v="Yes"/>
    <m/>
    <s v="Yes"/>
    <m/>
    <s v="Yes"/>
    <m/>
    <s v="N/A"/>
    <m/>
    <s v="Yes"/>
    <m/>
    <s v="Yes"/>
    <m/>
    <s v="New"/>
    <s v="infasco"/>
    <n v="106.94"/>
    <n v="106.94"/>
  </r>
  <r>
    <x v="13"/>
    <x v="15"/>
    <s v="NU3014-02"/>
    <n v="716251"/>
    <n v="1"/>
    <n v="6980"/>
    <n v="6980"/>
    <s v="157+245"/>
    <s v="Yes"/>
    <m/>
    <s v="Yes"/>
    <m/>
    <s v="Yes"/>
    <m/>
    <s v="Yes"/>
    <m/>
    <s v="N/A"/>
    <m/>
    <s v="Yes"/>
    <m/>
    <s v="Yes"/>
    <m/>
    <s v="New"/>
    <s v="infasco"/>
    <n v="129.44999999999999"/>
    <n v="129.44999999999999"/>
  </r>
  <r>
    <x v="13"/>
    <x v="13"/>
    <s v="NU3014-02"/>
    <n v="716252"/>
    <n v="1"/>
    <n v="10737"/>
    <n v="10737"/>
    <s v="011+293"/>
    <s v="Yes"/>
    <m/>
    <s v="Yes"/>
    <m/>
    <s v="Yes"/>
    <m/>
    <s v="Yes"/>
    <m/>
    <s v="N/A"/>
    <m/>
    <s v="Yes"/>
    <m/>
    <s v="Yes"/>
    <m/>
    <s v="New"/>
    <s v="infasco"/>
    <n v="129.44999999999999"/>
    <n v="129.44999999999999"/>
  </r>
  <r>
    <x v="13"/>
    <x v="15"/>
    <s v="06513399AA"/>
    <n v="716307"/>
    <n v="36"/>
    <n v="230"/>
    <n v="8280"/>
    <s v="157+245"/>
    <s v="Yes"/>
    <m/>
    <s v="Yes"/>
    <m/>
    <s v="Yes"/>
    <m/>
    <s v="Yes"/>
    <m/>
    <s v="N/A"/>
    <m/>
    <s v="Yes"/>
    <m/>
    <s v="Yes"/>
    <m/>
    <s v="New"/>
    <s v="infasco"/>
    <n v="106.94"/>
    <n v="106.94"/>
  </r>
  <r>
    <x v="13"/>
    <x v="15"/>
    <s v="06513399AA"/>
    <n v="716308"/>
    <n v="36"/>
    <n v="230"/>
    <n v="8280"/>
    <s v="157+245"/>
    <s v="Yes"/>
    <m/>
    <s v="Yes"/>
    <m/>
    <s v="Yes"/>
    <m/>
    <s v="Yes"/>
    <m/>
    <s v="N/A"/>
    <m/>
    <s v="Yes"/>
    <m/>
    <s v="Yes"/>
    <m/>
    <s v="New"/>
    <s v="infasco"/>
    <n v="106.94"/>
    <n v="106.94"/>
  </r>
  <r>
    <x v="13"/>
    <x v="17"/>
    <s v="06513399AA"/>
    <n v="716309"/>
    <n v="36"/>
    <n v="230"/>
    <n v="8280"/>
    <s v="190+268"/>
    <s v="Yes"/>
    <m/>
    <s v="Yes"/>
    <m/>
    <s v="Yes"/>
    <m/>
    <s v="Yes"/>
    <m/>
    <s v="N/A"/>
    <m/>
    <s v="Yes"/>
    <m/>
    <s v="Yes"/>
    <m/>
    <s v="New"/>
    <s v="infasco"/>
    <n v="106.94"/>
    <n v="106.94"/>
  </r>
  <r>
    <x v="13"/>
    <x v="16"/>
    <s v="06513399AA"/>
    <n v="716310"/>
    <n v="35"/>
    <n v="230"/>
    <n v="8050"/>
    <s v="285+391"/>
    <s v="Yes"/>
    <m/>
    <s v="Yes"/>
    <m/>
    <s v="Yes"/>
    <m/>
    <s v="Yes"/>
    <m/>
    <s v="N/A"/>
    <m/>
    <s v="Yes"/>
    <m/>
    <s v="Yes"/>
    <m/>
    <s v="New"/>
    <s v="infasco"/>
    <n v="106.94"/>
    <n v="106.94"/>
  </r>
  <r>
    <x v="13"/>
    <x v="4"/>
    <s v="11546364-MY-AK"/>
    <n v="716333"/>
    <n v="33"/>
    <n v="3500"/>
    <n v="115500"/>
    <n v="292"/>
    <s v="Yes"/>
    <m/>
    <s v="Yes"/>
    <m/>
    <s v="Yes"/>
    <m/>
    <s v="Yes"/>
    <m/>
    <s v="N/A"/>
    <m/>
    <s v="Yes"/>
    <m/>
    <s v="Yes"/>
    <m/>
    <s v="New"/>
    <s v="infasco"/>
    <n v="106.94"/>
    <n v="106.94"/>
  </r>
  <r>
    <x v="13"/>
    <x v="24"/>
    <s v="11546364-MY-AK"/>
    <n v="716334"/>
    <n v="13"/>
    <n v="3500"/>
    <n v="45500"/>
    <n v="280"/>
    <s v="Yes"/>
    <m/>
    <s v="Yes"/>
    <m/>
    <s v="Yes"/>
    <m/>
    <s v="Yes"/>
    <m/>
    <s v="N/A"/>
    <m/>
    <s v="Yes"/>
    <m/>
    <s v="Yes"/>
    <m/>
    <s v="New"/>
    <s v="infasco"/>
    <n v="106.94"/>
    <n v="106.94"/>
  </r>
  <r>
    <x v="13"/>
    <x v="24"/>
    <s v="11546364-MY-AK"/>
    <n v="716335"/>
    <n v="10"/>
    <n v="3500"/>
    <n v="35000"/>
    <n v="280"/>
    <s v="Yes"/>
    <m/>
    <s v="Yes"/>
    <m/>
    <s v="Yes"/>
    <m/>
    <s v="Yes"/>
    <m/>
    <s v="N/A"/>
    <m/>
    <s v="Yes"/>
    <m/>
    <s v="Yes"/>
    <m/>
    <s v="Re-certified"/>
    <s v="infasco"/>
    <n v="0"/>
    <n v="0"/>
  </r>
  <r>
    <x v="14"/>
    <x v="24"/>
    <s v="11546369-MY-AK"/>
    <n v="716335"/>
    <n v="11"/>
    <n v="3500"/>
    <n v="38500"/>
    <n v="280"/>
    <s v="Yes"/>
    <m/>
    <s v="Yes"/>
    <m/>
    <s v="Yes"/>
    <m/>
    <s v="Yes"/>
    <m/>
    <s v="N/A"/>
    <m/>
    <s v="Yes"/>
    <m/>
    <s v="Yes"/>
    <m/>
    <s v="New"/>
    <s v="infasco"/>
    <n v="106.94"/>
    <n v="106.94"/>
  </r>
  <r>
    <x v="13"/>
    <x v="13"/>
    <s v="07336-54-D01"/>
    <n v="716341"/>
    <n v="38"/>
    <n v="1350"/>
    <n v="51300"/>
    <s v="011+293"/>
    <s v="Yes"/>
    <m/>
    <s v="Yes"/>
    <m/>
    <s v="Yes"/>
    <m/>
    <s v="Yes"/>
    <m/>
    <s v="N/A"/>
    <m/>
    <s v="Yes"/>
    <m/>
    <s v="Yes"/>
    <m/>
    <s v="New"/>
    <s v="infasco"/>
    <n v="106.94"/>
    <n v="106.94"/>
  </r>
  <r>
    <x v="15"/>
    <x v="20"/>
    <s v="11546367-MY-AK"/>
    <n v="716133"/>
    <n v="28"/>
    <n v="700"/>
    <n v="19600"/>
    <n v="280"/>
    <s v="Yes"/>
    <m/>
    <s v="Yes"/>
    <m/>
    <s v="Yes"/>
    <m/>
    <s v="Yes"/>
    <m/>
    <s v="N/A"/>
    <m/>
    <s v="Yes"/>
    <m/>
    <s v="Yes"/>
    <m/>
    <s v="New"/>
    <s v="infasco"/>
    <n v="106.94"/>
    <n v="106.94"/>
  </r>
  <r>
    <x v="14"/>
    <x v="31"/>
    <s v="11546367-MY-AK"/>
    <n v="716375"/>
    <n v="36"/>
    <n v="700"/>
    <n v="25200"/>
    <n v="290"/>
    <s v="Yes"/>
    <m/>
    <s v="Yes"/>
    <m/>
    <s v="Yes"/>
    <m/>
    <s v="Yes"/>
    <m/>
    <s v="N/A"/>
    <m/>
    <s v="Yes"/>
    <m/>
    <s v="Yes"/>
    <m/>
    <s v="New"/>
    <s v="infasco"/>
    <n v="106.94"/>
    <n v="106.94"/>
  </r>
  <r>
    <x v="14"/>
    <x v="31"/>
    <s v="11546367-MY-AK"/>
    <n v="716376"/>
    <n v="36"/>
    <n v="700"/>
    <n v="25200"/>
    <n v="290"/>
    <s v="Yes"/>
    <m/>
    <s v="Yes"/>
    <m/>
    <s v="Yes"/>
    <m/>
    <s v="Yes"/>
    <m/>
    <s v="N/A"/>
    <m/>
    <s v="Yes"/>
    <m/>
    <s v="Yes"/>
    <m/>
    <s v="New"/>
    <s v="infasco"/>
    <n v="106.94"/>
    <n v="106.94"/>
  </r>
  <r>
    <x v="13"/>
    <x v="31"/>
    <s v="11546367-MY-AK"/>
    <n v="716378"/>
    <n v="6"/>
    <n v="700"/>
    <n v="4200"/>
    <n v="290"/>
    <s v="Yes"/>
    <m/>
    <s v="Yes"/>
    <m/>
    <s v="Yes"/>
    <m/>
    <s v="Yes"/>
    <m/>
    <s v="N/A"/>
    <m/>
    <s v="Yes"/>
    <m/>
    <s v="Yes"/>
    <m/>
    <s v="Re-certified"/>
    <s v="infasco"/>
    <n v="0"/>
    <n v="0"/>
  </r>
  <r>
    <x v="14"/>
    <x v="31"/>
    <s v="11546367-MY-AK"/>
    <n v="716378"/>
    <n v="30"/>
    <n v="700"/>
    <n v="21000"/>
    <n v="290"/>
    <s v="Yes"/>
    <m/>
    <s v="Yes"/>
    <m/>
    <s v="Yes"/>
    <m/>
    <s v="Yes"/>
    <m/>
    <s v="N/A"/>
    <m/>
    <s v="Yes"/>
    <m/>
    <s v="Yes"/>
    <m/>
    <s v="New"/>
    <s v="infasco"/>
    <n v="106.94"/>
    <n v="106.94"/>
  </r>
  <r>
    <x v="13"/>
    <x v="2"/>
    <s v="11546367-MY-AK"/>
    <n v="716381"/>
    <n v="2"/>
    <n v="700"/>
    <n v="1400"/>
    <n v="292"/>
    <s v="Yes"/>
    <m/>
    <s v="Yes"/>
    <m/>
    <s v="Yes"/>
    <m/>
    <s v="Yes"/>
    <m/>
    <s v="N/A"/>
    <m/>
    <s v="Yes"/>
    <m/>
    <s v="Yes"/>
    <m/>
    <s v="Re-certified"/>
    <s v="infasco"/>
    <n v="0"/>
    <n v="0"/>
  </r>
  <r>
    <x v="14"/>
    <x v="2"/>
    <s v="11546367-MY-AK"/>
    <n v="716381"/>
    <n v="34"/>
    <n v="700"/>
    <n v="23800"/>
    <n v="292"/>
    <s v="Yes"/>
    <m/>
    <s v="Yes"/>
    <m/>
    <s v="Yes"/>
    <m/>
    <s v="Yes"/>
    <m/>
    <s v="N/A"/>
    <m/>
    <s v="Yes"/>
    <m/>
    <s v="Yes"/>
    <m/>
    <s v="New"/>
    <s v="infasco"/>
    <n v="106.94"/>
    <n v="106.94"/>
  </r>
  <r>
    <x v="14"/>
    <x v="20"/>
    <s v="11546367-MY-AK"/>
    <n v="716382"/>
    <n v="36"/>
    <n v="700"/>
    <n v="25200"/>
    <n v="280"/>
    <s v="Yes"/>
    <m/>
    <s v="Yes"/>
    <m/>
    <s v="Yes"/>
    <m/>
    <s v="Yes"/>
    <m/>
    <s v="N/A"/>
    <m/>
    <s v="Yes"/>
    <m/>
    <s v="Yes"/>
    <m/>
    <s v="New"/>
    <s v="infasco"/>
    <n v="106.94"/>
    <n v="106.94"/>
  </r>
  <r>
    <x v="14"/>
    <x v="8"/>
    <n v="11549170"/>
    <n v="716414"/>
    <n v="36"/>
    <n v="400"/>
    <n v="14400"/>
    <n v="275"/>
    <s v="Yes"/>
    <m/>
    <s v="Yes"/>
    <m/>
    <s v="Yes"/>
    <m/>
    <s v="Yes"/>
    <m/>
    <s v="N/A"/>
    <m/>
    <s v="Yes"/>
    <m/>
    <s v="Yes"/>
    <m/>
    <s v="New"/>
    <s v="infasco"/>
    <n v="106.94"/>
    <n v="106.94"/>
  </r>
  <r>
    <x v="14"/>
    <x v="12"/>
    <n v="11549170"/>
    <n v="716415"/>
    <n v="22"/>
    <n v="400"/>
    <n v="8800"/>
    <n v="275"/>
    <s v="Yes"/>
    <m/>
    <s v="Yes"/>
    <m/>
    <s v="Yes"/>
    <m/>
    <s v="Yes"/>
    <m/>
    <s v="N/A"/>
    <m/>
    <s v="Yes"/>
    <m/>
    <s v="Yes"/>
    <m/>
    <s v="Re-certified"/>
    <s v="infasco"/>
    <n v="0"/>
    <n v="0"/>
  </r>
  <r>
    <x v="15"/>
    <x v="21"/>
    <s v="06104725AA"/>
    <n v="716796"/>
    <n v="12"/>
    <n v="2800"/>
    <n v="33600"/>
    <n v="280"/>
    <s v="Yes"/>
    <m/>
    <s v="Yes"/>
    <m/>
    <s v="Yes"/>
    <m/>
    <s v="Yes"/>
    <m/>
    <s v="N/A"/>
    <m/>
    <s v="Yes"/>
    <m/>
    <s v="Yes"/>
    <m/>
    <s v="Re-certified"/>
    <s v="infasco"/>
    <n v="0"/>
    <n v="0"/>
  </r>
  <r>
    <x v="13"/>
    <x v="17"/>
    <n v="11549170"/>
    <n v="716416"/>
    <n v="36"/>
    <n v="400"/>
    <n v="14400"/>
    <s v="190+268"/>
    <s v="Yes"/>
    <m/>
    <s v="Yes"/>
    <m/>
    <s v="Yes"/>
    <m/>
    <s v="Yes"/>
    <m/>
    <s v="N/A"/>
    <m/>
    <s v="Yes"/>
    <m/>
    <s v="Yes"/>
    <m/>
    <s v="New"/>
    <s v="infasco"/>
    <n v="106.94"/>
    <n v="106.94"/>
  </r>
  <r>
    <x v="13"/>
    <x v="17"/>
    <n v="11549170"/>
    <n v="716417"/>
    <n v="28"/>
    <n v="400"/>
    <n v="11200"/>
    <s v="190+268"/>
    <s v="Yes"/>
    <m/>
    <s v="Yes"/>
    <m/>
    <s v="Yes"/>
    <m/>
    <s v="Yes"/>
    <m/>
    <s v="N/A"/>
    <m/>
    <s v="Yes"/>
    <m/>
    <s v="Yes"/>
    <m/>
    <s v="New"/>
    <s v="infasco"/>
    <n v="106.94"/>
    <n v="106.94"/>
  </r>
  <r>
    <x v="14"/>
    <x v="30"/>
    <n v="11549170"/>
    <n v="716418"/>
    <n v="36"/>
    <n v="400"/>
    <n v="14400"/>
    <n v="290"/>
    <s v="Yes"/>
    <m/>
    <s v="Yes"/>
    <m/>
    <s v="Yes"/>
    <m/>
    <s v="Yes"/>
    <m/>
    <s v="N/A"/>
    <m/>
    <s v="Yes"/>
    <m/>
    <s v="Yes"/>
    <m/>
    <s v="New"/>
    <s v="infasco"/>
    <n v="106.94"/>
    <n v="106.94"/>
  </r>
  <r>
    <x v="13"/>
    <x v="32"/>
    <n v="11549170"/>
    <n v="716419"/>
    <n v="40"/>
    <n v="400"/>
    <n v="16000"/>
    <s v="294+252"/>
    <s v="Yes"/>
    <m/>
    <s v="Yes"/>
    <m/>
    <s v="Yes"/>
    <m/>
    <s v="Yes"/>
    <m/>
    <s v="N/A"/>
    <m/>
    <s v="Yes"/>
    <m/>
    <s v="Yes"/>
    <m/>
    <s v="New"/>
    <s v="infasco"/>
    <n v="106.94"/>
    <n v="106.94"/>
  </r>
  <r>
    <x v="14"/>
    <x v="19"/>
    <n v="11610091"/>
    <n v="716447"/>
    <n v="23"/>
    <n v="2500"/>
    <n v="57500"/>
    <n v="292"/>
    <s v="Yes"/>
    <m/>
    <s v="Yes"/>
    <m/>
    <s v="Yes"/>
    <m/>
    <s v="Yes"/>
    <m/>
    <s v="N/A"/>
    <m/>
    <s v="Yes"/>
    <m/>
    <s v="Yes"/>
    <m/>
    <s v="Re-certified"/>
    <s v="infasco"/>
    <n v="0"/>
    <n v="0"/>
  </r>
  <r>
    <x v="15"/>
    <x v="21"/>
    <n v="11546449"/>
    <n v="716873"/>
    <n v="40"/>
    <n v="2500"/>
    <n v="100000"/>
    <n v="280"/>
    <s v="Yes"/>
    <m/>
    <s v="Yes"/>
    <m/>
    <s v="Yes"/>
    <m/>
    <s v="Yes"/>
    <m/>
    <s v="N/A"/>
    <m/>
    <s v="Yes"/>
    <m/>
    <s v="Yes"/>
    <m/>
    <s v="New"/>
    <s v="infasco"/>
    <n v="106.94"/>
    <n v="106.94"/>
  </r>
  <r>
    <x v="13"/>
    <x v="19"/>
    <n v="11610091"/>
    <n v="716448"/>
    <n v="16"/>
    <n v="2500"/>
    <n v="40000"/>
    <n v="292"/>
    <s v="Yes"/>
    <m/>
    <s v="Yes"/>
    <m/>
    <s v="Yes"/>
    <m/>
    <s v="Yes"/>
    <m/>
    <s v="N/A"/>
    <m/>
    <s v="Yes"/>
    <m/>
    <s v="Yes"/>
    <m/>
    <s v="Re-certified"/>
    <s v="infasco"/>
    <n v="0"/>
    <n v="0"/>
  </r>
  <r>
    <x v="14"/>
    <x v="19"/>
    <n v="11610091"/>
    <n v="716448"/>
    <n v="15"/>
    <n v="2500"/>
    <n v="37500"/>
    <n v="292"/>
    <s v="Yes"/>
    <m/>
    <s v="Yes"/>
    <m/>
    <s v="Yes"/>
    <m/>
    <s v="Yes"/>
    <m/>
    <s v="N/A"/>
    <m/>
    <s v="Yes"/>
    <m/>
    <s v="Yes"/>
    <m/>
    <s v="New"/>
    <s v="infasco"/>
    <n v="106.94"/>
    <n v="106.94"/>
  </r>
  <r>
    <x v="14"/>
    <x v="5"/>
    <n v="11610091"/>
    <n v="716449"/>
    <n v="23"/>
    <n v="2500"/>
    <n v="57500"/>
    <n v="292"/>
    <s v="Yes"/>
    <m/>
    <s v="Yes"/>
    <m/>
    <s v="Yes"/>
    <m/>
    <s v="Yes"/>
    <m/>
    <s v="N/A"/>
    <m/>
    <s v="Yes"/>
    <m/>
    <s v="Yes"/>
    <m/>
    <s v="Re-certified"/>
    <s v="infasco"/>
    <n v="0"/>
    <n v="0"/>
  </r>
  <r>
    <x v="15"/>
    <x v="21"/>
    <n v="11546449"/>
    <n v="716875"/>
    <n v="6"/>
    <n v="2500"/>
    <n v="15000"/>
    <n v="280"/>
    <s v="Yes"/>
    <m/>
    <s v="Yes"/>
    <m/>
    <s v="Yes"/>
    <m/>
    <s v="Yes"/>
    <m/>
    <s v="N/A"/>
    <m/>
    <s v="Yes"/>
    <m/>
    <s v="Yes"/>
    <m/>
    <s v="New"/>
    <s v="infasco"/>
    <n v="106.94"/>
    <n v="106.94"/>
  </r>
  <r>
    <x v="13"/>
    <x v="5"/>
    <n v="11610091"/>
    <n v="716450"/>
    <n v="26"/>
    <n v="2500"/>
    <n v="65000"/>
    <n v="292"/>
    <s v="Yes"/>
    <m/>
    <s v="Yes"/>
    <m/>
    <s v="Yes"/>
    <m/>
    <s v="Yes"/>
    <m/>
    <s v="N/A"/>
    <m/>
    <s v="Yes"/>
    <m/>
    <s v="Yes"/>
    <m/>
    <s v="New"/>
    <s v="infasco"/>
    <n v="106.94"/>
    <n v="106.94"/>
  </r>
  <r>
    <x v="13"/>
    <x v="5"/>
    <n v="11610091"/>
    <n v="716451"/>
    <n v="22"/>
    <n v="2500"/>
    <n v="55000"/>
    <n v="292"/>
    <s v="Yes"/>
    <m/>
    <s v="Yes"/>
    <m/>
    <s v="Yes"/>
    <m/>
    <s v="Yes"/>
    <m/>
    <s v="N/A"/>
    <m/>
    <s v="Yes"/>
    <m/>
    <s v="Yes"/>
    <m/>
    <s v="New"/>
    <s v="infasco"/>
    <n v="106.94"/>
    <n v="106.94"/>
  </r>
  <r>
    <x v="15"/>
    <x v="24"/>
    <s v="11546365-MY-AK"/>
    <n v="715969"/>
    <n v="18"/>
    <n v="1900"/>
    <n v="34200"/>
    <n v="280"/>
    <s v="Yes"/>
    <m/>
    <s v="Yes"/>
    <m/>
    <s v="Yes"/>
    <m/>
    <s v="Yes"/>
    <m/>
    <s v="N/A"/>
    <m/>
    <s v="Yes"/>
    <m/>
    <s v="Yes"/>
    <m/>
    <s v="Re-certified"/>
    <s v="infasco"/>
    <n v="0"/>
    <n v="0"/>
  </r>
  <r>
    <x v="13"/>
    <x v="5"/>
    <n v="11610091"/>
    <n v="716453"/>
    <n v="14"/>
    <n v="2500"/>
    <n v="35000"/>
    <n v="292"/>
    <s v="Yes"/>
    <m/>
    <s v="Yes"/>
    <m/>
    <s v="Yes"/>
    <m/>
    <s v="Yes"/>
    <m/>
    <s v="N/A"/>
    <m/>
    <s v="Yes"/>
    <m/>
    <s v="Yes"/>
    <m/>
    <s v="New"/>
    <s v="infasco"/>
    <n v="106.94"/>
    <n v="106.94"/>
  </r>
  <r>
    <x v="14"/>
    <x v="5"/>
    <n v="11610091"/>
    <n v="716453"/>
    <n v="16"/>
    <n v="2500"/>
    <n v="40000"/>
    <n v="292"/>
    <s v="Yes"/>
    <m/>
    <s v="Yes"/>
    <m/>
    <s v="Yes"/>
    <m/>
    <s v="Yes"/>
    <m/>
    <s v="N/A"/>
    <m/>
    <s v="Yes"/>
    <m/>
    <s v="Yes"/>
    <m/>
    <s v="New"/>
    <s v="infasco"/>
    <n v="106.94"/>
    <n v="106.94"/>
  </r>
  <r>
    <x v="13"/>
    <x v="19"/>
    <n v="11610091"/>
    <n v="716454"/>
    <n v="20"/>
    <n v="2500"/>
    <n v="50000"/>
    <n v="292"/>
    <s v="Yes"/>
    <m/>
    <s v="Yes"/>
    <m/>
    <s v="Yes"/>
    <m/>
    <s v="Yes"/>
    <m/>
    <s v="N/A"/>
    <m/>
    <s v="Yes"/>
    <m/>
    <s v="Yes"/>
    <m/>
    <s v="New"/>
    <s v="infasco"/>
    <n v="106.94"/>
    <n v="106.94"/>
  </r>
  <r>
    <x v="15"/>
    <x v="24"/>
    <s v="NU5210-03"/>
    <n v="717105"/>
    <n v="1"/>
    <n v="15520"/>
    <n v="15520"/>
    <n v="280"/>
    <s v="Yes"/>
    <m/>
    <s v="Yes"/>
    <m/>
    <s v="Yes"/>
    <m/>
    <s v="Yes"/>
    <m/>
    <s v="N/A"/>
    <m/>
    <s v="Yes"/>
    <m/>
    <s v="Yes"/>
    <m/>
    <s v="New"/>
    <s v="infasco"/>
    <n v="129.44999999999999"/>
    <n v="129.44999999999999"/>
  </r>
  <r>
    <x v="15"/>
    <x v="0"/>
    <s v="06102612AA"/>
    <n v="716971"/>
    <n v="20"/>
    <n v="1800"/>
    <n v="36000"/>
    <n v="292"/>
    <s v="Yes"/>
    <m/>
    <s v="Yes"/>
    <m/>
    <s v="Yes"/>
    <m/>
    <s v="Yes"/>
    <m/>
    <s v="N/A"/>
    <m/>
    <s v="Yes"/>
    <m/>
    <s v="Yes"/>
    <m/>
    <s v="Re-certified"/>
    <s v="infasco"/>
    <n v="0"/>
    <n v="0"/>
  </r>
  <r>
    <x v="13"/>
    <x v="20"/>
    <s v="06101831-A"/>
    <n v="716506"/>
    <n v="26"/>
    <n v="1000"/>
    <n v="26000"/>
    <n v="280"/>
    <s v="Yes"/>
    <m/>
    <s v="Yes"/>
    <m/>
    <s v="Yes"/>
    <m/>
    <s v="Yes"/>
    <m/>
    <s v="N/A"/>
    <m/>
    <s v="Yes"/>
    <m/>
    <s v="Yes"/>
    <m/>
    <s v="Re-certified"/>
    <s v="infasco"/>
    <n v="0"/>
    <n v="0"/>
  </r>
  <r>
    <x v="14"/>
    <x v="20"/>
    <s v="06101831-A"/>
    <n v="716506"/>
    <n v="8"/>
    <n v="1000"/>
    <n v="8000"/>
    <n v="280"/>
    <s v="Yes"/>
    <m/>
    <s v="Yes"/>
    <m/>
    <s v="Yes"/>
    <m/>
    <s v="Yes"/>
    <m/>
    <s v="N/A"/>
    <m/>
    <s v="Yes"/>
    <m/>
    <s v="Yes"/>
    <m/>
    <s v="New"/>
    <s v="infasco"/>
    <n v="106.94"/>
    <n v="106.94"/>
  </r>
  <r>
    <x v="13"/>
    <x v="31"/>
    <s v="06101831-A"/>
    <n v="716507"/>
    <n v="17"/>
    <n v="1000"/>
    <n v="17000"/>
    <n v="290"/>
    <s v="Yes"/>
    <m/>
    <s v="Yes"/>
    <m/>
    <s v="Yes"/>
    <m/>
    <s v="Yes"/>
    <m/>
    <s v="N/A"/>
    <m/>
    <s v="Yes"/>
    <m/>
    <s v="Yes"/>
    <m/>
    <s v="New"/>
    <s v="infasco"/>
    <n v="106.94"/>
    <n v="106.94"/>
  </r>
  <r>
    <x v="13"/>
    <x v="31"/>
    <s v="06101831-A"/>
    <n v="716508"/>
    <n v="16"/>
    <n v="1000"/>
    <n v="16000"/>
    <n v="290"/>
    <s v="Yes"/>
    <m/>
    <s v="Yes"/>
    <m/>
    <s v="Yes"/>
    <m/>
    <s v="Yes"/>
    <m/>
    <s v="N/A"/>
    <m/>
    <s v="Yes"/>
    <m/>
    <s v="Yes"/>
    <m/>
    <s v="New"/>
    <s v="infasco"/>
    <n v="106.94"/>
    <n v="106.94"/>
  </r>
  <r>
    <x v="13"/>
    <x v="11"/>
    <n v="11546449"/>
    <n v="716514"/>
    <n v="36"/>
    <n v="2500"/>
    <n v="90000"/>
    <n v="275"/>
    <s v="Yes"/>
    <m/>
    <s v="Yes"/>
    <m/>
    <s v="Yes"/>
    <m/>
    <s v="Yes"/>
    <m/>
    <s v="N/A"/>
    <m/>
    <s v="Yes"/>
    <m/>
    <s v="Yes"/>
    <m/>
    <s v="New"/>
    <s v="infasco"/>
    <n v="106.94"/>
    <n v="106.94"/>
  </r>
  <r>
    <x v="13"/>
    <x v="21"/>
    <n v="11546449"/>
    <n v="716515"/>
    <n v="36"/>
    <n v="2500"/>
    <n v="90000"/>
    <n v="280"/>
    <s v="Yes"/>
    <m/>
    <s v="Yes"/>
    <m/>
    <s v="Yes"/>
    <m/>
    <s v="Yes"/>
    <m/>
    <s v="N/A"/>
    <m/>
    <s v="Yes"/>
    <m/>
    <s v="Yes"/>
    <m/>
    <s v="New"/>
    <s v="infasco"/>
    <n v="106.94"/>
    <n v="106.94"/>
  </r>
  <r>
    <x v="13"/>
    <x v="29"/>
    <n v="11546449"/>
    <n v="716517"/>
    <n v="23"/>
    <n v="2500"/>
    <n v="57500"/>
    <n v="290"/>
    <s v="Yes"/>
    <m/>
    <s v="Yes"/>
    <m/>
    <s v="Yes"/>
    <m/>
    <s v="Yes"/>
    <m/>
    <s v="N/A"/>
    <m/>
    <s v="Yes"/>
    <m/>
    <s v="Yes"/>
    <m/>
    <s v="Re-certified"/>
    <s v="infasco"/>
    <n v="0"/>
    <n v="0"/>
  </r>
  <r>
    <x v="14"/>
    <x v="29"/>
    <n v="11546449"/>
    <n v="716517"/>
    <n v="14"/>
    <n v="2500"/>
    <n v="35000"/>
    <n v="290"/>
    <s v="Yes"/>
    <m/>
    <s v="Yes"/>
    <m/>
    <s v="Yes"/>
    <m/>
    <s v="Yes"/>
    <m/>
    <s v="N/A"/>
    <m/>
    <s v="Yes"/>
    <m/>
    <s v="Yes"/>
    <m/>
    <s v="New"/>
    <s v="infasco"/>
    <n v="106.94"/>
    <n v="106.94"/>
  </r>
  <r>
    <x v="13"/>
    <x v="23"/>
    <n v="11546449"/>
    <n v="716518"/>
    <n v="36"/>
    <n v="2500"/>
    <n v="90000"/>
    <n v="280"/>
    <s v="Yes"/>
    <m/>
    <s v="Yes"/>
    <m/>
    <s v="Yes"/>
    <m/>
    <s v="Yes"/>
    <m/>
    <s v="N/A"/>
    <m/>
    <s v="Yes"/>
    <m/>
    <s v="Yes"/>
    <m/>
    <s v="New"/>
    <s v="infasco"/>
    <n v="106.94"/>
    <n v="106.94"/>
  </r>
  <r>
    <x v="13"/>
    <x v="21"/>
    <n v="11546449"/>
    <n v="716520"/>
    <n v="36"/>
    <n v="2500"/>
    <n v="90000"/>
    <n v="280"/>
    <s v="Yes"/>
    <m/>
    <s v="Yes"/>
    <m/>
    <s v="Yes"/>
    <m/>
    <s v="Yes"/>
    <m/>
    <s v="N/A"/>
    <m/>
    <s v="Yes"/>
    <m/>
    <s v="Yes"/>
    <m/>
    <s v="New"/>
    <s v="infasco"/>
    <n v="106.94"/>
    <n v="106.94"/>
  </r>
  <r>
    <x v="13"/>
    <x v="29"/>
    <n v="11546449"/>
    <n v="716522"/>
    <n v="17"/>
    <n v="2500"/>
    <n v="42500"/>
    <n v="290"/>
    <s v="Yes"/>
    <m/>
    <s v="Yes"/>
    <m/>
    <s v="Yes"/>
    <m/>
    <s v="Yes"/>
    <m/>
    <s v="N/A"/>
    <m/>
    <s v="Yes"/>
    <m/>
    <s v="Yes"/>
    <m/>
    <s v="New"/>
    <s v="infasco"/>
    <n v="106.94"/>
    <n v="106.94"/>
  </r>
  <r>
    <x v="13"/>
    <x v="21"/>
    <n v="11546449"/>
    <n v="716524"/>
    <n v="16"/>
    <n v="2500"/>
    <n v="40000"/>
    <n v="280"/>
    <s v="Yes"/>
    <m/>
    <s v="Yes"/>
    <m/>
    <s v="Yes"/>
    <m/>
    <s v="Yes"/>
    <m/>
    <s v="N/A"/>
    <m/>
    <s v="Yes"/>
    <m/>
    <s v="Yes"/>
    <m/>
    <s v="New"/>
    <s v="infasco"/>
    <n v="106.94"/>
    <n v="106.94"/>
  </r>
  <r>
    <x v="13"/>
    <x v="23"/>
    <n v="11546449"/>
    <n v="716525"/>
    <n v="36"/>
    <n v="2500"/>
    <n v="90000"/>
    <n v="280"/>
    <s v="Yes"/>
    <m/>
    <s v="Yes"/>
    <m/>
    <s v="Yes"/>
    <m/>
    <s v="Yes"/>
    <m/>
    <s v="N/A"/>
    <m/>
    <s v="Yes"/>
    <m/>
    <s v="Yes"/>
    <m/>
    <s v="New"/>
    <s v="infasco"/>
    <n v="106.94"/>
    <n v="106.94"/>
  </r>
  <r>
    <x v="13"/>
    <x v="11"/>
    <n v="11546449"/>
    <n v="716527"/>
    <n v="9"/>
    <n v="2500"/>
    <n v="22500"/>
    <n v="275"/>
    <s v="Yes"/>
    <m/>
    <s v="Yes"/>
    <m/>
    <s v="Yes"/>
    <m/>
    <s v="Yes"/>
    <m/>
    <s v="N/A"/>
    <m/>
    <s v="Yes"/>
    <m/>
    <s v="Yes"/>
    <m/>
    <s v="New"/>
    <s v="infasco"/>
    <n v="106.94"/>
    <n v="106.94"/>
  </r>
  <r>
    <x v="13"/>
    <x v="10"/>
    <n v="11546449"/>
    <n v="716528"/>
    <n v="27"/>
    <n v="2500"/>
    <n v="67500"/>
    <n v="275"/>
    <s v="Yes"/>
    <m/>
    <s v="Yes"/>
    <m/>
    <s v="Yes"/>
    <m/>
    <s v="Yes"/>
    <m/>
    <s v="N/A"/>
    <m/>
    <s v="Yes"/>
    <m/>
    <s v="Yes"/>
    <m/>
    <s v="New"/>
    <s v="infasco"/>
    <n v="106.94"/>
    <n v="106.94"/>
  </r>
  <r>
    <x v="14"/>
    <x v="13"/>
    <s v="06514720AA"/>
    <n v="716661"/>
    <n v="36"/>
    <n v="1250"/>
    <n v="45000"/>
    <s v="011+293"/>
    <s v="Yes"/>
    <m/>
    <s v="Yes"/>
    <m/>
    <s v="Yes"/>
    <m/>
    <s v="Yes"/>
    <m/>
    <s v="N/A"/>
    <m/>
    <s v="Yes"/>
    <m/>
    <s v="Yes"/>
    <m/>
    <s v="New"/>
    <s v="infasco"/>
    <n v="135.07999999999998"/>
    <n v="135.07999999999998"/>
  </r>
  <r>
    <x v="14"/>
    <x v="32"/>
    <s v="06514720AA"/>
    <n v="716662"/>
    <n v="34"/>
    <n v="1250"/>
    <n v="42500"/>
    <s v="294+252"/>
    <s v="Yes"/>
    <m/>
    <s v="Yes"/>
    <m/>
    <s v="Yes"/>
    <m/>
    <s v="Yes"/>
    <m/>
    <s v="N/A"/>
    <m/>
    <s v="Yes"/>
    <m/>
    <s v="Yes"/>
    <m/>
    <s v="New"/>
    <s v="infasco"/>
    <n v="135.07999999999998"/>
    <n v="135.07999999999998"/>
  </r>
  <r>
    <x v="14"/>
    <x v="16"/>
    <s v="06514720AA"/>
    <n v="716663"/>
    <n v="35"/>
    <n v="1250"/>
    <n v="43750"/>
    <s v="285+391"/>
    <s v="Yes"/>
    <m/>
    <s v="Yes"/>
    <m/>
    <s v="Yes"/>
    <m/>
    <s v="Yes"/>
    <m/>
    <s v="N/A"/>
    <m/>
    <s v="Yes"/>
    <m/>
    <s v="Yes"/>
    <m/>
    <s v="New"/>
    <s v="infasco"/>
    <n v="135.07999999999998"/>
    <n v="135.07999999999998"/>
  </r>
  <r>
    <x v="14"/>
    <x v="13"/>
    <s v="06514720AA"/>
    <n v="716664"/>
    <n v="21"/>
    <n v="1250"/>
    <n v="26250"/>
    <s v="011+293"/>
    <s v="Yes"/>
    <m/>
    <s v="Yes"/>
    <m/>
    <s v="Yes"/>
    <m/>
    <s v="Yes"/>
    <m/>
    <s v="N/A"/>
    <m/>
    <s v="Yes"/>
    <m/>
    <s v="Yes"/>
    <m/>
    <s v="New"/>
    <s v="infasco"/>
    <n v="135.07999999999998"/>
    <n v="135.07999999999998"/>
  </r>
  <r>
    <x v="13"/>
    <x v="28"/>
    <s v="06105049AA"/>
    <n v="716677"/>
    <n v="10"/>
    <n v="800"/>
    <n v="8000"/>
    <n v="290"/>
    <s v="Yes"/>
    <m/>
    <s v="Yes"/>
    <m/>
    <s v="Yes"/>
    <m/>
    <s v="Yes"/>
    <m/>
    <s v="N/A"/>
    <m/>
    <s v="Yes"/>
    <m/>
    <s v="Yes"/>
    <m/>
    <s v="New"/>
    <s v="infasco"/>
    <n v="280.16000000000003"/>
    <n v="280.16000000000003"/>
  </r>
  <r>
    <x v="13"/>
    <x v="28"/>
    <s v="06105049AA"/>
    <n v="716678"/>
    <n v="17"/>
    <n v="800"/>
    <n v="13600"/>
    <n v="290"/>
    <s v="Yes"/>
    <m/>
    <s v="Yes"/>
    <m/>
    <s v="Yes"/>
    <m/>
    <s v="Yes"/>
    <m/>
    <s v="N/A"/>
    <m/>
    <s v="Yes"/>
    <m/>
    <s v="Yes"/>
    <m/>
    <s v="Re-certified"/>
    <s v="infasco"/>
    <n v="0"/>
    <n v="0"/>
  </r>
  <r>
    <x v="14"/>
    <x v="28"/>
    <s v="06105049AA"/>
    <n v="716678"/>
    <n v="19"/>
    <n v="800"/>
    <n v="15200"/>
    <n v="290"/>
    <s v="Yes"/>
    <m/>
    <s v="Yes"/>
    <m/>
    <s v="Yes"/>
    <m/>
    <s v="Yes"/>
    <m/>
    <s v="N/A"/>
    <m/>
    <s v="Yes"/>
    <m/>
    <s v="Yes"/>
    <m/>
    <s v="New"/>
    <s v="infasco"/>
    <n v="280.16000000000003"/>
    <n v="280.16000000000003"/>
  </r>
  <r>
    <x v="14"/>
    <x v="28"/>
    <s v="06105049AA"/>
    <n v="716679"/>
    <n v="11"/>
    <n v="800"/>
    <n v="8800"/>
    <n v="290"/>
    <s v="Yes"/>
    <m/>
    <s v="Yes"/>
    <m/>
    <s v="Yes"/>
    <m/>
    <s v="Yes"/>
    <m/>
    <s v="N/A"/>
    <m/>
    <s v="Yes"/>
    <m/>
    <s v="Yes"/>
    <m/>
    <s v="New"/>
    <s v="infasco"/>
    <n v="280.16000000000003"/>
    <n v="280.16000000000003"/>
  </r>
  <r>
    <x v="14"/>
    <x v="28"/>
    <s v="06105049AA"/>
    <n v="716680"/>
    <n v="12"/>
    <n v="800"/>
    <n v="9600"/>
    <n v="290"/>
    <s v="Yes"/>
    <m/>
    <s v="Yes"/>
    <m/>
    <s v="Yes"/>
    <m/>
    <s v="Yes"/>
    <m/>
    <s v="N/A"/>
    <m/>
    <s v="Yes"/>
    <m/>
    <s v="Yes"/>
    <m/>
    <s v="Re-certified"/>
    <s v="infasco"/>
    <n v="0"/>
    <n v="0"/>
  </r>
  <r>
    <x v="15"/>
    <x v="1"/>
    <s v="11546365-MY-AK"/>
    <n v="715967"/>
    <n v="14"/>
    <n v="1900"/>
    <n v="26600"/>
    <n v="292"/>
    <s v="Yes"/>
    <m/>
    <s v="Yes"/>
    <m/>
    <s v="Yes"/>
    <m/>
    <s v="Yes"/>
    <m/>
    <s v="N/A"/>
    <m/>
    <s v="Yes"/>
    <m/>
    <s v="Yes"/>
    <m/>
    <s v="Re-certified"/>
    <s v="infasco"/>
    <n v="0"/>
    <n v="0"/>
  </r>
  <r>
    <x v="13"/>
    <x v="7"/>
    <n v="11547176"/>
    <n v="716681"/>
    <n v="2"/>
    <n v="850"/>
    <n v="1700"/>
    <n v="275"/>
    <s v="Yes"/>
    <m/>
    <s v="Yes"/>
    <m/>
    <s v="Yes"/>
    <m/>
    <s v="Yes"/>
    <m/>
    <s v="N/A"/>
    <m/>
    <s v="Yes"/>
    <m/>
    <s v="Yes"/>
    <m/>
    <s v="New"/>
    <s v="infasco"/>
    <n v="280.15999999999997"/>
    <n v="280.15999999999997"/>
  </r>
  <r>
    <x v="13"/>
    <x v="15"/>
    <s v="06513399AA"/>
    <n v="716751"/>
    <n v="32"/>
    <n v="230"/>
    <n v="7360"/>
    <s v="157+245"/>
    <s v="Yes"/>
    <m/>
    <s v="Yes"/>
    <m/>
    <s v="Yes"/>
    <m/>
    <s v="Yes"/>
    <m/>
    <s v="N/A"/>
    <m/>
    <s v="Yes"/>
    <m/>
    <s v="Yes"/>
    <m/>
    <s v="New"/>
    <s v="infasco"/>
    <n v="106.94"/>
    <n v="106.94"/>
  </r>
  <r>
    <x v="13"/>
    <x v="32"/>
    <s v="06513399AA"/>
    <n v="716752"/>
    <n v="35"/>
    <n v="230"/>
    <n v="8050"/>
    <s v="294+252"/>
    <s v="Yes"/>
    <m/>
    <s v="Yes"/>
    <m/>
    <s v="Yes"/>
    <m/>
    <s v="Yes"/>
    <m/>
    <s v="N/A"/>
    <m/>
    <s v="Yes"/>
    <m/>
    <s v="Yes"/>
    <m/>
    <s v="New"/>
    <s v="infasco"/>
    <n v="106.94"/>
    <n v="106.94"/>
  </r>
  <r>
    <x v="13"/>
    <x v="16"/>
    <s v="06513399AA"/>
    <n v="716753"/>
    <n v="35"/>
    <n v="230"/>
    <n v="8050"/>
    <s v="285+391"/>
    <s v="Yes"/>
    <m/>
    <s v="Yes"/>
    <m/>
    <s v="Yes"/>
    <m/>
    <s v="Yes"/>
    <m/>
    <s v="N/A"/>
    <m/>
    <s v="Yes"/>
    <m/>
    <s v="Yes"/>
    <m/>
    <s v="New"/>
    <s v="infasco"/>
    <n v="106.94"/>
    <n v="106.94"/>
  </r>
  <r>
    <x v="13"/>
    <x v="32"/>
    <s v="06513399AA"/>
    <n v="716754"/>
    <n v="34"/>
    <n v="230"/>
    <n v="7820"/>
    <s v="294+252"/>
    <s v="Yes"/>
    <m/>
    <s v="Yes"/>
    <m/>
    <s v="Yes"/>
    <m/>
    <s v="Yes"/>
    <m/>
    <s v="N/A"/>
    <m/>
    <s v="Yes"/>
    <m/>
    <s v="Yes"/>
    <m/>
    <s v="New"/>
    <s v="infasco"/>
    <n v="106.94"/>
    <n v="106.94"/>
  </r>
  <r>
    <x v="13"/>
    <x v="17"/>
    <s v="06513399AA"/>
    <n v="716756"/>
    <n v="7"/>
    <n v="230"/>
    <n v="1610"/>
    <s v="190+268"/>
    <s v="Yes"/>
    <m/>
    <s v="Yes"/>
    <m/>
    <s v="Yes"/>
    <m/>
    <s v="Yes"/>
    <m/>
    <s v="N/A"/>
    <m/>
    <s v="Yes"/>
    <m/>
    <s v="Yes"/>
    <m/>
    <s v="New"/>
    <s v="infasco"/>
    <n v="106.94"/>
    <n v="106.94"/>
  </r>
  <r>
    <x v="14"/>
    <x v="10"/>
    <n v="11546437"/>
    <n v="716759"/>
    <n v="9"/>
    <n v="1500"/>
    <n v="13500"/>
    <n v="275"/>
    <s v="Yes"/>
    <m/>
    <s v="Yes"/>
    <m/>
    <s v="Yes"/>
    <m/>
    <s v="Yes"/>
    <m/>
    <s v="N/A"/>
    <m/>
    <s v="Yes"/>
    <m/>
    <s v="Yes"/>
    <m/>
    <s v="Re-certified"/>
    <s v="infasco"/>
    <n v="0"/>
    <n v="0"/>
  </r>
  <r>
    <x v="15"/>
    <x v="19"/>
    <n v="11610091"/>
    <n v="716447"/>
    <n v="4"/>
    <n v="2500"/>
    <n v="10000"/>
    <n v="292"/>
    <s v="Yes"/>
    <m/>
    <s v="Yes"/>
    <m/>
    <s v="Yes"/>
    <m/>
    <s v="Yes"/>
    <m/>
    <s v="N/A"/>
    <m/>
    <s v="Yes"/>
    <m/>
    <s v="Yes"/>
    <m/>
    <s v="New"/>
    <s v="infasco"/>
    <n v="106.94"/>
    <n v="106.94"/>
  </r>
  <r>
    <x v="15"/>
    <x v="19"/>
    <s v="715150010W"/>
    <n v="717442"/>
    <n v="10"/>
    <n v="2500"/>
    <n v="25000"/>
    <n v="292"/>
    <s v="Yes"/>
    <m/>
    <s v="Yes"/>
    <m/>
    <s v="Yes"/>
    <m/>
    <s v="Yes"/>
    <m/>
    <s v="N/A"/>
    <m/>
    <s v="Yes"/>
    <m/>
    <s v="Yes"/>
    <m/>
    <s v="Re-certified"/>
    <s v="infasco"/>
    <n v="0"/>
    <n v="0"/>
  </r>
  <r>
    <x v="15"/>
    <x v="14"/>
    <n v="11612078"/>
    <n v="709059"/>
    <n v="16"/>
    <n v="1850"/>
    <n v="29600"/>
    <n v="4"/>
    <s v="Yes"/>
    <m/>
    <s v="Yes"/>
    <m/>
    <s v="Yes"/>
    <m/>
    <s v="Yes"/>
    <m/>
    <s v="N/A"/>
    <m/>
    <s v="Yes"/>
    <m/>
    <s v="Yes"/>
    <m/>
    <s v="Re-certified"/>
    <s v="infasco"/>
    <n v="0"/>
    <n v="0"/>
  </r>
  <r>
    <x v="13"/>
    <x v="31"/>
    <n v="11516782"/>
    <n v="716767"/>
    <n v="34"/>
    <n v="500"/>
    <n v="17000"/>
    <n v="290"/>
    <s v="Yes"/>
    <m/>
    <s v="Yes"/>
    <m/>
    <s v="Yes"/>
    <m/>
    <s v="Yes"/>
    <m/>
    <s v="N/A"/>
    <m/>
    <s v="Yes"/>
    <m/>
    <s v="Yes"/>
    <m/>
    <s v="New"/>
    <s v="infasco"/>
    <n v="106.94"/>
    <n v="106.94"/>
  </r>
  <r>
    <x v="13"/>
    <x v="31"/>
    <n v="11516782"/>
    <n v="716768"/>
    <n v="36"/>
    <n v="500"/>
    <n v="18000"/>
    <n v="290"/>
    <s v="Yes"/>
    <m/>
    <s v="Yes"/>
    <m/>
    <s v="Yes"/>
    <m/>
    <s v="Yes"/>
    <m/>
    <s v="N/A"/>
    <m/>
    <s v="Yes"/>
    <m/>
    <s v="Yes"/>
    <m/>
    <s v="New"/>
    <s v="infasco"/>
    <n v="106.94"/>
    <n v="106.94"/>
  </r>
  <r>
    <x v="14"/>
    <x v="32"/>
    <s v="06104384AA"/>
    <n v="716769"/>
    <n v="30"/>
    <n v="750"/>
    <n v="22500"/>
    <s v="294+252"/>
    <s v="Yes"/>
    <m/>
    <s v="Yes"/>
    <m/>
    <s v="Yes"/>
    <m/>
    <s v="Yes"/>
    <m/>
    <s v="N/A"/>
    <m/>
    <s v="Yes"/>
    <m/>
    <s v="Yes"/>
    <m/>
    <s v="New"/>
    <s v="infasco"/>
    <n v="135.07999999999998"/>
    <n v="135.07999999999998"/>
  </r>
  <r>
    <x v="14"/>
    <x v="32"/>
    <s v="06104384AA"/>
    <n v="716770"/>
    <n v="36"/>
    <n v="750"/>
    <n v="27000"/>
    <s v="294+252"/>
    <s v="Yes"/>
    <m/>
    <s v="Yes"/>
    <m/>
    <s v="Yes"/>
    <m/>
    <s v="Yes"/>
    <m/>
    <s v="N/A"/>
    <m/>
    <s v="Yes"/>
    <m/>
    <s v="Yes"/>
    <m/>
    <s v="New"/>
    <s v="infasco"/>
    <n v="135.07999999999998"/>
    <n v="135.07999999999998"/>
  </r>
  <r>
    <x v="15"/>
    <x v="27"/>
    <s v="11546367-MY-AK"/>
    <n v="716134"/>
    <n v="39"/>
    <n v="700"/>
    <n v="27300"/>
    <n v="290"/>
    <s v="Yes"/>
    <m/>
    <s v="Yes"/>
    <m/>
    <s v="Yes"/>
    <m/>
    <s v="Yes"/>
    <m/>
    <s v="N/A"/>
    <m/>
    <s v="Yes"/>
    <m/>
    <s v="Yes"/>
    <m/>
    <s v="New"/>
    <s v="infasco"/>
    <n v="106.94"/>
    <n v="106.94"/>
  </r>
  <r>
    <x v="15"/>
    <x v="2"/>
    <s v="11546367-MY-AK"/>
    <n v="716132"/>
    <n v="25"/>
    <n v="700"/>
    <n v="17500"/>
    <n v="292"/>
    <s v="Yes"/>
    <m/>
    <s v="Yes"/>
    <m/>
    <s v="Yes"/>
    <m/>
    <s v="Yes"/>
    <m/>
    <s v="N/A"/>
    <m/>
    <s v="Yes"/>
    <m/>
    <s v="Yes"/>
    <m/>
    <s v="Re-certified"/>
    <s v="infasco"/>
    <n v="0"/>
    <n v="0"/>
  </r>
  <r>
    <x v="15"/>
    <x v="9"/>
    <s v="W520101-S442"/>
    <n v="714693"/>
    <n v="36"/>
    <n v="3000"/>
    <n v="108000"/>
    <n v="275"/>
    <s v="Yes"/>
    <m/>
    <s v="Yes"/>
    <m/>
    <s v="Yes"/>
    <m/>
    <s v="Yes"/>
    <m/>
    <s v="N/A"/>
    <m/>
    <s v="Yes"/>
    <m/>
    <s v="Yes"/>
    <m/>
    <s v="New"/>
    <s v="infasco"/>
    <n v="106.94"/>
    <n v="106.94"/>
  </r>
  <r>
    <x v="14"/>
    <x v="16"/>
    <s v="06104388AA"/>
    <n v="716799"/>
    <n v="36"/>
    <n v="660"/>
    <n v="23760"/>
    <s v="285+391"/>
    <s v="Yes"/>
    <m/>
    <s v="Yes"/>
    <m/>
    <s v="Yes"/>
    <m/>
    <s v="Yes"/>
    <m/>
    <s v="N/A"/>
    <m/>
    <s v="Yes"/>
    <m/>
    <s v="Yes"/>
    <m/>
    <s v="New"/>
    <s v="infasco"/>
    <n v="135.08000000000001"/>
    <n v="135.08000000000001"/>
  </r>
  <r>
    <x v="14"/>
    <x v="16"/>
    <s v="06104388AA"/>
    <n v="716800"/>
    <n v="24"/>
    <n v="660"/>
    <n v="15840"/>
    <s v="285+391"/>
    <s v="Yes"/>
    <m/>
    <s v="Yes"/>
    <m/>
    <s v="Yes"/>
    <m/>
    <s v="Yes"/>
    <m/>
    <s v="N/A"/>
    <m/>
    <s v="Yes"/>
    <m/>
    <s v="Yes"/>
    <m/>
    <s v="New"/>
    <s v="infasco"/>
    <n v="135.08000000000001"/>
    <n v="135.08000000000001"/>
  </r>
  <r>
    <x v="14"/>
    <x v="15"/>
    <s v="06104388AA"/>
    <n v="716801"/>
    <n v="36"/>
    <n v="660"/>
    <n v="23760"/>
    <s v="157+245"/>
    <s v="Yes"/>
    <m/>
    <s v="Yes"/>
    <m/>
    <s v="Yes"/>
    <m/>
    <s v="Yes"/>
    <m/>
    <s v="N/A"/>
    <m/>
    <s v="Yes"/>
    <m/>
    <s v="Yes"/>
    <m/>
    <s v="New"/>
    <s v="infasco"/>
    <n v="135.08000000000001"/>
    <n v="135.08000000000001"/>
  </r>
  <r>
    <x v="14"/>
    <x v="15"/>
    <s v="06104388AA"/>
    <n v="716802"/>
    <n v="16"/>
    <n v="660"/>
    <n v="10560"/>
    <s v="157+245"/>
    <s v="Yes"/>
    <m/>
    <s v="Yes"/>
    <m/>
    <s v="Yes"/>
    <m/>
    <s v="Yes"/>
    <m/>
    <s v="N/A"/>
    <m/>
    <s v="Yes"/>
    <m/>
    <s v="Yes"/>
    <m/>
    <s v="New"/>
    <s v="infasco"/>
    <n v="135.08000000000001"/>
    <n v="135.08000000000001"/>
  </r>
  <r>
    <x v="14"/>
    <x v="32"/>
    <s v="06104388AA"/>
    <n v="716803"/>
    <n v="31"/>
    <n v="660"/>
    <n v="20460"/>
    <s v="294+252"/>
    <s v="Yes"/>
    <m/>
    <s v="Yes"/>
    <m/>
    <s v="Yes"/>
    <m/>
    <s v="Yes"/>
    <m/>
    <s v="N/A"/>
    <m/>
    <s v="Yes"/>
    <m/>
    <s v="Yes"/>
    <m/>
    <s v="New"/>
    <s v="infasco"/>
    <n v="135.08000000000001"/>
    <n v="135.08000000000001"/>
  </r>
  <r>
    <x v="14"/>
    <x v="13"/>
    <s v="06104388AA"/>
    <n v="716804"/>
    <n v="36"/>
    <n v="660"/>
    <n v="23760"/>
    <s v="011+293"/>
    <s v="Yes"/>
    <m/>
    <s v="Yes"/>
    <m/>
    <s v="Yes"/>
    <m/>
    <s v="Yes"/>
    <m/>
    <s v="N/A"/>
    <m/>
    <s v="Yes"/>
    <m/>
    <s v="Yes"/>
    <m/>
    <s v="New"/>
    <s v="infasco"/>
    <n v="135.08000000000001"/>
    <n v="135.08000000000001"/>
  </r>
  <r>
    <x v="14"/>
    <x v="13"/>
    <s v="NU1237"/>
    <n v="716807"/>
    <n v="1"/>
    <n v="20000"/>
    <n v="20000"/>
    <s v="011+293"/>
    <s v="Yes"/>
    <m/>
    <s v="Yes"/>
    <m/>
    <s v="Yes"/>
    <m/>
    <s v="Yes"/>
    <m/>
    <s v="N/A"/>
    <m/>
    <s v="Yes"/>
    <m/>
    <s v="Yes"/>
    <m/>
    <s v="New"/>
    <s v="infasco"/>
    <n v="51.78"/>
    <n v="51.78"/>
  </r>
  <r>
    <x v="14"/>
    <x v="32"/>
    <s v="NU1237"/>
    <n v="716808"/>
    <n v="1"/>
    <n v="22000"/>
    <n v="22000"/>
    <s v="294+252"/>
    <s v="Yes"/>
    <m/>
    <s v="Yes"/>
    <m/>
    <s v="Yes"/>
    <m/>
    <s v="Yes"/>
    <m/>
    <s v="N/A"/>
    <m/>
    <s v="Yes"/>
    <m/>
    <s v="Yes"/>
    <m/>
    <s v="New"/>
    <s v="infasco"/>
    <n v="51.78"/>
    <n v="51.78"/>
  </r>
  <r>
    <x v="14"/>
    <x v="13"/>
    <s v="NU1237"/>
    <n v="716809"/>
    <n v="1"/>
    <n v="27460"/>
    <n v="27460"/>
    <s v="011+293"/>
    <s v="Yes"/>
    <m/>
    <s v="Yes"/>
    <m/>
    <s v="Yes"/>
    <m/>
    <s v="Yes"/>
    <m/>
    <s v="N/A"/>
    <m/>
    <s v="Yes"/>
    <m/>
    <s v="Yes"/>
    <m/>
    <s v="New"/>
    <s v="infasco"/>
    <n v="51.78"/>
    <n v="51.78"/>
  </r>
  <r>
    <x v="14"/>
    <x v="32"/>
    <s v="NU1237"/>
    <n v="716810"/>
    <n v="1"/>
    <n v="26500"/>
    <n v="26500"/>
    <s v="294+252"/>
    <s v="Yes"/>
    <m/>
    <s v="Yes"/>
    <m/>
    <s v="Yes"/>
    <m/>
    <s v="Yes"/>
    <m/>
    <s v="N/A"/>
    <m/>
    <s v="Yes"/>
    <m/>
    <s v="Yes"/>
    <m/>
    <s v="New"/>
    <s v="infasco"/>
    <n v="51.78"/>
    <n v="51.78"/>
  </r>
  <r>
    <x v="14"/>
    <x v="13"/>
    <s v="NA-1055-02"/>
    <n v="716815"/>
    <n v="28"/>
    <n v="450"/>
    <n v="12600"/>
    <s v="011+293"/>
    <s v="Yes"/>
    <m/>
    <s v="Yes"/>
    <m/>
    <s v="Yes"/>
    <m/>
    <s v="Yes"/>
    <m/>
    <s v="N/A"/>
    <m/>
    <s v="Yes"/>
    <m/>
    <s v="Yes"/>
    <m/>
    <s v="New"/>
    <s v="infasco"/>
    <n v="106.94"/>
    <n v="106.94"/>
  </r>
  <r>
    <x v="14"/>
    <x v="32"/>
    <s v="NA-1055-02"/>
    <n v="716816"/>
    <n v="40"/>
    <n v="450"/>
    <n v="18000"/>
    <s v="294+252"/>
    <s v="Yes"/>
    <m/>
    <s v="Yes"/>
    <m/>
    <s v="Yes"/>
    <m/>
    <s v="Yes"/>
    <m/>
    <s v="N/A"/>
    <m/>
    <s v="Yes"/>
    <m/>
    <s v="Yes"/>
    <m/>
    <s v="New"/>
    <s v="infasco"/>
    <n v="106.94"/>
    <n v="106.94"/>
  </r>
  <r>
    <x v="14"/>
    <x v="16"/>
    <s v="W20-1028-020SL"/>
    <n v="716822"/>
    <n v="26"/>
    <n v="215"/>
    <n v="5590"/>
    <s v="285+391"/>
    <s v="Yes"/>
    <m/>
    <s v="Yes"/>
    <m/>
    <s v="Yes"/>
    <m/>
    <s v="Yes"/>
    <m/>
    <s v="N/A"/>
    <m/>
    <s v="Yes"/>
    <m/>
    <s v="Yes"/>
    <m/>
    <s v="New"/>
    <s v="infasco"/>
    <n v="106.94"/>
    <n v="106.94"/>
  </r>
  <r>
    <x v="13"/>
    <x v="15"/>
    <s v="W20-1028-020"/>
    <n v="716849"/>
    <n v="35"/>
    <n v="215"/>
    <n v="7525"/>
    <s v="157+245"/>
    <s v="Yes"/>
    <m/>
    <s v="Yes"/>
    <m/>
    <s v="Yes"/>
    <m/>
    <s v="Yes"/>
    <m/>
    <s v="N/A"/>
    <m/>
    <s v="Yes"/>
    <m/>
    <s v="Yes"/>
    <m/>
    <s v="New"/>
    <s v="infasco"/>
    <n v="106.94"/>
    <n v="106.94"/>
  </r>
  <r>
    <x v="13"/>
    <x v="16"/>
    <s v="W20-1028-020"/>
    <n v="716850"/>
    <n v="25"/>
    <n v="215"/>
    <n v="5375"/>
    <s v="285+391"/>
    <s v="Yes"/>
    <m/>
    <s v="Yes"/>
    <m/>
    <s v="Yes"/>
    <m/>
    <s v="Yes"/>
    <m/>
    <s v="N/A"/>
    <m/>
    <s v="Yes"/>
    <m/>
    <s v="Yes"/>
    <m/>
    <s v="New"/>
    <s v="infasco"/>
    <n v="106.94"/>
    <n v="106.94"/>
  </r>
  <r>
    <x v="13"/>
    <x v="15"/>
    <s v="W20-1028-020"/>
    <n v="716851"/>
    <n v="15"/>
    <n v="215"/>
    <n v="3225"/>
    <s v="157+245"/>
    <s v="Yes"/>
    <m/>
    <s v="Yes"/>
    <m/>
    <s v="Yes"/>
    <m/>
    <s v="Yes"/>
    <m/>
    <s v="N/A"/>
    <m/>
    <s v="Yes"/>
    <m/>
    <s v="Yes"/>
    <m/>
    <s v="Re-certified"/>
    <s v="infasco"/>
    <n v="0"/>
    <n v="0"/>
  </r>
  <r>
    <x v="14"/>
    <x v="15"/>
    <s v="W20-1028-020SL"/>
    <n v="716851"/>
    <n v="12"/>
    <n v="215"/>
    <n v="2580"/>
    <s v="157+245"/>
    <s v="Yes"/>
    <m/>
    <s v="Yes"/>
    <m/>
    <s v="Yes"/>
    <m/>
    <s v="Yes"/>
    <m/>
    <s v="N/A"/>
    <m/>
    <s v="Yes"/>
    <m/>
    <s v="Yes"/>
    <m/>
    <s v="New"/>
    <s v="infasco"/>
    <n v="106.94"/>
    <n v="106.94"/>
  </r>
  <r>
    <x v="13"/>
    <x v="17"/>
    <s v="W20-1028-020"/>
    <n v="716852"/>
    <n v="36"/>
    <n v="215"/>
    <n v="7740"/>
    <s v="190+268"/>
    <s v="Yes"/>
    <m/>
    <s v="Yes"/>
    <m/>
    <s v="Yes"/>
    <m/>
    <s v="Yes"/>
    <m/>
    <s v="N/A"/>
    <m/>
    <s v="Yes"/>
    <m/>
    <s v="Yes"/>
    <m/>
    <s v="New"/>
    <s v="infasco"/>
    <n v="106.94"/>
    <n v="106.94"/>
  </r>
  <r>
    <x v="14"/>
    <x v="23"/>
    <n v="11546449"/>
    <n v="716868"/>
    <n v="36"/>
    <n v="2500"/>
    <n v="90000"/>
    <n v="280"/>
    <s v="Yes"/>
    <m/>
    <s v="Yes"/>
    <m/>
    <s v="Yes"/>
    <m/>
    <s v="Yes"/>
    <m/>
    <s v="N/A"/>
    <m/>
    <s v="Yes"/>
    <m/>
    <s v="Yes"/>
    <m/>
    <s v="New"/>
    <s v="infasco"/>
    <n v="106.94"/>
    <n v="106.94"/>
  </r>
  <r>
    <x v="14"/>
    <x v="23"/>
    <n v="11546449"/>
    <n v="716869"/>
    <n v="27"/>
    <n v="2500"/>
    <n v="67500"/>
    <n v="280"/>
    <s v="Yes"/>
    <m/>
    <s v="Yes"/>
    <m/>
    <s v="Yes"/>
    <m/>
    <s v="Yes"/>
    <m/>
    <s v="N/A"/>
    <m/>
    <s v="Yes"/>
    <m/>
    <s v="Yes"/>
    <m/>
    <s v="Re-certified"/>
    <s v="infasco"/>
    <n v="0"/>
    <n v="0"/>
  </r>
  <r>
    <x v="15"/>
    <x v="15"/>
    <n v="91054"/>
    <n v="714018"/>
    <n v="23"/>
    <n v="1700"/>
    <n v="39100"/>
    <s v="157+245"/>
    <s v="Yes"/>
    <m/>
    <s v="Yes"/>
    <m/>
    <s v="Yes"/>
    <m/>
    <s v="Yes"/>
    <m/>
    <s v="N/A"/>
    <m/>
    <s v="Yes"/>
    <m/>
    <s v="Yes"/>
    <m/>
    <s v="Re-certified"/>
    <s v="infasco"/>
    <n v="0"/>
    <n v="0"/>
  </r>
  <r>
    <x v="15"/>
    <x v="15"/>
    <n v="11546703"/>
    <n v="714423"/>
    <n v="27"/>
    <n v="4000"/>
    <n v="108000"/>
    <s v="157+245"/>
    <s v="Yes"/>
    <m/>
    <s v="Yes"/>
    <m/>
    <s v="Yes"/>
    <m/>
    <s v="Yes"/>
    <m/>
    <s v="N/A"/>
    <m/>
    <s v="Yes"/>
    <m/>
    <s v="Yes"/>
    <m/>
    <s v="New"/>
    <s v="infasco"/>
    <n v="135.07999999999998"/>
    <n v="135.07999999999998"/>
  </r>
  <r>
    <x v="14"/>
    <x v="21"/>
    <n v="11546449"/>
    <n v="716871"/>
    <n v="26"/>
    <n v="2500"/>
    <n v="65000"/>
    <n v="280"/>
    <s v="Yes"/>
    <m/>
    <s v="Yes"/>
    <m/>
    <s v="Yes"/>
    <m/>
    <s v="Yes"/>
    <m/>
    <s v="N/A"/>
    <m/>
    <s v="Yes"/>
    <m/>
    <s v="Yes"/>
    <m/>
    <s v="New"/>
    <s v="infasco"/>
    <n v="106.94"/>
    <n v="106.94"/>
  </r>
  <r>
    <x v="14"/>
    <x v="29"/>
    <n v="11546449"/>
    <n v="716872"/>
    <n v="35"/>
    <n v="2500"/>
    <n v="87500"/>
    <n v="290"/>
    <s v="Yes"/>
    <m/>
    <s v="Yes"/>
    <m/>
    <s v="Yes"/>
    <m/>
    <s v="Yes"/>
    <m/>
    <s v="N/A"/>
    <m/>
    <s v="Yes"/>
    <m/>
    <s v="Yes"/>
    <m/>
    <s v="Re-certified"/>
    <s v="infasco"/>
    <n v="0"/>
    <n v="0"/>
  </r>
  <r>
    <x v="15"/>
    <x v="15"/>
    <s v="11546774-MY-AK"/>
    <n v="714653"/>
    <n v="23"/>
    <n v="450"/>
    <n v="10350"/>
    <s v="157+245"/>
    <s v="Yes"/>
    <m/>
    <s v="Yes"/>
    <m/>
    <s v="Yes"/>
    <m/>
    <s v="Yes"/>
    <m/>
    <s v="N/A"/>
    <m/>
    <s v="Yes"/>
    <m/>
    <s v="Yes"/>
    <m/>
    <s v="New"/>
    <s v="infasco"/>
    <n v="106.94"/>
    <n v="106.94"/>
  </r>
  <r>
    <x v="15"/>
    <x v="15"/>
    <s v="06105102AA"/>
    <n v="716988"/>
    <n v="31"/>
    <n v="670"/>
    <n v="20770"/>
    <s v="157+245"/>
    <s v="Yes"/>
    <m/>
    <s v="Yes"/>
    <m/>
    <s v="Yes"/>
    <m/>
    <s v="Yes"/>
    <m/>
    <s v="N/A"/>
    <m/>
    <s v="Yes"/>
    <m/>
    <s v="Yes"/>
    <m/>
    <s v="New"/>
    <s v="infasco"/>
    <n v="280.16000000000003"/>
    <n v="280.16000000000003"/>
  </r>
  <r>
    <x v="13"/>
    <x v="23"/>
    <n v="11546449"/>
    <n v="716874"/>
    <n v="8"/>
    <n v="2500"/>
    <n v="20000"/>
    <n v="280"/>
    <s v="Yes"/>
    <m/>
    <s v="Yes"/>
    <m/>
    <s v="Yes"/>
    <m/>
    <s v="Yes"/>
    <m/>
    <s v="N/A"/>
    <m/>
    <s v="Yes"/>
    <m/>
    <s v="Yes"/>
    <m/>
    <s v="Re-certified"/>
    <s v="infasco"/>
    <n v="0"/>
    <n v="0"/>
  </r>
  <r>
    <x v="14"/>
    <x v="23"/>
    <n v="11546449"/>
    <n v="716874"/>
    <n v="14"/>
    <n v="2500"/>
    <n v="35000"/>
    <n v="280"/>
    <s v="Yes"/>
    <m/>
    <s v="Yes"/>
    <m/>
    <s v="Yes"/>
    <m/>
    <s v="Yes"/>
    <m/>
    <s v="N/A"/>
    <m/>
    <s v="Yes"/>
    <m/>
    <s v="Yes"/>
    <m/>
    <s v="New"/>
    <s v="infasco"/>
    <n v="106.94"/>
    <n v="106.94"/>
  </r>
  <r>
    <x v="14"/>
    <x v="21"/>
    <n v="11546449"/>
    <n v="716875"/>
    <n v="30"/>
    <n v="2500"/>
    <n v="75000"/>
    <n v="280"/>
    <s v="Yes"/>
    <m/>
    <s v="Yes"/>
    <m/>
    <s v="Yes"/>
    <m/>
    <s v="Yes"/>
    <m/>
    <s v="N/A"/>
    <m/>
    <s v="Yes"/>
    <m/>
    <s v="Yes"/>
    <m/>
    <s v="Re-certified"/>
    <s v="infasco"/>
    <n v="0"/>
    <n v="0"/>
  </r>
  <r>
    <x v="15"/>
    <x v="15"/>
    <n v="11546463"/>
    <n v="717057"/>
    <n v="37"/>
    <n v="450"/>
    <n v="16650"/>
    <s v="157+245"/>
    <s v="Yes"/>
    <m/>
    <s v="Yes"/>
    <m/>
    <s v="Yes"/>
    <m/>
    <s v="Yes"/>
    <m/>
    <s v="N/A"/>
    <m/>
    <s v="Yes"/>
    <m/>
    <s v="Yes"/>
    <m/>
    <s v="New"/>
    <s v="infasco"/>
    <n v="106.94"/>
    <n v="106.94"/>
  </r>
  <r>
    <x v="13"/>
    <x v="10"/>
    <n v="11546449"/>
    <n v="716876"/>
    <n v="12"/>
    <n v="2500"/>
    <n v="30000"/>
    <n v="275"/>
    <s v="Yes"/>
    <m/>
    <s v="Yes"/>
    <m/>
    <s v="Yes"/>
    <m/>
    <s v="Yes"/>
    <m/>
    <s v="N/A"/>
    <m/>
    <s v="Yes"/>
    <m/>
    <s v="Yes"/>
    <m/>
    <s v="Re-certified"/>
    <s v="infasco"/>
    <n v="0"/>
    <n v="0"/>
  </r>
  <r>
    <x v="14"/>
    <x v="10"/>
    <n v="11546449"/>
    <n v="716876"/>
    <n v="24"/>
    <n v="2500"/>
    <n v="60000"/>
    <n v="275"/>
    <s v="Yes"/>
    <m/>
    <s v="Yes"/>
    <m/>
    <s v="Yes"/>
    <m/>
    <s v="Yes"/>
    <m/>
    <s v="N/A"/>
    <m/>
    <s v="Yes"/>
    <m/>
    <s v="Yes"/>
    <m/>
    <s v="New"/>
    <s v="infasco"/>
    <n v="106.94"/>
    <n v="106.94"/>
  </r>
  <r>
    <x v="14"/>
    <x v="21"/>
    <n v="11546449"/>
    <n v="716877"/>
    <n v="36"/>
    <n v="2500"/>
    <n v="90000"/>
    <n v="280"/>
    <s v="Yes"/>
    <m/>
    <s v="Yes"/>
    <m/>
    <s v="Yes"/>
    <m/>
    <s v="Yes"/>
    <m/>
    <s v="N/A"/>
    <m/>
    <s v="Yes"/>
    <m/>
    <s v="Yes"/>
    <m/>
    <s v="New"/>
    <s v="infasco"/>
    <n v="106.94"/>
    <n v="106.94"/>
  </r>
  <r>
    <x v="14"/>
    <x v="11"/>
    <n v="11546449"/>
    <n v="716878"/>
    <n v="15"/>
    <n v="2500"/>
    <n v="37500"/>
    <n v="275"/>
    <s v="Yes"/>
    <m/>
    <s v="Yes"/>
    <m/>
    <s v="Yes"/>
    <m/>
    <s v="Yes"/>
    <m/>
    <s v="N/A"/>
    <m/>
    <s v="Yes"/>
    <m/>
    <s v="Yes"/>
    <m/>
    <s v="Re-certified"/>
    <s v="infasco"/>
    <n v="0"/>
    <n v="0"/>
  </r>
  <r>
    <x v="15"/>
    <x v="15"/>
    <n v="11604000"/>
    <n v="717443"/>
    <n v="24"/>
    <n v="585"/>
    <n v="14040"/>
    <s v="157+245"/>
    <s v="Yes"/>
    <m/>
    <s v="Yes"/>
    <m/>
    <s v="Yes"/>
    <m/>
    <s v="Yes"/>
    <m/>
    <s v="N/A"/>
    <m/>
    <s v="Yes"/>
    <m/>
    <s v="Yes"/>
    <m/>
    <s v="New"/>
    <s v="infasco"/>
    <n v="223.88"/>
    <n v="223.88"/>
  </r>
  <r>
    <x v="14"/>
    <x v="11"/>
    <n v="11546449"/>
    <n v="716879"/>
    <n v="36"/>
    <n v="2500"/>
    <n v="90000"/>
    <n v="275"/>
    <s v="Yes"/>
    <m/>
    <s v="Yes"/>
    <m/>
    <s v="Yes"/>
    <m/>
    <s v="Yes"/>
    <m/>
    <s v="N/A"/>
    <m/>
    <s v="Yes"/>
    <m/>
    <s v="Yes"/>
    <m/>
    <s v="New"/>
    <s v="infasco"/>
    <n v="106.94"/>
    <n v="106.94"/>
  </r>
  <r>
    <x v="14"/>
    <x v="13"/>
    <s v="W20-1028-020SL"/>
    <n v="716880"/>
    <n v="36"/>
    <n v="215"/>
    <n v="7740"/>
    <s v="011+293"/>
    <s v="Yes"/>
    <m/>
    <s v="Yes"/>
    <m/>
    <s v="Yes"/>
    <m/>
    <s v="Yes"/>
    <m/>
    <s v="N/A"/>
    <m/>
    <s v="Yes"/>
    <m/>
    <s v="Yes"/>
    <m/>
    <s v="New"/>
    <s v="infasco"/>
    <n v="106.94"/>
    <n v="106.94"/>
  </r>
  <r>
    <x v="14"/>
    <x v="16"/>
    <s v="W20-1028-020SL"/>
    <n v="716881"/>
    <n v="36"/>
    <n v="215"/>
    <n v="7740"/>
    <s v="285+391"/>
    <s v="Yes"/>
    <m/>
    <s v="Yes"/>
    <m/>
    <s v="Yes"/>
    <m/>
    <s v="Yes"/>
    <m/>
    <s v="N/A"/>
    <m/>
    <s v="Yes"/>
    <m/>
    <s v="Yes"/>
    <m/>
    <s v="New"/>
    <s v="infasco"/>
    <n v="106.94"/>
    <n v="106.94"/>
  </r>
  <r>
    <x v="14"/>
    <x v="15"/>
    <s v="W20-1028-020SL"/>
    <n v="716883"/>
    <n v="30"/>
    <n v="215"/>
    <n v="6450"/>
    <s v="157+245"/>
    <s v="Yes"/>
    <m/>
    <s v="Yes"/>
    <m/>
    <s v="Yes"/>
    <m/>
    <s v="Yes"/>
    <m/>
    <s v="N/A"/>
    <m/>
    <s v="Yes"/>
    <m/>
    <s v="Yes"/>
    <m/>
    <s v="New"/>
    <s v="infasco"/>
    <n v="106.94"/>
    <n v="106.94"/>
  </r>
  <r>
    <x v="14"/>
    <x v="13"/>
    <s v="W20-1028-020SL"/>
    <n v="716884"/>
    <n v="36"/>
    <n v="215"/>
    <n v="7740"/>
    <s v="011+293"/>
    <s v="Yes"/>
    <m/>
    <s v="Yes"/>
    <m/>
    <s v="Yes"/>
    <m/>
    <s v="Yes"/>
    <m/>
    <s v="N/A"/>
    <m/>
    <s v="Yes"/>
    <m/>
    <s v="Yes"/>
    <m/>
    <s v="New"/>
    <s v="infasco"/>
    <n v="106.94"/>
    <n v="106.94"/>
  </r>
  <r>
    <x v="14"/>
    <x v="17"/>
    <s v="W20-1028-020SL"/>
    <n v="716885"/>
    <n v="40"/>
    <n v="215"/>
    <n v="8600"/>
    <s v="190+268"/>
    <s v="Yes"/>
    <m/>
    <s v="Yes"/>
    <m/>
    <s v="Yes"/>
    <m/>
    <s v="Yes"/>
    <m/>
    <s v="N/A"/>
    <m/>
    <s v="Yes"/>
    <m/>
    <s v="Yes"/>
    <m/>
    <s v="New"/>
    <s v="infasco"/>
    <n v="106.94"/>
    <n v="106.94"/>
  </r>
  <r>
    <x v="13"/>
    <x v="16"/>
    <n v="11548535"/>
    <n v="716969"/>
    <n v="1"/>
    <n v="5710"/>
    <n v="5710"/>
    <s v="285+391"/>
    <s v="Yes"/>
    <m/>
    <s v="Yes"/>
    <m/>
    <s v="Yes"/>
    <m/>
    <s v="Yes"/>
    <m/>
    <s v="N/A"/>
    <m/>
    <s v="Yes"/>
    <m/>
    <s v="Yes"/>
    <m/>
    <s v="New"/>
    <s v="infasco"/>
    <n v="77.67"/>
    <n v="77.67"/>
  </r>
  <r>
    <x v="13"/>
    <x v="16"/>
    <n v="11548535"/>
    <n v="716970"/>
    <n v="1"/>
    <n v="5500"/>
    <n v="5500"/>
    <s v="285+391"/>
    <s v="Yes"/>
    <m/>
    <s v="Yes"/>
    <m/>
    <s v="Yes"/>
    <m/>
    <s v="Yes"/>
    <m/>
    <s v="N/A"/>
    <m/>
    <s v="Yes"/>
    <m/>
    <s v="Yes"/>
    <m/>
    <s v="New"/>
    <s v="infasco"/>
    <n v="77.67"/>
    <n v="77.67"/>
  </r>
  <r>
    <x v="14"/>
    <x v="0"/>
    <s v="06102612AA"/>
    <n v="716971"/>
    <n v="10"/>
    <n v="1800"/>
    <n v="18000"/>
    <n v="292"/>
    <s v="Yes"/>
    <m/>
    <s v="Yes"/>
    <m/>
    <s v="Yes"/>
    <m/>
    <s v="Yes"/>
    <m/>
    <s v="N/A"/>
    <m/>
    <s v="Yes"/>
    <m/>
    <s v="Yes"/>
    <m/>
    <s v="Re-certified"/>
    <s v="infasco"/>
    <n v="0"/>
    <n v="0"/>
  </r>
  <r>
    <x v="15"/>
    <x v="16"/>
    <s v="HL3W-4320-AA"/>
    <n v="713053"/>
    <n v="42"/>
    <n v="200"/>
    <n v="8400"/>
    <s v="285+391"/>
    <s v="Yes"/>
    <m/>
    <s v="Yes"/>
    <m/>
    <s v="Yes"/>
    <m/>
    <s v="Yes"/>
    <m/>
    <s v="N/A"/>
    <m/>
    <s v="Yes"/>
    <m/>
    <s v="Yes"/>
    <m/>
    <s v="New"/>
    <s v="infasco"/>
    <n v="129.44999999999999"/>
    <n v="129.44999999999999"/>
  </r>
  <r>
    <x v="15"/>
    <x v="16"/>
    <n v="91054"/>
    <n v="714019"/>
    <n v="16"/>
    <n v="1700"/>
    <n v="27200"/>
    <s v="285+391"/>
    <s v="Yes"/>
    <m/>
    <s v="Yes"/>
    <m/>
    <s v="Yes"/>
    <m/>
    <s v="Yes"/>
    <m/>
    <s v="N/A"/>
    <m/>
    <s v="Yes"/>
    <m/>
    <s v="Yes"/>
    <m/>
    <s v="Re-certified"/>
    <s v="infasco"/>
    <n v="0"/>
    <n v="0"/>
  </r>
  <r>
    <x v="15"/>
    <x v="16"/>
    <s v="HL3W-4320-AA"/>
    <n v="714604"/>
    <n v="24"/>
    <n v="200"/>
    <n v="4800"/>
    <s v="285+391"/>
    <s v="Yes"/>
    <m/>
    <s v="Yes"/>
    <m/>
    <s v="Yes"/>
    <m/>
    <s v="Yes"/>
    <m/>
    <s v="N/A"/>
    <m/>
    <s v="Yes"/>
    <m/>
    <s v="Yes"/>
    <m/>
    <s v="New"/>
    <s v="infasco"/>
    <n v="129.44999999999999"/>
    <n v="129.44999999999999"/>
  </r>
  <r>
    <x v="15"/>
    <x v="16"/>
    <s v="HL3W-4320-AA"/>
    <n v="714606"/>
    <n v="24"/>
    <n v="200"/>
    <n v="4800"/>
    <s v="285+391"/>
    <s v="Yes"/>
    <m/>
    <s v="Yes"/>
    <m/>
    <s v="Yes"/>
    <m/>
    <s v="Yes"/>
    <m/>
    <s v="N/A"/>
    <m/>
    <s v="Yes"/>
    <m/>
    <s v="Yes"/>
    <m/>
    <s v="New"/>
    <s v="infasco"/>
    <n v="129.44999999999999"/>
    <n v="129.44999999999999"/>
  </r>
  <r>
    <x v="15"/>
    <x v="16"/>
    <s v="11547369-BR-HA"/>
    <n v="716034"/>
    <n v="16"/>
    <n v="250"/>
    <n v="4000"/>
    <s v="285+391"/>
    <s v="Yes"/>
    <m/>
    <s v="Yes"/>
    <m/>
    <s v="Yes"/>
    <m/>
    <s v="Yes"/>
    <m/>
    <s v="N/A"/>
    <m/>
    <s v="Yes"/>
    <m/>
    <s v="Yes"/>
    <m/>
    <s v="New"/>
    <s v="infasco"/>
    <n v="106.94"/>
    <n v="106.94"/>
  </r>
  <r>
    <x v="15"/>
    <x v="16"/>
    <s v="11547369-BR-HA"/>
    <n v="716042"/>
    <n v="40"/>
    <n v="250"/>
    <n v="10000"/>
    <s v="285+391"/>
    <s v="Yes"/>
    <m/>
    <s v="Yes"/>
    <m/>
    <s v="Yes"/>
    <m/>
    <s v="Yes"/>
    <m/>
    <s v="N/A"/>
    <m/>
    <s v="Yes"/>
    <m/>
    <s v="Yes"/>
    <m/>
    <s v="New"/>
    <s v="infasco"/>
    <n v="106.94"/>
    <n v="106.94"/>
  </r>
  <r>
    <x v="15"/>
    <x v="16"/>
    <s v="06105102AA"/>
    <n v="716987"/>
    <n v="23"/>
    <n v="670"/>
    <n v="15410"/>
    <s v="285+391"/>
    <s v="Yes"/>
    <m/>
    <s v="Yes"/>
    <m/>
    <s v="Yes"/>
    <m/>
    <s v="Yes"/>
    <m/>
    <s v="N/A"/>
    <m/>
    <s v="Yes"/>
    <m/>
    <s v="Yes"/>
    <m/>
    <s v="New"/>
    <s v="infasco"/>
    <n v="280.16000000000003"/>
    <n v="280.16000000000003"/>
  </r>
  <r>
    <x v="15"/>
    <x v="17"/>
    <n v="91054"/>
    <n v="714020"/>
    <n v="18"/>
    <n v="1700"/>
    <n v="30600"/>
    <s v="190+268"/>
    <s v="Yes"/>
    <m/>
    <s v="Yes"/>
    <m/>
    <s v="Yes"/>
    <m/>
    <s v="Yes"/>
    <m/>
    <s v="N/A"/>
    <m/>
    <s v="Yes"/>
    <m/>
    <s v="Yes"/>
    <m/>
    <s v="Re-certified"/>
    <s v="infasco"/>
    <n v="0"/>
    <n v="0"/>
  </r>
  <r>
    <x v="15"/>
    <x v="17"/>
    <s v="06105102AA"/>
    <n v="716986"/>
    <n v="33"/>
    <n v="670"/>
    <n v="22110"/>
    <s v="190+268"/>
    <s v="Yes"/>
    <m/>
    <s v="Yes"/>
    <m/>
    <s v="Yes"/>
    <m/>
    <s v="Yes"/>
    <m/>
    <s v="N/A"/>
    <m/>
    <s v="Yes"/>
    <m/>
    <s v="Yes"/>
    <m/>
    <s v="New"/>
    <s v="infasco"/>
    <n v="280.16000000000003"/>
    <n v="280.16000000000003"/>
  </r>
  <r>
    <x v="15"/>
    <x v="17"/>
    <n v="11546463"/>
    <n v="717058"/>
    <n v="40"/>
    <n v="450"/>
    <n v="18000"/>
    <s v="190+268"/>
    <s v="Yes"/>
    <m/>
    <s v="Yes"/>
    <m/>
    <s v="Yes"/>
    <m/>
    <s v="Yes"/>
    <m/>
    <s v="N/A"/>
    <m/>
    <s v="Yes"/>
    <m/>
    <s v="Yes"/>
    <m/>
    <s v="New"/>
    <s v="infasco"/>
    <n v="106.94"/>
    <n v="106.94"/>
  </r>
  <r>
    <x v="14"/>
    <x v="13"/>
    <n v="11546463"/>
    <n v="717060"/>
    <n v="17"/>
    <n v="450"/>
    <n v="7650"/>
    <s v="011+293"/>
    <s v="Yes"/>
    <m/>
    <s v="Yes"/>
    <m/>
    <s v="Yes"/>
    <m/>
    <s v="Yes"/>
    <m/>
    <s v="N/A"/>
    <m/>
    <s v="Yes"/>
    <m/>
    <s v="Yes"/>
    <m/>
    <s v="New"/>
    <s v="infasco"/>
    <n v="106.94"/>
    <n v="106.94"/>
  </r>
  <r>
    <x v="13"/>
    <x v="32"/>
    <n v="11588714"/>
    <n v="717086"/>
    <n v="4"/>
    <n v="1400"/>
    <n v="5600"/>
    <s v="294+252"/>
    <s v="Yes"/>
    <m/>
    <s v="Yes"/>
    <m/>
    <s v="Yes"/>
    <m/>
    <s v="Yes"/>
    <m/>
    <s v="N/A"/>
    <m/>
    <s v="Yes"/>
    <m/>
    <s v="Yes"/>
    <m/>
    <s v="New"/>
    <s v="infasco"/>
    <n v="280.15999999999997"/>
    <n v="280.15999999999997"/>
  </r>
  <r>
    <x v="14"/>
    <x v="24"/>
    <s v="NU5210-03"/>
    <n v="717105"/>
    <n v="1"/>
    <n v="25000"/>
    <n v="25000"/>
    <n v="280"/>
    <s v="Yes"/>
    <m/>
    <s v="Yes"/>
    <m/>
    <s v="Yes"/>
    <m/>
    <s v="Yes"/>
    <m/>
    <s v="N/A"/>
    <m/>
    <s v="Yes"/>
    <m/>
    <s v="Yes"/>
    <m/>
    <s v="Re-certified"/>
    <s v="infasco"/>
    <n v="0"/>
    <n v="0"/>
  </r>
  <r>
    <x v="15"/>
    <x v="17"/>
    <n v="11546463"/>
    <n v="717059"/>
    <n v="38"/>
    <n v="450"/>
    <n v="17100"/>
    <s v="190+268"/>
    <s v="Yes"/>
    <m/>
    <s v="Yes"/>
    <m/>
    <s v="Yes"/>
    <m/>
    <s v="Yes"/>
    <m/>
    <s v="N/A"/>
    <m/>
    <s v="Yes"/>
    <m/>
    <s v="Yes"/>
    <m/>
    <s v="New"/>
    <s v="infasco"/>
    <n v="106.94"/>
    <n v="106.94"/>
  </r>
  <r>
    <x v="13"/>
    <x v="16"/>
    <n v="11588714"/>
    <n v="717115"/>
    <n v="15"/>
    <n v="1400"/>
    <n v="21000"/>
    <s v="285+391"/>
    <s v="Yes"/>
    <m/>
    <s v="Yes"/>
    <m/>
    <s v="Yes"/>
    <m/>
    <s v="Yes"/>
    <m/>
    <s v="N/A"/>
    <m/>
    <s v="Yes"/>
    <m/>
    <s v="Yes"/>
    <m/>
    <s v="New"/>
    <s v="infasco"/>
    <n v="280.15999999999997"/>
    <n v="280.15999999999997"/>
  </r>
  <r>
    <x v="13"/>
    <x v="17"/>
    <n v="11588714"/>
    <n v="717116"/>
    <n v="24"/>
    <n v="1400"/>
    <n v="33600"/>
    <s v="190+268"/>
    <s v="Yes"/>
    <m/>
    <s v="Yes"/>
    <m/>
    <s v="Yes"/>
    <m/>
    <s v="Yes"/>
    <m/>
    <s v="N/A"/>
    <m/>
    <s v="Yes"/>
    <m/>
    <s v="Yes"/>
    <m/>
    <s v="New"/>
    <s v="infasco"/>
    <n v="280.15999999999997"/>
    <n v="280.15999999999997"/>
  </r>
  <r>
    <x v="14"/>
    <x v="17"/>
    <s v="11546449-TH-TC"/>
    <n v="717141"/>
    <n v="36"/>
    <n v="2500"/>
    <n v="90000"/>
    <s v="190+268"/>
    <s v="Yes"/>
    <m/>
    <s v="Yes"/>
    <m/>
    <s v="Yes"/>
    <m/>
    <s v="Yes"/>
    <m/>
    <s v="N/A"/>
    <m/>
    <s v="Yes"/>
    <m/>
    <s v="Yes"/>
    <m/>
    <s v="New"/>
    <s v="infasco"/>
    <n v="106.94"/>
    <n v="106.94"/>
  </r>
  <r>
    <x v="14"/>
    <x v="17"/>
    <s v="11546449-TH-TC"/>
    <n v="717142"/>
    <n v="30"/>
    <n v="2500"/>
    <n v="75000"/>
    <s v="190+268"/>
    <s v="Yes"/>
    <m/>
    <s v="Yes"/>
    <m/>
    <s v="Yes"/>
    <m/>
    <s v="Yes"/>
    <m/>
    <s v="N/A"/>
    <m/>
    <s v="Yes"/>
    <m/>
    <s v="Yes"/>
    <m/>
    <s v="New"/>
    <s v="infasco"/>
    <n v="106.94"/>
    <n v="106.94"/>
  </r>
  <r>
    <x v="14"/>
    <x v="15"/>
    <n v="11546449"/>
    <n v="717143"/>
    <n v="34"/>
    <n v="2500"/>
    <n v="85000"/>
    <s v="157+245"/>
    <s v="Yes"/>
    <m/>
    <s v="Yes"/>
    <m/>
    <s v="Yes"/>
    <m/>
    <s v="Yes"/>
    <m/>
    <s v="N/A"/>
    <m/>
    <s v="Yes"/>
    <m/>
    <s v="Yes"/>
    <m/>
    <s v="New"/>
    <s v="infasco"/>
    <n v="106.94"/>
    <n v="106.94"/>
  </r>
  <r>
    <x v="14"/>
    <x v="15"/>
    <s v="NU1405"/>
    <n v="717279"/>
    <n v="1"/>
    <n v="72000"/>
    <n v="72000"/>
    <s v="157+245"/>
    <s v="Yes"/>
    <m/>
    <s v="Yes"/>
    <m/>
    <s v="Yes"/>
    <m/>
    <s v="Yes"/>
    <m/>
    <s v="N/A"/>
    <m/>
    <s v="Yes"/>
    <m/>
    <s v="Yes"/>
    <m/>
    <s v="New"/>
    <s v="infasco"/>
    <n v="129.44999999999999"/>
    <n v="129.44999999999999"/>
  </r>
  <r>
    <x v="14"/>
    <x v="16"/>
    <s v="NU1405"/>
    <n v="717280"/>
    <n v="1"/>
    <n v="77696"/>
    <n v="77696"/>
    <s v="285+391"/>
    <s v="Yes"/>
    <m/>
    <s v="Yes"/>
    <m/>
    <s v="Yes"/>
    <m/>
    <s v="Yes"/>
    <m/>
    <s v="N/A"/>
    <m/>
    <s v="Yes"/>
    <m/>
    <s v="Yes"/>
    <m/>
    <s v="New"/>
    <s v="infasco"/>
    <n v="129.44999999999999"/>
    <n v="129.44999999999999"/>
  </r>
  <r>
    <x v="14"/>
    <x v="17"/>
    <s v="NU1405"/>
    <n v="717281"/>
    <n v="1"/>
    <n v="69900"/>
    <n v="69900"/>
    <s v="190+268"/>
    <s v="Yes"/>
    <m/>
    <s v="Yes"/>
    <m/>
    <s v="Yes"/>
    <m/>
    <s v="Yes"/>
    <m/>
    <s v="N/A"/>
    <m/>
    <s v="Yes"/>
    <m/>
    <s v="Yes"/>
    <m/>
    <s v="New"/>
    <s v="infasco"/>
    <n v="129.44999999999999"/>
    <n v="129.44999999999999"/>
  </r>
  <r>
    <x v="15"/>
    <x v="17"/>
    <n v="11604000"/>
    <n v="717444"/>
    <n v="26"/>
    <n v="585"/>
    <n v="15210"/>
    <s v="190+268"/>
    <s v="Yes"/>
    <m/>
    <s v="Yes"/>
    <m/>
    <s v="Yes"/>
    <m/>
    <s v="Yes"/>
    <m/>
    <s v="N/A"/>
    <m/>
    <s v="Yes"/>
    <m/>
    <s v="Yes"/>
    <m/>
    <s v="New"/>
    <s v="infasco"/>
    <n v="223.88"/>
    <n v="223.88"/>
  </r>
  <r>
    <x v="14"/>
    <x v="4"/>
    <s v="NU1405"/>
    <n v="717284"/>
    <n v="1"/>
    <n v="42500"/>
    <n v="42500"/>
    <n v="292"/>
    <s v="Yes"/>
    <m/>
    <s v="Yes"/>
    <m/>
    <s v="Yes"/>
    <m/>
    <s v="Yes"/>
    <m/>
    <s v="N/A"/>
    <m/>
    <s v="Yes"/>
    <m/>
    <s v="Yes"/>
    <m/>
    <s v="Re-certified"/>
    <s v="infasco"/>
    <n v="0"/>
    <n v="0"/>
  </r>
  <r>
    <x v="15"/>
    <x v="17"/>
    <n v="11588293"/>
    <n v="717553"/>
    <n v="36"/>
    <n v="1150"/>
    <n v="41400"/>
    <s v="190+268"/>
    <s v="Yes"/>
    <m/>
    <s v="Yes"/>
    <m/>
    <s v="Yes"/>
    <m/>
    <s v="Yes"/>
    <m/>
    <s v="N/A"/>
    <m/>
    <s v="Yes"/>
    <m/>
    <s v="Yes"/>
    <m/>
    <s v="New"/>
    <s v="infasco"/>
    <n v="223.88"/>
    <n v="223.88"/>
  </r>
  <r>
    <x v="15"/>
    <x v="17"/>
    <n v="11588293"/>
    <n v="717554"/>
    <n v="24"/>
    <n v="1150"/>
    <n v="27600"/>
    <s v="190+268"/>
    <s v="Yes"/>
    <m/>
    <s v="Yes"/>
    <m/>
    <s v="Yes"/>
    <m/>
    <s v="Yes"/>
    <m/>
    <s v="N/A"/>
    <m/>
    <s v="Yes"/>
    <m/>
    <s v="Yes"/>
    <m/>
    <s v="New"/>
    <s v="infasco"/>
    <n v="223.88"/>
    <n v="223.88"/>
  </r>
  <r>
    <x v="15"/>
    <x v="32"/>
    <n v="11546703"/>
    <n v="713856"/>
    <n v="7"/>
    <n v="4000"/>
    <n v="28000"/>
    <s v="272+011"/>
    <s v="Yes"/>
    <m/>
    <s v="Yes"/>
    <m/>
    <s v="Yes"/>
    <m/>
    <s v="Yes"/>
    <m/>
    <s v="N/A"/>
    <m/>
    <s v="Yes"/>
    <m/>
    <s v="Yes"/>
    <m/>
    <s v="New"/>
    <s v="infasco"/>
    <n v="135.07999999999998"/>
    <n v="135.07999999999998"/>
  </r>
  <r>
    <x v="15"/>
    <x v="13"/>
    <n v="91054"/>
    <n v="714021"/>
    <n v="16"/>
    <n v="1700"/>
    <n v="27200"/>
    <n v="11"/>
    <s v="Yes"/>
    <m/>
    <s v="Yes"/>
    <m/>
    <s v="Yes"/>
    <m/>
    <s v="Yes"/>
    <m/>
    <s v="N/A"/>
    <m/>
    <s v="Yes"/>
    <m/>
    <s v="Yes"/>
    <m/>
    <s v="New"/>
    <s v="infasco"/>
    <n v="106.94"/>
    <n v="106.94"/>
  </r>
  <r>
    <x v="15"/>
    <x v="13"/>
    <s v="W520113-S440"/>
    <n v="714527"/>
    <n v="35"/>
    <n v="1050"/>
    <n v="36750"/>
    <n v="11"/>
    <s v="Yes"/>
    <m/>
    <s v="Yes"/>
    <m/>
    <s v="Yes"/>
    <m/>
    <s v="Yes"/>
    <m/>
    <s v="N/A"/>
    <m/>
    <s v="Yes"/>
    <m/>
    <s v="Yes"/>
    <m/>
    <s v="New"/>
    <s v="infasco"/>
    <n v="106.94"/>
    <n v="106.94"/>
  </r>
  <r>
    <x v="15"/>
    <x v="13"/>
    <s v="06105102AA"/>
    <n v="716985"/>
    <n v="31"/>
    <n v="670"/>
    <n v="20770"/>
    <n v="11"/>
    <s v="Yes"/>
    <m/>
    <s v="Yes"/>
    <m/>
    <s v="Yes"/>
    <m/>
    <s v="Yes"/>
    <m/>
    <s v="N/A"/>
    <m/>
    <s v="Yes"/>
    <m/>
    <s v="Yes"/>
    <m/>
    <s v="New"/>
    <s v="infasco"/>
    <n v="280.16000000000003"/>
    <n v="280.16000000000003"/>
  </r>
  <r>
    <x v="14"/>
    <x v="16"/>
    <n v="11588293"/>
    <n v="717555"/>
    <n v="34"/>
    <n v="1150"/>
    <n v="39100"/>
    <s v="285+391"/>
    <s v="Yes"/>
    <m/>
    <s v="Yes"/>
    <m/>
    <s v="Yes"/>
    <m/>
    <s v="Yes"/>
    <m/>
    <s v="N/A"/>
    <m/>
    <s v="Yes"/>
    <m/>
    <s v="Yes"/>
    <m/>
    <s v="New"/>
    <s v="infasco"/>
    <n v="223.88"/>
    <n v="223.88"/>
  </r>
  <r>
    <x v="14"/>
    <x v="17"/>
    <n v="11588293"/>
    <n v="717556"/>
    <n v="26"/>
    <n v="1150"/>
    <n v="29900"/>
    <s v="190+268"/>
    <s v="Yes"/>
    <m/>
    <s v="Yes"/>
    <m/>
    <s v="Yes"/>
    <m/>
    <s v="Yes"/>
    <m/>
    <s v="N/A"/>
    <m/>
    <s v="Yes"/>
    <m/>
    <s v="Yes"/>
    <m/>
    <s v="New"/>
    <s v="infasco"/>
    <n v="223.88"/>
    <n v="223.88"/>
  </r>
  <r>
    <x v="14"/>
    <x v="16"/>
    <n v="11588293"/>
    <n v="717557"/>
    <n v="35"/>
    <n v="1150"/>
    <n v="40250"/>
    <s v="285+391"/>
    <s v="Yes"/>
    <m/>
    <s v="Yes"/>
    <m/>
    <s v="Yes"/>
    <m/>
    <s v="Yes"/>
    <m/>
    <s v="N/A"/>
    <m/>
    <s v="Yes"/>
    <m/>
    <s v="Yes"/>
    <m/>
    <s v="New"/>
    <s v="infasco"/>
    <n v="223.88"/>
    <n v="223.88"/>
  </r>
  <r>
    <x v="14"/>
    <x v="15"/>
    <n v="11588293"/>
    <n v="717558"/>
    <n v="26"/>
    <n v="1150"/>
    <n v="29900"/>
    <s v="157+245"/>
    <s v="Yes"/>
    <m/>
    <s v="Yes"/>
    <m/>
    <s v="Yes"/>
    <m/>
    <s v="Yes"/>
    <m/>
    <s v="N/A"/>
    <m/>
    <s v="Yes"/>
    <m/>
    <s v="Yes"/>
    <m/>
    <s v="New"/>
    <s v="infasco"/>
    <n v="223.88"/>
    <n v="223.88"/>
  </r>
  <r>
    <x v="16"/>
    <x v="12"/>
    <n v="11546462"/>
    <n v="717082"/>
    <n v="36"/>
    <n v="650"/>
    <n v="23400"/>
    <n v="275"/>
    <s v="Yes"/>
    <m/>
    <s v="Yes"/>
    <m/>
    <s v="Yes"/>
    <m/>
    <s v="Yes"/>
    <m/>
    <s v="N/A"/>
    <m/>
    <s v="Yes"/>
    <m/>
    <s v="Yes"/>
    <m/>
    <s v="New"/>
    <s v="infasco"/>
    <n v="106.94"/>
    <n v="106.94"/>
  </r>
  <r>
    <x v="16"/>
    <x v="12"/>
    <n v="11546462"/>
    <n v="717080"/>
    <n v="36"/>
    <n v="650"/>
    <n v="23400"/>
    <n v="275"/>
    <s v="Yes"/>
    <m/>
    <s v="Yes"/>
    <m/>
    <s v="Yes"/>
    <m/>
    <s v="Yes"/>
    <m/>
    <s v="N/A"/>
    <m/>
    <s v="Yes"/>
    <m/>
    <s v="Yes"/>
    <m/>
    <s v="New"/>
    <s v="infasco"/>
    <n v="106.94"/>
    <n v="106.94"/>
  </r>
  <r>
    <x v="16"/>
    <x v="12"/>
    <n v="11546462"/>
    <n v="717081"/>
    <n v="16"/>
    <n v="650"/>
    <n v="10400"/>
    <n v="275"/>
    <s v="Yes"/>
    <m/>
    <s v="Yes"/>
    <m/>
    <s v="Yes"/>
    <m/>
    <s v="Yes"/>
    <m/>
    <s v="N/A"/>
    <m/>
    <s v="Yes"/>
    <m/>
    <s v="Yes"/>
    <m/>
    <s v="Re-certified"/>
    <s v="infasco"/>
    <n v="0"/>
    <n v="0"/>
  </r>
  <r>
    <x v="16"/>
    <x v="6"/>
    <s v="06101968-A"/>
    <n v="715607"/>
    <n v="37"/>
    <n v="2200"/>
    <n v="81400"/>
    <n v="275"/>
    <s v="Yes"/>
    <m/>
    <s v="Yes"/>
    <m/>
    <s v="Yes"/>
    <m/>
    <s v="Yes"/>
    <m/>
    <s v="N/A"/>
    <m/>
    <s v="Yes"/>
    <m/>
    <s v="Yes"/>
    <m/>
    <s v="New"/>
    <s v="infasco"/>
    <n v="106.94"/>
    <n v="106.94"/>
  </r>
  <r>
    <x v="16"/>
    <x v="10"/>
    <n v="11546437"/>
    <n v="716761"/>
    <n v="51"/>
    <n v="1500"/>
    <n v="76500"/>
    <n v="275"/>
    <s v="Yes"/>
    <m/>
    <s v="Yes"/>
    <m/>
    <s v="Yes"/>
    <m/>
    <s v="Yes"/>
    <m/>
    <s v="N/A"/>
    <m/>
    <s v="Yes"/>
    <m/>
    <s v="Yes"/>
    <m/>
    <s v="New"/>
    <s v="infasco"/>
    <n v="106.94"/>
    <n v="106.94"/>
  </r>
  <r>
    <x v="16"/>
    <x v="10"/>
    <n v="11546437"/>
    <n v="716762"/>
    <n v="10"/>
    <n v="1500"/>
    <n v="15000"/>
    <n v="275"/>
    <s v="Yes"/>
    <m/>
    <s v="Yes"/>
    <m/>
    <s v="Yes"/>
    <m/>
    <s v="Yes"/>
    <m/>
    <s v="N/A"/>
    <m/>
    <s v="Yes"/>
    <m/>
    <s v="Yes"/>
    <m/>
    <s v="Re-certified"/>
    <s v="infasco"/>
    <n v="0"/>
    <n v="0"/>
  </r>
  <r>
    <x v="16"/>
    <x v="8"/>
    <n v="11549170"/>
    <n v="716220"/>
    <n v="13"/>
    <n v="400"/>
    <n v="5200"/>
    <n v="275"/>
    <s v="Yes"/>
    <m/>
    <s v="Yes"/>
    <m/>
    <s v="Yes"/>
    <m/>
    <s v="Yes"/>
    <m/>
    <s v="N/A"/>
    <m/>
    <s v="Yes"/>
    <m/>
    <s v="Yes"/>
    <m/>
    <s v="New"/>
    <s v="infasco"/>
    <n v="106.94"/>
    <n v="106.94"/>
  </r>
  <r>
    <x v="16"/>
    <x v="8"/>
    <n v="11549170"/>
    <n v="716223"/>
    <n v="32"/>
    <n v="400"/>
    <n v="12800"/>
    <n v="275"/>
    <s v="Yes"/>
    <m/>
    <s v="Yes"/>
    <m/>
    <s v="Yes"/>
    <m/>
    <s v="Yes"/>
    <m/>
    <s v="N/A"/>
    <m/>
    <s v="Yes"/>
    <m/>
    <s v="Yes"/>
    <m/>
    <s v="New"/>
    <s v="infasco"/>
    <n v="106.94"/>
    <n v="106.94"/>
  </r>
  <r>
    <x v="16"/>
    <x v="8"/>
    <s v="H62534A"/>
    <n v="716773"/>
    <n v="25"/>
    <n v="75"/>
    <n v="1875"/>
    <n v="275"/>
    <s v="Yes"/>
    <m/>
    <s v="Yes"/>
    <m/>
    <s v="Yes"/>
    <m/>
    <s v="Yes"/>
    <m/>
    <s v="N/A"/>
    <m/>
    <s v="Yes"/>
    <m/>
    <s v="Yes"/>
    <m/>
    <s v="Re-certified"/>
    <s v="infasco"/>
    <n v="0"/>
    <n v="0"/>
  </r>
  <r>
    <x v="16"/>
    <x v="11"/>
    <n v="11546437"/>
    <n v="716760"/>
    <n v="63"/>
    <n v="1500"/>
    <n v="94500"/>
    <n v="275"/>
    <s v="Yes"/>
    <m/>
    <s v="Yes"/>
    <m/>
    <s v="Yes"/>
    <m/>
    <s v="Yes"/>
    <m/>
    <s v="N/A"/>
    <m/>
    <s v="Yes"/>
    <m/>
    <s v="Yes"/>
    <m/>
    <s v="New"/>
    <s v="infasco"/>
    <n v="106.94"/>
    <n v="106.94"/>
  </r>
  <r>
    <x v="16"/>
    <x v="11"/>
    <n v="11546437"/>
    <n v="716757"/>
    <n v="12"/>
    <n v="1500"/>
    <n v="18000"/>
    <n v="275"/>
    <s v="Yes"/>
    <m/>
    <s v="Yes"/>
    <m/>
    <s v="Yes"/>
    <m/>
    <s v="Yes"/>
    <m/>
    <s v="N/A"/>
    <m/>
    <s v="Yes"/>
    <m/>
    <s v="Yes"/>
    <m/>
    <s v="Re-certified"/>
    <s v="infasco"/>
    <n v="0"/>
    <n v="0"/>
  </r>
  <r>
    <x v="16"/>
    <x v="9"/>
    <s v="06104725AA"/>
    <n v="716798"/>
    <n v="36"/>
    <n v="2800"/>
    <n v="100800"/>
    <n v="275"/>
    <s v="Yes"/>
    <m/>
    <s v="Yes"/>
    <m/>
    <s v="Yes"/>
    <m/>
    <s v="Yes"/>
    <m/>
    <s v="N/A"/>
    <m/>
    <s v="Yes"/>
    <m/>
    <s v="Yes"/>
    <m/>
    <s v="New"/>
    <s v="infasco"/>
    <n v="106.94"/>
    <n v="106.94"/>
  </r>
  <r>
    <x v="16"/>
    <x v="9"/>
    <s v="06104725AA"/>
    <n v="716795"/>
    <n v="4"/>
    <n v="2800"/>
    <n v="11200"/>
    <n v="275"/>
    <s v="Yes"/>
    <m/>
    <s v="Yes"/>
    <m/>
    <s v="Yes"/>
    <m/>
    <s v="Yes"/>
    <m/>
    <s v="N/A"/>
    <m/>
    <s v="Yes"/>
    <m/>
    <s v="Yes"/>
    <m/>
    <s v="Re-certified"/>
    <s v="infasco"/>
    <n v="0"/>
    <n v="0"/>
  </r>
  <r>
    <x v="16"/>
    <x v="4"/>
    <s v="NU1405"/>
    <n v="717282"/>
    <n v="1"/>
    <n v="25000"/>
    <n v="25000"/>
    <n v="292"/>
    <s v="Yes"/>
    <m/>
    <s v="Yes"/>
    <m/>
    <s v="Yes"/>
    <m/>
    <s v="Yes"/>
    <m/>
    <s v="N/A"/>
    <m/>
    <s v="Yes"/>
    <m/>
    <s v="Yes"/>
    <m/>
    <s v="New"/>
    <s v="infasco"/>
    <n v="129.44999999999999"/>
    <n v="129.44999999999999"/>
  </r>
  <r>
    <x v="16"/>
    <x v="4"/>
    <s v="NU1405"/>
    <n v="717283"/>
    <n v="1"/>
    <n v="71095"/>
    <n v="71095"/>
    <n v="292"/>
    <s v="Yes"/>
    <m/>
    <s v="Yes"/>
    <m/>
    <s v="Yes"/>
    <m/>
    <s v="Yes"/>
    <m/>
    <s v="N/A"/>
    <m/>
    <s v="Yes"/>
    <m/>
    <s v="Yes"/>
    <m/>
    <s v="New"/>
    <s v="infasco"/>
    <n v="129.44999999999999"/>
    <n v="129.44999999999999"/>
  </r>
  <r>
    <x v="16"/>
    <x v="2"/>
    <s v="11546367-MY-AK"/>
    <n v="716132"/>
    <n v="11"/>
    <n v="700"/>
    <n v="7700"/>
    <n v="292"/>
    <s v="Yes"/>
    <m/>
    <s v="Yes"/>
    <m/>
    <s v="Yes"/>
    <m/>
    <s v="Yes"/>
    <m/>
    <s v="N/A"/>
    <m/>
    <s v="Yes"/>
    <m/>
    <s v="Yes"/>
    <m/>
    <s v="New"/>
    <s v="infasco"/>
    <n v="106.94"/>
    <n v="106.94"/>
  </r>
  <r>
    <x v="16"/>
    <x v="2"/>
    <s v="11546367-MY-AK"/>
    <n v="716138"/>
    <n v="27"/>
    <n v="700"/>
    <n v="18900"/>
    <n v="292"/>
    <s v="Yes"/>
    <m/>
    <s v="Yes"/>
    <m/>
    <s v="Yes"/>
    <m/>
    <s v="Yes"/>
    <m/>
    <s v="N/A"/>
    <m/>
    <s v="Yes"/>
    <m/>
    <s v="Yes"/>
    <m/>
    <s v="Re-certified"/>
    <s v="infasco"/>
    <n v="0"/>
    <n v="0"/>
  </r>
  <r>
    <x v="16"/>
    <x v="1"/>
    <s v="11546365-MY-AK"/>
    <n v="715967"/>
    <n v="27"/>
    <n v="1900"/>
    <n v="51300"/>
    <n v="292"/>
    <s v="Yes"/>
    <m/>
    <s v="Yes"/>
    <m/>
    <s v="Yes"/>
    <m/>
    <s v="Yes"/>
    <m/>
    <s v="N/A"/>
    <m/>
    <s v="Yes"/>
    <m/>
    <s v="Yes"/>
    <m/>
    <s v="Re-certified"/>
    <s v="infasco"/>
    <n v="0"/>
    <n v="0"/>
  </r>
  <r>
    <x v="16"/>
    <x v="0"/>
    <s v="06102612AA"/>
    <n v="716971"/>
    <n v="11"/>
    <n v="1800"/>
    <n v="19800"/>
    <n v="292"/>
    <s v="Yes"/>
    <m/>
    <s v="Yes"/>
    <m/>
    <s v="Yes"/>
    <m/>
    <s v="Yes"/>
    <m/>
    <s v="N/A"/>
    <m/>
    <s v="Yes"/>
    <m/>
    <s v="Yes"/>
    <m/>
    <s v="New"/>
    <s v="infasco"/>
    <n v="106.94"/>
    <n v="106.94"/>
  </r>
  <r>
    <x v="16"/>
    <x v="3"/>
    <n v="11548414"/>
    <n v="717049"/>
    <n v="24"/>
    <n v="485"/>
    <n v="11640"/>
    <n v="292"/>
    <s v="Yes"/>
    <m/>
    <s v="Yes"/>
    <m/>
    <s v="Yes"/>
    <m/>
    <s v="Yes"/>
    <m/>
    <s v="N/A"/>
    <m/>
    <s v="Yes"/>
    <m/>
    <s v="Yes"/>
    <m/>
    <s v="New"/>
    <s v="infasco"/>
    <n v="106.94"/>
    <n v="106.94"/>
  </r>
  <r>
    <x v="16"/>
    <x v="3"/>
    <n v="11549170"/>
    <n v="716221"/>
    <n v="41"/>
    <n v="400"/>
    <n v="16400"/>
    <n v="292"/>
    <s v="Yes"/>
    <m/>
    <s v="Yes"/>
    <m/>
    <s v="Yes"/>
    <m/>
    <s v="Yes"/>
    <m/>
    <s v="N/A"/>
    <m/>
    <s v="Yes"/>
    <m/>
    <s v="Yes"/>
    <m/>
    <s v="New"/>
    <s v="infasco"/>
    <n v="106.94"/>
    <n v="106.94"/>
  </r>
  <r>
    <x v="16"/>
    <x v="3"/>
    <n v="11548414"/>
    <n v="717048"/>
    <n v="36"/>
    <n v="485"/>
    <n v="17460"/>
    <n v="292"/>
    <s v="Yes"/>
    <m/>
    <s v="Yes"/>
    <m/>
    <s v="Yes"/>
    <m/>
    <s v="Yes"/>
    <m/>
    <s v="N/A"/>
    <m/>
    <s v="Yes"/>
    <m/>
    <s v="Yes"/>
    <m/>
    <s v="New"/>
    <s v="infasco"/>
    <n v="106.94"/>
    <n v="106.94"/>
  </r>
  <r>
    <x v="16"/>
    <x v="3"/>
    <n v="11548414"/>
    <n v="717055"/>
    <n v="15"/>
    <n v="485"/>
    <n v="7275"/>
    <n v="292"/>
    <s v="Yes"/>
    <m/>
    <s v="Yes"/>
    <m/>
    <s v="Yes"/>
    <m/>
    <s v="Yes"/>
    <m/>
    <s v="N/A"/>
    <m/>
    <s v="Yes"/>
    <m/>
    <s v="Yes"/>
    <m/>
    <s v="Re-certified"/>
    <s v="infasco"/>
    <n v="0"/>
    <n v="0"/>
  </r>
  <r>
    <x v="16"/>
    <x v="5"/>
    <s v="06502979-A"/>
    <n v="716537"/>
    <n v="28"/>
    <n v="750"/>
    <n v="21000"/>
    <n v="292"/>
    <s v="Yes"/>
    <m/>
    <s v="Yes"/>
    <m/>
    <s v="Yes"/>
    <m/>
    <s v="Yes"/>
    <m/>
    <s v="N/A"/>
    <m/>
    <s v="Yes"/>
    <m/>
    <s v="Yes"/>
    <m/>
    <s v="New"/>
    <s v="infasco"/>
    <n v="106.94"/>
    <n v="106.94"/>
  </r>
  <r>
    <x v="16"/>
    <x v="5"/>
    <s v="06502979-A"/>
    <n v="716546"/>
    <n v="24"/>
    <n v="750"/>
    <n v="18000"/>
    <n v="292"/>
    <s v="Yes"/>
    <m/>
    <s v="Yes"/>
    <m/>
    <s v="Yes"/>
    <m/>
    <s v="Yes"/>
    <m/>
    <s v="N/A"/>
    <m/>
    <s v="Yes"/>
    <m/>
    <s v="Yes"/>
    <m/>
    <s v="New"/>
    <s v="infasco"/>
    <n v="106.94"/>
    <n v="106.94"/>
  </r>
  <r>
    <x v="16"/>
    <x v="5"/>
    <s v="06502979-A"/>
    <n v="716545"/>
    <n v="10"/>
    <n v="750"/>
    <n v="7500"/>
    <n v="292"/>
    <s v="Yes"/>
    <m/>
    <s v="Yes"/>
    <m/>
    <s v="Yes"/>
    <m/>
    <s v="Yes"/>
    <m/>
    <s v="N/A"/>
    <m/>
    <s v="Yes"/>
    <m/>
    <s v="Yes"/>
    <m/>
    <s v="Re-certified"/>
    <s v="infasco"/>
    <n v="0"/>
    <n v="0"/>
  </r>
  <r>
    <x v="16"/>
    <x v="27"/>
    <s v="06101831-A"/>
    <n v="716891"/>
    <n v="36"/>
    <n v="1000"/>
    <n v="36000"/>
    <n v="290"/>
    <s v="Yes"/>
    <m/>
    <s v="Yes"/>
    <m/>
    <s v="Yes"/>
    <m/>
    <s v="Yes"/>
    <m/>
    <s v="N/A"/>
    <m/>
    <s v="Yes"/>
    <m/>
    <s v="Yes"/>
    <m/>
    <s v="New"/>
    <s v="infasco"/>
    <n v="106.94"/>
    <n v="106.94"/>
  </r>
  <r>
    <x v="16"/>
    <x v="27"/>
    <s v="11546367-MY-AK"/>
    <n v="716369"/>
    <n v="14"/>
    <n v="700"/>
    <n v="9800"/>
    <n v="290"/>
    <s v="Yes"/>
    <m/>
    <s v="Yes"/>
    <m/>
    <s v="Yes"/>
    <m/>
    <s v="Yes"/>
    <m/>
    <s v="N/A"/>
    <m/>
    <s v="Yes"/>
    <m/>
    <s v="Yes"/>
    <m/>
    <s v="Re-certified"/>
    <s v="infasco"/>
    <n v="0"/>
    <n v="0"/>
  </r>
  <r>
    <x v="16"/>
    <x v="26"/>
    <s v="11546378-my-ak"/>
    <n v="716469"/>
    <n v="5"/>
    <n v="1250"/>
    <n v="6250"/>
    <n v="290"/>
    <s v="Yes"/>
    <m/>
    <s v="Yes"/>
    <m/>
    <s v="Yes"/>
    <m/>
    <s v="Yes"/>
    <m/>
    <s v="N/A"/>
    <m/>
    <s v="Yes"/>
    <m/>
    <s v="Yes"/>
    <m/>
    <s v="New"/>
    <s v="infasco"/>
    <n v="106.94"/>
    <n v="106.94"/>
  </r>
  <r>
    <x v="16"/>
    <x v="26"/>
    <s v="11546378-my-ak"/>
    <n v="716468"/>
    <n v="36"/>
    <n v="1250"/>
    <n v="45000"/>
    <n v="290"/>
    <s v="Yes"/>
    <m/>
    <s v="Yes"/>
    <m/>
    <s v="Yes"/>
    <m/>
    <s v="Yes"/>
    <m/>
    <s v="N/A"/>
    <m/>
    <s v="Yes"/>
    <m/>
    <s v="Yes"/>
    <m/>
    <s v="New"/>
    <s v="infasco"/>
    <n v="106.94"/>
    <n v="106.94"/>
  </r>
  <r>
    <x v="16"/>
    <x v="26"/>
    <s v="11546378-my-ak"/>
    <n v="716467"/>
    <n v="31"/>
    <n v="1250"/>
    <n v="38750"/>
    <n v="290"/>
    <s v="Yes"/>
    <m/>
    <s v="Yes"/>
    <m/>
    <s v="Yes"/>
    <m/>
    <s v="Yes"/>
    <m/>
    <s v="N/A"/>
    <m/>
    <s v="Yes"/>
    <m/>
    <s v="Yes"/>
    <m/>
    <s v="New"/>
    <s v="infasco"/>
    <n v="106.94"/>
    <n v="106.94"/>
  </r>
  <r>
    <x v="16"/>
    <x v="26"/>
    <s v="11546378-my-ak"/>
    <n v="716465"/>
    <n v="36"/>
    <n v="1250"/>
    <n v="45000"/>
    <n v="290"/>
    <s v="Yes"/>
    <m/>
    <s v="Yes"/>
    <m/>
    <s v="Yes"/>
    <m/>
    <s v="Yes"/>
    <m/>
    <s v="N/A"/>
    <m/>
    <s v="Yes"/>
    <m/>
    <s v="Yes"/>
    <m/>
    <s v="New"/>
    <s v="infasco"/>
    <n v="106.94"/>
    <n v="106.94"/>
  </r>
  <r>
    <x v="16"/>
    <x v="28"/>
    <s v="06509967AA"/>
    <n v="716989"/>
    <n v="6"/>
    <n v="825"/>
    <n v="4950"/>
    <n v="290"/>
    <s v="Yes"/>
    <m/>
    <s v="Yes"/>
    <m/>
    <s v="Yes"/>
    <m/>
    <s v="Yes"/>
    <m/>
    <s v="N/A"/>
    <m/>
    <s v="Yes"/>
    <m/>
    <s v="Yes"/>
    <m/>
    <s v="New"/>
    <s v="infasco"/>
    <n v="280.16000000000003"/>
    <n v="280.16000000000003"/>
  </r>
  <r>
    <x v="16"/>
    <x v="28"/>
    <s v="06509967AA"/>
    <n v="716990"/>
    <n v="29"/>
    <n v="825"/>
    <n v="23925"/>
    <n v="290"/>
    <s v="Yes"/>
    <m/>
    <s v="Yes"/>
    <m/>
    <s v="Yes"/>
    <m/>
    <s v="Yes"/>
    <m/>
    <s v="N/A"/>
    <m/>
    <s v="Yes"/>
    <m/>
    <s v="Yes"/>
    <m/>
    <s v="New"/>
    <s v="infasco"/>
    <n v="280.16000000000003"/>
    <n v="280.16000000000003"/>
  </r>
  <r>
    <x v="16"/>
    <x v="30"/>
    <n v="11548414"/>
    <n v="717047"/>
    <n v="36"/>
    <n v="485"/>
    <n v="17460"/>
    <n v="290"/>
    <s v="Yes"/>
    <m/>
    <s v="Yes"/>
    <m/>
    <s v="Yes"/>
    <m/>
    <s v="Yes"/>
    <m/>
    <s v="N/A"/>
    <m/>
    <s v="Yes"/>
    <m/>
    <s v="Yes"/>
    <m/>
    <s v="New"/>
    <s v="infasco"/>
    <n v="106.94"/>
    <n v="106.94"/>
  </r>
  <r>
    <x v="16"/>
    <x v="30"/>
    <n v="11548414"/>
    <n v="717052"/>
    <n v="36"/>
    <n v="485"/>
    <n v="17460"/>
    <n v="290"/>
    <s v="Yes"/>
    <m/>
    <s v="Yes"/>
    <m/>
    <s v="Yes"/>
    <m/>
    <s v="Yes"/>
    <m/>
    <s v="N/A"/>
    <m/>
    <s v="Yes"/>
    <m/>
    <s v="Yes"/>
    <m/>
    <s v="New"/>
    <s v="infasco"/>
    <n v="106.94"/>
    <n v="106.94"/>
  </r>
  <r>
    <x v="16"/>
    <x v="30"/>
    <n v="11548414"/>
    <n v="717051"/>
    <n v="36"/>
    <n v="485"/>
    <n v="17460"/>
    <n v="290"/>
    <s v="Yes"/>
    <m/>
    <s v="Yes"/>
    <m/>
    <s v="Yes"/>
    <m/>
    <s v="Yes"/>
    <m/>
    <s v="N/A"/>
    <m/>
    <s v="Yes"/>
    <m/>
    <s v="Yes"/>
    <m/>
    <s v="New"/>
    <s v="infasco"/>
    <n v="106.94"/>
    <n v="106.94"/>
  </r>
  <r>
    <x v="16"/>
    <x v="30"/>
    <n v="11548414"/>
    <n v="717053"/>
    <n v="11"/>
    <n v="485"/>
    <n v="5335"/>
    <n v="290"/>
    <s v="Yes"/>
    <m/>
    <s v="Yes"/>
    <m/>
    <s v="Yes"/>
    <m/>
    <s v="Yes"/>
    <m/>
    <s v="N/A"/>
    <m/>
    <s v="Yes"/>
    <m/>
    <s v="Yes"/>
    <m/>
    <s v="Re-certified"/>
    <s v="infasco"/>
    <n v="0"/>
    <n v="0"/>
  </r>
  <r>
    <x v="16"/>
    <x v="29"/>
    <n v="11546449"/>
    <n v="716870"/>
    <n v="7"/>
    <n v="2500"/>
    <n v="17500"/>
    <n v="290"/>
    <s v="Yes"/>
    <m/>
    <s v="Yes"/>
    <m/>
    <s v="Yes"/>
    <m/>
    <s v="Yes"/>
    <m/>
    <s v="N/A"/>
    <m/>
    <s v="Yes"/>
    <m/>
    <s v="Yes"/>
    <m/>
    <s v="New"/>
    <s v="infasco"/>
    <n v="106.94"/>
    <n v="106.94"/>
  </r>
  <r>
    <x v="16"/>
    <x v="29"/>
    <n v="11546437"/>
    <n v="716758"/>
    <n v="44"/>
    <n v="1500"/>
    <n v="66000"/>
    <n v="290"/>
    <s v="Yes"/>
    <m/>
    <s v="Yes"/>
    <m/>
    <s v="Yes"/>
    <m/>
    <s v="Yes"/>
    <m/>
    <s v="N/A"/>
    <m/>
    <s v="Yes"/>
    <m/>
    <s v="Yes"/>
    <m/>
    <s v="Re-certified"/>
    <s v="infasco"/>
    <n v="0"/>
    <n v="0"/>
  </r>
  <r>
    <x v="16"/>
    <x v="31"/>
    <s v="11546366-MY-AK"/>
    <n v="715948"/>
    <n v="29"/>
    <n v="1000"/>
    <n v="29000"/>
    <n v="290"/>
    <s v="Yes"/>
    <m/>
    <s v="Yes"/>
    <m/>
    <s v="Yes"/>
    <m/>
    <s v="Yes"/>
    <m/>
    <s v="N/A"/>
    <m/>
    <s v="Yes"/>
    <m/>
    <s v="Yes"/>
    <m/>
    <s v="New"/>
    <s v="infasco"/>
    <n v="106.94"/>
    <n v="106.94"/>
  </r>
  <r>
    <x v="16"/>
    <x v="31"/>
    <s v="11546366-MY-AK"/>
    <n v="715951"/>
    <n v="36"/>
    <n v="1000"/>
    <n v="36000"/>
    <n v="290"/>
    <s v="Yes"/>
    <m/>
    <s v="Yes"/>
    <m/>
    <s v="Yes"/>
    <m/>
    <s v="Yes"/>
    <m/>
    <s v="N/A"/>
    <m/>
    <s v="Yes"/>
    <m/>
    <s v="Yes"/>
    <m/>
    <s v="New"/>
    <s v="infasco"/>
    <n v="106.94"/>
    <n v="106.94"/>
  </r>
  <r>
    <x v="16"/>
    <x v="31"/>
    <s v="11546366-MY-AK"/>
    <n v="715949"/>
    <n v="24"/>
    <n v="1000"/>
    <n v="24000"/>
    <n v="290"/>
    <s v="Yes"/>
    <m/>
    <s v="Yes"/>
    <m/>
    <s v="Yes"/>
    <m/>
    <s v="Yes"/>
    <m/>
    <s v="N/A"/>
    <m/>
    <s v="Yes"/>
    <m/>
    <s v="Yes"/>
    <m/>
    <s v="Re-certified"/>
    <s v="infasco"/>
    <n v="0"/>
    <n v="0"/>
  </r>
  <r>
    <x v="16"/>
    <x v="24"/>
    <s v="11546365-MY-AK"/>
    <n v="715969"/>
    <n v="18"/>
    <n v="1900"/>
    <n v="34200"/>
    <n v="280"/>
    <s v="Yes"/>
    <m/>
    <s v="Yes"/>
    <m/>
    <s v="Yes"/>
    <m/>
    <s v="Yes"/>
    <m/>
    <s v="N/A"/>
    <m/>
    <s v="Yes"/>
    <m/>
    <s v="Yes"/>
    <m/>
    <s v="New"/>
    <s v="infasco"/>
    <n v="106.94"/>
    <n v="106.94"/>
  </r>
  <r>
    <x v="16"/>
    <x v="24"/>
    <s v="11546365-MY-AK"/>
    <n v="715968"/>
    <n v="23"/>
    <n v="1900"/>
    <n v="43700"/>
    <n v="280"/>
    <s v="Yes"/>
    <m/>
    <s v="Yes"/>
    <m/>
    <s v="Yes"/>
    <m/>
    <s v="Yes"/>
    <m/>
    <s v="N/A"/>
    <m/>
    <s v="Yes"/>
    <m/>
    <s v="Yes"/>
    <m/>
    <s v="New"/>
    <s v="infasco"/>
    <n v="106.94"/>
    <n v="106.94"/>
  </r>
  <r>
    <x v="16"/>
    <x v="23"/>
    <s v="06104725AA"/>
    <n v="716790"/>
    <n v="31"/>
    <n v="2800"/>
    <n v="86800"/>
    <n v="280"/>
    <s v="Yes"/>
    <m/>
    <s v="Yes"/>
    <m/>
    <s v="Yes"/>
    <m/>
    <s v="Yes"/>
    <m/>
    <s v="N/A"/>
    <m/>
    <s v="Yes"/>
    <m/>
    <s v="Yes"/>
    <m/>
    <s v="New"/>
    <s v="infasco"/>
    <n v="106.94"/>
    <n v="106.94"/>
  </r>
  <r>
    <x v="16"/>
    <x v="23"/>
    <s v="06104725AA"/>
    <n v="716791"/>
    <n v="36"/>
    <n v="2800"/>
    <n v="100800"/>
    <n v="280"/>
    <s v="Yes"/>
    <m/>
    <s v="Yes"/>
    <m/>
    <s v="Yes"/>
    <m/>
    <s v="Yes"/>
    <m/>
    <s v="N/A"/>
    <m/>
    <s v="Yes"/>
    <m/>
    <s v="Yes"/>
    <m/>
    <s v="New"/>
    <s v="infasco"/>
    <n v="106.94"/>
    <n v="106.94"/>
  </r>
  <r>
    <x v="16"/>
    <x v="20"/>
    <s v="11546367-MY-AK"/>
    <n v="716135"/>
    <n v="36"/>
    <n v="700"/>
    <n v="25200"/>
    <n v="280"/>
    <s v="Yes"/>
    <m/>
    <s v="Yes"/>
    <m/>
    <s v="Yes"/>
    <m/>
    <s v="Yes"/>
    <m/>
    <s v="N/A"/>
    <m/>
    <s v="Yes"/>
    <m/>
    <s v="Yes"/>
    <m/>
    <s v="New"/>
    <s v="infasco"/>
    <n v="106.94"/>
    <n v="106.94"/>
  </r>
  <r>
    <x v="16"/>
    <x v="20"/>
    <s v="11546367-MY-AK"/>
    <n v="716370"/>
    <n v="7"/>
    <n v="700"/>
    <n v="4900"/>
    <n v="280"/>
    <s v="Yes"/>
    <m/>
    <s v="Yes"/>
    <m/>
    <s v="Yes"/>
    <m/>
    <s v="Yes"/>
    <m/>
    <s v="N/A"/>
    <m/>
    <s v="Yes"/>
    <m/>
    <s v="Yes"/>
    <m/>
    <s v="Re-certified"/>
    <s v="infasco"/>
    <n v="0"/>
    <n v="0"/>
  </r>
  <r>
    <x v="16"/>
    <x v="21"/>
    <s v="06104725AA"/>
    <n v="716796"/>
    <n v="24"/>
    <n v="2800"/>
    <n v="67200"/>
    <n v="280"/>
    <s v="Yes"/>
    <m/>
    <s v="Yes"/>
    <m/>
    <s v="Yes"/>
    <m/>
    <s v="Yes"/>
    <m/>
    <s v="N/A"/>
    <m/>
    <s v="Yes"/>
    <m/>
    <s v="Yes"/>
    <m/>
    <s v="New"/>
    <s v="infasco"/>
    <n v="106.94"/>
    <n v="106.94"/>
  </r>
  <r>
    <x v="16"/>
    <x v="21"/>
    <s v="06104725AA"/>
    <n v="716789"/>
    <n v="36"/>
    <n v="2800"/>
    <n v="100800"/>
    <n v="280"/>
    <s v="Yes"/>
    <m/>
    <s v="Yes"/>
    <m/>
    <s v="Yes"/>
    <m/>
    <s v="Yes"/>
    <m/>
    <s v="N/A"/>
    <m/>
    <s v="Yes"/>
    <m/>
    <s v="Yes"/>
    <m/>
    <s v="New"/>
    <s v="infasco"/>
    <n v="106.94"/>
    <n v="106.94"/>
  </r>
  <r>
    <x v="16"/>
    <x v="21"/>
    <s v="06104725AA"/>
    <n v="716794"/>
    <n v="20"/>
    <n v="2800"/>
    <n v="56000"/>
    <n v="280"/>
    <s v="Yes"/>
    <m/>
    <s v="Yes"/>
    <m/>
    <s v="Yes"/>
    <m/>
    <s v="Yes"/>
    <m/>
    <s v="N/A"/>
    <m/>
    <s v="Yes"/>
    <m/>
    <s v="Yes"/>
    <m/>
    <s v="Re-certified"/>
    <s v="infasco"/>
    <n v="0"/>
    <n v="0"/>
  </r>
  <r>
    <x v="16"/>
    <x v="25"/>
    <s v="W520101-S437"/>
    <n v="714689"/>
    <n v="22"/>
    <n v="3000"/>
    <n v="66000"/>
    <n v="280"/>
    <s v="Yes"/>
    <m/>
    <s v="Yes"/>
    <m/>
    <s v="Yes"/>
    <m/>
    <s v="Yes"/>
    <m/>
    <s v="N/A"/>
    <m/>
    <s v="Yes"/>
    <m/>
    <s v="Yes"/>
    <m/>
    <s v="Re-certified"/>
    <s v="infasco"/>
    <n v="0"/>
    <n v="0"/>
  </r>
  <r>
    <x v="16"/>
    <x v="14"/>
    <n v="11612078"/>
    <n v="709059"/>
    <n v="6"/>
    <n v="1850"/>
    <n v="11100"/>
    <n v="4"/>
    <s v="Yes"/>
    <m/>
    <s v="Yes"/>
    <m/>
    <s v="Yes"/>
    <m/>
    <s v="Yes"/>
    <m/>
    <s v="N/A"/>
    <m/>
    <s v="Yes"/>
    <m/>
    <s v="Yes"/>
    <m/>
    <s v="New"/>
    <s v="infasco"/>
    <n v="247.64"/>
    <n v="247.64"/>
  </r>
  <r>
    <x v="16"/>
    <x v="14"/>
    <n v="11612078"/>
    <n v="705986"/>
    <n v="17"/>
    <n v="1850"/>
    <n v="31450"/>
    <n v="4"/>
    <s v="Yes"/>
    <m/>
    <s v="Yes"/>
    <m/>
    <s v="Yes"/>
    <m/>
    <s v="Yes"/>
    <m/>
    <s v="N/A"/>
    <m/>
    <s v="Yes"/>
    <m/>
    <s v="Yes"/>
    <m/>
    <s v="Re-certified"/>
    <s v="infasco"/>
    <n v="0"/>
    <n v="0"/>
  </r>
  <r>
    <x v="16"/>
    <x v="15"/>
    <n v="91054"/>
    <n v="714018"/>
    <n v="15"/>
    <n v="1700"/>
    <n v="25500"/>
    <s v="157+245"/>
    <s v="Yes"/>
    <m/>
    <s v="Yes"/>
    <m/>
    <s v="Yes"/>
    <m/>
    <s v="Yes"/>
    <m/>
    <s v="N/A"/>
    <m/>
    <s v="Yes"/>
    <m/>
    <s v="Yes"/>
    <m/>
    <s v="New"/>
    <s v="infasco"/>
    <n v="106.94"/>
    <n v="106.94"/>
  </r>
  <r>
    <x v="16"/>
    <x v="15"/>
    <n v="11546774"/>
    <n v="713586"/>
    <n v="21"/>
    <n v="450"/>
    <n v="9450"/>
    <s v="157+245"/>
    <s v="Yes"/>
    <m/>
    <s v="Yes"/>
    <m/>
    <s v="Yes"/>
    <m/>
    <s v="Yes"/>
    <m/>
    <s v="N/A"/>
    <m/>
    <s v="Yes"/>
    <m/>
    <s v="Yes"/>
    <m/>
    <s v="New"/>
    <s v="infasco"/>
    <n v="106.94"/>
    <n v="106.94"/>
  </r>
  <r>
    <x v="16"/>
    <x v="15"/>
    <s v="06503825-A"/>
    <n v="716542"/>
    <n v="36"/>
    <n v="1500"/>
    <n v="54000"/>
    <s v="157+245"/>
    <s v="Yes"/>
    <m/>
    <s v="Yes"/>
    <m/>
    <s v="Yes"/>
    <m/>
    <s v="Yes"/>
    <m/>
    <s v="N/A"/>
    <m/>
    <s v="Yes"/>
    <m/>
    <s v="Yes"/>
    <m/>
    <s v="New"/>
    <s v="infasco"/>
    <n v="226.94"/>
    <n v="226.94"/>
  </r>
  <r>
    <x v="16"/>
    <x v="15"/>
    <s v="06503825-A"/>
    <n v="716544"/>
    <n v="58"/>
    <n v="1500"/>
    <n v="87000"/>
    <s v="157+245"/>
    <s v="Yes"/>
    <m/>
    <s v="Yes"/>
    <m/>
    <s v="Yes"/>
    <m/>
    <s v="Yes"/>
    <m/>
    <s v="N/A"/>
    <m/>
    <s v="Yes"/>
    <m/>
    <s v="Yes"/>
    <m/>
    <s v="New"/>
    <s v="infasco"/>
    <n v="226.94"/>
    <n v="226.94"/>
  </r>
  <r>
    <x v="16"/>
    <x v="15"/>
    <n v="11609280"/>
    <n v="715993"/>
    <n v="17"/>
    <n v="2000"/>
    <n v="34000"/>
    <s v="157+245"/>
    <s v="Yes"/>
    <m/>
    <s v="Yes"/>
    <m/>
    <s v="Yes"/>
    <m/>
    <s v="Yes"/>
    <m/>
    <s v="N/A"/>
    <m/>
    <s v="Yes"/>
    <m/>
    <s v="Yes"/>
    <m/>
    <s v="New"/>
    <s v="infasco"/>
    <n v="106.94"/>
    <n v="106.94"/>
  </r>
  <r>
    <x v="16"/>
    <x v="15"/>
    <s v="W520217-S440"/>
    <n v="715987"/>
    <n v="40"/>
    <n v="135"/>
    <n v="5400"/>
    <s v="157+245"/>
    <s v="Yes"/>
    <m/>
    <s v="Yes"/>
    <m/>
    <s v="Yes"/>
    <m/>
    <s v="Yes"/>
    <m/>
    <s v="N/A"/>
    <m/>
    <s v="Yes"/>
    <m/>
    <s v="Yes"/>
    <m/>
    <s v="New"/>
    <s v="infasco"/>
    <n v="106.94"/>
    <n v="106.94"/>
  </r>
  <r>
    <x v="16"/>
    <x v="15"/>
    <n v="11547059"/>
    <n v="716255"/>
    <n v="42"/>
    <n v="550"/>
    <n v="23100"/>
    <s v="157+245"/>
    <s v="Yes"/>
    <m/>
    <s v="Yes"/>
    <m/>
    <s v="Yes"/>
    <m/>
    <s v="Yes"/>
    <m/>
    <s v="N/A"/>
    <m/>
    <s v="Yes"/>
    <m/>
    <s v="Yes"/>
    <m/>
    <s v="New"/>
    <s v="infasco"/>
    <n v="135.07999999999998"/>
    <n v="135.07999999999998"/>
  </r>
  <r>
    <x v="16"/>
    <x v="15"/>
    <s v="11546463-TH-TC"/>
    <n v="717147"/>
    <n v="32"/>
    <n v="450"/>
    <n v="14400"/>
    <s v="157+245"/>
    <s v="Yes"/>
    <m/>
    <s v="Yes"/>
    <m/>
    <s v="Yes"/>
    <m/>
    <s v="Yes"/>
    <m/>
    <s v="N/A"/>
    <m/>
    <s v="Yes"/>
    <m/>
    <s v="Yes"/>
    <m/>
    <s v="New"/>
    <s v="infasco"/>
    <n v="106.94"/>
    <n v="106.94"/>
  </r>
  <r>
    <x v="16"/>
    <x v="15"/>
    <s v="11602031-IN-PN"/>
    <n v="717183"/>
    <n v="2"/>
    <n v="145"/>
    <n v="290"/>
    <s v="157+245"/>
    <s v="Yes"/>
    <m/>
    <s v="Yes"/>
    <m/>
    <s v="Yes"/>
    <m/>
    <s v="Yes"/>
    <m/>
    <s v="N/A"/>
    <m/>
    <s v="Yes"/>
    <m/>
    <s v="Yes"/>
    <m/>
    <s v="Re-certified"/>
    <s v="infasco"/>
    <n v="0"/>
    <n v="0"/>
  </r>
  <r>
    <x v="16"/>
    <x v="16"/>
    <n v="91054"/>
    <n v="714019"/>
    <n v="23"/>
    <n v="1700"/>
    <n v="39100"/>
    <s v="285+391"/>
    <s v="Yes"/>
    <m/>
    <s v="Yes"/>
    <m/>
    <s v="Yes"/>
    <m/>
    <s v="Yes"/>
    <m/>
    <s v="N/A"/>
    <m/>
    <s v="Yes"/>
    <m/>
    <s v="Yes"/>
    <m/>
    <s v="New"/>
    <s v="infasco"/>
    <n v="106.94"/>
    <n v="106.94"/>
  </r>
  <r>
    <x v="16"/>
    <x v="16"/>
    <s v="06512834AA"/>
    <n v="716547"/>
    <n v="24"/>
    <n v="290"/>
    <n v="6960"/>
    <s v="285+391"/>
    <s v="Yes"/>
    <m/>
    <s v="Yes"/>
    <m/>
    <s v="Yes"/>
    <m/>
    <s v="Yes"/>
    <m/>
    <s v="N/A"/>
    <m/>
    <s v="Yes"/>
    <m/>
    <s v="Yes"/>
    <m/>
    <s v="New"/>
    <s v="infasco"/>
    <n v="106.94"/>
    <n v="106.94"/>
  </r>
  <r>
    <x v="16"/>
    <x v="16"/>
    <s v="06514720AA"/>
    <n v="716659"/>
    <n v="34"/>
    <n v="1250"/>
    <n v="42500"/>
    <s v="285+391"/>
    <s v="Yes"/>
    <m/>
    <s v="Yes"/>
    <m/>
    <s v="Yes"/>
    <m/>
    <s v="Yes"/>
    <m/>
    <s v="N/A"/>
    <m/>
    <s v="Yes"/>
    <m/>
    <s v="Yes"/>
    <m/>
    <s v="New"/>
    <s v="infasco"/>
    <n v="135.07999999999998"/>
    <n v="135.07999999999998"/>
  </r>
  <r>
    <x v="16"/>
    <x v="16"/>
    <s v="06105051AA"/>
    <n v="716534"/>
    <n v="34"/>
    <n v="620"/>
    <n v="21080"/>
    <s v="285+391"/>
    <s v="Yes"/>
    <m/>
    <s v="Yes"/>
    <m/>
    <s v="Yes"/>
    <m/>
    <s v="Yes"/>
    <m/>
    <s v="N/A"/>
    <m/>
    <s v="Yes"/>
    <m/>
    <s v="Yes"/>
    <m/>
    <s v="New"/>
    <s v="infasco"/>
    <n v="135.07999999999998"/>
    <n v="135.07999999999998"/>
  </r>
  <r>
    <x v="16"/>
    <x v="16"/>
    <s v="11546369-MY-AK"/>
    <n v="715953"/>
    <n v="29"/>
    <n v="300"/>
    <n v="8700"/>
    <s v="285+391"/>
    <s v="Yes"/>
    <m/>
    <s v="Yes"/>
    <m/>
    <s v="Yes"/>
    <m/>
    <s v="Yes"/>
    <m/>
    <s v="N/A"/>
    <m/>
    <s v="Yes"/>
    <m/>
    <s v="Yes"/>
    <m/>
    <s v="New"/>
    <s v="infasco"/>
    <n v="106.94"/>
    <n v="106.94"/>
  </r>
  <r>
    <x v="16"/>
    <x v="16"/>
    <s v="06105051AA"/>
    <n v="716533"/>
    <n v="19"/>
    <n v="620"/>
    <n v="11780"/>
    <s v="285+391"/>
    <s v="Yes"/>
    <m/>
    <s v="Yes"/>
    <m/>
    <s v="Yes"/>
    <m/>
    <s v="Yes"/>
    <m/>
    <s v="N/A"/>
    <m/>
    <s v="Yes"/>
    <m/>
    <s v="Yes"/>
    <m/>
    <s v="New"/>
    <s v="infasco"/>
    <n v="135.07999999999998"/>
    <n v="135.07999999999998"/>
  </r>
  <r>
    <x v="16"/>
    <x v="16"/>
    <s v="11547369-BR-HA"/>
    <n v="716038"/>
    <n v="41"/>
    <n v="250"/>
    <n v="10250"/>
    <s v="285+391"/>
    <s v="Yes"/>
    <m/>
    <s v="Yes"/>
    <m/>
    <s v="Yes"/>
    <m/>
    <s v="Yes"/>
    <m/>
    <s v="N/A"/>
    <m/>
    <s v="Yes"/>
    <m/>
    <s v="Yes"/>
    <m/>
    <s v="New"/>
    <s v="infasco"/>
    <n v="106.94"/>
    <n v="106.94"/>
  </r>
  <r>
    <x v="16"/>
    <x v="16"/>
    <n v="11609280"/>
    <n v="716740"/>
    <n v="27"/>
    <n v="2000"/>
    <n v="54000"/>
    <s v="285+391"/>
    <s v="Yes"/>
    <m/>
    <s v="Yes"/>
    <m/>
    <s v="Yes"/>
    <m/>
    <s v="Yes"/>
    <m/>
    <s v="N/A"/>
    <m/>
    <s v="Yes"/>
    <m/>
    <s v="Yes"/>
    <m/>
    <s v="New"/>
    <s v="infasco"/>
    <n v="106.94"/>
    <n v="106.94"/>
  </r>
  <r>
    <x v="16"/>
    <x v="16"/>
    <s v="11502717-TH-TC"/>
    <n v="717541"/>
    <n v="24"/>
    <n v="1300"/>
    <n v="31200"/>
    <s v="285+391"/>
    <s v="Yes"/>
    <m/>
    <s v="Yes"/>
    <m/>
    <s v="Yes"/>
    <m/>
    <s v="Yes"/>
    <m/>
    <s v="N/A"/>
    <m/>
    <s v="Yes"/>
    <m/>
    <s v="Yes"/>
    <m/>
    <s v="New"/>
    <s v="infasco"/>
    <n v="129.44999999999999"/>
    <n v="129.44999999999999"/>
  </r>
  <r>
    <x v="16"/>
    <x v="16"/>
    <s v="11502717-TH-TC"/>
    <n v="717542"/>
    <n v="19"/>
    <n v="1300"/>
    <n v="24700"/>
    <s v="285+391"/>
    <s v="Yes"/>
    <m/>
    <s v="Yes"/>
    <m/>
    <s v="Yes"/>
    <m/>
    <s v="Yes"/>
    <m/>
    <s v="N/A"/>
    <m/>
    <s v="Yes"/>
    <m/>
    <s v="Yes"/>
    <m/>
    <s v="New"/>
    <s v="infasco"/>
    <n v="129.44999999999999"/>
    <n v="129.44999999999999"/>
  </r>
  <r>
    <x v="16"/>
    <x v="17"/>
    <n v="91054"/>
    <n v="714020"/>
    <n v="27"/>
    <n v="1700"/>
    <n v="45900"/>
    <s v="190+268"/>
    <s v="Yes"/>
    <m/>
    <s v="Yes"/>
    <m/>
    <s v="Yes"/>
    <m/>
    <s v="Yes"/>
    <m/>
    <s v="N/A"/>
    <m/>
    <s v="Yes"/>
    <m/>
    <s v="Yes"/>
    <m/>
    <s v="New"/>
    <s v="infasco"/>
    <n v="106.94"/>
    <n v="106.94"/>
  </r>
  <r>
    <x v="16"/>
    <x v="17"/>
    <s v="55364498AA"/>
    <n v="716578"/>
    <n v="22"/>
    <n v="520"/>
    <n v="11440"/>
    <s v="190+268"/>
    <s v="Yes"/>
    <m/>
    <s v="Yes"/>
    <m/>
    <s v="Yes"/>
    <m/>
    <s v="Yes"/>
    <m/>
    <s v="N/A"/>
    <m/>
    <s v="Yes"/>
    <m/>
    <s v="Yes"/>
    <m/>
    <s v="New"/>
    <s v="infasco"/>
    <n v="135.07999999999998"/>
    <n v="135.07999999999998"/>
  </r>
  <r>
    <x v="16"/>
    <x v="17"/>
    <s v="06503825-A"/>
    <n v="716543"/>
    <n v="43"/>
    <n v="1500"/>
    <n v="64500"/>
    <s v="190+268"/>
    <s v="Yes"/>
    <m/>
    <s v="Yes"/>
    <m/>
    <s v="Yes"/>
    <m/>
    <s v="Yes"/>
    <m/>
    <s v="N/A"/>
    <m/>
    <s v="Yes"/>
    <m/>
    <s v="Yes"/>
    <m/>
    <s v="New"/>
    <s v="infasco"/>
    <n v="226.94"/>
    <n v="226.94"/>
  </r>
  <r>
    <x v="16"/>
    <x v="17"/>
    <n v="11609280"/>
    <n v="716739"/>
    <n v="22"/>
    <n v="2000"/>
    <n v="44000"/>
    <s v="190+268"/>
    <s v="Yes"/>
    <m/>
    <s v="Yes"/>
    <m/>
    <s v="Yes"/>
    <m/>
    <s v="Yes"/>
    <m/>
    <s v="N/A"/>
    <m/>
    <s v="Yes"/>
    <m/>
    <s v="Yes"/>
    <m/>
    <s v="New"/>
    <s v="infasco"/>
    <n v="106.94"/>
    <n v="106.94"/>
  </r>
  <r>
    <x v="16"/>
    <x v="17"/>
    <s v="W520217-S440"/>
    <n v="715986"/>
    <n v="33"/>
    <n v="135"/>
    <n v="4455"/>
    <s v="190+268"/>
    <s v="Yes"/>
    <m/>
    <s v="Yes"/>
    <m/>
    <s v="Yes"/>
    <m/>
    <s v="Yes"/>
    <m/>
    <s v="N/A"/>
    <m/>
    <s v="Yes"/>
    <m/>
    <s v="Yes"/>
    <m/>
    <s v="New"/>
    <s v="infasco"/>
    <n v="106.94"/>
    <n v="106.94"/>
  </r>
  <r>
    <x v="16"/>
    <x v="17"/>
    <s v="06101736-A"/>
    <n v="717112"/>
    <n v="31"/>
    <n v="3200"/>
    <n v="99200"/>
    <s v="190+268"/>
    <s v="Yes"/>
    <m/>
    <s v="Yes"/>
    <m/>
    <s v="Yes"/>
    <m/>
    <s v="Yes"/>
    <m/>
    <s v="N/A"/>
    <m/>
    <s v="Yes"/>
    <m/>
    <s v="Yes"/>
    <m/>
    <s v="New"/>
    <s v="infasco"/>
    <n v="106.94"/>
    <n v="106.94"/>
  </r>
  <r>
    <x v="16"/>
    <x v="17"/>
    <s v="W520217-S440"/>
    <n v="715985"/>
    <n v="36"/>
    <n v="135"/>
    <n v="4860"/>
    <s v="190+268"/>
    <s v="Yes"/>
    <m/>
    <s v="Yes"/>
    <m/>
    <s v="Yes"/>
    <m/>
    <s v="Yes"/>
    <m/>
    <s v="N/A"/>
    <m/>
    <s v="Yes"/>
    <m/>
    <s v="Yes"/>
    <m/>
    <s v="New"/>
    <s v="infasco"/>
    <n v="106.94"/>
    <n v="106.94"/>
  </r>
  <r>
    <x v="16"/>
    <x v="17"/>
    <s v="11546463-TH-TC"/>
    <n v="717149"/>
    <n v="18"/>
    <n v="450"/>
    <n v="8100"/>
    <s v="190+268"/>
    <s v="Yes"/>
    <m/>
    <s v="Yes"/>
    <m/>
    <s v="Yes"/>
    <m/>
    <s v="Yes"/>
    <m/>
    <s v="N/A"/>
    <m/>
    <s v="Yes"/>
    <m/>
    <s v="Yes"/>
    <m/>
    <s v="Re-certified"/>
    <s v="infasco"/>
    <n v="0"/>
    <n v="0"/>
  </r>
  <r>
    <x v="16"/>
    <x v="32"/>
    <s v="06512834AA"/>
    <n v="716548"/>
    <n v="23"/>
    <n v="290"/>
    <n v="6670"/>
    <s v="294+252"/>
    <s v="Yes"/>
    <m/>
    <s v="Yes"/>
    <m/>
    <s v="Yes"/>
    <m/>
    <s v="Yes"/>
    <m/>
    <s v="N/A"/>
    <m/>
    <s v="Yes"/>
    <m/>
    <s v="Yes"/>
    <m/>
    <s v="New"/>
    <s v="infasco"/>
    <n v="106.94"/>
    <n v="106.94"/>
  </r>
  <r>
    <x v="16"/>
    <x v="32"/>
    <s v="06506707AA"/>
    <n v="716530"/>
    <n v="34"/>
    <n v="820"/>
    <n v="27880"/>
    <s v="294+252"/>
    <s v="Yes"/>
    <m/>
    <s v="Yes"/>
    <m/>
    <s v="Yes"/>
    <m/>
    <s v="Yes"/>
    <m/>
    <s v="N/A"/>
    <m/>
    <s v="Yes"/>
    <m/>
    <s v="Yes"/>
    <m/>
    <s v="New"/>
    <s v="infasco"/>
    <n v="106.94"/>
    <n v="106.94"/>
  </r>
  <r>
    <x v="16"/>
    <x v="32"/>
    <s v="06514720AA"/>
    <n v="716660"/>
    <n v="32"/>
    <n v="1250"/>
    <n v="40000"/>
    <s v="294+252"/>
    <s v="Yes"/>
    <m/>
    <s v="Yes"/>
    <m/>
    <s v="Yes"/>
    <m/>
    <s v="Yes"/>
    <m/>
    <s v="N/A"/>
    <m/>
    <s v="Yes"/>
    <m/>
    <s v="Yes"/>
    <m/>
    <s v="New"/>
    <s v="infasco"/>
    <n v="135.07999999999998"/>
    <n v="135.07999999999998"/>
  </r>
  <r>
    <x v="16"/>
    <x v="32"/>
    <s v="85158B"/>
    <n v="716579"/>
    <n v="33"/>
    <n v="600"/>
    <n v="19800"/>
    <s v="294+252"/>
    <s v="Yes"/>
    <m/>
    <s v="Yes"/>
    <m/>
    <s v="Yes"/>
    <m/>
    <s v="Yes"/>
    <m/>
    <s v="N/A"/>
    <m/>
    <s v="Yes"/>
    <m/>
    <s v="Yes"/>
    <m/>
    <s v="New"/>
    <s v="infasco"/>
    <n v="106.94"/>
    <n v="106.94"/>
  </r>
  <r>
    <x v="16"/>
    <x v="32"/>
    <s v="55364498AA"/>
    <n v="716577"/>
    <n v="25"/>
    <n v="520"/>
    <n v="13000"/>
    <s v="294+252"/>
    <s v="Yes"/>
    <m/>
    <s v="Yes"/>
    <m/>
    <s v="Yes"/>
    <m/>
    <s v="Yes"/>
    <m/>
    <s v="N/A"/>
    <m/>
    <s v="Yes"/>
    <m/>
    <s v="Yes"/>
    <m/>
    <s v="New"/>
    <s v="infasco"/>
    <n v="135.07999999999998"/>
    <n v="135.07999999999998"/>
  </r>
  <r>
    <x v="16"/>
    <x v="32"/>
    <s v="11547369-BR-HA"/>
    <n v="716040"/>
    <n v="38"/>
    <n v="250"/>
    <n v="9500"/>
    <s v="294+252"/>
    <s v="Yes"/>
    <m/>
    <s v="Yes"/>
    <m/>
    <s v="Yes"/>
    <m/>
    <s v="Yes"/>
    <m/>
    <s v="N/A"/>
    <m/>
    <s v="Yes"/>
    <m/>
    <s v="Yes"/>
    <m/>
    <s v="New"/>
    <s v="infasco"/>
    <n v="106.94"/>
    <n v="106.94"/>
  </r>
  <r>
    <x v="16"/>
    <x v="32"/>
    <s v="11547369-BR-HA"/>
    <n v="716030"/>
    <n v="38"/>
    <n v="250"/>
    <n v="9500"/>
    <s v="294+252"/>
    <s v="Yes"/>
    <m/>
    <s v="Yes"/>
    <m/>
    <s v="Yes"/>
    <m/>
    <s v="Yes"/>
    <m/>
    <s v="N/A"/>
    <m/>
    <s v="Yes"/>
    <m/>
    <s v="Yes"/>
    <m/>
    <s v="New"/>
    <s v="infasco"/>
    <n v="106.94"/>
    <n v="106.94"/>
  </r>
  <r>
    <x v="16"/>
    <x v="32"/>
    <n v="11609280"/>
    <n v="715992"/>
    <n v="33"/>
    <n v="2000"/>
    <n v="66000"/>
    <s v="294+252"/>
    <s v="Yes"/>
    <m/>
    <s v="Yes"/>
    <m/>
    <s v="Yes"/>
    <m/>
    <s v="Yes"/>
    <m/>
    <s v="N/A"/>
    <m/>
    <s v="Yes"/>
    <m/>
    <s v="Yes"/>
    <m/>
    <s v="New"/>
    <s v="infasco"/>
    <n v="106.94"/>
    <n v="106.94"/>
  </r>
  <r>
    <x v="16"/>
    <x v="32"/>
    <s v="85158B"/>
    <n v="716580"/>
    <n v="41"/>
    <n v="600"/>
    <n v="24600"/>
    <s v="294+252"/>
    <s v="Yes"/>
    <m/>
    <s v="Yes"/>
    <m/>
    <s v="Yes"/>
    <m/>
    <s v="Yes"/>
    <m/>
    <s v="N/A"/>
    <m/>
    <s v="Yes"/>
    <m/>
    <s v="Yes"/>
    <m/>
    <s v="New"/>
    <s v="infasco"/>
    <n v="106.94"/>
    <n v="106.94"/>
  </r>
  <r>
    <x v="16"/>
    <x v="32"/>
    <n v="11547059"/>
    <n v="716254"/>
    <n v="48"/>
    <n v="550"/>
    <n v="26400"/>
    <s v="294+252"/>
    <s v="Yes"/>
    <m/>
    <s v="Yes"/>
    <m/>
    <s v="Yes"/>
    <m/>
    <s v="Yes"/>
    <m/>
    <s v="N/A"/>
    <m/>
    <s v="Yes"/>
    <m/>
    <s v="Yes"/>
    <m/>
    <s v="New"/>
    <s v="infasco"/>
    <n v="135.07999999999998"/>
    <n v="135.07999999999998"/>
  </r>
  <r>
    <x v="16"/>
    <x v="13"/>
    <n v="91054"/>
    <n v="714021"/>
    <n v="8"/>
    <n v="1700"/>
    <n v="13600"/>
    <n v="11"/>
    <s v="Yes"/>
    <m/>
    <s v="Yes"/>
    <m/>
    <s v="Yes"/>
    <m/>
    <s v="Yes"/>
    <m/>
    <s v="N/A"/>
    <m/>
    <s v="Yes"/>
    <m/>
    <s v="Yes"/>
    <m/>
    <s v="New"/>
    <s v="infasco"/>
    <n v="106.94"/>
    <n v="106.94"/>
  </r>
  <r>
    <x v="16"/>
    <x v="13"/>
    <n v="90280051"/>
    <n v="716540"/>
    <n v="24"/>
    <n v="4000"/>
    <n v="96000"/>
    <n v="11"/>
    <s v="Yes"/>
    <m/>
    <s v="Yes"/>
    <m/>
    <s v="Yes"/>
    <m/>
    <s v="Yes"/>
    <m/>
    <s v="N/A"/>
    <m/>
    <s v="Yes"/>
    <m/>
    <s v="Yes"/>
    <m/>
    <s v="New"/>
    <s v="infasco"/>
    <n v="106.94"/>
    <n v="106.94"/>
  </r>
  <r>
    <x v="16"/>
    <x v="13"/>
    <s v="06503825-A"/>
    <n v="716541"/>
    <n v="33"/>
    <n v="1500"/>
    <n v="49500"/>
    <n v="11"/>
    <s v="Yes"/>
    <m/>
    <s v="Yes"/>
    <m/>
    <s v="Yes"/>
    <m/>
    <s v="Yes"/>
    <m/>
    <s v="N/A"/>
    <m/>
    <s v="Yes"/>
    <m/>
    <s v="Yes"/>
    <m/>
    <s v="New"/>
    <s v="infasco"/>
    <n v="226.94"/>
    <n v="226.94"/>
  </r>
  <r>
    <x v="16"/>
    <x v="13"/>
    <s v="11546369-MY-AK"/>
    <n v="715952"/>
    <n v="37"/>
    <n v="300"/>
    <n v="11100"/>
    <n v="11"/>
    <s v="Yes"/>
    <m/>
    <s v="Yes"/>
    <m/>
    <s v="Yes"/>
    <m/>
    <s v="Yes"/>
    <m/>
    <s v="N/A"/>
    <m/>
    <s v="Yes"/>
    <m/>
    <s v="Yes"/>
    <m/>
    <s v="New"/>
    <s v="infasco"/>
    <n v="106.94"/>
    <n v="106.94"/>
  </r>
  <r>
    <x v="16"/>
    <x v="13"/>
    <s v="06514720AA"/>
    <n v="716657"/>
    <n v="37"/>
    <n v="1250"/>
    <n v="46250"/>
    <n v="11"/>
    <s v="Yes"/>
    <m/>
    <s v="Yes"/>
    <m/>
    <s v="Yes"/>
    <m/>
    <s v="Yes"/>
    <m/>
    <s v="N/A"/>
    <m/>
    <s v="Yes"/>
    <m/>
    <s v="Yes"/>
    <m/>
    <s v="New"/>
    <s v="infasco"/>
    <n v="135.07999999999998"/>
    <n v="135.07999999999998"/>
  </r>
  <r>
    <x v="16"/>
    <x v="13"/>
    <s v="11546463-TH-TC"/>
    <n v="717145"/>
    <n v="14"/>
    <n v="450"/>
    <n v="6300"/>
    <n v="11"/>
    <s v="Yes"/>
    <m/>
    <s v="Yes"/>
    <m/>
    <s v="Yes"/>
    <m/>
    <s v="Yes"/>
    <m/>
    <s v="N/A"/>
    <m/>
    <s v="Yes"/>
    <m/>
    <s v="Yes"/>
    <m/>
    <s v="Re-certified"/>
    <s v="infasco"/>
    <n v="0"/>
    <n v="0"/>
  </r>
  <r>
    <x v="16"/>
    <x v="19"/>
    <s v="715150010W"/>
    <n v="717442"/>
    <n v="14"/>
    <n v="2500"/>
    <n v="35000"/>
    <n v="272"/>
    <s v="Yes"/>
    <m/>
    <s v="Yes"/>
    <m/>
    <s v="Yes"/>
    <m/>
    <s v="Yes"/>
    <m/>
    <s v="N/A"/>
    <m/>
    <s v="Yes"/>
    <m/>
    <s v="Yes"/>
    <m/>
    <s v="New"/>
    <s v="infasco"/>
    <n v="106.94"/>
    <n v="106.94"/>
  </r>
  <r>
    <x v="16"/>
    <x v="19"/>
    <s v="11549168-CA-IN"/>
    <n v="710824"/>
    <n v="4"/>
    <n v="1000"/>
    <n v="4000"/>
    <n v="272"/>
    <s v="Yes"/>
    <m/>
    <s v="Yes"/>
    <m/>
    <s v="Yes"/>
    <m/>
    <s v="Yes"/>
    <m/>
    <s v="N/A"/>
    <m/>
    <s v="Yes"/>
    <m/>
    <s v="Yes"/>
    <m/>
    <s v="Re-certified"/>
    <s v="infasco"/>
    <n v="0"/>
    <n v="0"/>
  </r>
  <r>
    <x v="17"/>
    <x v="6"/>
    <s v="06101968-A"/>
    <n v="716862"/>
    <n v="36"/>
    <n v="2200"/>
    <n v="79200"/>
    <n v="275"/>
    <s v="Yes"/>
    <m/>
    <s v="Yes"/>
    <m/>
    <s v="Yes"/>
    <m/>
    <s v="Yes"/>
    <m/>
    <s v="N/A"/>
    <m/>
    <s v="Yes"/>
    <m/>
    <s v="Yes"/>
    <m/>
    <s v="New"/>
    <s v="infasco"/>
    <n v="106.94"/>
    <n v="106.94"/>
  </r>
  <r>
    <x v="17"/>
    <x v="6"/>
    <s v="06101968-A"/>
    <n v="716863"/>
    <n v="10"/>
    <n v="2200"/>
    <n v="22000"/>
    <n v="275"/>
    <s v="Yes"/>
    <m/>
    <s v="Yes"/>
    <m/>
    <s v="Yes"/>
    <m/>
    <s v="Yes"/>
    <m/>
    <s v="N/A"/>
    <m/>
    <s v="Yes"/>
    <m/>
    <s v="Yes"/>
    <m/>
    <s v="Re-certified"/>
    <s v="infasco"/>
    <n v="0"/>
    <n v="0"/>
  </r>
  <r>
    <x v="17"/>
    <x v="12"/>
    <n v="11546462"/>
    <n v="717081"/>
    <n v="20"/>
    <n v="650"/>
    <n v="13000"/>
    <n v="275"/>
    <s v="Yes"/>
    <m/>
    <s v="Yes"/>
    <m/>
    <s v="Yes"/>
    <m/>
    <s v="Yes"/>
    <m/>
    <s v="N/A"/>
    <m/>
    <s v="Yes"/>
    <m/>
    <s v="Yes"/>
    <m/>
    <s v="New"/>
    <s v="infasco"/>
    <n v="106.94"/>
    <n v="106.94"/>
  </r>
  <r>
    <x v="17"/>
    <x v="12"/>
    <n v="11546462"/>
    <n v="717079"/>
    <n v="30"/>
    <n v="650"/>
    <n v="19500"/>
    <n v="275"/>
    <s v="Yes"/>
    <m/>
    <s v="Yes"/>
    <m/>
    <s v="Yes"/>
    <m/>
    <s v="Yes"/>
    <m/>
    <s v="N/A"/>
    <m/>
    <s v="Yes"/>
    <m/>
    <s v="Yes"/>
    <m/>
    <s v="New"/>
    <s v="infasco"/>
    <n v="106.94"/>
    <n v="106.94"/>
  </r>
  <r>
    <x v="17"/>
    <x v="12"/>
    <n v="11546463"/>
    <n v="717061"/>
    <n v="20"/>
    <n v="450"/>
    <n v="9000"/>
    <n v="275"/>
    <s v="Yes"/>
    <m/>
    <s v="Yes"/>
    <m/>
    <s v="Yes"/>
    <m/>
    <s v="Yes"/>
    <m/>
    <s v="N/A"/>
    <m/>
    <s v="Yes"/>
    <m/>
    <s v="Yes"/>
    <m/>
    <s v="Re-certified"/>
    <s v="infasco"/>
    <n v="0"/>
    <n v="0"/>
  </r>
  <r>
    <x v="17"/>
    <x v="8"/>
    <s v="H62534A"/>
    <n v="716773"/>
    <n v="11"/>
    <n v="750"/>
    <n v="8250"/>
    <n v="275"/>
    <s v="Yes"/>
    <m/>
    <s v="Yes"/>
    <m/>
    <s v="Yes"/>
    <m/>
    <s v="Yes"/>
    <m/>
    <s v="N/A"/>
    <m/>
    <s v="Yes"/>
    <m/>
    <s v="Yes"/>
    <m/>
    <s v="New"/>
    <s v="infasco"/>
    <n v="106.94"/>
    <n v="106.94"/>
  </r>
  <r>
    <x v="17"/>
    <x v="8"/>
    <s v="H62534A"/>
    <n v="716774"/>
    <n v="23"/>
    <n v="750"/>
    <n v="17250"/>
    <n v="275"/>
    <s v="Yes"/>
    <m/>
    <s v="Yes"/>
    <m/>
    <s v="Yes"/>
    <m/>
    <s v="Yes"/>
    <m/>
    <s v="N/A"/>
    <m/>
    <s v="Yes"/>
    <m/>
    <s v="Yes"/>
    <m/>
    <s v="New"/>
    <s v="infasco"/>
    <n v="106.94"/>
    <n v="106.94"/>
  </r>
  <r>
    <x v="17"/>
    <x v="8"/>
    <n v="11546463"/>
    <n v="717064"/>
    <n v="20"/>
    <n v="450"/>
    <n v="9000"/>
    <n v="275"/>
    <s v="Yes"/>
    <m/>
    <s v="Yes"/>
    <m/>
    <s v="Yes"/>
    <m/>
    <s v="Yes"/>
    <m/>
    <s v="N/A"/>
    <m/>
    <s v="Yes"/>
    <m/>
    <s v="Yes"/>
    <m/>
    <s v="Re-certified"/>
    <s v="infasco"/>
    <n v="0"/>
    <n v="0"/>
  </r>
  <r>
    <x v="17"/>
    <x v="11"/>
    <n v="11546437"/>
    <n v="716757"/>
    <n v="42"/>
    <n v="1500"/>
    <n v="63000"/>
    <n v="275"/>
    <s v="Yes"/>
    <m/>
    <s v="Yes"/>
    <m/>
    <s v="Yes"/>
    <m/>
    <s v="Yes"/>
    <m/>
    <s v="N/A"/>
    <m/>
    <s v="Yes"/>
    <m/>
    <s v="Yes"/>
    <m/>
    <s v="New"/>
    <s v="infasco"/>
    <n v="106.94"/>
    <n v="106.94"/>
  </r>
  <r>
    <x v="17"/>
    <x v="11"/>
    <n v="11546437"/>
    <n v="716764"/>
    <n v="18"/>
    <n v="1500"/>
    <n v="27000"/>
    <n v="275"/>
    <s v="Yes"/>
    <m/>
    <s v="Yes"/>
    <m/>
    <s v="Yes"/>
    <m/>
    <s v="Yes"/>
    <m/>
    <s v="N/A"/>
    <m/>
    <s v="Yes"/>
    <m/>
    <s v="Yes"/>
    <m/>
    <s v="Re-certified"/>
    <s v="infasco"/>
    <n v="0"/>
    <n v="0"/>
  </r>
  <r>
    <x v="17"/>
    <x v="9"/>
    <s v="06104725AA"/>
    <n v="716795"/>
    <n v="32"/>
    <n v="2800"/>
    <n v="89600"/>
    <n v="275"/>
    <s v="Yes"/>
    <m/>
    <s v="Yes"/>
    <m/>
    <s v="Yes"/>
    <m/>
    <s v="Yes"/>
    <m/>
    <s v="N/A"/>
    <m/>
    <s v="Yes"/>
    <m/>
    <s v="Yes"/>
    <m/>
    <s v="New"/>
    <s v="infasco"/>
    <n v="106.94"/>
    <n v="106.94"/>
  </r>
  <r>
    <x v="17"/>
    <x v="10"/>
    <n v="11546437"/>
    <n v="716762"/>
    <n v="44"/>
    <n v="1500"/>
    <n v="66000"/>
    <n v="275"/>
    <s v="Yes"/>
    <m/>
    <s v="Yes"/>
    <m/>
    <s v="Yes"/>
    <m/>
    <s v="Yes"/>
    <m/>
    <s v="N/A"/>
    <m/>
    <s v="Yes"/>
    <m/>
    <s v="Yes"/>
    <m/>
    <s v="New"/>
    <s v="infasco"/>
    <n v="106.94"/>
    <n v="106.94"/>
  </r>
  <r>
    <x v="17"/>
    <x v="10"/>
    <n v="11546437"/>
    <n v="716765"/>
    <n v="18"/>
    <n v="1500"/>
    <n v="27000"/>
    <n v="275"/>
    <s v="Yes"/>
    <m/>
    <s v="Yes"/>
    <m/>
    <s v="Yes"/>
    <m/>
    <s v="Yes"/>
    <m/>
    <s v="N/A"/>
    <m/>
    <s v="Yes"/>
    <m/>
    <s v="Yes"/>
    <m/>
    <s v="Re-certified"/>
    <s v="infasco"/>
    <n v="0"/>
    <n v="0"/>
  </r>
  <r>
    <x v="17"/>
    <x v="5"/>
    <s v="06502979-A"/>
    <n v="716545"/>
    <n v="29"/>
    <n v="750"/>
    <n v="21750"/>
    <n v="4"/>
    <s v="Yes"/>
    <m/>
    <s v="Yes"/>
    <m/>
    <s v="Yes"/>
    <m/>
    <s v="Yes"/>
    <m/>
    <s v="N/A"/>
    <m/>
    <s v="Yes"/>
    <m/>
    <s v="Yes"/>
    <m/>
    <s v="New"/>
    <s v="infasco"/>
    <n v="106.94"/>
    <n v="106.94"/>
  </r>
  <r>
    <x v="17"/>
    <x v="5"/>
    <s v="06502979-A"/>
    <n v="716538"/>
    <n v="22"/>
    <n v="750"/>
    <n v="16500"/>
    <n v="4"/>
    <s v="Yes"/>
    <m/>
    <s v="Yes"/>
    <m/>
    <s v="Yes"/>
    <m/>
    <s v="Yes"/>
    <m/>
    <s v="N/A"/>
    <m/>
    <s v="Yes"/>
    <m/>
    <s v="Yes"/>
    <m/>
    <s v="New"/>
    <s v="infasco"/>
    <n v="106.94"/>
    <n v="106.94"/>
  </r>
  <r>
    <x v="17"/>
    <x v="5"/>
    <s v="06502979-A"/>
    <n v="716012"/>
    <n v="6"/>
    <n v="750"/>
    <n v="4500"/>
    <n v="4"/>
    <s v="Yes"/>
    <m/>
    <s v="Yes"/>
    <m/>
    <s v="Yes"/>
    <m/>
    <s v="Yes"/>
    <m/>
    <s v="N/A"/>
    <m/>
    <s v="Yes"/>
    <m/>
    <s v="Yes"/>
    <m/>
    <s v="Re-certified"/>
    <s v="infasco"/>
    <n v="0"/>
    <n v="0"/>
  </r>
  <r>
    <x v="17"/>
    <x v="4"/>
    <s v="06102398AA"/>
    <n v="716536"/>
    <n v="25"/>
    <n v="4800"/>
    <n v="120000"/>
    <n v="4"/>
    <s v="Yes"/>
    <m/>
    <s v="Yes"/>
    <m/>
    <s v="Yes"/>
    <m/>
    <s v="Yes"/>
    <m/>
    <s v="N/A"/>
    <m/>
    <s v="Yes"/>
    <m/>
    <s v="Yes"/>
    <m/>
    <s v="New"/>
    <s v="infasco"/>
    <n v="106.94"/>
    <n v="106.94"/>
  </r>
  <r>
    <x v="17"/>
    <x v="4"/>
    <s v="06102398AA"/>
    <n v="716535"/>
    <n v="11"/>
    <n v="4800"/>
    <n v="52800"/>
    <n v="4"/>
    <s v="Yes"/>
    <m/>
    <s v="Yes"/>
    <m/>
    <s v="Yes"/>
    <m/>
    <s v="Yes"/>
    <m/>
    <s v="N/A"/>
    <m/>
    <s v="Yes"/>
    <m/>
    <s v="Yes"/>
    <m/>
    <s v="Re-certified"/>
    <s v="infasco"/>
    <n v="0"/>
    <n v="0"/>
  </r>
  <r>
    <x v="17"/>
    <x v="0"/>
    <s v="06101968-A"/>
    <n v="716860"/>
    <n v="18"/>
    <n v="2200"/>
    <n v="39600"/>
    <n v="4"/>
    <s v="Yes"/>
    <m/>
    <s v="Yes"/>
    <m/>
    <s v="Yes"/>
    <m/>
    <s v="Yes"/>
    <m/>
    <s v="N/A"/>
    <m/>
    <s v="Yes"/>
    <m/>
    <s v="Yes"/>
    <m/>
    <s v="Re-certified"/>
    <s v="infasco"/>
    <n v="0"/>
    <n v="0"/>
  </r>
  <r>
    <x v="17"/>
    <x v="2"/>
    <s v="11546367-MY-AK"/>
    <n v="716138"/>
    <n v="9"/>
    <n v="700"/>
    <n v="6300"/>
    <n v="4"/>
    <s v="Yes"/>
    <m/>
    <s v="Yes"/>
    <m/>
    <s v="Yes"/>
    <m/>
    <s v="Yes"/>
    <m/>
    <s v="N/A"/>
    <m/>
    <s v="Yes"/>
    <m/>
    <s v="Yes"/>
    <m/>
    <s v="New"/>
    <s v="infasco"/>
    <n v="106.94"/>
    <n v="106.94"/>
  </r>
  <r>
    <x v="17"/>
    <x v="2"/>
    <s v="11546367-MY-AK"/>
    <n v="716383"/>
    <n v="36"/>
    <n v="700"/>
    <n v="25200"/>
    <n v="4"/>
    <s v="Yes"/>
    <m/>
    <s v="Yes"/>
    <m/>
    <s v="Yes"/>
    <m/>
    <s v="Yes"/>
    <m/>
    <s v="N/A"/>
    <m/>
    <s v="Yes"/>
    <m/>
    <s v="Yes"/>
    <m/>
    <s v="New"/>
    <s v="infasco"/>
    <n v="106.94"/>
    <n v="106.94"/>
  </r>
  <r>
    <x v="17"/>
    <x v="1"/>
    <s v="11546365-MY-AK"/>
    <n v="715967"/>
    <n v="2"/>
    <n v="1900"/>
    <n v="3800"/>
    <n v="4"/>
    <s v="Yes"/>
    <m/>
    <s v="Yes"/>
    <m/>
    <s v="Yes"/>
    <m/>
    <s v="Yes"/>
    <m/>
    <s v="N/A"/>
    <m/>
    <s v="Yes"/>
    <m/>
    <s v="Yes"/>
    <m/>
    <s v="New"/>
    <s v="infasco"/>
    <n v="106.94"/>
    <n v="106.94"/>
  </r>
  <r>
    <x v="17"/>
    <x v="1"/>
    <n v="11546377"/>
    <n v="716615"/>
    <n v="16"/>
    <n v="2150"/>
    <n v="34400"/>
    <n v="4"/>
    <s v="Yes"/>
    <m/>
    <s v="Yes"/>
    <m/>
    <s v="Yes"/>
    <m/>
    <s v="Yes"/>
    <m/>
    <s v="N/A"/>
    <m/>
    <s v="Yes"/>
    <m/>
    <s v="Yes"/>
    <m/>
    <s v="Re-certified"/>
    <s v="infasco"/>
    <n v="0"/>
    <n v="0"/>
  </r>
  <r>
    <x v="17"/>
    <x v="3"/>
    <n v="11548414"/>
    <n v="717055"/>
    <n v="21"/>
    <n v="485"/>
    <n v="10185"/>
    <n v="4"/>
    <s v="Yes"/>
    <m/>
    <s v="Yes"/>
    <m/>
    <s v="Yes"/>
    <m/>
    <s v="Yes"/>
    <m/>
    <s v="N/A"/>
    <m/>
    <s v="Yes"/>
    <m/>
    <s v="Yes"/>
    <m/>
    <s v="New"/>
    <s v="infasco"/>
    <n v="106.94"/>
    <n v="106.94"/>
  </r>
  <r>
    <x v="17"/>
    <x v="3"/>
    <n v="11548414"/>
    <n v="717050"/>
    <n v="44"/>
    <n v="485"/>
    <n v="21340"/>
    <n v="4"/>
    <s v="Yes"/>
    <m/>
    <s v="Yes"/>
    <m/>
    <s v="Yes"/>
    <m/>
    <s v="Yes"/>
    <m/>
    <s v="N/A"/>
    <m/>
    <s v="Yes"/>
    <m/>
    <s v="Yes"/>
    <m/>
    <s v="New"/>
    <s v="infasco"/>
    <n v="106.94"/>
    <n v="106.94"/>
  </r>
  <r>
    <x v="17"/>
    <x v="3"/>
    <s v="W705606-S440"/>
    <n v="717755"/>
    <n v="36"/>
    <n v="580"/>
    <n v="20880"/>
    <n v="4"/>
    <s v="Yes"/>
    <m/>
    <s v="Yes"/>
    <m/>
    <s v="Yes"/>
    <m/>
    <s v="Yes"/>
    <m/>
    <s v="N/A"/>
    <m/>
    <s v="Yes"/>
    <m/>
    <s v="Yes"/>
    <m/>
    <s v="New"/>
    <s v="infasco"/>
    <n v="280.15999999999997"/>
    <n v="280.15999999999997"/>
  </r>
  <r>
    <x v="17"/>
    <x v="3"/>
    <s v="W705606-S440"/>
    <n v="717754"/>
    <n v="19"/>
    <n v="580"/>
    <n v="11020"/>
    <n v="4"/>
    <s v="Yes"/>
    <m/>
    <s v="Yes"/>
    <m/>
    <s v="Yes"/>
    <m/>
    <s v="Yes"/>
    <m/>
    <s v="N/A"/>
    <m/>
    <s v="Yes"/>
    <m/>
    <s v="Yes"/>
    <m/>
    <s v="Re-certified"/>
    <s v="infasco"/>
    <n v="0"/>
    <n v="0"/>
  </r>
  <r>
    <x v="17"/>
    <x v="27"/>
    <s v="11546367-MY-AK"/>
    <n v="716369"/>
    <n v="22"/>
    <n v="700"/>
    <n v="15400"/>
    <n v="290"/>
    <s v="Yes"/>
    <m/>
    <s v="Yes"/>
    <m/>
    <s v="Yes"/>
    <m/>
    <s v="Yes"/>
    <m/>
    <s v="N/A"/>
    <m/>
    <s v="Yes"/>
    <m/>
    <s v="Yes"/>
    <m/>
    <s v="New"/>
    <s v="infasco"/>
    <n v="106.94"/>
    <n v="106.94"/>
  </r>
  <r>
    <x v="17"/>
    <x v="27"/>
    <s v="11546367-MY-AK"/>
    <n v="716372"/>
    <n v="2"/>
    <n v="700"/>
    <n v="1400"/>
    <n v="290"/>
    <s v="Yes"/>
    <m/>
    <s v="Yes"/>
    <m/>
    <s v="Yes"/>
    <m/>
    <s v="Yes"/>
    <m/>
    <s v="N/A"/>
    <m/>
    <s v="Yes"/>
    <m/>
    <s v="Yes"/>
    <m/>
    <s v="Re-certified"/>
    <s v="infasco"/>
    <n v="0"/>
    <n v="0"/>
  </r>
  <r>
    <x v="17"/>
    <x v="26"/>
    <s v="11546378-my-ak"/>
    <n v="716466"/>
    <n v="36"/>
    <n v="1250"/>
    <n v="45000"/>
    <n v="290"/>
    <s v="Yes"/>
    <m/>
    <s v="Yes"/>
    <m/>
    <s v="Yes"/>
    <m/>
    <s v="Yes"/>
    <m/>
    <s v="N/A"/>
    <m/>
    <s v="Yes"/>
    <m/>
    <s v="Yes"/>
    <m/>
    <s v="New"/>
    <s v="infasco"/>
    <n v="106.94"/>
    <n v="106.94"/>
  </r>
  <r>
    <x v="17"/>
    <x v="26"/>
    <s v="W705606-S440"/>
    <n v="717753"/>
    <n v="36"/>
    <n v="580"/>
    <n v="20880"/>
    <n v="290"/>
    <s v="Yes"/>
    <m/>
    <s v="Yes"/>
    <m/>
    <s v="Yes"/>
    <m/>
    <s v="Yes"/>
    <m/>
    <s v="N/A"/>
    <m/>
    <s v="Yes"/>
    <m/>
    <s v="Yes"/>
    <m/>
    <s v="New"/>
    <s v="infasco"/>
    <n v="280.15999999999997"/>
    <n v="280.15999999999997"/>
  </r>
  <r>
    <x v="17"/>
    <x v="26"/>
    <s v="W705606-S440"/>
    <n v="717752"/>
    <n v="10"/>
    <n v="580"/>
    <n v="5800"/>
    <n v="290"/>
    <s v="Yes"/>
    <m/>
    <s v="Yes"/>
    <m/>
    <s v="Yes"/>
    <m/>
    <s v="Yes"/>
    <m/>
    <s v="N/A"/>
    <m/>
    <s v="Yes"/>
    <m/>
    <s v="Yes"/>
    <m/>
    <s v="Re-certified"/>
    <s v="infasco"/>
    <n v="0"/>
    <n v="0"/>
  </r>
  <r>
    <x v="17"/>
    <x v="31"/>
    <s v="11546366-MY-AK"/>
    <n v="715949"/>
    <n v="12"/>
    <n v="1000"/>
    <n v="12000"/>
    <n v="290"/>
    <s v="Yes"/>
    <m/>
    <s v="Yes"/>
    <m/>
    <s v="Yes"/>
    <m/>
    <s v="Yes"/>
    <m/>
    <s v="N/A"/>
    <m/>
    <s v="Yes"/>
    <m/>
    <s v="Yes"/>
    <m/>
    <s v="New"/>
    <s v="infasco"/>
    <n v="106.94"/>
    <n v="106.94"/>
  </r>
  <r>
    <x v="17"/>
    <x v="31"/>
    <s v="06101831-A"/>
    <n v="716890"/>
    <n v="36"/>
    <n v="1000"/>
    <n v="36000"/>
    <n v="290"/>
    <s v="Yes"/>
    <m/>
    <s v="Yes"/>
    <m/>
    <s v="Yes"/>
    <m/>
    <s v="Yes"/>
    <m/>
    <s v="N/A"/>
    <m/>
    <s v="Yes"/>
    <m/>
    <s v="Yes"/>
    <m/>
    <s v="New"/>
    <s v="infasco"/>
    <n v="106.94"/>
    <n v="106.94"/>
  </r>
  <r>
    <x v="17"/>
    <x v="31"/>
    <s v="06101831-A"/>
    <n v="716887"/>
    <n v="36"/>
    <n v="1000"/>
    <n v="36000"/>
    <n v="290"/>
    <s v="Yes"/>
    <m/>
    <s v="Yes"/>
    <m/>
    <s v="Yes"/>
    <m/>
    <s v="Yes"/>
    <m/>
    <s v="N/A"/>
    <m/>
    <s v="Yes"/>
    <m/>
    <s v="Yes"/>
    <m/>
    <s v="New"/>
    <s v="infasco"/>
    <n v="106.94"/>
    <n v="106.94"/>
  </r>
  <r>
    <x v="17"/>
    <x v="31"/>
    <s v="06101831-A"/>
    <n v="716897"/>
    <n v="15"/>
    <n v="1000"/>
    <n v="15000"/>
    <n v="290"/>
    <s v="Yes"/>
    <m/>
    <s v="Yes"/>
    <m/>
    <s v="Yes"/>
    <m/>
    <s v="Yes"/>
    <m/>
    <s v="N/A"/>
    <m/>
    <s v="Yes"/>
    <m/>
    <s v="Yes"/>
    <m/>
    <s v="Re-certified"/>
    <s v="infasco"/>
    <n v="0"/>
    <n v="0"/>
  </r>
  <r>
    <x v="17"/>
    <x v="28"/>
    <s v="06509967AA"/>
    <n v="716992"/>
    <n v="19"/>
    <n v="825"/>
    <n v="15675"/>
    <n v="290"/>
    <s v="Yes"/>
    <m/>
    <s v="Yes"/>
    <m/>
    <s v="Yes"/>
    <m/>
    <s v="Yes"/>
    <m/>
    <s v="N/A"/>
    <m/>
    <s v="Yes"/>
    <m/>
    <s v="Yes"/>
    <m/>
    <s v="New"/>
    <s v="infasco"/>
    <n v="280.16000000000003"/>
    <n v="280.16000000000003"/>
  </r>
  <r>
    <x v="17"/>
    <x v="28"/>
    <s v="06509967AA"/>
    <n v="716991"/>
    <n v="8"/>
    <n v="825"/>
    <n v="6600"/>
    <n v="290"/>
    <s v="Yes"/>
    <m/>
    <s v="Yes"/>
    <m/>
    <s v="Yes"/>
    <m/>
    <s v="Yes"/>
    <m/>
    <s v="N/A"/>
    <m/>
    <s v="Yes"/>
    <m/>
    <s v="Yes"/>
    <m/>
    <s v="Re-certified"/>
    <s v="infasco"/>
    <n v="0"/>
    <n v="0"/>
  </r>
  <r>
    <x v="17"/>
    <x v="29"/>
    <n v="11546437"/>
    <n v="716758"/>
    <n v="13"/>
    <n v="1500"/>
    <n v="19500"/>
    <n v="290"/>
    <s v="Yes"/>
    <m/>
    <s v="Yes"/>
    <m/>
    <s v="Yes"/>
    <m/>
    <s v="Yes"/>
    <m/>
    <s v="N/A"/>
    <m/>
    <s v="Yes"/>
    <m/>
    <s v="Yes"/>
    <m/>
    <s v="New"/>
    <s v="infasco"/>
    <n v="106.94"/>
    <n v="106.94"/>
  </r>
  <r>
    <x v="17"/>
    <x v="29"/>
    <n v="11546437"/>
    <n v="716763"/>
    <n v="29"/>
    <n v="1500"/>
    <n v="43500"/>
    <n v="290"/>
    <s v="Yes"/>
    <m/>
    <s v="Yes"/>
    <m/>
    <s v="Yes"/>
    <m/>
    <s v="Yes"/>
    <m/>
    <s v="N/A"/>
    <m/>
    <s v="Yes"/>
    <m/>
    <s v="Yes"/>
    <m/>
    <s v="Re-certified"/>
    <s v="infasco"/>
    <n v="0"/>
    <n v="0"/>
  </r>
  <r>
    <x v="17"/>
    <x v="30"/>
    <n v="11548414"/>
    <n v="717053"/>
    <n v="25"/>
    <n v="485"/>
    <n v="12125"/>
    <n v="290"/>
    <s v="Yes"/>
    <m/>
    <s v="Yes"/>
    <m/>
    <s v="Yes"/>
    <m/>
    <s v="Yes"/>
    <m/>
    <s v="N/A"/>
    <m/>
    <s v="Yes"/>
    <m/>
    <s v="Yes"/>
    <m/>
    <s v="New"/>
    <s v="infasco"/>
    <n v="106.94"/>
    <n v="106.94"/>
  </r>
  <r>
    <x v="17"/>
    <x v="30"/>
    <n v="11548414"/>
    <n v="717054"/>
    <n v="36"/>
    <n v="485"/>
    <n v="17460"/>
    <n v="290"/>
    <s v="Yes"/>
    <m/>
    <s v="Yes"/>
    <m/>
    <s v="Yes"/>
    <m/>
    <s v="Yes"/>
    <m/>
    <s v="N/A"/>
    <m/>
    <s v="Yes"/>
    <m/>
    <s v="Yes"/>
    <m/>
    <s v="New"/>
    <s v="infasco"/>
    <n v="106.94"/>
    <n v="106.94"/>
  </r>
  <r>
    <x v="17"/>
    <x v="30"/>
    <n v="11548414"/>
    <n v="717056"/>
    <n v="3"/>
    <n v="485"/>
    <n v="1455"/>
    <n v="290"/>
    <s v="Yes"/>
    <m/>
    <s v="Yes"/>
    <m/>
    <s v="Yes"/>
    <m/>
    <s v="Yes"/>
    <m/>
    <s v="N/A"/>
    <m/>
    <s v="Yes"/>
    <m/>
    <s v="Yes"/>
    <m/>
    <s v="New"/>
    <s v="infasco"/>
    <n v="106.94"/>
    <n v="106.94"/>
  </r>
  <r>
    <x v="17"/>
    <x v="30"/>
    <s v="06101831-A"/>
    <n v="716889"/>
    <n v="36"/>
    <n v="1000"/>
    <n v="36000"/>
    <n v="290"/>
    <s v="Yes"/>
    <m/>
    <s v="Yes"/>
    <m/>
    <s v="Yes"/>
    <m/>
    <s v="Yes"/>
    <m/>
    <s v="N/A"/>
    <m/>
    <s v="Yes"/>
    <m/>
    <s v="Yes"/>
    <m/>
    <s v="New"/>
    <s v="infasco"/>
    <n v="106.94"/>
    <n v="106.94"/>
  </r>
  <r>
    <x v="17"/>
    <x v="20"/>
    <s v="11546367-MY-AK"/>
    <n v="716370"/>
    <n v="29"/>
    <n v="700"/>
    <n v="20300"/>
    <n v="280"/>
    <s v="Yes"/>
    <m/>
    <s v="Yes"/>
    <m/>
    <s v="Yes"/>
    <m/>
    <s v="Yes"/>
    <m/>
    <s v="N/A"/>
    <m/>
    <s v="Yes"/>
    <m/>
    <s v="Yes"/>
    <m/>
    <s v="New"/>
    <s v="infasco"/>
    <n v="106.94"/>
    <n v="106.94"/>
  </r>
  <r>
    <x v="17"/>
    <x v="20"/>
    <s v="11546367-MY-AK"/>
    <n v="716371"/>
    <n v="7"/>
    <n v="700"/>
    <n v="4900"/>
    <n v="280"/>
    <s v="Yes"/>
    <m/>
    <s v="Yes"/>
    <m/>
    <s v="Yes"/>
    <m/>
    <s v="Yes"/>
    <m/>
    <s v="N/A"/>
    <m/>
    <s v="Yes"/>
    <m/>
    <s v="Yes"/>
    <m/>
    <s v="Re-certified"/>
    <s v="infasco"/>
    <n v="0"/>
    <n v="0"/>
  </r>
  <r>
    <x v="17"/>
    <x v="21"/>
    <s v="06104725AA"/>
    <n v="716794"/>
    <n v="16"/>
    <n v="2800"/>
    <n v="44800"/>
    <n v="280"/>
    <s v="Yes"/>
    <m/>
    <s v="Yes"/>
    <m/>
    <s v="Yes"/>
    <m/>
    <s v="Yes"/>
    <m/>
    <s v="N/A"/>
    <m/>
    <s v="Yes"/>
    <m/>
    <s v="Yes"/>
    <m/>
    <s v="New"/>
    <s v="infasco"/>
    <n v="106.94"/>
    <n v="106.94"/>
  </r>
  <r>
    <x v="17"/>
    <x v="21"/>
    <s v="06104725AA"/>
    <n v="716792"/>
    <n v="42"/>
    <n v="2800"/>
    <n v="117600"/>
    <n v="280"/>
    <s v="Yes"/>
    <m/>
    <s v="Yes"/>
    <m/>
    <s v="Yes"/>
    <m/>
    <s v="Yes"/>
    <m/>
    <s v="N/A"/>
    <m/>
    <s v="Yes"/>
    <m/>
    <s v="Yes"/>
    <m/>
    <s v="New"/>
    <s v="infasco"/>
    <n v="106.94"/>
    <n v="106.94"/>
  </r>
  <r>
    <x v="17"/>
    <x v="21"/>
    <n v="11546456"/>
    <n v="717077"/>
    <n v="24"/>
    <n v="2700"/>
    <n v="64800"/>
    <n v="280"/>
    <s v="Yes"/>
    <m/>
    <s v="Yes"/>
    <m/>
    <s v="Yes"/>
    <m/>
    <s v="Yes"/>
    <m/>
    <s v="N/A"/>
    <m/>
    <s v="Yes"/>
    <m/>
    <s v="Yes"/>
    <m/>
    <s v="Re-certified"/>
    <s v="infasco"/>
    <n v="0"/>
    <n v="0"/>
  </r>
  <r>
    <x v="17"/>
    <x v="23"/>
    <s v="06104725AA"/>
    <n v="716793"/>
    <n v="36"/>
    <n v="2800"/>
    <n v="100800"/>
    <n v="280"/>
    <s v="Yes"/>
    <m/>
    <s v="Yes"/>
    <m/>
    <s v="Yes"/>
    <m/>
    <s v="Yes"/>
    <m/>
    <s v="N/A"/>
    <m/>
    <s v="Yes"/>
    <m/>
    <s v="Yes"/>
    <m/>
    <s v="New"/>
    <s v="infasco"/>
    <n v="106.94"/>
    <n v="106.94"/>
  </r>
  <r>
    <x v="17"/>
    <x v="23"/>
    <n v="11546456"/>
    <n v="717078"/>
    <n v="20"/>
    <n v="2700"/>
    <n v="54000"/>
    <n v="280"/>
    <s v="Yes"/>
    <m/>
    <s v="Yes"/>
    <m/>
    <s v="Yes"/>
    <m/>
    <s v="Yes"/>
    <m/>
    <s v="N/A"/>
    <m/>
    <s v="Yes"/>
    <m/>
    <s v="Yes"/>
    <m/>
    <s v="Re-certified"/>
    <s v="infasco"/>
    <n v="0"/>
    <n v="0"/>
  </r>
  <r>
    <x v="17"/>
    <x v="24"/>
    <s v="11546365-MY-AK"/>
    <n v="715966"/>
    <n v="40"/>
    <n v="1900"/>
    <n v="76000"/>
    <n v="280"/>
    <s v="Yes"/>
    <m/>
    <s v="Yes"/>
    <m/>
    <s v="Yes"/>
    <m/>
    <s v="Yes"/>
    <m/>
    <s v="N/A"/>
    <m/>
    <s v="Yes"/>
    <m/>
    <s v="Yes"/>
    <m/>
    <s v="New"/>
    <s v="infasco"/>
    <n v="106.94"/>
    <n v="106.94"/>
  </r>
  <r>
    <x v="17"/>
    <x v="25"/>
    <s v="W520101-S437"/>
    <n v="714689"/>
    <n v="22"/>
    <n v="3000"/>
    <n v="66000"/>
    <n v="280"/>
    <s v="Yes"/>
    <m/>
    <s v="Yes"/>
    <m/>
    <s v="Yes"/>
    <m/>
    <s v="Yes"/>
    <m/>
    <s v="N/A"/>
    <m/>
    <s v="Yes"/>
    <m/>
    <s v="Yes"/>
    <m/>
    <s v="New"/>
    <s v="infasco"/>
    <n v="106.94"/>
    <n v="106.94"/>
  </r>
  <r>
    <x v="17"/>
    <x v="25"/>
    <s v="06101736-A"/>
    <n v="717111"/>
    <n v="5"/>
    <n v="3200"/>
    <n v="16000"/>
    <n v="280"/>
    <s v="Yes"/>
    <m/>
    <s v="Yes"/>
    <m/>
    <s v="Yes"/>
    <m/>
    <s v="Yes"/>
    <m/>
    <s v="N/A"/>
    <m/>
    <s v="Yes"/>
    <m/>
    <s v="Yes"/>
    <m/>
    <s v="Re-certified"/>
    <s v="infasco"/>
    <n v="0"/>
    <n v="0"/>
  </r>
  <r>
    <x v="17"/>
    <x v="19"/>
    <s v="11549168-CA-IN"/>
    <n v="710824"/>
    <n v="32"/>
    <n v="1000"/>
    <n v="32000"/>
    <n v="272"/>
    <s v="Yes"/>
    <m/>
    <s v="Yes"/>
    <m/>
    <s v="Yes"/>
    <m/>
    <s v="Yes"/>
    <m/>
    <s v="N/A"/>
    <m/>
    <s v="Yes"/>
    <m/>
    <s v="Yes"/>
    <m/>
    <s v="New"/>
    <s v="infasco"/>
    <n v="213.88"/>
    <n v="213.88"/>
  </r>
  <r>
    <x v="17"/>
    <x v="19"/>
    <s v="11549168-CA-IN"/>
    <n v="710690"/>
    <n v="25"/>
    <n v="1000"/>
    <n v="25000"/>
    <n v="272"/>
    <s v="Yes"/>
    <m/>
    <s v="Yes"/>
    <m/>
    <s v="Yes"/>
    <m/>
    <s v="Yes"/>
    <m/>
    <s v="N/A"/>
    <m/>
    <s v="Yes"/>
    <m/>
    <s v="Yes"/>
    <m/>
    <s v="Re-certified"/>
    <s v="infasco"/>
    <n v="0"/>
    <n v="0"/>
  </r>
  <r>
    <x v="17"/>
    <x v="15"/>
    <s v="11602031-IN-PN"/>
    <n v="717183"/>
    <n v="4"/>
    <n v="145"/>
    <n v="580"/>
    <n v="157"/>
    <s v="Yes"/>
    <m/>
    <s v="Yes"/>
    <m/>
    <s v="Yes"/>
    <m/>
    <s v="Yes"/>
    <m/>
    <s v="N/A"/>
    <m/>
    <s v="Yes"/>
    <m/>
    <s v="Yes"/>
    <m/>
    <s v="New"/>
    <s v="infasco"/>
    <n v="106.94"/>
    <n v="106.94"/>
  </r>
  <r>
    <x v="17"/>
    <x v="15"/>
    <s v="N620483-S2"/>
    <n v="716239"/>
    <n v="38"/>
    <n v="600"/>
    <n v="22800"/>
    <n v="157"/>
    <s v="Yes"/>
    <m/>
    <s v="Yes"/>
    <m/>
    <s v="Yes"/>
    <m/>
    <s v="Yes"/>
    <m/>
    <s v="N/A"/>
    <m/>
    <s v="Yes"/>
    <m/>
    <s v="Yes"/>
    <m/>
    <s v="New"/>
    <s v="infasco"/>
    <n v="106.94"/>
    <n v="106.94"/>
  </r>
  <r>
    <x v="17"/>
    <x v="15"/>
    <s v="F1302AB"/>
    <n v="714578"/>
    <n v="32"/>
    <n v="700"/>
    <n v="22400"/>
    <n v="157"/>
    <s v="Yes"/>
    <m/>
    <s v="Yes"/>
    <m/>
    <s v="Yes"/>
    <m/>
    <s v="Yes"/>
    <m/>
    <s v="N/A"/>
    <m/>
    <s v="Yes"/>
    <m/>
    <s v="Yes"/>
    <m/>
    <s v="New"/>
    <s v="infasco"/>
    <n v="135.07999999999998"/>
    <n v="135.07999999999998"/>
  </r>
  <r>
    <x v="17"/>
    <x v="15"/>
    <n v="92468"/>
    <n v="716445"/>
    <n v="29"/>
    <n v="1000"/>
    <n v="29000"/>
    <n v="157"/>
    <s v="Yes"/>
    <m/>
    <s v="Yes"/>
    <m/>
    <s v="Yes"/>
    <m/>
    <s v="Yes"/>
    <m/>
    <s v="N/A"/>
    <m/>
    <s v="Yes"/>
    <m/>
    <s v="Yes"/>
    <m/>
    <s v="New"/>
    <s v="infasco"/>
    <n v="135.07999999999998"/>
    <n v="135.07999999999998"/>
  </r>
  <r>
    <x v="17"/>
    <x v="15"/>
    <s v="F1302AB"/>
    <n v="714576"/>
    <n v="17"/>
    <n v="700"/>
    <n v="11900"/>
    <n v="157"/>
    <s v="Yes"/>
    <m/>
    <s v="Yes"/>
    <m/>
    <s v="Yes"/>
    <m/>
    <s v="Yes"/>
    <m/>
    <s v="N/A"/>
    <m/>
    <s v="Yes"/>
    <m/>
    <s v="Yes"/>
    <m/>
    <s v="New"/>
    <s v="infasco"/>
    <n v="135.07999999999998"/>
    <n v="135.07999999999998"/>
  </r>
  <r>
    <x v="17"/>
    <x v="15"/>
    <s v="W520217-S440"/>
    <n v="715988"/>
    <n v="38"/>
    <n v="135"/>
    <n v="5130"/>
    <s v="157+197"/>
    <s v="Yes"/>
    <m/>
    <s v="Yes"/>
    <m/>
    <s v="Yes"/>
    <m/>
    <s v="Yes"/>
    <m/>
    <s v="N/A"/>
    <m/>
    <s v="Yes"/>
    <m/>
    <s v="Yes"/>
    <m/>
    <s v="New"/>
    <s v="infasco"/>
    <n v="106.94"/>
    <n v="106.94"/>
  </r>
  <r>
    <x v="17"/>
    <x v="15"/>
    <s v="L0668498AA-02"/>
    <n v="714081"/>
    <n v="18"/>
    <n v="4000"/>
    <n v="72000"/>
    <s v="157+197"/>
    <s v="Yes"/>
    <m/>
    <s v="Yes"/>
    <m/>
    <s v="Yes"/>
    <m/>
    <s v="Yes"/>
    <m/>
    <s v="N/A"/>
    <m/>
    <s v="Yes"/>
    <m/>
    <s v="Yes"/>
    <m/>
    <s v="Re-certified"/>
    <e v="#N/A"/>
    <n v="0"/>
    <n v="0"/>
  </r>
  <r>
    <x v="17"/>
    <x v="16"/>
    <n v="92468"/>
    <n v="716446"/>
    <n v="29"/>
    <n v="1000"/>
    <n v="29000"/>
    <s v="285+391"/>
    <s v="Yes"/>
    <m/>
    <s v="Yes"/>
    <m/>
    <s v="Yes"/>
    <m/>
    <s v="Yes"/>
    <m/>
    <s v="N/A"/>
    <m/>
    <s v="Yes"/>
    <m/>
    <s v="Yes"/>
    <m/>
    <s v="New"/>
    <s v="infasco"/>
    <n v="135.07999999999998"/>
    <n v="135.07999999999998"/>
  </r>
  <r>
    <x v="17"/>
    <x v="16"/>
    <s v="06503825-A"/>
    <n v="716005"/>
    <n v="50"/>
    <n v="1500"/>
    <n v="75000"/>
    <s v="285+391"/>
    <s v="Yes"/>
    <m/>
    <s v="Yes"/>
    <m/>
    <s v="Yes"/>
    <m/>
    <s v="Yes"/>
    <m/>
    <s v="N/A"/>
    <m/>
    <s v="Yes"/>
    <m/>
    <s v="Yes"/>
    <m/>
    <s v="New"/>
    <s v="infasco"/>
    <n v="226.94"/>
    <n v="226.94"/>
  </r>
  <r>
    <x v="17"/>
    <x v="16"/>
    <n v="94012078"/>
    <n v="717474"/>
    <n v="23"/>
    <n v="100"/>
    <n v="2300"/>
    <s v="285+391"/>
    <s v="Yes"/>
    <m/>
    <s v="Yes"/>
    <m/>
    <s v="Yes"/>
    <m/>
    <s v="Yes"/>
    <m/>
    <s v="N/A"/>
    <m/>
    <s v="Yes"/>
    <m/>
    <s v="Yes"/>
    <m/>
    <s v="New"/>
    <s v="infasco"/>
    <n v="55.73"/>
    <n v="55.73"/>
  </r>
  <r>
    <x v="17"/>
    <x v="16"/>
    <s v="06512732AA"/>
    <n v="716028"/>
    <n v="24"/>
    <n v="750"/>
    <n v="18000"/>
    <s v="285+391"/>
    <s v="Yes"/>
    <m/>
    <s v="Yes"/>
    <m/>
    <s v="Yes"/>
    <m/>
    <s v="Yes"/>
    <m/>
    <s v="N/A"/>
    <m/>
    <s v="Yes"/>
    <m/>
    <s v="Yes"/>
    <m/>
    <s v="New"/>
    <s v="infasco"/>
    <n v="135.08000000000001"/>
    <n v="135.08000000000001"/>
  </r>
  <r>
    <x v="17"/>
    <x v="16"/>
    <n v="61273"/>
    <n v="716242"/>
    <n v="24"/>
    <n v="300"/>
    <n v="7200"/>
    <s v="285+391"/>
    <s v="Yes"/>
    <m/>
    <s v="Yes"/>
    <m/>
    <s v="Yes"/>
    <m/>
    <s v="Yes"/>
    <m/>
    <s v="N/A"/>
    <m/>
    <s v="Yes"/>
    <m/>
    <s v="Yes"/>
    <m/>
    <s v="New"/>
    <s v="infasco"/>
    <n v="135.07999999999998"/>
    <n v="135.07999999999998"/>
  </r>
  <r>
    <x v="17"/>
    <x v="16"/>
    <s v="11546463-TH-TC"/>
    <n v="717146"/>
    <n v="34"/>
    <n v="450"/>
    <n v="15300"/>
    <s v="285+391"/>
    <s v="Yes"/>
    <m/>
    <s v="Yes"/>
    <m/>
    <s v="Yes"/>
    <m/>
    <s v="Yes"/>
    <m/>
    <s v="N/A"/>
    <m/>
    <s v="Yes"/>
    <m/>
    <s v="Yes"/>
    <m/>
    <s v="New"/>
    <s v="infasco"/>
    <n v="106.94"/>
    <n v="106.94"/>
  </r>
  <r>
    <x v="17"/>
    <x v="16"/>
    <n v="94012078"/>
    <n v="717475"/>
    <n v="24"/>
    <n v="100"/>
    <n v="2400"/>
    <s v="285+391"/>
    <s v="Yes"/>
    <m/>
    <s v="Yes"/>
    <m/>
    <s v="Yes"/>
    <m/>
    <s v="Yes"/>
    <m/>
    <s v="N/A"/>
    <m/>
    <s v="Yes"/>
    <m/>
    <s v="Yes"/>
    <m/>
    <s v="New"/>
    <s v="infasco"/>
    <n v="55.73"/>
    <n v="55.73"/>
  </r>
  <r>
    <x v="17"/>
    <x v="16"/>
    <s v="F1302AB"/>
    <n v="714007"/>
    <n v="36"/>
    <n v="700"/>
    <n v="25200"/>
    <s v="285+391"/>
    <s v="Yes"/>
    <m/>
    <s v="Yes"/>
    <m/>
    <s v="Yes"/>
    <m/>
    <s v="Yes"/>
    <m/>
    <s v="N/A"/>
    <m/>
    <s v="Yes"/>
    <m/>
    <s v="Yes"/>
    <m/>
    <s v="New"/>
    <s v="infasco"/>
    <n v="135.07999999999998"/>
    <n v="135.07999999999998"/>
  </r>
  <r>
    <x v="17"/>
    <x v="16"/>
    <s v="F1302AB"/>
    <n v="714575"/>
    <n v="39"/>
    <n v="700"/>
    <n v="27300"/>
    <s v="285+391"/>
    <s v="Yes"/>
    <m/>
    <s v="Yes"/>
    <m/>
    <s v="Yes"/>
    <m/>
    <s v="Yes"/>
    <m/>
    <s v="N/A"/>
    <m/>
    <s v="Yes"/>
    <m/>
    <s v="Yes"/>
    <m/>
    <s v="New"/>
    <s v="infasco"/>
    <n v="135.07999999999998"/>
    <n v="135.07999999999998"/>
  </r>
  <r>
    <x v="17"/>
    <x v="16"/>
    <n v="11602292"/>
    <n v="716435"/>
    <n v="10"/>
    <n v="1000"/>
    <n v="10000"/>
    <s v="285+391"/>
    <s v="Yes"/>
    <m/>
    <s v="Yes"/>
    <m/>
    <s v="Yes"/>
    <m/>
    <s v="Yes"/>
    <m/>
    <s v="N/A"/>
    <m/>
    <s v="Yes"/>
    <m/>
    <s v="Yes"/>
    <m/>
    <s v="New"/>
    <s v="infasco"/>
    <n v="135.07999999999998"/>
    <n v="135.07999999999998"/>
  </r>
  <r>
    <x v="17"/>
    <x v="17"/>
    <s v="11546463-TH-TC"/>
    <n v="717149"/>
    <n v="15"/>
    <n v="450"/>
    <n v="6750"/>
    <s v="190+268"/>
    <s v="Yes"/>
    <m/>
    <s v="Yes"/>
    <m/>
    <s v="Yes"/>
    <m/>
    <s v="Yes"/>
    <m/>
    <s v="N/A"/>
    <m/>
    <s v="Yes"/>
    <m/>
    <s v="Yes"/>
    <m/>
    <s v="New"/>
    <s v="infasco"/>
    <n v="106.94"/>
    <n v="106.94"/>
  </r>
  <r>
    <x v="17"/>
    <x v="17"/>
    <n v="94012078"/>
    <n v="717472"/>
    <n v="23"/>
    <n v="100"/>
    <n v="2300"/>
    <s v="190+268"/>
    <s v="Yes"/>
    <m/>
    <s v="Yes"/>
    <m/>
    <s v="Yes"/>
    <m/>
    <s v="Yes"/>
    <m/>
    <s v="N/A"/>
    <m/>
    <s v="Yes"/>
    <m/>
    <s v="Yes"/>
    <m/>
    <s v="New"/>
    <s v="infasco"/>
    <n v="55.73"/>
    <n v="55.73"/>
  </r>
  <r>
    <x v="17"/>
    <x v="17"/>
    <s v="11602031-IN-PN"/>
    <n v="717184"/>
    <n v="19"/>
    <n v="145"/>
    <n v="2755"/>
    <s v="190+268"/>
    <s v="Yes"/>
    <m/>
    <s v="Yes"/>
    <m/>
    <s v="Yes"/>
    <m/>
    <s v="Yes"/>
    <m/>
    <s v="N/A"/>
    <m/>
    <s v="Yes"/>
    <m/>
    <s v="Yes"/>
    <m/>
    <s v="New"/>
    <s v="infasco"/>
    <n v="106.94"/>
    <n v="106.94"/>
  </r>
  <r>
    <x v="17"/>
    <x v="17"/>
    <s v="06503825-A"/>
    <n v="716004"/>
    <n v="30"/>
    <n v="1500"/>
    <n v="45000"/>
    <s v="190+268"/>
    <s v="Yes"/>
    <m/>
    <s v="Yes"/>
    <m/>
    <s v="Yes"/>
    <m/>
    <s v="Yes"/>
    <m/>
    <s v="N/A"/>
    <m/>
    <s v="Yes"/>
    <m/>
    <s v="Yes"/>
    <m/>
    <s v="New"/>
    <s v="infasco"/>
    <n v="226.94"/>
    <n v="226.94"/>
  </r>
  <r>
    <x v="17"/>
    <x v="17"/>
    <s v="06514720AA"/>
    <n v="716658"/>
    <n v="24"/>
    <n v="1250"/>
    <n v="30000"/>
    <s v="190+268"/>
    <s v="Yes"/>
    <m/>
    <s v="Yes"/>
    <m/>
    <s v="Yes"/>
    <m/>
    <s v="Yes"/>
    <m/>
    <s v="N/A"/>
    <m/>
    <s v="Yes"/>
    <m/>
    <s v="Yes"/>
    <m/>
    <s v="New"/>
    <s v="infasco"/>
    <n v="135.07999999999998"/>
    <n v="135.07999999999998"/>
  </r>
  <r>
    <x v="17"/>
    <x v="17"/>
    <s v="F1302AB"/>
    <n v="714006"/>
    <n v="39"/>
    <n v="700"/>
    <n v="27300"/>
    <s v="190+268"/>
    <s v="Yes"/>
    <m/>
    <s v="Yes"/>
    <m/>
    <s v="Yes"/>
    <m/>
    <s v="Yes"/>
    <m/>
    <s v="N/A"/>
    <m/>
    <s v="Yes"/>
    <m/>
    <s v="Yes"/>
    <m/>
    <s v="New"/>
    <s v="infasco"/>
    <n v="135.07999999999998"/>
    <n v="135.07999999999998"/>
  </r>
  <r>
    <x v="17"/>
    <x v="17"/>
    <n v="94012078"/>
    <n v="717473"/>
    <n v="25"/>
    <n v="100"/>
    <n v="2500"/>
    <s v="190+268"/>
    <s v="Yes"/>
    <m/>
    <s v="Yes"/>
    <m/>
    <s v="Yes"/>
    <m/>
    <s v="Yes"/>
    <m/>
    <s v="N/A"/>
    <m/>
    <s v="Yes"/>
    <m/>
    <s v="Yes"/>
    <m/>
    <s v="New"/>
    <s v="infasco"/>
    <n v="55.73"/>
    <n v="55.73"/>
  </r>
  <r>
    <x v="17"/>
    <x v="17"/>
    <s v="W520217-S440"/>
    <n v="715983"/>
    <n v="36"/>
    <n v="135"/>
    <n v="4860"/>
    <s v="190+268"/>
    <s v="Yes"/>
    <m/>
    <s v="Yes"/>
    <m/>
    <s v="Yes"/>
    <m/>
    <s v="Yes"/>
    <m/>
    <s v="N/A"/>
    <m/>
    <s v="Yes"/>
    <m/>
    <s v="Yes"/>
    <m/>
    <s v="New"/>
    <s v="infasco"/>
    <n v="106.94"/>
    <n v="106.94"/>
  </r>
  <r>
    <x v="17"/>
    <x v="17"/>
    <s v="W520217-S440"/>
    <n v="715982"/>
    <n v="36"/>
    <n v="135"/>
    <n v="4860"/>
    <s v="190+268"/>
    <s v="Yes"/>
    <m/>
    <s v="Yes"/>
    <m/>
    <s v="Yes"/>
    <m/>
    <s v="Yes"/>
    <m/>
    <s v="N/A"/>
    <m/>
    <s v="Yes"/>
    <m/>
    <s v="Yes"/>
    <m/>
    <s v="New"/>
    <s v="infasco"/>
    <n v="106.94"/>
    <n v="106.94"/>
  </r>
  <r>
    <x v="17"/>
    <x v="17"/>
    <s v="W520217-S440"/>
    <n v="715984"/>
    <n v="30"/>
    <n v="135"/>
    <n v="4050"/>
    <s v="190+268"/>
    <s v="Yes"/>
    <m/>
    <s v="Yes"/>
    <m/>
    <s v="Yes"/>
    <m/>
    <s v="Yes"/>
    <m/>
    <s v="N/A"/>
    <m/>
    <s v="Yes"/>
    <m/>
    <s v="Yes"/>
    <m/>
    <s v="Re-certified"/>
    <s v="infasco"/>
    <n v="0"/>
    <n v="0"/>
  </r>
  <r>
    <x v="17"/>
    <x v="32"/>
    <n v="11547059"/>
    <n v="716256"/>
    <n v="48"/>
    <n v="550"/>
    <n v="26400"/>
    <n v="252"/>
    <s v="Yes"/>
    <m/>
    <s v="Yes"/>
    <m/>
    <s v="Yes"/>
    <m/>
    <s v="Yes"/>
    <m/>
    <s v="N/A"/>
    <m/>
    <s v="Yes"/>
    <m/>
    <s v="Yes"/>
    <m/>
    <s v="New"/>
    <s v="infasco"/>
    <n v="135.07999999999998"/>
    <n v="135.07999999999998"/>
  </r>
  <r>
    <x v="17"/>
    <x v="32"/>
    <n v="11547059"/>
    <n v="716257"/>
    <n v="22"/>
    <n v="550"/>
    <n v="12100"/>
    <n v="252"/>
    <s v="Yes"/>
    <m/>
    <s v="Yes"/>
    <m/>
    <s v="Yes"/>
    <m/>
    <s v="Yes"/>
    <m/>
    <s v="N/A"/>
    <m/>
    <s v="Yes"/>
    <m/>
    <s v="Yes"/>
    <m/>
    <s v="New"/>
    <s v="infasco"/>
    <n v="135.07999999999998"/>
    <n v="135.07999999999998"/>
  </r>
  <r>
    <x v="17"/>
    <x v="32"/>
    <s v="F1302AB"/>
    <n v="714574"/>
    <n v="36"/>
    <n v="700"/>
    <n v="25200"/>
    <n v="252"/>
    <s v="Yes"/>
    <m/>
    <s v="Yes"/>
    <m/>
    <s v="Yes"/>
    <m/>
    <s v="Yes"/>
    <m/>
    <s v="N/A"/>
    <m/>
    <s v="Yes"/>
    <m/>
    <s v="Yes"/>
    <m/>
    <s v="New"/>
    <s v="infasco"/>
    <n v="135.07999999999998"/>
    <n v="135.07999999999998"/>
  </r>
  <r>
    <x v="17"/>
    <x v="32"/>
    <s v="F1302AB"/>
    <n v="714005"/>
    <n v="28"/>
    <n v="700"/>
    <n v="19600"/>
    <n v="252"/>
    <s v="Yes"/>
    <m/>
    <s v="Yes"/>
    <m/>
    <s v="Yes"/>
    <m/>
    <s v="Yes"/>
    <m/>
    <s v="N/A"/>
    <m/>
    <s v="Yes"/>
    <m/>
    <s v="Yes"/>
    <m/>
    <s v="New"/>
    <s v="infasco"/>
    <n v="135.07999999999998"/>
    <n v="135.07999999999998"/>
  </r>
  <r>
    <x v="17"/>
    <x v="32"/>
    <n v="61273"/>
    <n v="716243"/>
    <n v="25"/>
    <n v="300"/>
    <n v="7500"/>
    <n v="252"/>
    <s v="Yes"/>
    <m/>
    <s v="Yes"/>
    <m/>
    <s v="Yes"/>
    <m/>
    <s v="Yes"/>
    <m/>
    <s v="N/A"/>
    <m/>
    <s v="Yes"/>
    <m/>
    <s v="Yes"/>
    <m/>
    <s v="New"/>
    <s v="infasco"/>
    <n v="135.07999999999998"/>
    <n v="135.07999999999998"/>
  </r>
  <r>
    <x v="17"/>
    <x v="32"/>
    <n v="61273"/>
    <n v="716241"/>
    <n v="26"/>
    <n v="300"/>
    <n v="7800"/>
    <n v="252"/>
    <s v="Yes"/>
    <m/>
    <s v="Yes"/>
    <m/>
    <s v="Yes"/>
    <m/>
    <s v="Yes"/>
    <m/>
    <s v="N/A"/>
    <m/>
    <s v="Yes"/>
    <m/>
    <s v="Yes"/>
    <m/>
    <s v="New"/>
    <s v="infasco"/>
    <n v="135.07999999999998"/>
    <n v="135.07999999999998"/>
  </r>
  <r>
    <x v="17"/>
    <x v="32"/>
    <s v="W520217-S440"/>
    <n v="715989"/>
    <n v="36"/>
    <n v="135"/>
    <n v="4860"/>
    <n v="252"/>
    <s v="Yes"/>
    <m/>
    <s v="Yes"/>
    <m/>
    <s v="Yes"/>
    <m/>
    <s v="Yes"/>
    <m/>
    <s v="N/A"/>
    <m/>
    <s v="Yes"/>
    <m/>
    <s v="Yes"/>
    <m/>
    <s v="New"/>
    <s v="infasco"/>
    <n v="106.94"/>
    <n v="106.94"/>
  </r>
  <r>
    <x v="17"/>
    <x v="32"/>
    <s v="11602031-IN-PN"/>
    <n v="717130"/>
    <n v="10"/>
    <n v="145"/>
    <n v="1450"/>
    <n v="252"/>
    <s v="Yes"/>
    <m/>
    <s v="Yes"/>
    <m/>
    <s v="Yes"/>
    <m/>
    <s v="Yes"/>
    <m/>
    <s v="N/A"/>
    <m/>
    <s v="Yes"/>
    <m/>
    <s v="Yes"/>
    <m/>
    <s v="Re-certified"/>
    <s v="infasco"/>
    <n v="0"/>
    <n v="0"/>
  </r>
  <r>
    <x v="17"/>
    <x v="13"/>
    <s v="11546463-TH-TC"/>
    <n v="717145"/>
    <n v="17"/>
    <n v="450"/>
    <n v="7650"/>
    <n v="11"/>
    <s v="Yes"/>
    <m/>
    <s v="Yes"/>
    <m/>
    <s v="Yes"/>
    <m/>
    <s v="Yes"/>
    <m/>
    <s v="N/A"/>
    <m/>
    <s v="Yes"/>
    <m/>
    <s v="Yes"/>
    <m/>
    <s v="New"/>
    <s v="infasco"/>
    <n v="106.94"/>
    <n v="106.94"/>
  </r>
  <r>
    <x v="17"/>
    <x v="13"/>
    <n v="94012078"/>
    <n v="717471"/>
    <n v="25"/>
    <n v="100"/>
    <n v="2500"/>
    <n v="11"/>
    <s v="Yes"/>
    <m/>
    <s v="Yes"/>
    <m/>
    <s v="Yes"/>
    <m/>
    <s v="Yes"/>
    <m/>
    <s v="N/A"/>
    <m/>
    <s v="Yes"/>
    <m/>
    <s v="Yes"/>
    <m/>
    <s v="New"/>
    <s v="infasco"/>
    <n v="55.73"/>
    <n v="55.73"/>
  </r>
  <r>
    <x v="17"/>
    <x v="13"/>
    <s v="N620483-S2"/>
    <n v="716238"/>
    <n v="36"/>
    <n v="600"/>
    <n v="21600"/>
    <n v="11"/>
    <s v="Yes"/>
    <m/>
    <s v="Yes"/>
    <m/>
    <s v="Yes"/>
    <m/>
    <s v="Yes"/>
    <m/>
    <s v="N/A"/>
    <m/>
    <s v="Yes"/>
    <m/>
    <s v="Yes"/>
    <m/>
    <s v="New"/>
    <s v="infasco"/>
    <n v="106.94"/>
    <n v="106.94"/>
  </r>
  <r>
    <x v="17"/>
    <x v="13"/>
    <n v="11602023"/>
    <n v="715810"/>
    <n v="31"/>
    <n v="1350"/>
    <n v="41850"/>
    <n v="11"/>
    <s v="Yes"/>
    <m/>
    <s v="Yes"/>
    <m/>
    <s v="Yes"/>
    <m/>
    <s v="Yes"/>
    <m/>
    <s v="N/A"/>
    <m/>
    <s v="Yes"/>
    <m/>
    <s v="Yes"/>
    <m/>
    <s v="New"/>
    <s v="infasco"/>
    <n v="135.07999999999998"/>
    <n v="135.07999999999998"/>
  </r>
  <r>
    <x v="17"/>
    <x v="13"/>
    <n v="61273"/>
    <n v="716240"/>
    <n v="23"/>
    <n v="300"/>
    <n v="6900"/>
    <n v="11"/>
    <s v="Yes"/>
    <m/>
    <s v="Yes"/>
    <m/>
    <s v="Yes"/>
    <m/>
    <s v="Yes"/>
    <m/>
    <s v="N/A"/>
    <m/>
    <s v="Yes"/>
    <m/>
    <s v="Yes"/>
    <m/>
    <s v="New"/>
    <s v="infasco"/>
    <n v="135.07999999999998"/>
    <n v="135.07999999999998"/>
  </r>
  <r>
    <x v="17"/>
    <x v="13"/>
    <s v="F1302AB"/>
    <n v="714577"/>
    <n v="27"/>
    <n v="700"/>
    <n v="18900"/>
    <n v="11"/>
    <s v="Yes"/>
    <m/>
    <s v="Yes"/>
    <m/>
    <s v="Yes"/>
    <m/>
    <s v="Yes"/>
    <m/>
    <s v="N/A"/>
    <m/>
    <s v="Yes"/>
    <m/>
    <s v="Yes"/>
    <m/>
    <s v="New"/>
    <s v="infasco"/>
    <n v="135.07999999999998"/>
    <n v="135.07999999999998"/>
  </r>
  <r>
    <x v="17"/>
    <x v="13"/>
    <s v="11602031-IN-PN"/>
    <n v="717129"/>
    <n v="12"/>
    <n v="145"/>
    <n v="1740"/>
    <n v="11"/>
    <s v="Yes"/>
    <m/>
    <s v="Yes"/>
    <m/>
    <s v="Yes"/>
    <m/>
    <s v="Yes"/>
    <m/>
    <s v="N/A"/>
    <m/>
    <s v="Yes"/>
    <m/>
    <s v="Yes"/>
    <m/>
    <s v="Re-certified"/>
    <s v="infasco"/>
    <n v="0"/>
    <n v="0"/>
  </r>
  <r>
    <x v="18"/>
    <x v="12"/>
    <n v="11546463"/>
    <n v="717061"/>
    <n v="16"/>
    <n v="450"/>
    <n v="7200"/>
    <n v="275"/>
    <s v="Yes"/>
    <m/>
    <s v="Yes"/>
    <m/>
    <s v="Yes"/>
    <m/>
    <s v="Yes"/>
    <m/>
    <s v="N/A"/>
    <m/>
    <s v="Yes"/>
    <m/>
    <s v="Yes"/>
    <m/>
    <s v="New"/>
    <s v="infasco"/>
    <n v="106.94"/>
    <n v="106.94"/>
  </r>
  <r>
    <x v="18"/>
    <x v="12"/>
    <n v="11546463"/>
    <n v="717062"/>
    <n v="24"/>
    <n v="450"/>
    <n v="10800"/>
    <n v="275"/>
    <s v="Yes"/>
    <m/>
    <s v="Yes"/>
    <m/>
    <s v="Yes"/>
    <m/>
    <s v="Yes"/>
    <m/>
    <s v="N/A"/>
    <m/>
    <s v="Yes"/>
    <m/>
    <s v="Yes"/>
    <m/>
    <s v="New"/>
    <s v="infasco"/>
    <n v="106.94"/>
    <n v="106.94"/>
  </r>
  <r>
    <x v="18"/>
    <x v="12"/>
    <s v="06100050-A"/>
    <n v="717268"/>
    <n v="29"/>
    <n v="1500"/>
    <n v="43500"/>
    <n v="275"/>
    <s v="Yes"/>
    <m/>
    <s v="Yes"/>
    <m/>
    <s v="Yes"/>
    <m/>
    <s v="Yes"/>
    <m/>
    <s v="N/A"/>
    <m/>
    <s v="Yes"/>
    <m/>
    <s v="Yes"/>
    <m/>
    <s v="Re-certified"/>
    <s v="infasco"/>
    <n v="0"/>
    <n v="0"/>
  </r>
  <r>
    <x v="18"/>
    <x v="6"/>
    <s v="06101968-A"/>
    <n v="716863"/>
    <n v="22"/>
    <n v="2200"/>
    <n v="48400"/>
    <n v="275"/>
    <s v="Yes"/>
    <m/>
    <s v="Yes"/>
    <m/>
    <s v="Yes"/>
    <m/>
    <s v="Yes"/>
    <m/>
    <s v="N/A"/>
    <m/>
    <s v="Yes"/>
    <m/>
    <s v="Yes"/>
    <m/>
    <s v="New"/>
    <s v="infasco"/>
    <n v="106.94"/>
    <n v="106.94"/>
  </r>
  <r>
    <x v="18"/>
    <x v="6"/>
    <s v="06101968-A"/>
    <n v="716861"/>
    <n v="18"/>
    <n v="2200"/>
    <n v="39600"/>
    <n v="275"/>
    <s v="Yes"/>
    <m/>
    <s v="Yes"/>
    <m/>
    <s v="Yes"/>
    <m/>
    <s v="Yes"/>
    <m/>
    <s v="N/A"/>
    <m/>
    <s v="Yes"/>
    <m/>
    <s v="Yes"/>
    <m/>
    <s v="Re-certified"/>
    <s v="infasco"/>
    <n v="0"/>
    <n v="0"/>
  </r>
  <r>
    <x v="18"/>
    <x v="10"/>
    <n v="11546437"/>
    <n v="716765"/>
    <n v="50"/>
    <n v="1500"/>
    <n v="75000"/>
    <n v="275"/>
    <s v="Yes"/>
    <m/>
    <s v="Yes"/>
    <m/>
    <s v="Yes"/>
    <m/>
    <s v="Yes"/>
    <m/>
    <s v="N/A"/>
    <m/>
    <s v="Yes"/>
    <m/>
    <s v="Yes"/>
    <m/>
    <s v="New"/>
    <s v="infasco"/>
    <n v="106.94"/>
    <n v="106.94"/>
  </r>
  <r>
    <x v="18"/>
    <x v="10"/>
    <s v="11546377-PH-RO"/>
    <n v="717699"/>
    <n v="5"/>
    <n v="2150"/>
    <n v="10750"/>
    <n v="275"/>
    <s v="Yes"/>
    <m/>
    <s v="Yes"/>
    <m/>
    <s v="Yes"/>
    <m/>
    <s v="Yes"/>
    <m/>
    <s v="N/A"/>
    <m/>
    <s v="Yes"/>
    <m/>
    <s v="Yes"/>
    <m/>
    <s v="Re-certified"/>
    <s v="infasco"/>
    <n v="0"/>
    <n v="0"/>
  </r>
  <r>
    <x v="18"/>
    <x v="11"/>
    <n v="11546437"/>
    <n v="716764"/>
    <n v="48"/>
    <n v="1500"/>
    <n v="72000"/>
    <n v="275"/>
    <s v="Yes"/>
    <m/>
    <s v="Yes"/>
    <m/>
    <s v="Yes"/>
    <m/>
    <s v="Yes"/>
    <m/>
    <s v="N/A"/>
    <m/>
    <s v="Yes"/>
    <m/>
    <s v="Yes"/>
    <m/>
    <s v="New"/>
    <s v="infasco"/>
    <n v="106.94"/>
    <n v="106.94"/>
  </r>
  <r>
    <x v="18"/>
    <x v="11"/>
    <n v="11561645"/>
    <n v="716906"/>
    <n v="6"/>
    <n v="4000"/>
    <n v="24000"/>
    <n v="275"/>
    <s v="Yes"/>
    <m/>
    <s v="Yes"/>
    <m/>
    <s v="Yes"/>
    <m/>
    <s v="Yes"/>
    <m/>
    <s v="N/A"/>
    <m/>
    <s v="Yes"/>
    <m/>
    <s v="Yes"/>
    <m/>
    <s v="Re-certified"/>
    <s v="infasco"/>
    <n v="0"/>
    <n v="0"/>
  </r>
  <r>
    <x v="18"/>
    <x v="9"/>
    <n v="11546456"/>
    <n v="717075"/>
    <n v="29"/>
    <n v="2700"/>
    <n v="78300"/>
    <n v="275"/>
    <s v="Yes"/>
    <m/>
    <s v="Yes"/>
    <m/>
    <s v="Yes"/>
    <m/>
    <s v="Yes"/>
    <m/>
    <s v="N/A"/>
    <m/>
    <s v="Yes"/>
    <m/>
    <s v="Yes"/>
    <m/>
    <s v="New"/>
    <s v="infasco"/>
    <n v="106.94"/>
    <n v="106.94"/>
  </r>
  <r>
    <x v="18"/>
    <x v="9"/>
    <s v="W520101-S437"/>
    <n v="716234"/>
    <n v="12"/>
    <n v="3000"/>
    <n v="36000"/>
    <n v="275"/>
    <s v="Yes"/>
    <m/>
    <s v="Yes"/>
    <m/>
    <s v="Yes"/>
    <m/>
    <s v="Yes"/>
    <m/>
    <s v="N/A"/>
    <m/>
    <s v="Yes"/>
    <m/>
    <s v="Yes"/>
    <m/>
    <s v="Re-certified"/>
    <s v="infasco"/>
    <n v="0"/>
    <n v="0"/>
  </r>
  <r>
    <x v="18"/>
    <x v="8"/>
    <n v="11546463"/>
    <n v="717064"/>
    <n v="16"/>
    <n v="450"/>
    <n v="7200"/>
    <n v="275"/>
    <s v="Yes"/>
    <m/>
    <s v="Yes"/>
    <m/>
    <s v="Yes"/>
    <m/>
    <s v="Yes"/>
    <m/>
    <s v="N/A"/>
    <m/>
    <s v="Yes"/>
    <m/>
    <s v="Yes"/>
    <m/>
    <s v="New"/>
    <s v="infasco"/>
    <n v="106.94"/>
    <n v="106.94"/>
  </r>
  <r>
    <x v="18"/>
    <x v="8"/>
    <n v="11546463"/>
    <n v="717063"/>
    <n v="37"/>
    <n v="450"/>
    <n v="16650"/>
    <n v="275"/>
    <s v="Yes"/>
    <m/>
    <s v="Yes"/>
    <m/>
    <s v="Yes"/>
    <m/>
    <s v="Yes"/>
    <m/>
    <s v="N/A"/>
    <m/>
    <s v="Yes"/>
    <m/>
    <s v="Yes"/>
    <m/>
    <s v="New"/>
    <s v="infasco"/>
    <n v="106.94"/>
    <n v="106.94"/>
  </r>
  <r>
    <x v="18"/>
    <x v="8"/>
    <s v="06511637AA"/>
    <n v="716899"/>
    <n v="14"/>
    <n v="1200"/>
    <n v="16800"/>
    <n v="275"/>
    <s v="Yes"/>
    <m/>
    <s v="Yes"/>
    <m/>
    <s v="Yes"/>
    <m/>
    <s v="Yes"/>
    <m/>
    <s v="N/A"/>
    <m/>
    <s v="Yes"/>
    <m/>
    <s v="Yes"/>
    <m/>
    <s v="Re-certified"/>
    <s v="infasco"/>
    <n v="0"/>
    <n v="0"/>
  </r>
  <r>
    <x v="18"/>
    <x v="26"/>
    <s v="W705606-S440"/>
    <n v="717752"/>
    <n v="22"/>
    <n v="580"/>
    <n v="12760"/>
    <n v="290"/>
    <s v="Yes"/>
    <m/>
    <s v="Yes"/>
    <m/>
    <s v="Yes"/>
    <m/>
    <s v="Yes"/>
    <m/>
    <s v="N/A"/>
    <m/>
    <s v="Yes"/>
    <m/>
    <s v="Yes"/>
    <m/>
    <s v="New"/>
    <s v="infasco"/>
    <n v="280.15999999999997"/>
    <n v="280.15999999999997"/>
  </r>
  <r>
    <x v="18"/>
    <x v="26"/>
    <s v="11546367-MY-AK"/>
    <n v="717041"/>
    <n v="36"/>
    <n v="700"/>
    <n v="25200"/>
    <n v="290"/>
    <s v="Yes"/>
    <m/>
    <s v="Yes"/>
    <m/>
    <s v="Yes"/>
    <m/>
    <s v="Yes"/>
    <m/>
    <s v="N/A"/>
    <m/>
    <s v="Yes"/>
    <m/>
    <s v="Yes"/>
    <m/>
    <s v="New"/>
    <s v="infasco"/>
    <n v="106.94"/>
    <n v="106.94"/>
  </r>
  <r>
    <x v="18"/>
    <x v="26"/>
    <s v="11546367-MY-AK"/>
    <n v="716384"/>
    <n v="36"/>
    <n v="700"/>
    <n v="25200"/>
    <n v="290"/>
    <s v="Yes"/>
    <m/>
    <s v="Yes"/>
    <m/>
    <s v="Yes"/>
    <m/>
    <s v="Yes"/>
    <m/>
    <s v="N/A"/>
    <m/>
    <s v="Yes"/>
    <m/>
    <s v="Yes"/>
    <m/>
    <s v="New"/>
    <s v="infasco"/>
    <n v="106.94"/>
    <n v="106.94"/>
  </r>
  <r>
    <x v="18"/>
    <x v="26"/>
    <s v="11546367-MY-AK"/>
    <n v="716380"/>
    <n v="2"/>
    <n v="700"/>
    <n v="1400"/>
    <n v="290"/>
    <s v="Yes"/>
    <m/>
    <s v="Yes"/>
    <m/>
    <s v="Yes"/>
    <m/>
    <s v="Yes"/>
    <m/>
    <s v="N/A"/>
    <m/>
    <s v="Yes"/>
    <m/>
    <s v="Yes"/>
    <m/>
    <s v="Re-certified"/>
    <s v="infasco"/>
    <n v="0"/>
    <n v="0"/>
  </r>
  <r>
    <x v="18"/>
    <x v="27"/>
    <s v="11546367-MY-AK"/>
    <n v="716372"/>
    <n v="24"/>
    <n v="700"/>
    <n v="16800"/>
    <n v="290"/>
    <s v="Yes"/>
    <m/>
    <s v="Yes"/>
    <m/>
    <s v="Yes"/>
    <m/>
    <s v="Yes"/>
    <m/>
    <s v="N/A"/>
    <m/>
    <s v="Yes"/>
    <m/>
    <s v="Yes"/>
    <m/>
    <s v="Re-certified"/>
    <s v="infasco"/>
    <n v="0"/>
    <n v="0"/>
  </r>
  <r>
    <x v="18"/>
    <x v="31"/>
    <s v="06101831-A"/>
    <n v="716897"/>
    <n v="21"/>
    <n v="1000"/>
    <n v="21000"/>
    <n v="290"/>
    <s v="Yes"/>
    <m/>
    <s v="Yes"/>
    <m/>
    <s v="Yes"/>
    <m/>
    <s v="Yes"/>
    <m/>
    <s v="N/A"/>
    <m/>
    <s v="Yes"/>
    <m/>
    <s v="Yes"/>
    <m/>
    <s v="New"/>
    <s v="infasco"/>
    <n v="106.94"/>
    <n v="106.94"/>
  </r>
  <r>
    <x v="18"/>
    <x v="31"/>
    <s v="06101831-A"/>
    <n v="716895"/>
    <n v="36"/>
    <n v="1000"/>
    <n v="36000"/>
    <n v="290"/>
    <s v="Yes"/>
    <m/>
    <s v="Yes"/>
    <m/>
    <s v="Yes"/>
    <m/>
    <s v="Yes"/>
    <m/>
    <s v="N/A"/>
    <m/>
    <s v="Yes"/>
    <m/>
    <s v="Yes"/>
    <m/>
    <s v="New"/>
    <s v="infasco"/>
    <n v="106.94"/>
    <n v="106.94"/>
  </r>
  <r>
    <x v="18"/>
    <x v="31"/>
    <s v="06101831-A"/>
    <n v="716893"/>
    <n v="36"/>
    <n v="1000"/>
    <n v="36000"/>
    <n v="290"/>
    <s v="Yes"/>
    <m/>
    <s v="Yes"/>
    <m/>
    <s v="Yes"/>
    <m/>
    <s v="Yes"/>
    <m/>
    <s v="N/A"/>
    <m/>
    <s v="Yes"/>
    <m/>
    <s v="Yes"/>
    <m/>
    <s v="New"/>
    <s v="infasco"/>
    <n v="106.94"/>
    <n v="106.94"/>
  </r>
  <r>
    <x v="18"/>
    <x v="31"/>
    <s v="06101831-A"/>
    <n v="716892"/>
    <n v="15"/>
    <n v="1000"/>
    <n v="15000"/>
    <n v="290"/>
    <s v="Yes"/>
    <m/>
    <s v="Yes"/>
    <m/>
    <s v="Yes"/>
    <m/>
    <s v="Yes"/>
    <m/>
    <s v="N/A"/>
    <m/>
    <s v="Yes"/>
    <m/>
    <s v="Yes"/>
    <m/>
    <s v="Re-certified"/>
    <s v="infasco"/>
    <n v="0"/>
    <n v="0"/>
  </r>
  <r>
    <x v="18"/>
    <x v="30"/>
    <s v="06101831-A"/>
    <n v="716896"/>
    <n v="36"/>
    <n v="1000"/>
    <n v="36000"/>
    <n v="290"/>
    <s v="Yes"/>
    <m/>
    <s v="Yes"/>
    <m/>
    <s v="Yes"/>
    <m/>
    <s v="Yes"/>
    <m/>
    <s v="N/A"/>
    <m/>
    <s v="Yes"/>
    <m/>
    <s v="Yes"/>
    <m/>
    <s v="New"/>
    <s v="infasco"/>
    <n v="106.94"/>
    <n v="106.94"/>
  </r>
  <r>
    <x v="18"/>
    <x v="30"/>
    <s v="11549171-MY-AK"/>
    <n v="716641"/>
    <n v="36"/>
    <n v="280"/>
    <n v="10080"/>
    <n v="290"/>
    <s v="Yes"/>
    <m/>
    <s v="Yes"/>
    <m/>
    <s v="Yes"/>
    <m/>
    <s v="Yes"/>
    <m/>
    <s v="N/A"/>
    <m/>
    <s v="Yes"/>
    <m/>
    <s v="Yes"/>
    <m/>
    <s v="New"/>
    <s v="infasco"/>
    <n v="106.94"/>
    <n v="106.94"/>
  </r>
  <r>
    <x v="18"/>
    <x v="30"/>
    <s v="11549171-MY-AK"/>
    <n v="716639"/>
    <n v="36"/>
    <n v="280"/>
    <n v="10080"/>
    <n v="290"/>
    <s v="Yes"/>
    <m/>
    <s v="Yes"/>
    <m/>
    <s v="Yes"/>
    <m/>
    <s v="Yes"/>
    <m/>
    <s v="N/A"/>
    <m/>
    <s v="Yes"/>
    <m/>
    <s v="Yes"/>
    <m/>
    <s v="New"/>
    <s v="infasco"/>
    <n v="106.94"/>
    <n v="106.94"/>
  </r>
  <r>
    <x v="18"/>
    <x v="30"/>
    <s v="11549171-MY-AK"/>
    <n v="716642"/>
    <n v="16"/>
    <n v="280"/>
    <n v="4480"/>
    <n v="290"/>
    <s v="Yes"/>
    <m/>
    <s v="Yes"/>
    <m/>
    <s v="Yes"/>
    <m/>
    <s v="Yes"/>
    <m/>
    <s v="N/A"/>
    <m/>
    <s v="Yes"/>
    <m/>
    <s v="Yes"/>
    <m/>
    <s v="Re-certified"/>
    <s v="infasco"/>
    <n v="0"/>
    <n v="0"/>
  </r>
  <r>
    <x v="18"/>
    <x v="29"/>
    <n v="11546437"/>
    <n v="716763"/>
    <n v="7"/>
    <n v="1500"/>
    <n v="10500"/>
    <n v="290"/>
    <s v="Yes"/>
    <m/>
    <s v="Yes"/>
    <m/>
    <s v="Yes"/>
    <m/>
    <s v="Yes"/>
    <m/>
    <s v="N/A"/>
    <m/>
    <s v="Yes"/>
    <m/>
    <s v="Yes"/>
    <m/>
    <s v="New"/>
    <s v="infasco"/>
    <n v="106.94"/>
    <n v="106.94"/>
  </r>
  <r>
    <x v="18"/>
    <x v="29"/>
    <s v="W520101-S442"/>
    <n v="716236"/>
    <n v="14"/>
    <n v="3000"/>
    <n v="42000"/>
    <n v="290"/>
    <s v="Yes"/>
    <m/>
    <s v="Yes"/>
    <m/>
    <s v="Yes"/>
    <m/>
    <s v="Yes"/>
    <m/>
    <s v="N/A"/>
    <m/>
    <s v="Yes"/>
    <m/>
    <s v="Yes"/>
    <m/>
    <s v="Re-certified"/>
    <s v="infasco"/>
    <n v="0"/>
    <n v="0"/>
  </r>
  <r>
    <x v="18"/>
    <x v="28"/>
    <s v="06509967AA"/>
    <n v="716991"/>
    <n v="21"/>
    <n v="825"/>
    <n v="17325"/>
    <n v="290"/>
    <s v="Yes"/>
    <m/>
    <s v="Yes"/>
    <m/>
    <s v="Yes"/>
    <m/>
    <s v="Yes"/>
    <m/>
    <s v="N/A"/>
    <m/>
    <s v="Yes"/>
    <m/>
    <s v="Yes"/>
    <m/>
    <s v="New"/>
    <s v="infasco"/>
    <n v="280.16000000000003"/>
    <n v="280.16000000000003"/>
  </r>
  <r>
    <x v="18"/>
    <x v="0"/>
    <s v="06101968-A"/>
    <n v="716860"/>
    <n v="17"/>
    <n v="2200"/>
    <n v="37400"/>
    <n v="292"/>
    <s v="Yes"/>
    <m/>
    <s v="Yes"/>
    <m/>
    <s v="Yes"/>
    <m/>
    <s v="Yes"/>
    <m/>
    <s v="N/A"/>
    <m/>
    <s v="Yes"/>
    <m/>
    <s v="Yes"/>
    <m/>
    <s v="New"/>
    <s v="infasco"/>
    <n v="106.94"/>
    <n v="106.94"/>
  </r>
  <r>
    <x v="18"/>
    <x v="0"/>
    <s v="11546377-PH-RO"/>
    <n v="717630"/>
    <n v="5"/>
    <n v="2150"/>
    <n v="10750"/>
    <n v="292"/>
    <s v="Yes"/>
    <m/>
    <s v="Yes"/>
    <m/>
    <s v="Yes"/>
    <m/>
    <s v="Yes"/>
    <m/>
    <s v="N/A"/>
    <m/>
    <s v="Yes"/>
    <m/>
    <s v="Yes"/>
    <m/>
    <s v="Re-certified"/>
    <s v="infasco"/>
    <n v="0"/>
    <n v="0"/>
  </r>
  <r>
    <x v="18"/>
    <x v="1"/>
    <n v="11546377"/>
    <n v="716615"/>
    <n v="18"/>
    <n v="2150"/>
    <n v="38700"/>
    <n v="292"/>
    <s v="Yes"/>
    <m/>
    <s v="Yes"/>
    <m/>
    <s v="Yes"/>
    <m/>
    <s v="Yes"/>
    <m/>
    <s v="N/A"/>
    <m/>
    <s v="Yes"/>
    <m/>
    <s v="Yes"/>
    <m/>
    <s v="New"/>
    <s v="infasco"/>
    <n v="106.94"/>
    <n v="106.94"/>
  </r>
  <r>
    <x v="18"/>
    <x v="1"/>
    <s v="11546377-PH-RO"/>
    <n v="717696"/>
    <n v="5"/>
    <n v="2150"/>
    <n v="10750"/>
    <n v="292"/>
    <s v="Yes"/>
    <m/>
    <s v="Yes"/>
    <m/>
    <s v="Yes"/>
    <m/>
    <s v="Yes"/>
    <m/>
    <s v="N/A"/>
    <m/>
    <s v="Yes"/>
    <m/>
    <s v="Yes"/>
    <m/>
    <s v="Re-certified"/>
    <s v="infasco"/>
    <n v="0"/>
    <n v="0"/>
  </r>
  <r>
    <x v="18"/>
    <x v="2"/>
    <s v="11546367-MY-AK"/>
    <n v="717042"/>
    <n v="36"/>
    <n v="700"/>
    <n v="25200"/>
    <n v="292"/>
    <s v="Yes"/>
    <m/>
    <s v="Yes"/>
    <m/>
    <s v="Yes"/>
    <m/>
    <s v="Yes"/>
    <m/>
    <s v="N/A"/>
    <m/>
    <s v="Yes"/>
    <m/>
    <s v="Yes"/>
    <m/>
    <s v="New"/>
    <s v="infasco"/>
    <n v="106.94"/>
    <n v="106.94"/>
  </r>
  <r>
    <x v="18"/>
    <x v="3"/>
    <s v="W705606-S440"/>
    <n v="717754"/>
    <n v="14"/>
    <n v="580"/>
    <n v="8120"/>
    <n v="292"/>
    <s v="Yes"/>
    <m/>
    <s v="Yes"/>
    <m/>
    <s v="Yes"/>
    <m/>
    <s v="Yes"/>
    <m/>
    <s v="N/A"/>
    <m/>
    <s v="Yes"/>
    <m/>
    <s v="Yes"/>
    <m/>
    <s v="New"/>
    <s v="infasco"/>
    <n v="280.15999999999997"/>
    <n v="280.15999999999997"/>
  </r>
  <r>
    <x v="18"/>
    <x v="3"/>
    <s v="11546368-MY-AK"/>
    <n v="716122"/>
    <n v="36"/>
    <n v="450"/>
    <n v="16200"/>
    <n v="292"/>
    <s v="Yes"/>
    <m/>
    <s v="Yes"/>
    <m/>
    <s v="Yes"/>
    <m/>
    <s v="Yes"/>
    <m/>
    <s v="N/A"/>
    <m/>
    <s v="Yes"/>
    <m/>
    <s v="Yes"/>
    <m/>
    <s v="New"/>
    <s v="infasco"/>
    <n v="106.94"/>
    <n v="106.94"/>
  </r>
  <r>
    <x v="18"/>
    <x v="3"/>
    <s v="11546368-MY-AK"/>
    <n v="716129"/>
    <n v="20"/>
    <n v="450"/>
    <n v="9000"/>
    <n v="292"/>
    <s v="Yes"/>
    <m/>
    <s v="Yes"/>
    <m/>
    <s v="Yes"/>
    <m/>
    <s v="Yes"/>
    <m/>
    <s v="N/A"/>
    <m/>
    <s v="Yes"/>
    <m/>
    <s v="Yes"/>
    <m/>
    <s v="New"/>
    <s v="infasco"/>
    <n v="106.94"/>
    <n v="106.94"/>
  </r>
  <r>
    <x v="18"/>
    <x v="3"/>
    <s v="11546368-MY-AK"/>
    <n v="716120"/>
    <n v="32"/>
    <n v="450"/>
    <n v="14400"/>
    <n v="292"/>
    <s v="Yes"/>
    <m/>
    <s v="Yes"/>
    <m/>
    <s v="Yes"/>
    <m/>
    <s v="Yes"/>
    <m/>
    <s v="N/A"/>
    <m/>
    <s v="Yes"/>
    <m/>
    <s v="Yes"/>
    <m/>
    <s v="New"/>
    <s v="infasco"/>
    <n v="106.94"/>
    <n v="106.94"/>
  </r>
  <r>
    <x v="18"/>
    <x v="4"/>
    <s v="06102398AA"/>
    <n v="716535"/>
    <n v="16"/>
    <n v="4800"/>
    <n v="76800"/>
    <n v="292"/>
    <s v="Yes"/>
    <m/>
    <s v="Yes"/>
    <m/>
    <s v="Yes"/>
    <m/>
    <s v="Yes"/>
    <m/>
    <s v="N/A"/>
    <m/>
    <s v="Yes"/>
    <m/>
    <s v="Yes"/>
    <m/>
    <s v="New"/>
    <s v="infasco"/>
    <n v="106.94"/>
    <n v="106.94"/>
  </r>
  <r>
    <x v="18"/>
    <x v="4"/>
    <n v="7151143403"/>
    <n v="716905"/>
    <n v="12"/>
    <n v="1750"/>
    <n v="21000"/>
    <n v="292"/>
    <s v="Yes"/>
    <m/>
    <s v="Yes"/>
    <m/>
    <s v="Yes"/>
    <m/>
    <s v="Yes"/>
    <m/>
    <s v="N/A"/>
    <m/>
    <s v="Yes"/>
    <m/>
    <s v="Yes"/>
    <m/>
    <s v="Re-certified"/>
    <s v="infasco"/>
    <n v="0"/>
    <n v="0"/>
  </r>
  <r>
    <x v="18"/>
    <x v="5"/>
    <s v="06502979-A"/>
    <n v="716012"/>
    <n v="17"/>
    <n v="750"/>
    <n v="12750"/>
    <n v="292"/>
    <s v="Yes"/>
    <m/>
    <s v="Yes"/>
    <m/>
    <s v="Yes"/>
    <m/>
    <s v="Yes"/>
    <m/>
    <s v="N/A"/>
    <m/>
    <s v="Yes"/>
    <m/>
    <s v="Yes"/>
    <m/>
    <s v="New"/>
    <s v="infasco"/>
    <n v="106.94"/>
    <n v="106.94"/>
  </r>
  <r>
    <x v="18"/>
    <x v="5"/>
    <s v="06502979-A"/>
    <n v="706013"/>
    <n v="32"/>
    <n v="750"/>
    <n v="24000"/>
    <n v="292"/>
    <s v="Yes"/>
    <m/>
    <s v="Yes"/>
    <m/>
    <s v="Yes"/>
    <m/>
    <s v="Yes"/>
    <m/>
    <s v="N/A"/>
    <m/>
    <s v="Yes"/>
    <m/>
    <s v="Yes"/>
    <m/>
    <s v="New"/>
    <s v="infasco"/>
    <n v="106.94"/>
    <n v="106.94"/>
  </r>
  <r>
    <x v="18"/>
    <x v="16"/>
    <s v="L0668498AA02"/>
    <n v="714263"/>
    <n v="36"/>
    <n v="4000"/>
    <n v="144000"/>
    <s v="285+391"/>
    <s v="Yes"/>
    <m/>
    <s v="Yes"/>
    <m/>
    <s v="Yes"/>
    <m/>
    <s v="Yes"/>
    <m/>
    <s v="N/A"/>
    <m/>
    <s v="Yes"/>
    <m/>
    <s v="Yes"/>
    <m/>
    <s v="New"/>
    <s v="infasco"/>
    <n v="106.94"/>
    <n v="106.94"/>
  </r>
  <r>
    <x v="18"/>
    <x v="16"/>
    <s v="L0668498AA02"/>
    <n v="714080"/>
    <n v="20"/>
    <n v="4000"/>
    <n v="80000"/>
    <s v="285+391"/>
    <s v="Yes"/>
    <m/>
    <s v="Yes"/>
    <m/>
    <s v="Yes"/>
    <m/>
    <s v="Yes"/>
    <m/>
    <s v="N/A"/>
    <m/>
    <s v="Yes"/>
    <m/>
    <s v="Yes"/>
    <m/>
    <s v="New"/>
    <s v="infasco"/>
    <n v="106.94"/>
    <n v="106.94"/>
  </r>
  <r>
    <x v="18"/>
    <x v="16"/>
    <s v="11549171-MY-AK"/>
    <n v="716647"/>
    <n v="35"/>
    <n v="280"/>
    <n v="9800"/>
    <s v="285+391"/>
    <s v="Yes"/>
    <m/>
    <s v="Yes"/>
    <m/>
    <s v="Yes"/>
    <m/>
    <s v="Yes"/>
    <m/>
    <s v="N/A"/>
    <m/>
    <s v="Yes"/>
    <m/>
    <s v="Yes"/>
    <m/>
    <s v="New"/>
    <s v="infasco"/>
    <n v="106.94"/>
    <n v="106.94"/>
  </r>
  <r>
    <x v="18"/>
    <x v="16"/>
    <n v="82253"/>
    <n v="716743"/>
    <n v="36"/>
    <n v="1350"/>
    <n v="48600"/>
    <s v="285+391"/>
    <s v="Yes"/>
    <m/>
    <s v="Yes"/>
    <m/>
    <s v="Yes"/>
    <m/>
    <s v="Yes"/>
    <m/>
    <s v="N/A"/>
    <m/>
    <s v="Yes"/>
    <m/>
    <s v="Yes"/>
    <m/>
    <s v="New"/>
    <s v="infasco"/>
    <n v="106.94"/>
    <n v="106.94"/>
  </r>
  <r>
    <x v="18"/>
    <x v="16"/>
    <n v="82253"/>
    <n v="716245"/>
    <n v="28"/>
    <n v="1350"/>
    <n v="37800"/>
    <s v="285+391"/>
    <s v="Yes"/>
    <m/>
    <s v="Yes"/>
    <m/>
    <s v="Yes"/>
    <m/>
    <s v="Yes"/>
    <m/>
    <s v="N/A"/>
    <m/>
    <s v="Yes"/>
    <m/>
    <s v="Yes"/>
    <m/>
    <s v="New"/>
    <s v="infasco"/>
    <n v="106.94"/>
    <n v="106.94"/>
  </r>
  <r>
    <x v="18"/>
    <x v="16"/>
    <s v="11546377-PH-RO"/>
    <n v="717695"/>
    <n v="36"/>
    <n v="2150"/>
    <n v="77400"/>
    <s v="285+391"/>
    <s v="Yes"/>
    <m/>
    <s v="Yes"/>
    <m/>
    <s v="Yes"/>
    <m/>
    <s v="Yes"/>
    <m/>
    <s v="N/A"/>
    <m/>
    <s v="Yes"/>
    <m/>
    <s v="Yes"/>
    <m/>
    <s v="New"/>
    <s v="infasco"/>
    <n v="106.94"/>
    <n v="106.94"/>
  </r>
  <r>
    <x v="18"/>
    <x v="16"/>
    <s v="11546377-PH-RO"/>
    <n v="717698"/>
    <n v="29"/>
    <n v="2150"/>
    <n v="62350"/>
    <s v="285+391"/>
    <s v="Yes"/>
    <m/>
    <s v="Yes"/>
    <m/>
    <s v="Yes"/>
    <m/>
    <s v="Yes"/>
    <m/>
    <s v="N/A"/>
    <m/>
    <s v="Yes"/>
    <m/>
    <s v="Yes"/>
    <m/>
    <s v="New"/>
    <s v="infasco"/>
    <n v="106.94"/>
    <n v="106.94"/>
  </r>
  <r>
    <x v="18"/>
    <x v="16"/>
    <n v="40109770"/>
    <n v="717418"/>
    <n v="35"/>
    <n v="250"/>
    <n v="8750"/>
    <s v="285+391"/>
    <s v="Yes"/>
    <m/>
    <s v="Yes"/>
    <m/>
    <s v="Yes"/>
    <m/>
    <s v="Yes"/>
    <m/>
    <s v="N/A"/>
    <m/>
    <s v="Yes"/>
    <m/>
    <s v="Yes"/>
    <m/>
    <s v="New"/>
    <s v="infasco"/>
    <n v="106.94"/>
    <n v="106.94"/>
  </r>
  <r>
    <x v="18"/>
    <x v="16"/>
    <s v="4200818SHJ5A00Z"/>
    <n v="714597"/>
    <n v="25"/>
    <n v="850"/>
    <n v="21250"/>
    <s v="285+391"/>
    <s v="Yes"/>
    <m/>
    <s v="Yes"/>
    <m/>
    <s v="Yes"/>
    <m/>
    <s v="Yes"/>
    <m/>
    <s v="N/A"/>
    <m/>
    <s v="Yes"/>
    <m/>
    <s v="Yes"/>
    <m/>
    <s v="New"/>
    <s v="infasco"/>
    <n v="106.94"/>
    <n v="106.94"/>
  </r>
  <r>
    <x v="18"/>
    <x v="32"/>
    <s v="11602031-IN-PN"/>
    <n v="717130"/>
    <n v="18"/>
    <n v="145"/>
    <n v="2610"/>
    <s v="252+011"/>
    <s v="Yes"/>
    <m/>
    <s v="Yes"/>
    <m/>
    <s v="Yes"/>
    <m/>
    <s v="Yes"/>
    <m/>
    <s v="N/A"/>
    <m/>
    <s v="Yes"/>
    <m/>
    <s v="Yes"/>
    <m/>
    <s v="New"/>
    <s v="infasco"/>
    <n v="106.94"/>
    <n v="106.94"/>
  </r>
  <r>
    <x v="18"/>
    <x v="32"/>
    <n v="500009196"/>
    <n v="717857"/>
    <n v="36"/>
    <n v="1200"/>
    <n v="43200"/>
    <s v="252+011"/>
    <s v="Yes"/>
    <m/>
    <s v="Yes"/>
    <m/>
    <s v="Yes"/>
    <m/>
    <s v="Yes"/>
    <m/>
    <s v="N/A"/>
    <m/>
    <s v="Yes"/>
    <m/>
    <s v="Yes"/>
    <m/>
    <s v="New"/>
    <s v="infasco"/>
    <n v="29.27"/>
    <n v="106.94"/>
  </r>
  <r>
    <x v="18"/>
    <x v="32"/>
    <s v="11549171-MY-AK"/>
    <n v="716645"/>
    <n v="36"/>
    <n v="280"/>
    <n v="10080"/>
    <s v="252+011"/>
    <s v="Yes"/>
    <m/>
    <s v="Yes"/>
    <m/>
    <s v="Yes"/>
    <m/>
    <s v="Yes"/>
    <m/>
    <s v="N/A"/>
    <m/>
    <s v="Yes"/>
    <m/>
    <s v="Yes"/>
    <m/>
    <s v="New"/>
    <s v="infasco"/>
    <n v="106.94"/>
    <n v="106.94"/>
  </r>
  <r>
    <x v="18"/>
    <x v="32"/>
    <n v="11561114"/>
    <n v="716433"/>
    <n v="23"/>
    <n v="400"/>
    <n v="9200"/>
    <s v="252+011"/>
    <s v="Yes"/>
    <m/>
    <s v="Yes"/>
    <m/>
    <s v="Yes"/>
    <m/>
    <s v="Yes"/>
    <m/>
    <s v="N/A"/>
    <m/>
    <s v="Yes"/>
    <m/>
    <s v="Yes"/>
    <m/>
    <s v="New"/>
    <s v="infasco"/>
    <n v="106.94"/>
    <n v="106.94"/>
  </r>
  <r>
    <x v="18"/>
    <x v="32"/>
    <s v="22800396-IN-PN"/>
    <n v="716438"/>
    <n v="24"/>
    <n v="1300"/>
    <n v="31200"/>
    <s v="252+011"/>
    <s v="Yes"/>
    <m/>
    <s v="Yes"/>
    <m/>
    <s v="Yes"/>
    <m/>
    <s v="Yes"/>
    <m/>
    <s v="N/A"/>
    <m/>
    <s v="Yes"/>
    <m/>
    <s v="Yes"/>
    <m/>
    <s v="New"/>
    <s v="infasco"/>
    <n v="124.18"/>
    <n v="124.18"/>
  </r>
  <r>
    <x v="18"/>
    <x v="32"/>
    <n v="40179994"/>
    <n v="716024"/>
    <n v="38"/>
    <n v="170"/>
    <n v="6460"/>
    <s v="252+011"/>
    <s v="Yes"/>
    <m/>
    <s v="Yes"/>
    <m/>
    <s v="Yes"/>
    <m/>
    <s v="Yes"/>
    <m/>
    <s v="N/A"/>
    <m/>
    <s v="Yes"/>
    <m/>
    <s v="Yes"/>
    <m/>
    <s v="New"/>
    <s v="infasco"/>
    <n v="106.94"/>
    <n v="106.94"/>
  </r>
  <r>
    <x v="18"/>
    <x v="32"/>
    <n v="40109770"/>
    <n v="717416"/>
    <n v="31"/>
    <n v="250"/>
    <n v="7750"/>
    <s v="252+011"/>
    <s v="Yes"/>
    <m/>
    <s v="Yes"/>
    <m/>
    <s v="Yes"/>
    <m/>
    <s v="Yes"/>
    <m/>
    <s v="N/A"/>
    <m/>
    <s v="Yes"/>
    <m/>
    <s v="Yes"/>
    <m/>
    <s v="New"/>
    <s v="infasco"/>
    <n v="106.94"/>
    <n v="106.94"/>
  </r>
  <r>
    <x v="18"/>
    <x v="32"/>
    <s v="22800396-IN-PN"/>
    <n v="716954"/>
    <n v="24"/>
    <n v="1300"/>
    <n v="31200"/>
    <s v="252+011"/>
    <s v="Yes"/>
    <m/>
    <s v="Yes"/>
    <m/>
    <s v="Yes"/>
    <m/>
    <s v="Yes"/>
    <m/>
    <s v="N/A"/>
    <m/>
    <s v="Yes"/>
    <m/>
    <s v="Yes"/>
    <m/>
    <s v="New"/>
    <s v="infasco"/>
    <n v="124.18"/>
    <n v="124.18"/>
  </r>
  <r>
    <x v="18"/>
    <x v="32"/>
    <s v="06512106AA"/>
    <n v="716622"/>
    <n v="30"/>
    <n v="200"/>
    <n v="6000"/>
    <s v="252+011"/>
    <s v="Yes"/>
    <m/>
    <s v="Yes"/>
    <m/>
    <s v="Yes"/>
    <m/>
    <s v="Yes"/>
    <m/>
    <s v="N/A"/>
    <m/>
    <s v="Yes"/>
    <m/>
    <s v="Yes"/>
    <m/>
    <s v="New"/>
    <s v="infasco"/>
    <n v="135.07999999999998"/>
    <n v="135.07999999999998"/>
  </r>
  <r>
    <x v="18"/>
    <x v="32"/>
    <n v="40073474"/>
    <n v="716805"/>
    <n v="35"/>
    <n v="150"/>
    <n v="5250"/>
    <s v="252+011"/>
    <s v="Yes"/>
    <m/>
    <s v="Yes"/>
    <m/>
    <s v="Yes"/>
    <m/>
    <s v="Yes"/>
    <m/>
    <s v="N/A"/>
    <m/>
    <s v="Yes"/>
    <m/>
    <s v="Yes"/>
    <m/>
    <s v="New"/>
    <s v="infasco"/>
    <n v="106.94"/>
    <n v="106.94"/>
  </r>
  <r>
    <x v="18"/>
    <x v="32"/>
    <n v="40109770"/>
    <n v="717417"/>
    <n v="36"/>
    <n v="250"/>
    <n v="9000"/>
    <s v="252+011"/>
    <s v="Yes"/>
    <m/>
    <s v="Yes"/>
    <m/>
    <s v="Yes"/>
    <m/>
    <s v="Yes"/>
    <m/>
    <s v="N/A"/>
    <m/>
    <s v="Yes"/>
    <m/>
    <s v="Yes"/>
    <m/>
    <s v="New"/>
    <s v="infasco"/>
    <n v="106.94"/>
    <n v="106.94"/>
  </r>
  <r>
    <x v="18"/>
    <x v="32"/>
    <s v="06511834AA"/>
    <n v="717414"/>
    <n v="27"/>
    <n v="100"/>
    <n v="2700"/>
    <s v="252+011"/>
    <s v="Yes"/>
    <m/>
    <s v="Yes"/>
    <m/>
    <s v="Yes"/>
    <m/>
    <s v="Yes"/>
    <m/>
    <s v="N/A"/>
    <m/>
    <s v="Yes"/>
    <m/>
    <s v="Yes"/>
    <m/>
    <s v="Re-certified"/>
    <s v="infasco"/>
    <n v="0"/>
    <n v="0"/>
  </r>
  <r>
    <x v="18"/>
    <x v="19"/>
    <s v="11549168-CA-IN"/>
    <n v="710690"/>
    <n v="27"/>
    <n v="1000"/>
    <n v="27000"/>
    <n v="272"/>
    <s v="Yes"/>
    <m/>
    <s v="Yes"/>
    <m/>
    <s v="Yes"/>
    <m/>
    <s v="Yes"/>
    <m/>
    <s v="N/A"/>
    <m/>
    <s v="Yes"/>
    <m/>
    <s v="Yes"/>
    <m/>
    <s v="New"/>
    <s v="infasco"/>
    <n v="213.88"/>
    <n v="213.88"/>
  </r>
  <r>
    <x v="18"/>
    <x v="19"/>
    <s v="11549168-CA-IN"/>
    <n v="710832"/>
    <n v="43"/>
    <n v="1000"/>
    <n v="43000"/>
    <n v="272"/>
    <s v="Yes"/>
    <m/>
    <s v="Yes"/>
    <m/>
    <s v="Yes"/>
    <m/>
    <s v="Yes"/>
    <m/>
    <s v="N/A"/>
    <m/>
    <s v="Yes"/>
    <m/>
    <s v="Yes"/>
    <m/>
    <s v="Re-certified"/>
    <s v="infasco"/>
    <n v="0"/>
    <n v="0"/>
  </r>
  <r>
    <x v="18"/>
    <x v="14"/>
    <n v="11612078"/>
    <n v="705986"/>
    <n v="3"/>
    <n v="1850"/>
    <n v="5550"/>
    <n v="4"/>
    <s v="Yes"/>
    <m/>
    <s v="Yes"/>
    <m/>
    <s v="Yes"/>
    <m/>
    <s v="Yes"/>
    <m/>
    <s v="N/A"/>
    <m/>
    <s v="Yes"/>
    <m/>
    <s v="Yes"/>
    <m/>
    <s v="New"/>
    <s v="infasco"/>
    <n v="247.64"/>
    <n v="247.64"/>
  </r>
  <r>
    <x v="18"/>
    <x v="14"/>
    <n v="11612078"/>
    <n v="708877"/>
    <n v="21"/>
    <n v="1850"/>
    <n v="38850"/>
    <n v="4"/>
    <s v="Yes"/>
    <m/>
    <s v="Yes"/>
    <m/>
    <s v="Yes"/>
    <m/>
    <s v="Yes"/>
    <m/>
    <s v="N/A"/>
    <m/>
    <s v="Yes"/>
    <m/>
    <s v="Yes"/>
    <m/>
    <s v="Re-certified"/>
    <s v="infasco"/>
    <n v="0"/>
    <n v="0"/>
  </r>
  <r>
    <x v="18"/>
    <x v="21"/>
    <n v="11546456"/>
    <n v="717077"/>
    <n v="6"/>
    <n v="2700"/>
    <n v="16200"/>
    <n v="280"/>
    <s v="Yes"/>
    <m/>
    <s v="Yes"/>
    <m/>
    <s v="Yes"/>
    <m/>
    <s v="Yes"/>
    <m/>
    <s v="N/A"/>
    <m/>
    <s v="Yes"/>
    <m/>
    <s v="Yes"/>
    <m/>
    <s v="New"/>
    <s v="infasco"/>
    <n v="106.94"/>
    <n v="106.94"/>
  </r>
  <r>
    <x v="18"/>
    <x v="21"/>
    <n v="11546456"/>
    <n v="717071"/>
    <n v="13"/>
    <n v="2700"/>
    <n v="35100"/>
    <n v="280"/>
    <s v="Yes"/>
    <m/>
    <s v="Yes"/>
    <m/>
    <s v="Yes"/>
    <m/>
    <s v="Yes"/>
    <m/>
    <s v="N/A"/>
    <m/>
    <s v="Yes"/>
    <m/>
    <s v="Yes"/>
    <m/>
    <s v="New"/>
    <s v="infasco"/>
    <n v="106.94"/>
    <n v="106.94"/>
  </r>
  <r>
    <x v="18"/>
    <x v="21"/>
    <n v="11546456"/>
    <n v="717074"/>
    <n v="33"/>
    <n v="2700"/>
    <n v="89100"/>
    <n v="280"/>
    <s v="Yes"/>
    <m/>
    <s v="Yes"/>
    <m/>
    <s v="Yes"/>
    <m/>
    <s v="Yes"/>
    <m/>
    <s v="N/A"/>
    <m/>
    <s v="Yes"/>
    <m/>
    <s v="Yes"/>
    <m/>
    <s v="New"/>
    <s v="infasco"/>
    <n v="106.94"/>
    <n v="106.94"/>
  </r>
  <r>
    <x v="18"/>
    <x v="21"/>
    <n v="11546448"/>
    <n v="716857"/>
    <n v="14"/>
    <n v="3300"/>
    <n v="46200"/>
    <n v="280"/>
    <s v="Yes"/>
    <m/>
    <s v="Yes"/>
    <m/>
    <s v="Yes"/>
    <m/>
    <s v="Yes"/>
    <m/>
    <s v="N/A"/>
    <m/>
    <s v="Yes"/>
    <m/>
    <s v="Yes"/>
    <m/>
    <s v="Re-certified"/>
    <s v="infasco"/>
    <n v="0"/>
    <n v="0"/>
  </r>
  <r>
    <x v="18"/>
    <x v="20"/>
    <s v="11546367-MY-AK"/>
    <n v="716371"/>
    <n v="29"/>
    <n v="700"/>
    <n v="20300"/>
    <n v="280"/>
    <s v="Yes"/>
    <m/>
    <s v="Yes"/>
    <m/>
    <s v="Yes"/>
    <m/>
    <s v="Yes"/>
    <m/>
    <s v="N/A"/>
    <m/>
    <s v="Yes"/>
    <m/>
    <s v="Yes"/>
    <m/>
    <s v="New"/>
    <s v="infasco"/>
    <n v="106.94"/>
    <n v="106.94"/>
  </r>
  <r>
    <x v="18"/>
    <x v="20"/>
    <s v="11546367-MY-AK"/>
    <n v="716379"/>
    <n v="17"/>
    <n v="700"/>
    <n v="11900"/>
    <n v="280"/>
    <s v="Yes"/>
    <m/>
    <s v="Yes"/>
    <m/>
    <s v="Yes"/>
    <m/>
    <s v="Yes"/>
    <m/>
    <s v="N/A"/>
    <m/>
    <s v="Yes"/>
    <m/>
    <s v="Yes"/>
    <m/>
    <s v="Re-certified"/>
    <s v="infasco"/>
    <n v="0"/>
    <n v="0"/>
  </r>
  <r>
    <x v="18"/>
    <x v="23"/>
    <n v="11546456"/>
    <n v="717078"/>
    <n v="16"/>
    <n v="2700"/>
    <n v="43200"/>
    <n v="280"/>
    <s v="Yes"/>
    <m/>
    <s v="Yes"/>
    <m/>
    <s v="Yes"/>
    <m/>
    <s v="Yes"/>
    <m/>
    <s v="N/A"/>
    <m/>
    <s v="Yes"/>
    <m/>
    <s v="Yes"/>
    <m/>
    <s v="New"/>
    <s v="infasco"/>
    <n v="106.94"/>
    <n v="106.94"/>
  </r>
  <r>
    <x v="18"/>
    <x v="23"/>
    <n v="11546456"/>
    <n v="717076"/>
    <n v="14"/>
    <n v="2700"/>
    <n v="37800"/>
    <n v="280"/>
    <s v="Yes"/>
    <m/>
    <s v="Yes"/>
    <m/>
    <s v="Yes"/>
    <m/>
    <s v="Yes"/>
    <m/>
    <s v="N/A"/>
    <m/>
    <s v="Yes"/>
    <m/>
    <s v="Yes"/>
    <m/>
    <s v="New"/>
    <s v="infasco"/>
    <n v="106.94"/>
    <n v="106.94"/>
  </r>
  <r>
    <x v="18"/>
    <x v="23"/>
    <n v="11546456"/>
    <n v="717072"/>
    <n v="33"/>
    <n v="2700"/>
    <n v="89100"/>
    <n v="280"/>
    <s v="Yes"/>
    <m/>
    <s v="Yes"/>
    <m/>
    <s v="Yes"/>
    <m/>
    <s v="Yes"/>
    <m/>
    <s v="N/A"/>
    <m/>
    <s v="Yes"/>
    <m/>
    <s v="Yes"/>
    <m/>
    <s v="New"/>
    <s v="infasco"/>
    <n v="106.94"/>
    <n v="106.94"/>
  </r>
  <r>
    <x v="18"/>
    <x v="24"/>
    <n v="11546456"/>
    <n v="717073"/>
    <n v="24"/>
    <n v="2700"/>
    <n v="64800"/>
    <n v="280"/>
    <s v="Yes"/>
    <m/>
    <s v="Yes"/>
    <m/>
    <s v="Yes"/>
    <m/>
    <s v="Yes"/>
    <m/>
    <s v="N/A"/>
    <m/>
    <s v="Yes"/>
    <m/>
    <s v="Yes"/>
    <m/>
    <s v="Re-certified"/>
    <s v="infasco"/>
    <n v="0"/>
    <n v="0"/>
  </r>
  <r>
    <x v="18"/>
    <x v="25"/>
    <s v="06101736-A"/>
    <n v="717111"/>
    <n v="12"/>
    <n v="3200"/>
    <n v="38400"/>
    <n v="280"/>
    <s v="Yes"/>
    <m/>
    <s v="Yes"/>
    <m/>
    <s v="Yes"/>
    <m/>
    <s v="Yes"/>
    <m/>
    <s v="N/A"/>
    <m/>
    <s v="Yes"/>
    <m/>
    <s v="Yes"/>
    <m/>
    <s v="Re-certified"/>
    <s v="infasco"/>
    <n v="0"/>
    <n v="0"/>
  </r>
  <r>
    <x v="18"/>
    <x v="22"/>
    <s v="11546377-PH-RO"/>
    <n v="717700"/>
    <n v="15"/>
    <n v="2150"/>
    <n v="32250"/>
    <n v="280"/>
    <s v="Yes"/>
    <m/>
    <s v="Yes"/>
    <m/>
    <s v="Yes"/>
    <m/>
    <s v="Yes"/>
    <m/>
    <s v="N/A"/>
    <m/>
    <s v="Yes"/>
    <m/>
    <s v="Yes"/>
    <m/>
    <s v="Re-certified"/>
    <s v="infasco"/>
    <n v="0"/>
    <n v="0"/>
  </r>
  <r>
    <x v="18"/>
    <x v="15"/>
    <s v="L0668498AA02"/>
    <n v="714081"/>
    <n v="18"/>
    <n v="4000"/>
    <n v="72000"/>
    <s v="157+297"/>
    <s v="Yes"/>
    <m/>
    <s v="Yes"/>
    <m/>
    <s v="Yes"/>
    <m/>
    <s v="Yes"/>
    <m/>
    <s v="N/A"/>
    <m/>
    <s v="Yes"/>
    <m/>
    <s v="Yes"/>
    <m/>
    <s v="New"/>
    <s v="infasco"/>
    <n v="106.94"/>
    <n v="106.94"/>
  </r>
  <r>
    <x v="18"/>
    <x v="15"/>
    <s v="L0668498AA02"/>
    <n v="714262"/>
    <n v="24"/>
    <n v="4000"/>
    <n v="96000"/>
    <s v="157+297"/>
    <s v="Yes"/>
    <m/>
    <s v="Yes"/>
    <m/>
    <s v="Yes"/>
    <m/>
    <s v="Yes"/>
    <m/>
    <s v="N/A"/>
    <m/>
    <s v="Yes"/>
    <m/>
    <s v="Yes"/>
    <m/>
    <s v="New"/>
    <s v="infasco"/>
    <n v="106.94"/>
    <n v="106.94"/>
  </r>
  <r>
    <x v="18"/>
    <x v="15"/>
    <n v="82253"/>
    <n v="716244"/>
    <n v="28"/>
    <n v="1350"/>
    <n v="37800"/>
    <s v="157+297"/>
    <s v="Yes"/>
    <m/>
    <s v="Yes"/>
    <m/>
    <s v="Yes"/>
    <m/>
    <s v="Yes"/>
    <m/>
    <s v="N/A"/>
    <m/>
    <s v="Yes"/>
    <m/>
    <s v="Yes"/>
    <m/>
    <s v="New"/>
    <s v="infasco"/>
    <n v="106.94"/>
    <n v="106.94"/>
  </r>
  <r>
    <x v="18"/>
    <x v="15"/>
    <s v="06512106AA"/>
    <n v="716621"/>
    <n v="30"/>
    <n v="200"/>
    <n v="6000"/>
    <s v="157+297"/>
    <s v="Yes"/>
    <m/>
    <s v="Yes"/>
    <m/>
    <s v="Yes"/>
    <m/>
    <s v="Yes"/>
    <m/>
    <s v="N/A"/>
    <m/>
    <s v="Yes"/>
    <m/>
    <s v="Yes"/>
    <m/>
    <s v="New"/>
    <s v="infasco"/>
    <n v="135.07999999999998"/>
    <n v="135.07999999999998"/>
  </r>
  <r>
    <x v="18"/>
    <x v="15"/>
    <s v="06511834AA"/>
    <n v="717411"/>
    <n v="36"/>
    <n v="100"/>
    <n v="3600"/>
    <s v="157+297"/>
    <s v="Yes"/>
    <m/>
    <s v="Yes"/>
    <m/>
    <s v="Yes"/>
    <m/>
    <s v="Yes"/>
    <m/>
    <s v="N/A"/>
    <m/>
    <s v="Yes"/>
    <m/>
    <s v="Yes"/>
    <m/>
    <s v="New"/>
    <s v="infasco"/>
    <n v="135.07999999999998"/>
    <n v="135.07999999999998"/>
  </r>
  <r>
    <x v="18"/>
    <x v="15"/>
    <s v="06511834AA"/>
    <n v="717413"/>
    <n v="16"/>
    <n v="100"/>
    <n v="1600"/>
    <s v="157+297"/>
    <s v="Yes"/>
    <m/>
    <s v="Yes"/>
    <m/>
    <s v="Yes"/>
    <m/>
    <s v="Yes"/>
    <m/>
    <s v="N/A"/>
    <m/>
    <s v="Yes"/>
    <m/>
    <s v="Yes"/>
    <m/>
    <s v="New"/>
    <s v="infasco"/>
    <n v="135.07999999999998"/>
    <n v="135.07999999999998"/>
  </r>
  <r>
    <x v="18"/>
    <x v="15"/>
    <s v="4200818SH55A-002"/>
    <n v="714600"/>
    <n v="2"/>
    <n v="850"/>
    <n v="1700"/>
    <s v="157+297"/>
    <s v="Yes"/>
    <m/>
    <s v="Yes"/>
    <m/>
    <s v="Yes"/>
    <m/>
    <s v="Yes"/>
    <m/>
    <s v="N/A"/>
    <m/>
    <s v="Yes"/>
    <m/>
    <s v="Yes"/>
    <m/>
    <s v="Re-certified"/>
    <e v="#N/A"/>
    <n v="0"/>
    <n v="0"/>
  </r>
  <r>
    <x v="18"/>
    <x v="13"/>
    <s v="11602031-IN-PN"/>
    <n v="717129"/>
    <n v="16"/>
    <n v="145"/>
    <n v="2320"/>
    <s v="011+197"/>
    <s v="Yes"/>
    <m/>
    <s v="Yes"/>
    <m/>
    <s v="Yes"/>
    <m/>
    <s v="Yes"/>
    <m/>
    <s v="N/A"/>
    <m/>
    <s v="Yes"/>
    <m/>
    <s v="Yes"/>
    <m/>
    <s v="New"/>
    <s v="infasco"/>
    <n v="106.94"/>
    <n v="106.94"/>
  </r>
  <r>
    <x v="18"/>
    <x v="13"/>
    <s v="11549171-MY-AK"/>
    <n v="716646"/>
    <n v="31"/>
    <n v="280"/>
    <n v="8680"/>
    <s v="011+197"/>
    <s v="Yes"/>
    <m/>
    <s v="Yes"/>
    <m/>
    <s v="Yes"/>
    <m/>
    <s v="Yes"/>
    <m/>
    <s v="N/A"/>
    <m/>
    <s v="Yes"/>
    <m/>
    <s v="Yes"/>
    <m/>
    <s v="New"/>
    <s v="infasco"/>
    <n v="106.94"/>
    <n v="106.94"/>
  </r>
  <r>
    <x v="18"/>
    <x v="13"/>
    <n v="11610128"/>
    <n v="717045"/>
    <n v="36"/>
    <n v="1125"/>
    <n v="40500"/>
    <s v="011+197"/>
    <s v="Yes"/>
    <m/>
    <s v="Yes"/>
    <m/>
    <s v="Yes"/>
    <m/>
    <s v="Yes"/>
    <m/>
    <s v="N/A"/>
    <m/>
    <s v="Yes"/>
    <m/>
    <s v="Yes"/>
    <m/>
    <s v="New"/>
    <s v="infasco"/>
    <n v="135.07999999999998"/>
    <n v="135.07999999999998"/>
  </r>
  <r>
    <x v="18"/>
    <x v="13"/>
    <n v="11610128"/>
    <n v="717046"/>
    <n v="21"/>
    <n v="1125"/>
    <n v="23625"/>
    <s v="011+197"/>
    <s v="Yes"/>
    <m/>
    <s v="Yes"/>
    <m/>
    <s v="Yes"/>
    <m/>
    <s v="Yes"/>
    <m/>
    <s v="N/A"/>
    <m/>
    <s v="Yes"/>
    <m/>
    <s v="Yes"/>
    <m/>
    <s v="New"/>
    <s v="infasco"/>
    <n v="135.07999999999998"/>
    <n v="135.07999999999998"/>
  </r>
  <r>
    <x v="18"/>
    <x v="13"/>
    <s v="06514113AA"/>
    <n v="717425"/>
    <n v="28"/>
    <n v="2100"/>
    <n v="58800"/>
    <s v="011+197"/>
    <s v="Yes"/>
    <m/>
    <s v="Yes"/>
    <m/>
    <s v="Yes"/>
    <m/>
    <s v="Yes"/>
    <m/>
    <s v="N/A"/>
    <m/>
    <s v="Yes"/>
    <m/>
    <s v="Yes"/>
    <m/>
    <s v="New"/>
    <e v="#N/A"/>
    <e v="#N/A"/>
    <e v="#N/A"/>
  </r>
  <r>
    <x v="18"/>
    <x v="17"/>
    <s v="11546377-PH-RO"/>
    <n v="717632"/>
    <n v="30"/>
    <n v="2150"/>
    <n v="64500"/>
    <s v="190+268"/>
    <s v="Yes"/>
    <m/>
    <s v="Yes"/>
    <m/>
    <s v="Yes"/>
    <m/>
    <s v="Yes"/>
    <m/>
    <s v="N/A"/>
    <m/>
    <s v="Yes"/>
    <m/>
    <s v="Yes"/>
    <m/>
    <s v="New"/>
    <s v="infasco"/>
    <n v="106.94"/>
    <n v="106.94"/>
  </r>
  <r>
    <x v="18"/>
    <x v="17"/>
    <n v="40179994"/>
    <n v="716025"/>
    <n v="21"/>
    <n v="170"/>
    <n v="3570"/>
    <s v="190+268"/>
    <s v="Yes"/>
    <m/>
    <s v="Yes"/>
    <m/>
    <s v="Yes"/>
    <m/>
    <s v="Yes"/>
    <m/>
    <s v="N/A"/>
    <m/>
    <s v="Yes"/>
    <m/>
    <s v="Yes"/>
    <m/>
    <s v="New"/>
    <s v="infasco"/>
    <n v="106.94"/>
    <n v="106.94"/>
  </r>
  <r>
    <x v="18"/>
    <x v="17"/>
    <n v="40109770"/>
    <n v="717415"/>
    <n v="33"/>
    <n v="250"/>
    <n v="8250"/>
    <s v="190+268"/>
    <s v="Yes"/>
    <m/>
    <s v="Yes"/>
    <m/>
    <s v="Yes"/>
    <m/>
    <s v="Yes"/>
    <m/>
    <s v="N/A"/>
    <m/>
    <s v="Yes"/>
    <m/>
    <s v="Yes"/>
    <m/>
    <s v="New"/>
    <s v="infasco"/>
    <n v="106.94"/>
    <n v="106.94"/>
  </r>
  <r>
    <x v="18"/>
    <x v="17"/>
    <n v="40073474"/>
    <n v="716864"/>
    <n v="31"/>
    <n v="150"/>
    <n v="4650"/>
    <s v="190+268"/>
    <s v="Yes"/>
    <m/>
    <s v="Yes"/>
    <m/>
    <s v="Yes"/>
    <m/>
    <s v="Yes"/>
    <m/>
    <s v="N/A"/>
    <m/>
    <s v="Yes"/>
    <m/>
    <s v="Yes"/>
    <m/>
    <s v="New"/>
    <s v="infasco"/>
    <n v="106.94"/>
    <n v="106.94"/>
  </r>
  <r>
    <x v="18"/>
    <x v="17"/>
    <s v="06511834AA"/>
    <n v="717412"/>
    <n v="35"/>
    <n v="100"/>
    <n v="3500"/>
    <s v="190+268"/>
    <s v="Yes"/>
    <m/>
    <s v="Yes"/>
    <m/>
    <s v="Yes"/>
    <m/>
    <s v="Yes"/>
    <m/>
    <s v="N/A"/>
    <m/>
    <s v="Yes"/>
    <m/>
    <s v="Yes"/>
    <m/>
    <s v="New"/>
    <s v="infasco"/>
    <n v="135.07999999999998"/>
    <n v="135.07999999999998"/>
  </r>
  <r>
    <x v="18"/>
    <x v="17"/>
    <s v="11546377-PH-RO"/>
    <n v="717629"/>
    <n v="35"/>
    <n v="2150"/>
    <n v="75250"/>
    <s v="190+268"/>
    <s v="Yes"/>
    <m/>
    <s v="Yes"/>
    <m/>
    <s v="Yes"/>
    <m/>
    <s v="Yes"/>
    <m/>
    <s v="N/A"/>
    <m/>
    <s v="Yes"/>
    <m/>
    <s v="Yes"/>
    <m/>
    <s v="New"/>
    <s v="infasco"/>
    <n v="106.94"/>
    <n v="106.94"/>
  </r>
  <r>
    <x v="18"/>
    <x v="17"/>
    <s v="W520217-S440"/>
    <n v="715984"/>
    <n v="7"/>
    <n v="135"/>
    <n v="945"/>
    <s v="190+268"/>
    <s v="Yes"/>
    <m/>
    <s v="Yes"/>
    <m/>
    <s v="Yes"/>
    <m/>
    <s v="Yes"/>
    <m/>
    <s v="N/A"/>
    <m/>
    <s v="Yes"/>
    <m/>
    <s v="Yes"/>
    <m/>
    <s v="New"/>
    <s v="infasco"/>
    <n v="106.94"/>
    <n v="106.94"/>
  </r>
  <r>
    <x v="18"/>
    <x v="17"/>
    <n v="500009196"/>
    <n v="717856"/>
    <n v="34"/>
    <n v="1200"/>
    <n v="40800"/>
    <s v="190+268"/>
    <s v="Yes"/>
    <m/>
    <s v="Yes"/>
    <m/>
    <s v="Yes"/>
    <m/>
    <s v="Yes"/>
    <m/>
    <s v="N/A"/>
    <m/>
    <s v="Yes"/>
    <m/>
    <s v="Yes"/>
    <m/>
    <s v="New"/>
    <s v="infasco"/>
    <n v="29.27"/>
    <n v="29.27"/>
  </r>
  <r>
    <x v="18"/>
    <x v="17"/>
    <s v="11549171-MY-AK"/>
    <n v="716648"/>
    <n v="25"/>
    <n v="280"/>
    <n v="7000"/>
    <s v="190+268"/>
    <s v="Yes"/>
    <m/>
    <s v="Yes"/>
    <m/>
    <s v="Yes"/>
    <m/>
    <s v="Yes"/>
    <m/>
    <s v="N/A"/>
    <m/>
    <s v="Yes"/>
    <m/>
    <s v="Yes"/>
    <m/>
    <s v="New"/>
    <s v="infasco"/>
    <n v="106.94"/>
    <n v="106.94"/>
  </r>
  <r>
    <x v="18"/>
    <x v="17"/>
    <n v="11561114"/>
    <n v="716434"/>
    <n v="26"/>
    <n v="400"/>
    <n v="10400"/>
    <s v="190+268"/>
    <s v="Yes"/>
    <m/>
    <s v="Yes"/>
    <m/>
    <s v="Yes"/>
    <m/>
    <s v="Yes"/>
    <m/>
    <s v="N/A"/>
    <m/>
    <s v="Yes"/>
    <m/>
    <s v="Yes"/>
    <m/>
    <s v="New"/>
    <s v="infasco"/>
    <n v="106.94"/>
    <n v="106.94"/>
  </r>
  <r>
    <x v="18"/>
    <x v="17"/>
    <n v="82253"/>
    <n v="716744"/>
    <n v="35"/>
    <n v="1350"/>
    <n v="47250"/>
    <s v="190+268"/>
    <s v="Yes"/>
    <m/>
    <s v="Yes"/>
    <m/>
    <s v="Yes"/>
    <m/>
    <s v="Yes"/>
    <m/>
    <s v="N/A"/>
    <m/>
    <s v="Yes"/>
    <m/>
    <s v="Yes"/>
    <m/>
    <s v="New"/>
    <s v="infasco"/>
    <n v="106.94"/>
    <n v="106.94"/>
  </r>
  <r>
    <x v="19"/>
    <x v="6"/>
    <s v="06101968-A"/>
    <n v="716861"/>
    <n v="14"/>
    <n v="2200"/>
    <n v="30800"/>
    <n v="275"/>
    <s v="Yes"/>
    <m/>
    <s v="Yes"/>
    <m/>
    <s v="Yes"/>
    <m/>
    <s v="Yes"/>
    <m/>
    <s v="N/A"/>
    <m/>
    <s v="Yes"/>
    <m/>
    <s v="Yes"/>
    <m/>
    <s v="New"/>
    <s v="infasco"/>
    <n v="106.94"/>
    <n v="106.94"/>
  </r>
  <r>
    <x v="19"/>
    <x v="6"/>
    <s v="W520412-S442"/>
    <n v="715999"/>
    <n v="18"/>
    <n v="3800"/>
    <n v="68400"/>
    <n v="275"/>
    <s v="Yes"/>
    <m/>
    <s v="Yes"/>
    <m/>
    <s v="Yes"/>
    <m/>
    <s v="Yes"/>
    <m/>
    <s v="N/A"/>
    <m/>
    <s v="Yes"/>
    <m/>
    <s v="Yes"/>
    <m/>
    <s v="Re-certified"/>
    <s v="infasco"/>
    <n v="0"/>
    <n v="0"/>
  </r>
  <r>
    <x v="19"/>
    <x v="10"/>
    <s v="11546377-PH-RO"/>
    <n v="717699"/>
    <n v="31"/>
    <n v="2150"/>
    <n v="66650"/>
    <n v="275"/>
    <s v="Yes"/>
    <m/>
    <s v="Yes"/>
    <m/>
    <s v="Yes"/>
    <m/>
    <s v="Yes"/>
    <m/>
    <s v="N/A"/>
    <m/>
    <s v="Yes"/>
    <m/>
    <s v="Yes"/>
    <m/>
    <s v="New"/>
    <s v="infasco"/>
    <n v="106.94"/>
    <n v="106.94"/>
  </r>
  <r>
    <x v="19"/>
    <x v="10"/>
    <s v="11546377-PH-RO"/>
    <n v="717638"/>
    <n v="6"/>
    <n v="2150"/>
    <n v="12900"/>
    <n v="275"/>
    <s v="Yes"/>
    <m/>
    <s v="Yes"/>
    <m/>
    <s v="Yes"/>
    <m/>
    <s v="Yes"/>
    <m/>
    <s v="N/A"/>
    <m/>
    <s v="Yes"/>
    <m/>
    <s v="Yes"/>
    <m/>
    <s v="Re-certified"/>
    <s v="infasco"/>
    <n v="0"/>
    <n v="0"/>
  </r>
  <r>
    <x v="19"/>
    <x v="8"/>
    <s v="06511637AA"/>
    <n v="716899"/>
    <n v="22"/>
    <n v="1200"/>
    <n v="26400"/>
    <n v="275"/>
    <s v="Yes"/>
    <m/>
    <s v="Yes"/>
    <m/>
    <s v="Yes"/>
    <m/>
    <s v="Yes"/>
    <m/>
    <s v="N/A"/>
    <m/>
    <s v="Yes"/>
    <m/>
    <s v="Yes"/>
    <m/>
    <s v="New"/>
    <s v="infasco"/>
    <n v="106.94"/>
    <n v="106.94"/>
  </r>
  <r>
    <x v="19"/>
    <x v="8"/>
    <s v="06511637AA"/>
    <n v="716898"/>
    <n v="33"/>
    <n v="1200"/>
    <n v="39600"/>
    <n v="275"/>
    <s v="Yes"/>
    <m/>
    <s v="Yes"/>
    <m/>
    <s v="Yes"/>
    <m/>
    <s v="Yes"/>
    <m/>
    <s v="N/A"/>
    <m/>
    <s v="Yes"/>
    <m/>
    <s v="Yes"/>
    <m/>
    <s v="New"/>
    <s v="infasco"/>
    <n v="106.94"/>
    <n v="106.94"/>
  </r>
  <r>
    <x v="19"/>
    <x v="8"/>
    <s v="06511637AA"/>
    <n v="716432"/>
    <n v="19"/>
    <n v="1200"/>
    <n v="22800"/>
    <n v="275"/>
    <s v="Yes"/>
    <m/>
    <s v="Yes"/>
    <m/>
    <s v="Yes"/>
    <m/>
    <s v="Yes"/>
    <m/>
    <s v="N/A"/>
    <m/>
    <s v="Yes"/>
    <m/>
    <s v="Yes"/>
    <m/>
    <s v="Re-certified"/>
    <s v="infasco"/>
    <n v="0"/>
    <n v="0"/>
  </r>
  <r>
    <x v="19"/>
    <x v="9"/>
    <s v="W520101-S437"/>
    <n v="716234"/>
    <n v="24"/>
    <n v="3000"/>
    <n v="72000"/>
    <n v="275"/>
    <s v="Yes"/>
    <m/>
    <s v="Yes"/>
    <m/>
    <s v="Yes"/>
    <m/>
    <s v="Yes"/>
    <m/>
    <s v="N/A"/>
    <m/>
    <s v="Yes"/>
    <m/>
    <s v="Yes"/>
    <m/>
    <s v="New"/>
    <s v="infasco"/>
    <n v="106.94"/>
    <n v="106.94"/>
  </r>
  <r>
    <x v="19"/>
    <x v="9"/>
    <s v="W520101-S437"/>
    <n v="716235"/>
    <n v="40"/>
    <n v="3000"/>
    <n v="120000"/>
    <n v="275"/>
    <s v="Yes"/>
    <m/>
    <s v="Yes"/>
    <m/>
    <s v="Yes"/>
    <m/>
    <s v="Yes"/>
    <m/>
    <s v="N/A"/>
    <m/>
    <s v="Yes"/>
    <m/>
    <s v="Yes"/>
    <m/>
    <s v="Re-certified"/>
    <s v="infasco"/>
    <n v="0"/>
    <n v="0"/>
  </r>
  <r>
    <x v="19"/>
    <x v="11"/>
    <n v="11561645"/>
    <n v="716906"/>
    <n v="15"/>
    <n v="4000"/>
    <n v="60000"/>
    <n v="275"/>
    <s v="Yes"/>
    <m/>
    <s v="Yes"/>
    <m/>
    <s v="Yes"/>
    <m/>
    <s v="Yes"/>
    <m/>
    <s v="N/A"/>
    <m/>
    <s v="Yes"/>
    <m/>
    <s v="Yes"/>
    <m/>
    <s v="Re-certified"/>
    <s v="infasco"/>
    <n v="0"/>
    <n v="0"/>
  </r>
  <r>
    <x v="19"/>
    <x v="12"/>
    <s v="06100050-A"/>
    <n v="717268"/>
    <n v="7"/>
    <n v="1500"/>
    <n v="10500"/>
    <n v="275"/>
    <s v="Yes"/>
    <m/>
    <s v="Yes"/>
    <m/>
    <s v="Yes"/>
    <m/>
    <s v="Yes"/>
    <m/>
    <s v="N/A"/>
    <m/>
    <s v="Yes"/>
    <m/>
    <s v="Yes"/>
    <m/>
    <s v="New"/>
    <s v="infasco"/>
    <n v="106.94"/>
    <n v="106.94"/>
  </r>
  <r>
    <x v="19"/>
    <x v="12"/>
    <s v="06100050-A"/>
    <n v="717262"/>
    <n v="36"/>
    <n v="1500"/>
    <n v="54000"/>
    <n v="275"/>
    <s v="Yes"/>
    <m/>
    <s v="Yes"/>
    <m/>
    <s v="Yes"/>
    <m/>
    <s v="Yes"/>
    <m/>
    <s v="N/A"/>
    <m/>
    <s v="Yes"/>
    <m/>
    <s v="Yes"/>
    <m/>
    <s v="New"/>
    <s v="infasco"/>
    <n v="106.94"/>
    <n v="106.94"/>
  </r>
  <r>
    <x v="19"/>
    <x v="12"/>
    <s v="06100050-A"/>
    <n v="717267"/>
    <n v="9"/>
    <n v="1500"/>
    <n v="13500"/>
    <n v="275"/>
    <s v="Yes"/>
    <m/>
    <s v="Yes"/>
    <m/>
    <s v="Yes"/>
    <m/>
    <s v="Yes"/>
    <m/>
    <s v="N/A"/>
    <m/>
    <s v="Yes"/>
    <m/>
    <s v="Yes"/>
    <m/>
    <s v="Re-certified"/>
    <s v="infasco"/>
    <n v="0"/>
    <n v="0"/>
  </r>
  <r>
    <x v="19"/>
    <x v="30"/>
    <s v="11549171-MY-AK"/>
    <n v="716642"/>
    <n v="20"/>
    <n v="280"/>
    <n v="5600"/>
    <n v="290"/>
    <s v="Yes"/>
    <m/>
    <s v="Yes"/>
    <m/>
    <s v="Yes"/>
    <m/>
    <s v="Yes"/>
    <m/>
    <s v="N/A"/>
    <m/>
    <s v="Yes"/>
    <m/>
    <s v="Yes"/>
    <m/>
    <s v="New"/>
    <s v="infasco"/>
    <n v="106.94"/>
    <n v="106.94"/>
  </r>
  <r>
    <x v="19"/>
    <x v="30"/>
    <s v="11549171-MY-AK"/>
    <n v="716640"/>
    <n v="47"/>
    <n v="280"/>
    <n v="13160"/>
    <n v="290"/>
    <s v="Yes"/>
    <m/>
    <s v="Yes"/>
    <m/>
    <s v="Yes"/>
    <m/>
    <s v="Yes"/>
    <m/>
    <s v="N/A"/>
    <m/>
    <s v="Yes"/>
    <m/>
    <s v="Yes"/>
    <m/>
    <s v="New"/>
    <s v="infasco"/>
    <n v="106.94"/>
    <n v="106.94"/>
  </r>
  <r>
    <x v="19"/>
    <x v="30"/>
    <s v="11546367-MY-AK"/>
    <n v="717037"/>
    <n v="30"/>
    <n v="700"/>
    <n v="21000"/>
    <n v="290"/>
    <s v="Yes"/>
    <m/>
    <s v="Yes"/>
    <m/>
    <s v="Yes"/>
    <m/>
    <s v="Yes"/>
    <m/>
    <s v="N/A"/>
    <m/>
    <s v="Yes"/>
    <m/>
    <s v="Yes"/>
    <m/>
    <s v="New"/>
    <s v="infasco"/>
    <n v="106.94"/>
    <n v="106.94"/>
  </r>
  <r>
    <x v="19"/>
    <x v="30"/>
    <s v="11546368-MY-AK"/>
    <n v="716126"/>
    <n v="6"/>
    <n v="450"/>
    <n v="2700"/>
    <n v="290"/>
    <s v="Yes"/>
    <m/>
    <s v="Yes"/>
    <m/>
    <s v="Yes"/>
    <m/>
    <s v="Yes"/>
    <m/>
    <s v="N/A"/>
    <m/>
    <s v="Yes"/>
    <m/>
    <s v="Yes"/>
    <m/>
    <s v="Re-certified"/>
    <s v="infasco"/>
    <n v="0"/>
    <n v="0"/>
  </r>
  <r>
    <x v="19"/>
    <x v="29"/>
    <s v="W520101-S442"/>
    <n v="716236"/>
    <n v="27"/>
    <n v="3000"/>
    <n v="81000"/>
    <n v="290"/>
    <s v="Yes"/>
    <m/>
    <s v="Yes"/>
    <m/>
    <s v="Yes"/>
    <m/>
    <s v="Yes"/>
    <m/>
    <s v="N/A"/>
    <m/>
    <s v="Yes"/>
    <m/>
    <s v="Yes"/>
    <m/>
    <s v="New"/>
    <s v="infasco"/>
    <n v="106.94"/>
    <n v="106.94"/>
  </r>
  <r>
    <x v="19"/>
    <x v="29"/>
    <n v="11546391"/>
    <n v="715798"/>
    <n v="1"/>
    <n v="4500"/>
    <n v="4500"/>
    <n v="290"/>
    <s v="Yes"/>
    <m/>
    <s v="Yes"/>
    <m/>
    <s v="Yes"/>
    <m/>
    <s v="Yes"/>
    <m/>
    <s v="N/A"/>
    <m/>
    <s v="Yes"/>
    <m/>
    <s v="Yes"/>
    <m/>
    <s v="Re-certified"/>
    <s v="infasco"/>
    <n v="0"/>
    <n v="0"/>
  </r>
  <r>
    <x v="19"/>
    <x v="26"/>
    <s v="11546367-MY-AK"/>
    <n v="716380"/>
    <n v="34"/>
    <n v="700"/>
    <n v="23800"/>
    <n v="290"/>
    <s v="Yes"/>
    <m/>
    <s v="Yes"/>
    <m/>
    <s v="Yes"/>
    <m/>
    <s v="Yes"/>
    <m/>
    <s v="N/A"/>
    <m/>
    <s v="Yes"/>
    <m/>
    <s v="Yes"/>
    <m/>
    <s v="New"/>
    <s v="infasco"/>
    <n v="106.94"/>
    <n v="106.94"/>
  </r>
  <r>
    <x v="19"/>
    <x v="26"/>
    <s v="11546367-MY-AK"/>
    <n v="717039"/>
    <n v="36"/>
    <n v="700"/>
    <n v="25200"/>
    <n v="290"/>
    <s v="Yes"/>
    <m/>
    <s v="Yes"/>
    <m/>
    <s v="Yes"/>
    <m/>
    <s v="Yes"/>
    <m/>
    <s v="N/A"/>
    <m/>
    <s v="Yes"/>
    <m/>
    <s v="Yes"/>
    <m/>
    <s v="New"/>
    <s v="infasco"/>
    <n v="106.94"/>
    <n v="106.94"/>
  </r>
  <r>
    <x v="19"/>
    <x v="26"/>
    <s v="11546367-MY-AK"/>
    <n v="717032"/>
    <n v="36"/>
    <n v="700"/>
    <n v="25200"/>
    <n v="290"/>
    <s v="Yes"/>
    <m/>
    <s v="Yes"/>
    <m/>
    <s v="Yes"/>
    <m/>
    <s v="Yes"/>
    <m/>
    <s v="N/A"/>
    <m/>
    <s v="Yes"/>
    <m/>
    <s v="Yes"/>
    <m/>
    <s v="New"/>
    <s v="infasco"/>
    <n v="106.94"/>
    <n v="106.94"/>
  </r>
  <r>
    <x v="19"/>
    <x v="26"/>
    <s v="11546367-MY-AK"/>
    <n v="717031"/>
    <n v="36"/>
    <n v="700"/>
    <n v="25200"/>
    <n v="290"/>
    <s v="Yes"/>
    <m/>
    <s v="Yes"/>
    <m/>
    <s v="Yes"/>
    <m/>
    <s v="Yes"/>
    <m/>
    <s v="N/A"/>
    <m/>
    <s v="Yes"/>
    <m/>
    <s v="Yes"/>
    <m/>
    <s v="New"/>
    <s v="infasco"/>
    <n v="106.94"/>
    <n v="106.94"/>
  </r>
  <r>
    <x v="19"/>
    <x v="31"/>
    <s v="06101831-A"/>
    <n v="716892"/>
    <n v="21"/>
    <n v="1000"/>
    <n v="21000"/>
    <n v="290"/>
    <s v="Yes"/>
    <m/>
    <s v="Yes"/>
    <m/>
    <s v="Yes"/>
    <m/>
    <s v="Yes"/>
    <m/>
    <s v="N/A"/>
    <m/>
    <s v="Yes"/>
    <m/>
    <s v="Yes"/>
    <m/>
    <s v="New"/>
    <s v="infasco"/>
    <n v="106.94"/>
    <n v="106.94"/>
  </r>
  <r>
    <x v="19"/>
    <x v="31"/>
    <s v="06101831-A"/>
    <n v="716888"/>
    <n v="14"/>
    <n v="1000"/>
    <n v="14000"/>
    <n v="290"/>
    <s v="Yes"/>
    <m/>
    <s v="Yes"/>
    <m/>
    <s v="Yes"/>
    <m/>
    <s v="Yes"/>
    <m/>
    <s v="N/A"/>
    <m/>
    <s v="Yes"/>
    <m/>
    <s v="Yes"/>
    <m/>
    <s v="New"/>
    <s v="infasco"/>
    <n v="106.94"/>
    <n v="106.94"/>
  </r>
  <r>
    <x v="19"/>
    <x v="31"/>
    <s v="06101831-A"/>
    <n v="716886"/>
    <n v="16"/>
    <n v="1000"/>
    <n v="16000"/>
    <n v="290"/>
    <s v="Yes"/>
    <m/>
    <s v="Yes"/>
    <m/>
    <s v="Yes"/>
    <m/>
    <s v="Yes"/>
    <m/>
    <s v="N/A"/>
    <m/>
    <s v="Yes"/>
    <m/>
    <s v="Yes"/>
    <m/>
    <s v="New"/>
    <s v="infasco"/>
    <n v="106.94"/>
    <n v="106.94"/>
  </r>
  <r>
    <x v="19"/>
    <x v="31"/>
    <s v="E6267AB"/>
    <n v="716488"/>
    <n v="1"/>
    <n v="20000"/>
    <n v="20000"/>
    <n v="290"/>
    <s v="Yes"/>
    <m/>
    <s v="Yes"/>
    <m/>
    <s v="Yes"/>
    <m/>
    <s v="Yes"/>
    <m/>
    <s v="N/A"/>
    <m/>
    <s v="Yes"/>
    <m/>
    <s v="Yes"/>
    <m/>
    <s v="New"/>
    <s v="infasco"/>
    <n v="106.94"/>
    <n v="106.94"/>
  </r>
  <r>
    <x v="19"/>
    <x v="27"/>
    <s v="11546367-MY-AK"/>
    <n v="716372"/>
    <n v="10"/>
    <n v="700"/>
    <n v="7000"/>
    <n v="290"/>
    <s v="Yes"/>
    <m/>
    <s v="Yes"/>
    <m/>
    <s v="Yes"/>
    <m/>
    <s v="Yes"/>
    <m/>
    <s v="N/A"/>
    <m/>
    <s v="Yes"/>
    <m/>
    <s v="Yes"/>
    <m/>
    <s v="New"/>
    <s v="infasco"/>
    <n v="106.94"/>
    <n v="106.94"/>
  </r>
  <r>
    <x v="19"/>
    <x v="27"/>
    <s v="11546367-MY-AK"/>
    <n v="717036"/>
    <n v="27"/>
    <n v="700"/>
    <n v="18900"/>
    <n v="290"/>
    <s v="Yes"/>
    <m/>
    <s v="Yes"/>
    <m/>
    <s v="Yes"/>
    <m/>
    <s v="Yes"/>
    <m/>
    <s v="N/A"/>
    <m/>
    <s v="Yes"/>
    <m/>
    <s v="Yes"/>
    <m/>
    <s v="Re-certified"/>
    <s v="infasco"/>
    <n v="0"/>
    <n v="0"/>
  </r>
  <r>
    <x v="19"/>
    <x v="1"/>
    <s v="11546377-PH-RO"/>
    <n v="717696"/>
    <n v="20"/>
    <n v="2150"/>
    <n v="43000"/>
    <n v="292"/>
    <s v="Yes"/>
    <m/>
    <s v="Yes"/>
    <m/>
    <s v="Yes"/>
    <m/>
    <s v="Yes"/>
    <m/>
    <s v="N/A"/>
    <m/>
    <s v="Yes"/>
    <m/>
    <s v="Yes"/>
    <m/>
    <s v="Re-certified"/>
    <s v="infasco"/>
    <n v="0"/>
    <n v="0"/>
  </r>
  <r>
    <x v="19"/>
    <x v="4"/>
    <n v="7151143403"/>
    <n v="716905"/>
    <n v="22"/>
    <n v="1750"/>
    <n v="38500"/>
    <n v="292"/>
    <s v="Yes"/>
    <m/>
    <s v="Yes"/>
    <m/>
    <s v="Yes"/>
    <m/>
    <s v="Yes"/>
    <m/>
    <s v="N/A"/>
    <m/>
    <s v="Yes"/>
    <m/>
    <s v="Yes"/>
    <m/>
    <s v="New"/>
    <s v="infasco"/>
    <n v="106.94"/>
    <n v="106.94"/>
  </r>
  <r>
    <x v="19"/>
    <x v="4"/>
    <s v="W716298-S450"/>
    <n v="716900"/>
    <n v="10"/>
    <n v="3500"/>
    <n v="35000"/>
    <n v="292"/>
    <s v="Yes"/>
    <m/>
    <s v="Yes"/>
    <m/>
    <s v="Yes"/>
    <m/>
    <s v="Yes"/>
    <m/>
    <s v="N/A"/>
    <m/>
    <s v="Yes"/>
    <m/>
    <s v="Yes"/>
    <m/>
    <s v="Re-certified"/>
    <s v="infasco"/>
    <n v="0"/>
    <n v="0"/>
  </r>
  <r>
    <x v="19"/>
    <x v="5"/>
    <s v="11546367-MY-AK"/>
    <n v="717038"/>
    <n v="36"/>
    <n v="700"/>
    <n v="25200"/>
    <n v="292"/>
    <s v="Yes"/>
    <m/>
    <s v="Yes"/>
    <m/>
    <s v="Yes"/>
    <m/>
    <s v="Yes"/>
    <m/>
    <s v="N/A"/>
    <m/>
    <s v="Yes"/>
    <m/>
    <s v="Yes"/>
    <m/>
    <s v="New"/>
    <s v="infasco"/>
    <n v="106.94"/>
    <n v="106.94"/>
  </r>
  <r>
    <x v="19"/>
    <x v="5"/>
    <s v="11546367-MY-AK"/>
    <n v="717033"/>
    <n v="30"/>
    <n v="700"/>
    <n v="21000"/>
    <n v="292"/>
    <s v="Yes"/>
    <m/>
    <s v="Yes"/>
    <m/>
    <s v="Yes"/>
    <m/>
    <s v="Yes"/>
    <m/>
    <s v="N/A"/>
    <m/>
    <s v="Yes"/>
    <m/>
    <s v="Yes"/>
    <m/>
    <s v="Re-certified"/>
    <s v="infasco"/>
    <n v="0"/>
    <n v="0"/>
  </r>
  <r>
    <x v="19"/>
    <x v="3"/>
    <s v="11546368-MY-AK"/>
    <n v="716128"/>
    <n v="20"/>
    <n v="450"/>
    <n v="9000"/>
    <n v="292"/>
    <s v="Yes"/>
    <m/>
    <s v="Yes"/>
    <m/>
    <s v="Yes"/>
    <m/>
    <s v="Yes"/>
    <m/>
    <s v="N/A"/>
    <m/>
    <s v="Yes"/>
    <m/>
    <s v="Yes"/>
    <m/>
    <s v="New"/>
    <s v="infasco"/>
    <n v="106.94"/>
    <n v="106.94"/>
  </r>
  <r>
    <x v="19"/>
    <x v="3"/>
    <s v="11546367-MY-AK"/>
    <n v="717044"/>
    <n v="36"/>
    <n v="700"/>
    <n v="25200"/>
    <n v="292"/>
    <s v="Yes"/>
    <m/>
    <s v="Yes"/>
    <m/>
    <s v="Yes"/>
    <m/>
    <s v="Yes"/>
    <m/>
    <s v="N/A"/>
    <m/>
    <s v="Yes"/>
    <m/>
    <s v="Yes"/>
    <m/>
    <s v="New"/>
    <s v="infasco"/>
    <n v="106.94"/>
    <n v="106.94"/>
  </r>
  <r>
    <x v="19"/>
    <x v="3"/>
    <s v="11546367-MY-AK"/>
    <n v="717035"/>
    <n v="36"/>
    <n v="700"/>
    <n v="25200"/>
    <n v="292"/>
    <s v="Yes"/>
    <m/>
    <s v="Yes"/>
    <m/>
    <s v="Yes"/>
    <m/>
    <s v="Yes"/>
    <m/>
    <s v="N/A"/>
    <m/>
    <s v="Yes"/>
    <m/>
    <s v="Yes"/>
    <m/>
    <s v="New"/>
    <s v="infasco"/>
    <n v="106.94"/>
    <n v="106.94"/>
  </r>
  <r>
    <x v="19"/>
    <x v="3"/>
    <s v="11546367-MY-AK"/>
    <n v="717034"/>
    <n v="30"/>
    <n v="700"/>
    <n v="21000"/>
    <n v="292"/>
    <s v="Yes"/>
    <m/>
    <s v="Yes"/>
    <m/>
    <s v="Yes"/>
    <m/>
    <s v="Yes"/>
    <m/>
    <s v="N/A"/>
    <m/>
    <s v="Yes"/>
    <m/>
    <s v="Yes"/>
    <m/>
    <s v="New"/>
    <s v="infasco"/>
    <n v="106.94"/>
    <n v="106.94"/>
  </r>
  <r>
    <x v="19"/>
    <x v="0"/>
    <s v="11546377-PH-RO"/>
    <n v="717630"/>
    <n v="20"/>
    <n v="2150"/>
    <n v="43000"/>
    <n v="292"/>
    <s v="Yes"/>
    <m/>
    <s v="Yes"/>
    <m/>
    <s v="Yes"/>
    <m/>
    <s v="Yes"/>
    <m/>
    <s v="N/A"/>
    <m/>
    <s v="Yes"/>
    <m/>
    <s v="Yes"/>
    <m/>
    <s v="Re-certified"/>
    <s v="infasco"/>
    <n v="0"/>
    <n v="0"/>
  </r>
  <r>
    <x v="19"/>
    <x v="2"/>
    <s v="11546367-MY-AK"/>
    <n v="717042"/>
    <n v="12"/>
    <n v="700"/>
    <n v="8400"/>
    <n v="292"/>
    <s v="Yes"/>
    <m/>
    <s v="Yes"/>
    <m/>
    <s v="Yes"/>
    <m/>
    <s v="Yes"/>
    <m/>
    <s v="N/A"/>
    <m/>
    <s v="Yes"/>
    <m/>
    <s v="Yes"/>
    <m/>
    <s v="New"/>
    <s v="infasco"/>
    <n v="106.94"/>
    <n v="106.94"/>
  </r>
  <r>
    <x v="19"/>
    <x v="2"/>
    <s v="11546367-MY-AK"/>
    <n v="717043"/>
    <n v="29"/>
    <n v="700"/>
    <n v="20300"/>
    <n v="292"/>
    <s v="Yes"/>
    <m/>
    <s v="Yes"/>
    <m/>
    <s v="Yes"/>
    <m/>
    <s v="Yes"/>
    <m/>
    <s v="N/A"/>
    <m/>
    <s v="Yes"/>
    <m/>
    <s v="Yes"/>
    <m/>
    <s v="Re-certified"/>
    <s v="infasco"/>
    <n v="0"/>
    <n v="0"/>
  </r>
  <r>
    <x v="19"/>
    <x v="14"/>
    <n v="11612078"/>
    <n v="708878"/>
    <n v="13"/>
    <n v="1850"/>
    <n v="24050"/>
    <n v="4"/>
    <s v="Yes"/>
    <m/>
    <s v="Yes"/>
    <m/>
    <s v="Yes"/>
    <m/>
    <s v="Yes"/>
    <m/>
    <s v="N/A"/>
    <m/>
    <s v="Yes"/>
    <m/>
    <s v="Yes"/>
    <m/>
    <s v="New"/>
    <s v="infasco"/>
    <n v="247.64"/>
    <n v="247.64"/>
  </r>
  <r>
    <x v="19"/>
    <x v="14"/>
    <n v="11612078"/>
    <n v="718161"/>
    <n v="9"/>
    <n v="1850"/>
    <n v="16650"/>
    <n v="4"/>
    <s v="Yes"/>
    <m/>
    <s v="Yes"/>
    <m/>
    <s v="Yes"/>
    <m/>
    <s v="Yes"/>
    <m/>
    <s v="N/A"/>
    <m/>
    <s v="Yes"/>
    <m/>
    <s v="Yes"/>
    <m/>
    <s v="Re-certified"/>
    <s v="infasco"/>
    <n v="0"/>
    <n v="0"/>
  </r>
  <r>
    <x v="19"/>
    <x v="19"/>
    <s v="11549168-CA-IN"/>
    <n v="710832"/>
    <n v="13"/>
    <n v="1000"/>
    <n v="13000"/>
    <n v="272"/>
    <s v="Yes"/>
    <m/>
    <s v="Yes"/>
    <m/>
    <s v="Yes"/>
    <m/>
    <s v="Yes"/>
    <m/>
    <s v="N/A"/>
    <m/>
    <s v="Yes"/>
    <m/>
    <s v="Yes"/>
    <m/>
    <s v="New"/>
    <s v="infasco"/>
    <n v="213.88"/>
    <n v="213.88"/>
  </r>
  <r>
    <x v="19"/>
    <x v="19"/>
    <s v="11549168-CA-IN"/>
    <n v="710831"/>
    <n v="28"/>
    <n v="1000"/>
    <n v="28000"/>
    <n v="272"/>
    <s v="Yes"/>
    <m/>
    <s v="Yes"/>
    <m/>
    <s v="Yes"/>
    <m/>
    <s v="Yes"/>
    <m/>
    <s v="N/A"/>
    <m/>
    <s v="Yes"/>
    <m/>
    <s v="Yes"/>
    <m/>
    <s v="New"/>
    <s v="infasco"/>
    <n v="213.88"/>
    <n v="213.88"/>
  </r>
  <r>
    <x v="19"/>
    <x v="20"/>
    <s v="11546367-MY-AK"/>
    <n v="716379"/>
    <n v="19"/>
    <n v="700"/>
    <n v="13300"/>
    <n v="280"/>
    <s v="Yes"/>
    <m/>
    <s v="Yes"/>
    <m/>
    <s v="Yes"/>
    <m/>
    <s v="Yes"/>
    <m/>
    <s v="N/A"/>
    <m/>
    <s v="Yes"/>
    <m/>
    <s v="Yes"/>
    <m/>
    <s v="New"/>
    <s v="infasco"/>
    <n v="106.94"/>
    <n v="106.94"/>
  </r>
  <r>
    <x v="19"/>
    <x v="20"/>
    <s v="11546367-MY-AK"/>
    <n v="717040"/>
    <n v="20"/>
    <n v="700"/>
    <n v="14000"/>
    <n v="280"/>
    <s v="Yes"/>
    <m/>
    <s v="Yes"/>
    <m/>
    <s v="Yes"/>
    <m/>
    <s v="Yes"/>
    <m/>
    <s v="N/A"/>
    <m/>
    <s v="Yes"/>
    <m/>
    <s v="Yes"/>
    <m/>
    <s v="Re-certified"/>
    <s v="infasco"/>
    <n v="0"/>
    <n v="0"/>
  </r>
  <r>
    <x v="19"/>
    <x v="21"/>
    <n v="11546448"/>
    <n v="716857"/>
    <n v="8"/>
    <n v="3300"/>
    <n v="26400"/>
    <n v="280"/>
    <s v="Yes"/>
    <m/>
    <s v="Yes"/>
    <m/>
    <s v="Yes"/>
    <m/>
    <s v="Yes"/>
    <m/>
    <s v="N/A"/>
    <m/>
    <s v="Yes"/>
    <m/>
    <s v="Yes"/>
    <m/>
    <s v="New"/>
    <s v="infasco"/>
    <n v="106.94"/>
    <n v="106.94"/>
  </r>
  <r>
    <x v="19"/>
    <x v="21"/>
    <n v="11546448"/>
    <n v="7116854"/>
    <n v="34"/>
    <n v="3300"/>
    <n v="112200"/>
    <n v="280"/>
    <s v="Yes"/>
    <m/>
    <s v="Yes"/>
    <m/>
    <s v="Yes"/>
    <m/>
    <s v="Yes"/>
    <m/>
    <s v="N/A"/>
    <m/>
    <s v="Yes"/>
    <m/>
    <s v="Yes"/>
    <m/>
    <s v="New"/>
    <s v="infasco"/>
    <n v="106.94"/>
    <n v="106.94"/>
  </r>
  <r>
    <x v="19"/>
    <x v="21"/>
    <n v="11561645"/>
    <n v="716907"/>
    <n v="20"/>
    <n v="4000"/>
    <n v="80000"/>
    <n v="280"/>
    <s v="Yes"/>
    <m/>
    <s v="Yes"/>
    <m/>
    <s v="Yes"/>
    <m/>
    <s v="Yes"/>
    <m/>
    <s v="N/A"/>
    <m/>
    <s v="Yes"/>
    <m/>
    <s v="Yes"/>
    <m/>
    <s v="Re-certified"/>
    <s v="infasco"/>
    <n v="0"/>
    <n v="0"/>
  </r>
  <r>
    <x v="19"/>
    <x v="23"/>
    <n v="11546448"/>
    <n v="716856"/>
    <n v="28"/>
    <n v="3300"/>
    <n v="92400"/>
    <n v="280"/>
    <s v="Yes"/>
    <m/>
    <s v="Yes"/>
    <m/>
    <s v="Yes"/>
    <m/>
    <s v="Yes"/>
    <m/>
    <s v="N/A"/>
    <m/>
    <s v="Yes"/>
    <m/>
    <s v="Yes"/>
    <m/>
    <s v="New"/>
    <s v="infasco"/>
    <n v="106.94"/>
    <n v="106.94"/>
  </r>
  <r>
    <x v="19"/>
    <x v="23"/>
    <n v="11546448"/>
    <n v="716855"/>
    <n v="27"/>
    <n v="3300"/>
    <n v="89100"/>
    <n v="280"/>
    <s v="Yes"/>
    <m/>
    <s v="Yes"/>
    <m/>
    <s v="Yes"/>
    <m/>
    <s v="Yes"/>
    <m/>
    <s v="N/A"/>
    <m/>
    <s v="Yes"/>
    <m/>
    <s v="Yes"/>
    <m/>
    <s v="Re-certified"/>
    <s v="infasco"/>
    <n v="0"/>
    <n v="0"/>
  </r>
  <r>
    <x v="19"/>
    <x v="24"/>
    <n v="11546456"/>
    <n v="717073"/>
    <n v="8"/>
    <n v="2700"/>
    <n v="21600"/>
    <n v="280"/>
    <s v="Yes"/>
    <m/>
    <s v="Yes"/>
    <m/>
    <s v="Yes"/>
    <m/>
    <s v="Yes"/>
    <m/>
    <s v="N/A"/>
    <m/>
    <s v="Yes"/>
    <m/>
    <s v="Yes"/>
    <m/>
    <s v="New"/>
    <s v="infasco"/>
    <n v="106.94"/>
    <n v="106.94"/>
  </r>
  <r>
    <x v="19"/>
    <x v="24"/>
    <s v="W716298-S450"/>
    <n v="716901"/>
    <n v="10"/>
    <n v="3500"/>
    <n v="35000"/>
    <n v="280"/>
    <s v="Yes"/>
    <m/>
    <s v="Yes"/>
    <m/>
    <s v="Yes"/>
    <m/>
    <s v="Yes"/>
    <m/>
    <s v="N/A"/>
    <m/>
    <s v="Yes"/>
    <m/>
    <s v="Yes"/>
    <m/>
    <s v="Re-certified"/>
    <s v="infasco"/>
    <n v="0"/>
    <n v="0"/>
  </r>
  <r>
    <x v="19"/>
    <x v="25"/>
    <s v="06101736-A"/>
    <n v="717111"/>
    <n v="9"/>
    <n v="3200"/>
    <n v="28800"/>
    <n v="280"/>
    <s v="Yes"/>
    <m/>
    <s v="Yes"/>
    <m/>
    <s v="Yes"/>
    <m/>
    <s v="Yes"/>
    <m/>
    <s v="N/A"/>
    <m/>
    <s v="Yes"/>
    <m/>
    <s v="Yes"/>
    <m/>
    <s v="New"/>
    <s v="infasco"/>
    <n v="106.94"/>
    <n v="106.94"/>
  </r>
  <r>
    <x v="19"/>
    <x v="25"/>
    <s v="06101736-A"/>
    <n v="716775"/>
    <n v="7"/>
    <n v="3200"/>
    <n v="22400"/>
    <n v="280"/>
    <s v="Yes"/>
    <m/>
    <s v="Yes"/>
    <m/>
    <s v="Yes"/>
    <m/>
    <s v="Yes"/>
    <m/>
    <s v="N/A"/>
    <m/>
    <s v="Yes"/>
    <m/>
    <s v="Yes"/>
    <m/>
    <s v="Re-certified"/>
    <s v="infasco"/>
    <n v="0"/>
    <n v="0"/>
  </r>
  <r>
    <x v="19"/>
    <x v="22"/>
    <s v="11546377-PH-RO"/>
    <n v="717700"/>
    <n v="3"/>
    <n v="2150"/>
    <n v="6450"/>
    <n v="280"/>
    <s v="Yes"/>
    <m/>
    <s v="Yes"/>
    <m/>
    <s v="Yes"/>
    <m/>
    <s v="Yes"/>
    <m/>
    <s v="N/A"/>
    <m/>
    <s v="Yes"/>
    <m/>
    <s v="Yes"/>
    <m/>
    <s v="New"/>
    <s v="infasco"/>
    <n v="106.94"/>
    <n v="106.94"/>
  </r>
  <r>
    <x v="19"/>
    <x v="22"/>
    <s v="11546377-PH-RO"/>
    <n v="717634"/>
    <n v="27"/>
    <n v="2150"/>
    <n v="58050"/>
    <n v="280"/>
    <s v="Yes"/>
    <m/>
    <s v="Yes"/>
    <m/>
    <s v="Yes"/>
    <m/>
    <s v="Yes"/>
    <m/>
    <s v="N/A"/>
    <m/>
    <s v="Yes"/>
    <m/>
    <s v="Yes"/>
    <m/>
    <s v="New"/>
    <s v="infasco"/>
    <n v="106.94"/>
    <n v="106.94"/>
  </r>
  <r>
    <x v="19"/>
    <x v="22"/>
    <s v="11546377-PH-RO"/>
    <n v="717697"/>
    <n v="9"/>
    <n v="2150"/>
    <n v="19350"/>
    <n v="280"/>
    <s v="Yes"/>
    <m/>
    <s v="Yes"/>
    <m/>
    <s v="Yes"/>
    <m/>
    <s v="Yes"/>
    <m/>
    <s v="N/A"/>
    <m/>
    <s v="Yes"/>
    <m/>
    <s v="Yes"/>
    <m/>
    <s v="Re-certified"/>
    <s v="infasco"/>
    <n v="0"/>
    <n v="0"/>
  </r>
  <r>
    <x v="19"/>
    <x v="15"/>
    <s v="4200818SHJ5A00Z"/>
    <n v="714600"/>
    <n v="34"/>
    <n v="850"/>
    <n v="28900"/>
    <s v="157+297"/>
    <s v="Yes"/>
    <m/>
    <s v="Yes"/>
    <m/>
    <s v="Yes"/>
    <m/>
    <s v="Yes"/>
    <m/>
    <s v="N/A"/>
    <m/>
    <s v="Yes"/>
    <m/>
    <s v="Yes"/>
    <m/>
    <s v="New"/>
    <s v="infasco"/>
    <n v="106.94"/>
    <n v="106.94"/>
  </r>
  <r>
    <x v="19"/>
    <x v="15"/>
    <s v="NU1136-01"/>
    <n v="716490"/>
    <n v="1"/>
    <n v="10000"/>
    <n v="10000"/>
    <s v="157+297"/>
    <s v="Yes"/>
    <m/>
    <s v="Yes"/>
    <m/>
    <s v="Yes"/>
    <m/>
    <s v="Yes"/>
    <m/>
    <s v="N/A"/>
    <m/>
    <s v="Yes"/>
    <m/>
    <s v="Yes"/>
    <m/>
    <s v="New"/>
    <s v="infasco"/>
    <n v="129.44999999999999"/>
    <n v="129.44999999999999"/>
  </r>
  <r>
    <x v="19"/>
    <x v="15"/>
    <s v="NU1136-01"/>
    <n v="716495"/>
    <n v="1"/>
    <n v="10000"/>
    <n v="10000"/>
    <s v="157+297"/>
    <s v="Yes"/>
    <m/>
    <s v="Yes"/>
    <m/>
    <s v="Yes"/>
    <m/>
    <s v="Yes"/>
    <m/>
    <s v="N/A"/>
    <m/>
    <s v="Yes"/>
    <m/>
    <s v="Yes"/>
    <m/>
    <s v="New"/>
    <s v="infasco"/>
    <n v="129.44999999999999"/>
    <n v="129.44999999999999"/>
  </r>
  <r>
    <x v="19"/>
    <x v="16"/>
    <s v="11546377-PH-RO"/>
    <n v="717631"/>
    <n v="21"/>
    <n v="2150"/>
    <n v="45150"/>
    <s v="285+391"/>
    <s v="Yes"/>
    <m/>
    <s v="Yes"/>
    <m/>
    <s v="Yes"/>
    <m/>
    <s v="Yes"/>
    <m/>
    <s v="N/A"/>
    <m/>
    <s v="Yes"/>
    <m/>
    <s v="Yes"/>
    <m/>
    <s v="New"/>
    <s v="infasco"/>
    <n v="106.94"/>
    <n v="106.94"/>
  </r>
  <r>
    <x v="19"/>
    <x v="16"/>
    <s v="W719080-S450"/>
    <n v="716443"/>
    <n v="24"/>
    <n v="1050"/>
    <n v="25200"/>
    <s v="285+391"/>
    <s v="Yes"/>
    <m/>
    <s v="Yes"/>
    <m/>
    <s v="Yes"/>
    <m/>
    <s v="Yes"/>
    <m/>
    <s v="N/A"/>
    <m/>
    <s v="Yes"/>
    <m/>
    <s v="Yes"/>
    <m/>
    <s v="New"/>
    <s v="infasco"/>
    <n v="129.44999999999999"/>
    <n v="129.44999999999999"/>
  </r>
  <r>
    <x v="19"/>
    <x v="16"/>
    <s v="W719080-S450"/>
    <n v="716444"/>
    <n v="45"/>
    <n v="1050"/>
    <n v="47250"/>
    <s v="285+391"/>
    <s v="Yes"/>
    <m/>
    <s v="Yes"/>
    <m/>
    <s v="Yes"/>
    <m/>
    <s v="Yes"/>
    <m/>
    <s v="N/A"/>
    <m/>
    <s v="Yes"/>
    <m/>
    <s v="Yes"/>
    <m/>
    <s v="New"/>
    <s v="infasco"/>
    <n v="129.44999999999999"/>
    <n v="129.44999999999999"/>
  </r>
  <r>
    <x v="19"/>
    <x v="16"/>
    <s v="NU3019"/>
    <n v="716729"/>
    <n v="1"/>
    <n v="4700"/>
    <n v="4700"/>
    <s v="285+391"/>
    <s v="Yes"/>
    <m/>
    <s v="Yes"/>
    <m/>
    <s v="Yes"/>
    <m/>
    <s v="Yes"/>
    <m/>
    <s v="N/A"/>
    <m/>
    <s v="Yes"/>
    <m/>
    <s v="Yes"/>
    <m/>
    <s v="New"/>
    <s v="infasco"/>
    <n v="129.44999999999999"/>
    <n v="129.44999999999999"/>
  </r>
  <r>
    <x v="19"/>
    <x v="16"/>
    <s v="NU3019"/>
    <n v="716734"/>
    <n v="1"/>
    <n v="4700"/>
    <n v="4700"/>
    <s v="285+391"/>
    <s v="Yes"/>
    <m/>
    <s v="Yes"/>
    <m/>
    <s v="Yes"/>
    <m/>
    <s v="Yes"/>
    <m/>
    <s v="N/A"/>
    <m/>
    <s v="Yes"/>
    <m/>
    <s v="Yes"/>
    <m/>
    <s v="New"/>
    <s v="infasco"/>
    <n v="129.44999999999999"/>
    <n v="129.44999999999999"/>
  </r>
  <r>
    <x v="19"/>
    <x v="16"/>
    <s v="NU3019"/>
    <n v="716728"/>
    <n v="1"/>
    <n v="5244"/>
    <n v="5244"/>
    <s v="285+391"/>
    <s v="Yes"/>
    <m/>
    <s v="Yes"/>
    <m/>
    <s v="Yes"/>
    <m/>
    <s v="Yes"/>
    <m/>
    <s v="N/A"/>
    <m/>
    <s v="Yes"/>
    <m/>
    <s v="Yes"/>
    <m/>
    <s v="New"/>
    <s v="infasco"/>
    <n v="129.44999999999999"/>
    <n v="129.44999999999999"/>
  </r>
  <r>
    <x v="19"/>
    <x v="16"/>
    <n v="11604000"/>
    <n v="717984"/>
    <n v="26"/>
    <n v="585"/>
    <n v="15210"/>
    <s v="285+391"/>
    <s v="Yes"/>
    <m/>
    <s v="Yes"/>
    <m/>
    <s v="Yes"/>
    <m/>
    <s v="Yes"/>
    <m/>
    <s v="N/A"/>
    <m/>
    <s v="Yes"/>
    <m/>
    <s v="Yes"/>
    <m/>
    <s v="New"/>
    <s v="infasco"/>
    <n v="223.88"/>
    <n v="223.88"/>
  </r>
  <r>
    <x v="19"/>
    <x v="16"/>
    <s v="NU3019"/>
    <n v="716735"/>
    <n v="1"/>
    <n v="4832"/>
    <n v="4832"/>
    <s v="285+391"/>
    <s v="Yes"/>
    <m/>
    <s v="Yes"/>
    <m/>
    <s v="Yes"/>
    <m/>
    <s v="Yes"/>
    <m/>
    <s v="N/A"/>
    <m/>
    <s v="Yes"/>
    <m/>
    <s v="Yes"/>
    <m/>
    <s v="New"/>
    <s v="infasco"/>
    <n v="129.44999999999999"/>
    <n v="129.44999999999999"/>
  </r>
  <r>
    <x v="19"/>
    <x v="16"/>
    <s v="06514094AA"/>
    <n v="716903"/>
    <n v="18"/>
    <n v="330"/>
    <n v="5940"/>
    <s v="285+391"/>
    <s v="Yes"/>
    <m/>
    <s v="Yes"/>
    <m/>
    <s v="Yes"/>
    <m/>
    <s v="Yes"/>
    <m/>
    <s v="N/A"/>
    <m/>
    <s v="Yes"/>
    <m/>
    <s v="Yes"/>
    <m/>
    <s v="New"/>
    <s v="infasco"/>
    <n v="280.16000000000003"/>
    <n v="280.16000000000003"/>
  </r>
  <r>
    <x v="19"/>
    <x v="16"/>
    <s v="NU1136-01"/>
    <n v="716491"/>
    <n v="1"/>
    <n v="10000"/>
    <n v="10000"/>
    <s v="285+391"/>
    <s v="Yes"/>
    <m/>
    <s v="Yes"/>
    <m/>
    <s v="Yes"/>
    <m/>
    <s v="Yes"/>
    <m/>
    <s v="N/A"/>
    <m/>
    <s v="Yes"/>
    <m/>
    <s v="Yes"/>
    <m/>
    <s v="New"/>
    <s v="infasco"/>
    <n v="129.44999999999999"/>
    <n v="129.44999999999999"/>
  </r>
  <r>
    <x v="19"/>
    <x v="17"/>
    <s v="11546377-PH-RO"/>
    <n v="717636"/>
    <n v="29"/>
    <n v="2150"/>
    <n v="62350"/>
    <s v="190+268"/>
    <s v="Yes"/>
    <m/>
    <s v="Yes"/>
    <m/>
    <s v="Yes"/>
    <m/>
    <s v="Yes"/>
    <m/>
    <s v="N/A"/>
    <m/>
    <s v="Yes"/>
    <m/>
    <s v="Yes"/>
    <m/>
    <s v="New"/>
    <s v="infasco"/>
    <n v="106.94"/>
    <n v="106.94"/>
  </r>
  <r>
    <x v="19"/>
    <x v="17"/>
    <n v="11546377"/>
    <n v="716614"/>
    <n v="35"/>
    <n v="2150"/>
    <n v="75250"/>
    <s v="190+268"/>
    <s v="Yes"/>
    <m/>
    <s v="Yes"/>
    <m/>
    <s v="Yes"/>
    <m/>
    <s v="Yes"/>
    <m/>
    <s v="N/A"/>
    <m/>
    <s v="Yes"/>
    <m/>
    <s v="Yes"/>
    <m/>
    <s v="New"/>
    <s v="infasco"/>
    <n v="106.94"/>
    <n v="106.94"/>
  </r>
  <r>
    <x v="19"/>
    <x v="17"/>
    <n v="11604000"/>
    <n v="717982"/>
    <n v="36"/>
    <n v="585"/>
    <n v="21060"/>
    <s v="190+268"/>
    <s v="Yes"/>
    <m/>
    <s v="Yes"/>
    <m/>
    <s v="Yes"/>
    <m/>
    <s v="Yes"/>
    <m/>
    <s v="N/A"/>
    <m/>
    <s v="Yes"/>
    <m/>
    <s v="Yes"/>
    <m/>
    <s v="New"/>
    <s v="infasco"/>
    <n v="223.88"/>
    <n v="223.88"/>
  </r>
  <r>
    <x v="19"/>
    <x v="17"/>
    <n v="11604000"/>
    <n v="717983"/>
    <n v="36"/>
    <n v="585"/>
    <n v="21060"/>
    <s v="190+268"/>
    <s v="Yes"/>
    <m/>
    <s v="Yes"/>
    <m/>
    <s v="Yes"/>
    <m/>
    <s v="Yes"/>
    <m/>
    <s v="N/A"/>
    <m/>
    <s v="Yes"/>
    <m/>
    <s v="Yes"/>
    <m/>
    <s v="New"/>
    <s v="infasco"/>
    <n v="223.88"/>
    <n v="223.88"/>
  </r>
  <r>
    <x v="19"/>
    <x v="17"/>
    <n v="11604000"/>
    <n v="717981"/>
    <n v="24"/>
    <n v="585"/>
    <n v="14040"/>
    <s v="190+268"/>
    <s v="Yes"/>
    <m/>
    <s v="Yes"/>
    <m/>
    <s v="Yes"/>
    <m/>
    <s v="Yes"/>
    <m/>
    <s v="N/A"/>
    <m/>
    <s v="Yes"/>
    <m/>
    <s v="Yes"/>
    <m/>
    <s v="New"/>
    <s v="infasco"/>
    <n v="223.88"/>
    <n v="223.88"/>
  </r>
  <r>
    <x v="19"/>
    <x v="17"/>
    <s v="NU3019"/>
    <n v="716732"/>
    <n v="1"/>
    <n v="5100"/>
    <n v="5100"/>
    <s v="190+268"/>
    <s v="Yes"/>
    <m/>
    <s v="Yes"/>
    <m/>
    <s v="Yes"/>
    <m/>
    <s v="Yes"/>
    <m/>
    <s v="N/A"/>
    <m/>
    <s v="Yes"/>
    <m/>
    <s v="Yes"/>
    <m/>
    <s v="New"/>
    <s v="infasco"/>
    <n v="129.44999999999999"/>
    <n v="129.44999999999999"/>
  </r>
  <r>
    <x v="19"/>
    <x v="17"/>
    <s v="F1302AB"/>
    <n v="716531"/>
    <n v="36"/>
    <n v="700"/>
    <n v="25200"/>
    <s v="190+268"/>
    <s v="Yes"/>
    <m/>
    <s v="Yes"/>
    <m/>
    <s v="Yes"/>
    <m/>
    <s v="Yes"/>
    <m/>
    <s v="N/A"/>
    <m/>
    <s v="Yes"/>
    <m/>
    <s v="Yes"/>
    <m/>
    <s v="New"/>
    <s v="infasco"/>
    <n v="135.07999999999998"/>
    <n v="135.07999999999998"/>
  </r>
  <r>
    <x v="19"/>
    <x v="17"/>
    <s v="F1302AB"/>
    <n v="716532"/>
    <n v="21"/>
    <n v="700"/>
    <n v="14700"/>
    <s v="190+268"/>
    <s v="Yes"/>
    <m/>
    <s v="Yes"/>
    <m/>
    <s v="Yes"/>
    <m/>
    <s v="Yes"/>
    <m/>
    <s v="N/A"/>
    <m/>
    <s v="Yes"/>
    <m/>
    <s v="Yes"/>
    <m/>
    <s v="New"/>
    <s v="infasco"/>
    <n v="135.07999999999998"/>
    <n v="135.07999999999998"/>
  </r>
  <r>
    <x v="19"/>
    <x v="17"/>
    <s v="NU3019"/>
    <n v="716723"/>
    <n v="1"/>
    <n v="5320"/>
    <n v="5320"/>
    <s v="190+268"/>
    <s v="Yes"/>
    <m/>
    <s v="Yes"/>
    <m/>
    <s v="Yes"/>
    <m/>
    <s v="Yes"/>
    <m/>
    <s v="N/A"/>
    <m/>
    <s v="Yes"/>
    <m/>
    <s v="Yes"/>
    <m/>
    <s v="New"/>
    <s v="infasco"/>
    <n v="129.44999999999999"/>
    <n v="129.44999999999999"/>
  </r>
  <r>
    <x v="19"/>
    <x v="17"/>
    <s v="NU3019"/>
    <n v="716494"/>
    <n v="1"/>
    <n v="9500"/>
    <n v="9500"/>
    <s v="190+268"/>
    <s v="Yes"/>
    <m/>
    <s v="Yes"/>
    <m/>
    <s v="Yes"/>
    <m/>
    <s v="Yes"/>
    <m/>
    <s v="N/A"/>
    <m/>
    <s v="Yes"/>
    <m/>
    <s v="Yes"/>
    <m/>
    <s v="New"/>
    <s v="infasco"/>
    <n v="129.44999999999999"/>
    <n v="129.44999999999999"/>
  </r>
  <r>
    <x v="19"/>
    <x v="32"/>
    <s v="06511834AA"/>
    <n v="717414"/>
    <n v="4"/>
    <n v="100"/>
    <n v="400"/>
    <s v="252+11"/>
    <s v="Yes"/>
    <m/>
    <s v="Yes"/>
    <m/>
    <s v="Yes"/>
    <m/>
    <s v="Yes"/>
    <m/>
    <s v="N/A"/>
    <m/>
    <s v="Yes"/>
    <m/>
    <s v="Yes"/>
    <m/>
    <s v="New"/>
    <s v="infasco"/>
    <n v="135.07999999999998"/>
    <n v="135.07999999999998"/>
  </r>
  <r>
    <x v="19"/>
    <x v="32"/>
    <s v="4200818SHJ5A00Z"/>
    <n v="714599"/>
    <n v="45"/>
    <n v="850"/>
    <n v="38250"/>
    <s v="252+11"/>
    <s v="Yes"/>
    <m/>
    <s v="Yes"/>
    <m/>
    <s v="Yes"/>
    <m/>
    <s v="Yes"/>
    <m/>
    <s v="N/A"/>
    <m/>
    <s v="Yes"/>
    <m/>
    <s v="Yes"/>
    <m/>
    <s v="New"/>
    <s v="infasco"/>
    <n v="106.94"/>
    <n v="106.94"/>
  </r>
  <r>
    <x v="19"/>
    <x v="32"/>
    <s v="NU1136-01"/>
    <n v="716492"/>
    <n v="1"/>
    <n v="10000"/>
    <n v="10000"/>
    <s v="252+11"/>
    <s v="Yes"/>
    <m/>
    <s v="Yes"/>
    <m/>
    <s v="Yes"/>
    <m/>
    <s v="Yes"/>
    <m/>
    <s v="N/A"/>
    <m/>
    <s v="Yes"/>
    <m/>
    <s v="Yes"/>
    <m/>
    <s v="New"/>
    <s v="infasco"/>
    <n v="129.44999999999999"/>
    <n v="129.44999999999999"/>
  </r>
  <r>
    <x v="19"/>
    <x v="32"/>
    <s v="NU1136-01"/>
    <n v="716493"/>
    <n v="1"/>
    <n v="5400"/>
    <n v="5400"/>
    <s v="252+11"/>
    <s v="Yes"/>
    <m/>
    <s v="Yes"/>
    <m/>
    <s v="Yes"/>
    <m/>
    <s v="Yes"/>
    <m/>
    <s v="N/A"/>
    <m/>
    <s v="Yes"/>
    <m/>
    <s v="Yes"/>
    <m/>
    <s v="Re-certified"/>
    <s v="infasco"/>
    <n v="0"/>
    <n v="0"/>
  </r>
  <r>
    <x v="19"/>
    <x v="13"/>
    <s v="PZ18-7P483-AA"/>
    <n v="716410"/>
    <n v="12"/>
    <n v="195"/>
    <n v="2340"/>
    <n v="197"/>
    <s v="Yes"/>
    <m/>
    <s v="Yes"/>
    <m/>
    <s v="Yes"/>
    <m/>
    <s v="Yes"/>
    <m/>
    <s v="N/A"/>
    <m/>
    <s v="Yes"/>
    <m/>
    <s v="Yes"/>
    <m/>
    <s v="Re-certified"/>
    <s v="infasco"/>
    <n v="0"/>
    <n v="0"/>
  </r>
  <r>
    <x v="20"/>
    <x v="8"/>
    <s v="06511637AA"/>
    <n v="716432"/>
    <n v="17"/>
    <n v="1200"/>
    <n v="20400"/>
    <n v="275"/>
    <s v="Yes"/>
    <m/>
    <s v="Yes"/>
    <m/>
    <s v="Yes"/>
    <m/>
    <s v="Yes"/>
    <m/>
    <s v="N/A"/>
    <m/>
    <s v="Yes"/>
    <m/>
    <s v="Yes"/>
    <m/>
    <s v="New"/>
    <s v="infasco"/>
    <n v="106.94"/>
    <n v="106.94"/>
  </r>
  <r>
    <x v="20"/>
    <x v="8"/>
    <s v="06511637AA"/>
    <n v="716431"/>
    <n v="35"/>
    <n v="1200"/>
    <n v="42000"/>
    <n v="275"/>
    <s v="Yes"/>
    <m/>
    <s v="Yes"/>
    <m/>
    <s v="Yes"/>
    <m/>
    <s v="Yes"/>
    <m/>
    <s v="N/A"/>
    <m/>
    <s v="Yes"/>
    <m/>
    <s v="Yes"/>
    <m/>
    <s v="New"/>
    <s v="infasco"/>
    <n v="106.94"/>
    <n v="106.94"/>
  </r>
  <r>
    <x v="20"/>
    <x v="8"/>
    <s v="NU1510"/>
    <n v="717103"/>
    <n v="1"/>
    <n v="2000"/>
    <n v="2000"/>
    <n v="275"/>
    <s v="Yes"/>
    <m/>
    <s v="Yes"/>
    <m/>
    <s v="Yes"/>
    <m/>
    <s v="Yes"/>
    <m/>
    <s v="N/A"/>
    <m/>
    <s v="Yes"/>
    <m/>
    <s v="Yes"/>
    <m/>
    <s v="Re-certified"/>
    <s v="infasco"/>
    <n v="0"/>
    <n v="0"/>
  </r>
  <r>
    <x v="20"/>
    <x v="9"/>
    <s v="W520101-S437"/>
    <n v="716235"/>
    <n v="8"/>
    <n v="3000"/>
    <n v="24000"/>
    <n v="275"/>
    <s v="Yes"/>
    <m/>
    <s v="Yes"/>
    <m/>
    <s v="Yes"/>
    <m/>
    <s v="Yes"/>
    <m/>
    <s v="N/A"/>
    <m/>
    <s v="Yes"/>
    <m/>
    <s v="Yes"/>
    <m/>
    <s v="New"/>
    <s v="infasco"/>
    <n v="106.94"/>
    <n v="106.94"/>
  </r>
  <r>
    <x v="20"/>
    <x v="9"/>
    <s v="W711468-S437"/>
    <n v="714260"/>
    <n v="36"/>
    <n v="1600"/>
    <n v="57600"/>
    <n v="275"/>
    <s v="Yes"/>
    <m/>
    <s v="Yes"/>
    <m/>
    <s v="Yes"/>
    <m/>
    <s v="Yes"/>
    <m/>
    <s v="N/A"/>
    <m/>
    <s v="Yes"/>
    <m/>
    <s v="Yes"/>
    <m/>
    <s v="New"/>
    <s v="infasco"/>
    <n v="106.94"/>
    <n v="106.94"/>
  </r>
  <r>
    <x v="20"/>
    <x v="9"/>
    <s v="W711468-S437"/>
    <n v="714258"/>
    <n v="5"/>
    <n v="1600"/>
    <n v="8000"/>
    <n v="275"/>
    <s v="Yes"/>
    <m/>
    <s v="Yes"/>
    <m/>
    <s v="Yes"/>
    <m/>
    <s v="Yes"/>
    <m/>
    <s v="N/A"/>
    <m/>
    <s v="Yes"/>
    <m/>
    <s v="Yes"/>
    <m/>
    <s v="Re-certified"/>
    <s v="infasco"/>
    <n v="0"/>
    <n v="0"/>
  </r>
  <r>
    <x v="20"/>
    <x v="11"/>
    <n v="11561645"/>
    <n v="716906"/>
    <n v="13"/>
    <n v="4000"/>
    <n v="52000"/>
    <n v="275"/>
    <s v="Yes"/>
    <m/>
    <s v="Yes"/>
    <m/>
    <s v="Yes"/>
    <m/>
    <s v="Yes"/>
    <m/>
    <s v="N/A"/>
    <m/>
    <s v="Yes"/>
    <m/>
    <s v="Yes"/>
    <m/>
    <s v="New"/>
    <s v="infasco"/>
    <n v="106.94"/>
    <n v="106.94"/>
  </r>
  <r>
    <x v="20"/>
    <x v="10"/>
    <s v="11546377-PH-RO"/>
    <n v="717638"/>
    <n v="12"/>
    <n v="2150"/>
    <n v="25800"/>
    <n v="275"/>
    <s v="Yes"/>
    <m/>
    <s v="Yes"/>
    <m/>
    <s v="Yes"/>
    <m/>
    <s v="Yes"/>
    <m/>
    <s v="N/A"/>
    <m/>
    <s v="Yes"/>
    <m/>
    <s v="Yes"/>
    <m/>
    <s v="New"/>
    <s v="infasco"/>
    <n v="106.94"/>
    <n v="106.94"/>
  </r>
  <r>
    <x v="20"/>
    <x v="10"/>
    <s v="11546377-PH-RO"/>
    <n v="717633"/>
    <n v="15"/>
    <n v="2150"/>
    <n v="32250"/>
    <n v="275"/>
    <s v="Yes"/>
    <m/>
    <s v="Yes"/>
    <m/>
    <s v="Yes"/>
    <m/>
    <s v="Yes"/>
    <m/>
    <s v="N/A"/>
    <m/>
    <s v="Yes"/>
    <m/>
    <s v="Yes"/>
    <m/>
    <s v="Re-certified"/>
    <s v="infasco"/>
    <n v="0"/>
    <n v="0"/>
  </r>
  <r>
    <x v="20"/>
    <x v="6"/>
    <s v="W520412-S442"/>
    <n v="715999"/>
    <n v="5"/>
    <n v="3800"/>
    <n v="19000"/>
    <n v="275"/>
    <s v="Yes"/>
    <m/>
    <s v="Yes"/>
    <m/>
    <s v="Yes"/>
    <m/>
    <s v="Yes"/>
    <m/>
    <s v="N/A"/>
    <m/>
    <s v="Yes"/>
    <m/>
    <s v="Yes"/>
    <m/>
    <s v="New"/>
    <s v="infasco"/>
    <n v="106.94"/>
    <n v="106.94"/>
  </r>
  <r>
    <x v="20"/>
    <x v="6"/>
    <s v="W520412-S442"/>
    <n v="715998"/>
    <n v="32"/>
    <n v="3800"/>
    <n v="121600"/>
    <n v="275"/>
    <s v="Yes"/>
    <m/>
    <s v="Yes"/>
    <m/>
    <s v="Yes"/>
    <m/>
    <s v="Yes"/>
    <m/>
    <s v="N/A"/>
    <m/>
    <s v="Yes"/>
    <m/>
    <s v="Yes"/>
    <m/>
    <s v="Re-certified"/>
    <s v="infasco"/>
    <n v="0"/>
    <n v="0"/>
  </r>
  <r>
    <x v="20"/>
    <x v="12"/>
    <s v="06100050-A"/>
    <n v="717267"/>
    <n v="27"/>
    <n v="1500"/>
    <n v="40500"/>
    <n v="275"/>
    <s v="Yes"/>
    <m/>
    <s v="Yes"/>
    <m/>
    <s v="Yes"/>
    <m/>
    <s v="Yes"/>
    <m/>
    <s v="N/A"/>
    <m/>
    <s v="Yes"/>
    <m/>
    <s v="Yes"/>
    <m/>
    <s v="New"/>
    <s v="infasco"/>
    <n v="106.94"/>
    <n v="106.94"/>
  </r>
  <r>
    <x v="20"/>
    <x v="12"/>
    <s v="06100050-A"/>
    <n v="717264"/>
    <n v="24"/>
    <n v="1500"/>
    <n v="36000"/>
    <n v="275"/>
    <s v="Yes"/>
    <m/>
    <s v="Yes"/>
    <m/>
    <s v="Yes"/>
    <m/>
    <s v="Yes"/>
    <m/>
    <s v="N/A"/>
    <m/>
    <s v="Yes"/>
    <m/>
    <s v="Yes"/>
    <m/>
    <s v="Re-certified"/>
    <s v="infasco"/>
    <n v="0"/>
    <n v="0"/>
  </r>
  <r>
    <x v="20"/>
    <x v="27"/>
    <s v="11546367-MY-AK"/>
    <n v="717036"/>
    <n v="17"/>
    <n v="700"/>
    <n v="11900"/>
    <n v="290"/>
    <s v="Yes"/>
    <m/>
    <s v="Yes"/>
    <m/>
    <s v="Yes"/>
    <m/>
    <s v="Yes"/>
    <m/>
    <s v="N/A"/>
    <m/>
    <s v="Yes"/>
    <m/>
    <s v="Yes"/>
    <m/>
    <s v="New"/>
    <s v="infasco"/>
    <n v="106.94"/>
    <n v="106.94"/>
  </r>
  <r>
    <x v="20"/>
    <x v="27"/>
    <n v="11549170"/>
    <n v="716581"/>
    <n v="36"/>
    <n v="400"/>
    <n v="14400"/>
    <n v="290"/>
    <s v="Yes"/>
    <m/>
    <s v="Yes"/>
    <m/>
    <s v="Yes"/>
    <m/>
    <s v="Yes"/>
    <m/>
    <s v="N/A"/>
    <m/>
    <s v="Yes"/>
    <m/>
    <s v="Yes"/>
    <m/>
    <s v="New"/>
    <s v="infasco"/>
    <n v="106.94"/>
    <n v="106.94"/>
  </r>
  <r>
    <x v="20"/>
    <x v="27"/>
    <n v="11549170"/>
    <n v="716576"/>
    <n v="23"/>
    <n v="400"/>
    <n v="9200"/>
    <n v="290"/>
    <s v="Yes"/>
    <m/>
    <s v="Yes"/>
    <m/>
    <s v="Yes"/>
    <m/>
    <s v="Yes"/>
    <m/>
    <s v="N/A"/>
    <m/>
    <s v="Yes"/>
    <m/>
    <s v="Yes"/>
    <m/>
    <s v="Re-certified"/>
    <s v="infasco"/>
    <n v="0"/>
    <n v="0"/>
  </r>
  <r>
    <x v="20"/>
    <x v="26"/>
    <n v="11549168"/>
    <n v="716231"/>
    <n v="36"/>
    <n v="1000"/>
    <n v="36000"/>
    <n v="290"/>
    <s v="Yes"/>
    <m/>
    <s v="Yes"/>
    <m/>
    <s v="Yes"/>
    <m/>
    <s v="Yes"/>
    <m/>
    <s v="N/A"/>
    <m/>
    <s v="Yes"/>
    <m/>
    <s v="Yes"/>
    <m/>
    <s v="New"/>
    <s v="infasco"/>
    <n v="106.94"/>
    <n v="106.94"/>
  </r>
  <r>
    <x v="20"/>
    <x v="26"/>
    <n v="11549168"/>
    <n v="716233"/>
    <n v="36"/>
    <n v="1000"/>
    <n v="36000"/>
    <n v="290"/>
    <s v="Yes"/>
    <m/>
    <s v="Yes"/>
    <m/>
    <s v="Yes"/>
    <m/>
    <s v="Yes"/>
    <m/>
    <s v="N/A"/>
    <m/>
    <s v="Yes"/>
    <m/>
    <s v="Yes"/>
    <m/>
    <s v="New"/>
    <s v="infasco"/>
    <n v="106.94"/>
    <n v="106.94"/>
  </r>
  <r>
    <x v="20"/>
    <x v="26"/>
    <n v="11549168"/>
    <n v="716567"/>
    <n v="62"/>
    <n v="1000"/>
    <n v="62000"/>
    <n v="290"/>
    <s v="Yes"/>
    <m/>
    <s v="Yes"/>
    <m/>
    <s v="Yes"/>
    <m/>
    <s v="Yes"/>
    <m/>
    <s v="N/A"/>
    <m/>
    <s v="Yes"/>
    <m/>
    <s v="Yes"/>
    <m/>
    <s v="New"/>
    <s v="infasco"/>
    <n v="106.94"/>
    <n v="106.94"/>
  </r>
  <r>
    <x v="20"/>
    <x v="28"/>
    <n v="11546571"/>
    <n v="717162"/>
    <n v="7"/>
    <n v="1550"/>
    <n v="10850"/>
    <n v="290"/>
    <s v="Yes"/>
    <m/>
    <s v="Yes"/>
    <m/>
    <s v="Yes"/>
    <m/>
    <s v="Yes"/>
    <m/>
    <s v="N/A"/>
    <m/>
    <s v="Yes"/>
    <m/>
    <s v="Yes"/>
    <m/>
    <s v="Re-certified"/>
    <s v="infasco"/>
    <n v="0"/>
    <n v="0"/>
  </r>
  <r>
    <x v="20"/>
    <x v="30"/>
    <s v="11546368-MY-AK"/>
    <n v="716126"/>
    <n v="30"/>
    <n v="450"/>
    <n v="13500"/>
    <n v="290"/>
    <s v="Yes"/>
    <m/>
    <s v="Yes"/>
    <m/>
    <s v="Yes"/>
    <m/>
    <s v="Yes"/>
    <m/>
    <s v="N/A"/>
    <m/>
    <s v="Yes"/>
    <m/>
    <s v="Yes"/>
    <m/>
    <s v="New"/>
    <s v="infasco"/>
    <n v="106.94"/>
    <n v="106.94"/>
  </r>
  <r>
    <x v="20"/>
    <x v="30"/>
    <s v="11546368-MY-AK"/>
    <n v="716123"/>
    <n v="36"/>
    <n v="450"/>
    <n v="16200"/>
    <n v="290"/>
    <s v="Yes"/>
    <m/>
    <s v="Yes"/>
    <m/>
    <s v="Yes"/>
    <m/>
    <s v="Yes"/>
    <m/>
    <s v="N/A"/>
    <m/>
    <s v="Yes"/>
    <m/>
    <s v="Yes"/>
    <m/>
    <s v="New"/>
    <s v="infasco"/>
    <n v="106.94"/>
    <n v="106.94"/>
  </r>
  <r>
    <x v="20"/>
    <x v="30"/>
    <s v="11546368-MY-AK"/>
    <n v="714100"/>
    <n v="36"/>
    <n v="450"/>
    <n v="16200"/>
    <n v="290"/>
    <s v="Yes"/>
    <m/>
    <s v="Yes"/>
    <m/>
    <s v="Yes"/>
    <m/>
    <s v="Yes"/>
    <m/>
    <s v="N/A"/>
    <m/>
    <s v="Yes"/>
    <m/>
    <s v="Yes"/>
    <m/>
    <s v="New"/>
    <s v="infasco"/>
    <n v="106.94"/>
    <n v="106.94"/>
  </r>
  <r>
    <x v="20"/>
    <x v="30"/>
    <s v="11546368-MY-AK"/>
    <n v="716124"/>
    <n v="17"/>
    <n v="450"/>
    <n v="7650"/>
    <n v="290"/>
    <s v="Yes"/>
    <m/>
    <s v="Yes"/>
    <m/>
    <s v="Yes"/>
    <m/>
    <s v="Yes"/>
    <m/>
    <s v="N/A"/>
    <m/>
    <s v="Yes"/>
    <m/>
    <s v="Yes"/>
    <m/>
    <s v="Re-certified"/>
    <s v="infasco"/>
    <n v="0"/>
    <n v="0"/>
  </r>
  <r>
    <x v="20"/>
    <x v="29"/>
    <n v="11546391"/>
    <n v="715798"/>
    <n v="15"/>
    <n v="4500"/>
    <n v="67500"/>
    <n v="290"/>
    <s v="Yes"/>
    <m/>
    <s v="Yes"/>
    <m/>
    <s v="Yes"/>
    <m/>
    <s v="Yes"/>
    <m/>
    <s v="N/A"/>
    <m/>
    <s v="Yes"/>
    <m/>
    <s v="Yes"/>
    <m/>
    <s v="Re-certified"/>
    <s v="infasco"/>
    <n v="0"/>
    <n v="0"/>
  </r>
  <r>
    <x v="20"/>
    <x v="4"/>
    <s v="W716298-S450"/>
    <n v="716900"/>
    <n v="27"/>
    <n v="3500"/>
    <n v="94500"/>
    <n v="292"/>
    <s v="Yes"/>
    <m/>
    <s v="Yes"/>
    <m/>
    <s v="Yes"/>
    <m/>
    <s v="Yes"/>
    <m/>
    <s v="N/A"/>
    <m/>
    <s v="Yes"/>
    <m/>
    <s v="Yes"/>
    <m/>
    <s v="New"/>
    <s v="infasco"/>
    <n v="106.94"/>
    <n v="106.94"/>
  </r>
  <r>
    <x v="20"/>
    <x v="4"/>
    <n v="11546389"/>
    <n v="717703"/>
    <n v="2"/>
    <n v="4500"/>
    <n v="9000"/>
    <n v="292"/>
    <s v="Yes"/>
    <m/>
    <s v="Yes"/>
    <m/>
    <s v="Yes"/>
    <m/>
    <s v="Yes"/>
    <m/>
    <s v="N/A"/>
    <m/>
    <s v="Yes"/>
    <m/>
    <s v="Yes"/>
    <m/>
    <s v="Re-certified"/>
    <s v="infasco"/>
    <n v="0"/>
    <n v="0"/>
  </r>
  <r>
    <x v="20"/>
    <x v="5"/>
    <s v="11546367-MY-AK"/>
    <n v="717033"/>
    <n v="6"/>
    <n v="700"/>
    <n v="4200"/>
    <n v="292"/>
    <s v="Yes"/>
    <m/>
    <s v="Yes"/>
    <m/>
    <s v="Yes"/>
    <m/>
    <s v="Yes"/>
    <m/>
    <s v="N/A"/>
    <m/>
    <s v="Yes"/>
    <m/>
    <s v="Yes"/>
    <m/>
    <s v="New"/>
    <s v="infasco"/>
    <n v="106.94"/>
    <n v="106.94"/>
  </r>
  <r>
    <x v="20"/>
    <x v="5"/>
    <n v="11549170"/>
    <n v="716551"/>
    <n v="36"/>
    <n v="400"/>
    <n v="14400"/>
    <n v="292"/>
    <s v="Yes"/>
    <m/>
    <s v="Yes"/>
    <m/>
    <s v="Yes"/>
    <m/>
    <s v="Yes"/>
    <m/>
    <s v="N/A"/>
    <m/>
    <s v="Yes"/>
    <m/>
    <s v="Yes"/>
    <m/>
    <s v="New"/>
    <s v="infasco"/>
    <n v="106.94"/>
    <n v="106.94"/>
  </r>
  <r>
    <x v="20"/>
    <x v="5"/>
    <n v="11549170"/>
    <n v="716553"/>
    <n v="36"/>
    <n v="400"/>
    <n v="14400"/>
    <n v="292"/>
    <s v="Yes"/>
    <m/>
    <s v="Yes"/>
    <m/>
    <s v="Yes"/>
    <m/>
    <s v="Yes"/>
    <m/>
    <s v="N/A"/>
    <m/>
    <s v="Yes"/>
    <m/>
    <s v="Yes"/>
    <m/>
    <s v="New"/>
    <s v="infasco"/>
    <n v="106.94"/>
    <n v="106.94"/>
  </r>
  <r>
    <x v="20"/>
    <x v="5"/>
    <n v="11549170"/>
    <n v="716584"/>
    <n v="10"/>
    <n v="400"/>
    <n v="4000"/>
    <n v="292"/>
    <s v="Yes"/>
    <m/>
    <s v="Yes"/>
    <m/>
    <s v="Yes"/>
    <m/>
    <s v="Yes"/>
    <m/>
    <s v="N/A"/>
    <m/>
    <s v="Yes"/>
    <m/>
    <s v="Yes"/>
    <m/>
    <s v="Re-certified"/>
    <s v="infasco"/>
    <n v="0"/>
    <n v="0"/>
  </r>
  <r>
    <x v="20"/>
    <x v="3"/>
    <s v="11546368-MY-AK"/>
    <n v="716121"/>
    <n v="39"/>
    <n v="450"/>
    <n v="17550"/>
    <n v="292"/>
    <s v="Yes"/>
    <m/>
    <s v="Yes"/>
    <m/>
    <s v="Yes"/>
    <m/>
    <s v="Yes"/>
    <m/>
    <s v="N/A"/>
    <m/>
    <s v="Yes"/>
    <m/>
    <s v="Yes"/>
    <m/>
    <s v="New"/>
    <s v="infasco"/>
    <n v="106.94"/>
    <n v="106.94"/>
  </r>
  <r>
    <x v="20"/>
    <x v="3"/>
    <n v="11549170"/>
    <n v="716555"/>
    <n v="36"/>
    <n v="400"/>
    <n v="14400"/>
    <n v="292"/>
    <s v="Yes"/>
    <m/>
    <s v="Yes"/>
    <m/>
    <s v="Yes"/>
    <m/>
    <s v="Yes"/>
    <m/>
    <s v="N/A"/>
    <m/>
    <s v="Yes"/>
    <m/>
    <s v="Yes"/>
    <m/>
    <s v="New"/>
    <s v="infasco"/>
    <n v="106.94"/>
    <n v="106.94"/>
  </r>
  <r>
    <x v="20"/>
    <x v="3"/>
    <n v="11549170"/>
    <n v="716583"/>
    <n v="15"/>
    <n v="400"/>
    <n v="6000"/>
    <n v="292"/>
    <s v="Yes"/>
    <m/>
    <s v="Yes"/>
    <m/>
    <s v="Yes"/>
    <m/>
    <s v="Yes"/>
    <m/>
    <s v="N/A"/>
    <m/>
    <s v="Yes"/>
    <m/>
    <s v="Yes"/>
    <m/>
    <s v="Re-certified"/>
    <s v="infasco"/>
    <n v="0"/>
    <n v="0"/>
  </r>
  <r>
    <x v="20"/>
    <x v="0"/>
    <s v="11546377-PH-RO"/>
    <n v="717630"/>
    <n v="9"/>
    <n v="2150"/>
    <n v="19350"/>
    <n v="292"/>
    <s v="Yes"/>
    <m/>
    <s v="Yes"/>
    <m/>
    <s v="Yes"/>
    <m/>
    <s v="Yes"/>
    <m/>
    <s v="N/A"/>
    <m/>
    <s v="Yes"/>
    <m/>
    <s v="Yes"/>
    <m/>
    <s v="New"/>
    <s v="infasco"/>
    <n v="106.94"/>
    <n v="106.94"/>
  </r>
  <r>
    <x v="20"/>
    <x v="0"/>
    <s v="11546365-MY-AK"/>
    <n v="716822"/>
    <n v="5"/>
    <n v="1900"/>
    <n v="9500"/>
    <n v="292"/>
    <s v="Yes"/>
    <m/>
    <s v="Yes"/>
    <m/>
    <s v="Yes"/>
    <m/>
    <s v="Yes"/>
    <m/>
    <s v="N/A"/>
    <m/>
    <s v="Yes"/>
    <m/>
    <s v="Yes"/>
    <m/>
    <s v="Re-certified"/>
    <s v="infasco"/>
    <n v="0"/>
    <n v="0"/>
  </r>
  <r>
    <x v="20"/>
    <x v="19"/>
    <n v="11549168"/>
    <n v="716568"/>
    <n v="36"/>
    <n v="1000"/>
    <n v="36000"/>
    <n v="292"/>
    <s v="Yes"/>
    <m/>
    <s v="Yes"/>
    <m/>
    <s v="Yes"/>
    <m/>
    <s v="Yes"/>
    <m/>
    <s v="N/A"/>
    <m/>
    <s v="Yes"/>
    <m/>
    <s v="Yes"/>
    <m/>
    <s v="New"/>
    <s v="infasco"/>
    <n v="106.94"/>
    <n v="106.94"/>
  </r>
  <r>
    <x v="20"/>
    <x v="19"/>
    <n v="11549168"/>
    <n v="716549"/>
    <n v="25"/>
    <n v="1000"/>
    <n v="25000"/>
    <n v="292"/>
    <s v="Yes"/>
    <m/>
    <s v="Yes"/>
    <m/>
    <s v="Yes"/>
    <m/>
    <s v="Yes"/>
    <m/>
    <s v="N/A"/>
    <m/>
    <s v="Yes"/>
    <m/>
    <s v="Yes"/>
    <m/>
    <s v="Re-certified"/>
    <s v="infasco"/>
    <n v="0"/>
    <n v="0"/>
  </r>
  <r>
    <x v="20"/>
    <x v="2"/>
    <s v="11546367-MY-AK"/>
    <n v="717043"/>
    <n v="6"/>
    <n v="700"/>
    <n v="4200"/>
    <n v="292"/>
    <s v="Yes"/>
    <m/>
    <s v="Yes"/>
    <m/>
    <s v="Yes"/>
    <m/>
    <s v="Yes"/>
    <m/>
    <s v="N/A"/>
    <m/>
    <s v="Yes"/>
    <m/>
    <s v="Yes"/>
    <m/>
    <s v="New"/>
    <s v="infasco"/>
    <n v="106.94"/>
    <n v="106.94"/>
  </r>
  <r>
    <x v="20"/>
    <x v="2"/>
    <n v="11549168"/>
    <n v="716562"/>
    <n v="30"/>
    <n v="1000"/>
    <n v="30000"/>
    <n v="292"/>
    <s v="Yes"/>
    <m/>
    <s v="Yes"/>
    <m/>
    <s v="Yes"/>
    <m/>
    <s v="Yes"/>
    <m/>
    <s v="N/A"/>
    <m/>
    <s v="Yes"/>
    <m/>
    <s v="Yes"/>
    <m/>
    <s v="Re-certified"/>
    <s v="infasco"/>
    <n v="0"/>
    <n v="0"/>
  </r>
  <r>
    <x v="20"/>
    <x v="1"/>
    <s v="11546377-PH-RO"/>
    <n v="717696"/>
    <n v="11"/>
    <n v="2150"/>
    <n v="23650"/>
    <n v="292"/>
    <s v="Yes"/>
    <m/>
    <s v="Yes"/>
    <m/>
    <s v="Yes"/>
    <m/>
    <s v="Yes"/>
    <m/>
    <s v="N/A"/>
    <m/>
    <s v="Yes"/>
    <m/>
    <s v="Yes"/>
    <m/>
    <s v="New"/>
    <s v="infasco"/>
    <n v="106.94"/>
    <n v="106.94"/>
  </r>
  <r>
    <x v="20"/>
    <x v="24"/>
    <s v="W716298-S450"/>
    <n v="716901"/>
    <n v="22"/>
    <n v="3500"/>
    <n v="77000"/>
    <n v="280"/>
    <s v="Yes"/>
    <m/>
    <s v="Yes"/>
    <m/>
    <s v="Yes"/>
    <m/>
    <s v="Yes"/>
    <m/>
    <s v="N/A"/>
    <m/>
    <s v="Yes"/>
    <m/>
    <s v="Yes"/>
    <m/>
    <s v="Re-certified"/>
    <s v="infasco"/>
    <n v="0"/>
    <n v="0"/>
  </r>
  <r>
    <x v="20"/>
    <x v="20"/>
    <s v="11546367-MY-AK"/>
    <n v="717040"/>
    <n v="22"/>
    <n v="700"/>
    <n v="15400"/>
    <n v="280"/>
    <s v="Yes"/>
    <m/>
    <s v="Yes"/>
    <m/>
    <s v="Yes"/>
    <m/>
    <s v="Yes"/>
    <m/>
    <s v="N/A"/>
    <m/>
    <s v="Yes"/>
    <m/>
    <s v="Yes"/>
    <m/>
    <s v="New"/>
    <s v="infasco"/>
    <n v="106.94"/>
    <n v="106.94"/>
  </r>
  <r>
    <x v="20"/>
    <x v="20"/>
    <n v="11549168"/>
    <n v="716561"/>
    <n v="23"/>
    <n v="1000"/>
    <n v="23000"/>
    <n v="280"/>
    <s v="Yes"/>
    <m/>
    <s v="Yes"/>
    <m/>
    <s v="Yes"/>
    <m/>
    <s v="Yes"/>
    <m/>
    <s v="N/A"/>
    <m/>
    <s v="Yes"/>
    <m/>
    <s v="Yes"/>
    <m/>
    <s v="Re-certified"/>
    <s v="infasco"/>
    <n v="0"/>
    <n v="0"/>
  </r>
  <r>
    <x v="20"/>
    <x v="21"/>
    <n v="11561645"/>
    <n v="716907"/>
    <n v="8"/>
    <n v="4000"/>
    <n v="32000"/>
    <n v="280"/>
    <s v="Yes"/>
    <m/>
    <s v="Yes"/>
    <m/>
    <s v="Yes"/>
    <m/>
    <s v="Yes"/>
    <m/>
    <s v="N/A"/>
    <m/>
    <s v="Yes"/>
    <m/>
    <s v="Yes"/>
    <m/>
    <s v="New"/>
    <s v="infasco"/>
    <n v="106.94"/>
    <n v="106.94"/>
  </r>
  <r>
    <x v="20"/>
    <x v="21"/>
    <n v="11549168"/>
    <n v="716232"/>
    <n v="36"/>
    <n v="1000"/>
    <n v="36000"/>
    <n v="280"/>
    <s v="Yes"/>
    <m/>
    <s v="Yes"/>
    <m/>
    <s v="Yes"/>
    <m/>
    <s v="Yes"/>
    <m/>
    <s v="N/A"/>
    <m/>
    <s v="Yes"/>
    <m/>
    <s v="Yes"/>
    <m/>
    <s v="New"/>
    <s v="infasco"/>
    <n v="106.94"/>
    <n v="106.94"/>
  </r>
  <r>
    <x v="20"/>
    <x v="21"/>
    <n v="11549168"/>
    <n v="716550"/>
    <n v="31"/>
    <n v="1000"/>
    <n v="31000"/>
    <n v="280"/>
    <s v="Yes"/>
    <m/>
    <s v="Yes"/>
    <m/>
    <s v="Yes"/>
    <m/>
    <s v="Yes"/>
    <m/>
    <s v="N/A"/>
    <m/>
    <s v="Yes"/>
    <m/>
    <s v="Yes"/>
    <m/>
    <s v="New"/>
    <s v="infasco"/>
    <n v="106.94"/>
    <n v="106.94"/>
  </r>
  <r>
    <x v="20"/>
    <x v="25"/>
    <s v="06101736-A"/>
    <n v="716775"/>
    <n v="15"/>
    <n v="3200"/>
    <n v="48000"/>
    <n v="280"/>
    <s v="Yes"/>
    <m/>
    <s v="Yes"/>
    <m/>
    <s v="Yes"/>
    <m/>
    <s v="Yes"/>
    <m/>
    <s v="N/A"/>
    <m/>
    <s v="Yes"/>
    <m/>
    <s v="Yes"/>
    <m/>
    <s v="Re-certified"/>
    <s v="infasco"/>
    <n v="0"/>
    <n v="0"/>
  </r>
  <r>
    <x v="20"/>
    <x v="22"/>
    <s v="11546377-PH-RO"/>
    <n v="717697"/>
    <n v="27"/>
    <n v="2150"/>
    <n v="58050"/>
    <n v="280"/>
    <s v="Yes"/>
    <m/>
    <s v="Yes"/>
    <m/>
    <s v="Yes"/>
    <m/>
    <s v="Yes"/>
    <m/>
    <s v="N/A"/>
    <m/>
    <s v="Yes"/>
    <m/>
    <s v="Yes"/>
    <m/>
    <s v="New"/>
    <s v="infasco"/>
    <n v="106.94"/>
    <n v="106.94"/>
  </r>
  <r>
    <x v="20"/>
    <x v="23"/>
    <n v="11546448"/>
    <n v="716855"/>
    <n v="9"/>
    <n v="3300"/>
    <n v="29700"/>
    <n v="280"/>
    <s v="Yes"/>
    <m/>
    <s v="Yes"/>
    <m/>
    <s v="Yes"/>
    <m/>
    <s v="Yes"/>
    <m/>
    <s v="N/A"/>
    <m/>
    <s v="Yes"/>
    <m/>
    <s v="Yes"/>
    <m/>
    <s v="New"/>
    <s v="infasco"/>
    <n v="106.94"/>
    <n v="106.94"/>
  </r>
  <r>
    <x v="20"/>
    <x v="23"/>
    <s v="11546545-TH-TC"/>
    <n v="717137"/>
    <n v="28"/>
    <n v="2500"/>
    <n v="70000"/>
    <n v="280"/>
    <s v="Yes"/>
    <m/>
    <s v="Yes"/>
    <m/>
    <s v="Yes"/>
    <m/>
    <s v="Yes"/>
    <m/>
    <s v="N/A"/>
    <m/>
    <s v="Yes"/>
    <m/>
    <s v="Yes"/>
    <m/>
    <s v="New"/>
    <s v="infasco"/>
    <n v="106.94"/>
    <n v="106.94"/>
  </r>
  <r>
    <x v="20"/>
    <x v="15"/>
    <s v="11549171-MY-AK"/>
    <n v="717213"/>
    <n v="35"/>
    <n v="280"/>
    <n v="9800"/>
    <s v="157+297"/>
    <s v="Yes"/>
    <m/>
    <s v="Yes"/>
    <m/>
    <s v="Yes"/>
    <m/>
    <s v="Yes"/>
    <m/>
    <s v="N/A"/>
    <m/>
    <s v="Yes"/>
    <m/>
    <s v="Yes"/>
    <m/>
    <s v="New"/>
    <s v="infasco"/>
    <n v="106.94"/>
    <n v="106.94"/>
  </r>
  <r>
    <x v="20"/>
    <x v="15"/>
    <s v="06513404AA"/>
    <n v="716324"/>
    <n v="36"/>
    <n v="120"/>
    <n v="4320"/>
    <s v="157+297"/>
    <s v="Yes"/>
    <m/>
    <s v="Yes"/>
    <m/>
    <s v="Yes"/>
    <m/>
    <s v="Yes"/>
    <m/>
    <s v="N/A"/>
    <m/>
    <s v="Yes"/>
    <m/>
    <s v="Yes"/>
    <m/>
    <s v="New"/>
    <s v="infasco"/>
    <n v="106.94"/>
    <n v="106.94"/>
  </r>
  <r>
    <x v="20"/>
    <x v="15"/>
    <s v="06513404AA"/>
    <n v="716317"/>
    <n v="36"/>
    <n v="120"/>
    <n v="4320"/>
    <s v="157+297"/>
    <s v="Yes"/>
    <m/>
    <s v="Yes"/>
    <m/>
    <s v="Yes"/>
    <m/>
    <s v="Yes"/>
    <m/>
    <s v="N/A"/>
    <m/>
    <s v="Yes"/>
    <m/>
    <s v="Yes"/>
    <m/>
    <s v="New"/>
    <s v="infasco"/>
    <n v="106.94"/>
    <n v="106.94"/>
  </r>
  <r>
    <x v="20"/>
    <x v="15"/>
    <s v="06513404AA"/>
    <n v="716318"/>
    <n v="39"/>
    <n v="120"/>
    <n v="4680"/>
    <s v="157+297"/>
    <s v="Yes"/>
    <m/>
    <s v="Yes"/>
    <m/>
    <s v="Yes"/>
    <m/>
    <s v="Yes"/>
    <m/>
    <s v="N/A"/>
    <m/>
    <s v="Yes"/>
    <m/>
    <s v="Yes"/>
    <m/>
    <s v="New"/>
    <s v="infasco"/>
    <n v="106.94"/>
    <n v="106.94"/>
  </r>
  <r>
    <x v="20"/>
    <x v="15"/>
    <s v="NU1136-01"/>
    <n v="717239"/>
    <n v="1"/>
    <n v="10000"/>
    <n v="10000"/>
    <s v="157+297"/>
    <s v="Yes"/>
    <m/>
    <s v="Yes"/>
    <m/>
    <s v="Yes"/>
    <m/>
    <s v="Yes"/>
    <m/>
    <s v="N/A"/>
    <m/>
    <s v="Yes"/>
    <m/>
    <s v="Yes"/>
    <m/>
    <s v="New"/>
    <s v="infasco"/>
    <n v="129.44999999999999"/>
    <n v="129.44999999999999"/>
  </r>
  <r>
    <x v="20"/>
    <x v="15"/>
    <s v="NU1136-01"/>
    <n v="717236"/>
    <n v="1"/>
    <n v="7790"/>
    <n v="7790"/>
    <s v="157+297"/>
    <s v="Yes"/>
    <m/>
    <s v="Yes"/>
    <m/>
    <s v="Yes"/>
    <m/>
    <s v="Yes"/>
    <m/>
    <s v="N/A"/>
    <m/>
    <s v="Yes"/>
    <m/>
    <s v="Yes"/>
    <m/>
    <s v="New"/>
    <s v="infasco"/>
    <n v="129.44999999999999"/>
    <n v="129.44999999999999"/>
  </r>
  <r>
    <x v="20"/>
    <x v="15"/>
    <s v="NU3019"/>
    <n v="716724"/>
    <n v="1"/>
    <n v="4700"/>
    <n v="4700"/>
    <s v="157+297"/>
    <s v="Yes"/>
    <m/>
    <s v="Yes"/>
    <m/>
    <s v="Yes"/>
    <m/>
    <s v="Yes"/>
    <m/>
    <s v="N/A"/>
    <m/>
    <s v="Yes"/>
    <m/>
    <s v="Yes"/>
    <m/>
    <s v="New"/>
    <s v="infasco"/>
    <n v="129.44999999999999"/>
    <n v="129.44999999999999"/>
  </r>
  <r>
    <x v="20"/>
    <x v="15"/>
    <s v="NU3019"/>
    <n v="716731"/>
    <n v="1"/>
    <n v="4970"/>
    <n v="4970"/>
    <s v="157+297"/>
    <s v="Yes"/>
    <m/>
    <s v="Yes"/>
    <m/>
    <s v="Yes"/>
    <m/>
    <s v="Yes"/>
    <m/>
    <s v="N/A"/>
    <m/>
    <s v="Yes"/>
    <m/>
    <s v="Yes"/>
    <m/>
    <s v="New"/>
    <s v="infasco"/>
    <n v="129.44999999999999"/>
    <n v="129.44999999999999"/>
  </r>
  <r>
    <x v="20"/>
    <x v="15"/>
    <s v="06511672AA"/>
    <n v="714523"/>
    <n v="30"/>
    <n v="1400"/>
    <n v="42000"/>
    <s v="157+297"/>
    <s v="Yes"/>
    <m/>
    <s v="Yes"/>
    <m/>
    <s v="Yes"/>
    <m/>
    <s v="Yes"/>
    <m/>
    <s v="N/A"/>
    <m/>
    <s v="Yes"/>
    <m/>
    <s v="Yes"/>
    <m/>
    <s v="New"/>
    <s v="infasco"/>
    <n v="106.94"/>
    <n v="106.94"/>
  </r>
  <r>
    <x v="20"/>
    <x v="16"/>
    <s v="NU1136-01"/>
    <n v="717240"/>
    <n v="1"/>
    <n v="10000"/>
    <n v="10000"/>
    <s v="285+391"/>
    <s v="Yes"/>
    <m/>
    <s v="Yes"/>
    <m/>
    <s v="Yes"/>
    <m/>
    <s v="Yes"/>
    <m/>
    <s v="N/A"/>
    <m/>
    <s v="Yes"/>
    <m/>
    <s v="Yes"/>
    <m/>
    <s v="New"/>
    <s v="infasco"/>
    <n v="129.44999999999999"/>
    <n v="129.44999999999999"/>
  </r>
  <r>
    <x v="20"/>
    <x v="16"/>
    <s v="NU1136-01"/>
    <n v="717242"/>
    <n v="1"/>
    <n v="0"/>
    <n v="0"/>
    <s v="285+391"/>
    <s v="Yes"/>
    <m/>
    <s v="Yes"/>
    <m/>
    <s v="Yes"/>
    <m/>
    <s v="Yes"/>
    <m/>
    <s v="N/A"/>
    <m/>
    <s v="Yes"/>
    <m/>
    <s v="Yes"/>
    <m/>
    <s v="New"/>
    <s v="infasco"/>
    <n v="129.44999999999999"/>
    <n v="129.44999999999999"/>
  </r>
  <r>
    <x v="20"/>
    <x v="16"/>
    <s v="NU1136-01"/>
    <n v="717238"/>
    <n v="1"/>
    <n v="3980"/>
    <n v="3980"/>
    <s v="285+391"/>
    <s v="Yes"/>
    <m/>
    <s v="Yes"/>
    <m/>
    <s v="Yes"/>
    <m/>
    <s v="Yes"/>
    <m/>
    <s v="N/A"/>
    <m/>
    <s v="Yes"/>
    <m/>
    <s v="Yes"/>
    <m/>
    <s v="New"/>
    <s v="infasco"/>
    <n v="129.44999999999999"/>
    <n v="129.44999999999999"/>
  </r>
  <r>
    <x v="20"/>
    <x v="16"/>
    <s v="4200818SHJ5A00Z"/>
    <n v="714597"/>
    <n v="25"/>
    <n v="850"/>
    <n v="21250"/>
    <s v="285+391"/>
    <s v="Yes"/>
    <m/>
    <s v="Yes"/>
    <m/>
    <s v="Yes"/>
    <m/>
    <s v="Yes"/>
    <m/>
    <s v="N/A"/>
    <m/>
    <s v="Yes"/>
    <m/>
    <s v="Yes"/>
    <m/>
    <s v="New"/>
    <s v="infasco"/>
    <n v="106.94"/>
    <n v="106.94"/>
  </r>
  <r>
    <x v="20"/>
    <x v="16"/>
    <s v="4200818SHJ5A00Z"/>
    <n v="714598"/>
    <n v="14"/>
    <n v="850"/>
    <n v="11900"/>
    <s v="285+391"/>
    <s v="Yes"/>
    <m/>
    <s v="Yes"/>
    <m/>
    <s v="Yes"/>
    <m/>
    <s v="Yes"/>
    <m/>
    <s v="N/A"/>
    <m/>
    <s v="Yes"/>
    <m/>
    <s v="Yes"/>
    <m/>
    <s v="New"/>
    <s v="infasco"/>
    <n v="106.94"/>
    <n v="106.94"/>
  </r>
  <r>
    <x v="20"/>
    <x v="17"/>
    <s v="NU1136-01"/>
    <n v="717237"/>
    <n v="1"/>
    <n v="10000"/>
    <n v="10000"/>
    <s v="190+268"/>
    <s v="Yes"/>
    <m/>
    <s v="Yes"/>
    <m/>
    <s v="Yes"/>
    <m/>
    <s v="Yes"/>
    <m/>
    <s v="N/A"/>
    <m/>
    <s v="Yes"/>
    <m/>
    <s v="Yes"/>
    <m/>
    <s v="New"/>
    <s v="infasco"/>
    <n v="129.44999999999999"/>
    <n v="129.44999999999999"/>
  </r>
  <r>
    <x v="20"/>
    <x v="17"/>
    <s v="NU1136-01"/>
    <n v="717241"/>
    <n v="1"/>
    <n v="7480"/>
    <n v="7480"/>
    <s v="190+268"/>
    <s v="Yes"/>
    <m/>
    <s v="Yes"/>
    <m/>
    <s v="Yes"/>
    <m/>
    <s v="Yes"/>
    <m/>
    <s v="N/A"/>
    <m/>
    <s v="Yes"/>
    <m/>
    <s v="Yes"/>
    <m/>
    <s v="New"/>
    <s v="infasco"/>
    <n v="129.44999999999999"/>
    <n v="129.44999999999999"/>
  </r>
  <r>
    <x v="20"/>
    <x v="17"/>
    <s v="NU3019"/>
    <n v="716725"/>
    <n v="1"/>
    <n v="4780"/>
    <n v="4780"/>
    <s v="190+268"/>
    <s v="Yes"/>
    <m/>
    <s v="Yes"/>
    <m/>
    <s v="Yes"/>
    <m/>
    <s v="Yes"/>
    <m/>
    <s v="N/A"/>
    <m/>
    <s v="Yes"/>
    <m/>
    <s v="Yes"/>
    <m/>
    <s v="New"/>
    <s v="infasco"/>
    <n v="129.44999999999999"/>
    <n v="129.44999999999999"/>
  </r>
  <r>
    <x v="20"/>
    <x v="17"/>
    <s v="NU3019"/>
    <n v="715973"/>
    <n v="1"/>
    <n v="4780"/>
    <n v="4780"/>
    <s v="190+268"/>
    <s v="Yes"/>
    <m/>
    <s v="Yes"/>
    <m/>
    <s v="Yes"/>
    <m/>
    <s v="Yes"/>
    <m/>
    <s v="N/A"/>
    <m/>
    <s v="Yes"/>
    <m/>
    <s v="Yes"/>
    <m/>
    <s v="New"/>
    <s v="infasco"/>
    <n v="129.44999999999999"/>
    <n v="129.44999999999999"/>
  </r>
  <r>
    <x v="20"/>
    <x v="17"/>
    <s v="NU3019"/>
    <n v="716726"/>
    <n v="1"/>
    <n v="5030"/>
    <n v="5030"/>
    <s v="190+268"/>
    <s v="Yes"/>
    <m/>
    <s v="Yes"/>
    <m/>
    <s v="Yes"/>
    <m/>
    <s v="Yes"/>
    <m/>
    <s v="N/A"/>
    <m/>
    <s v="Yes"/>
    <m/>
    <s v="Yes"/>
    <m/>
    <s v="New"/>
    <s v="infasco"/>
    <n v="129.44999999999999"/>
    <n v="129.44999999999999"/>
  </r>
  <r>
    <x v="20"/>
    <x v="17"/>
    <s v="06513555AA"/>
    <n v="717423"/>
    <n v="36"/>
    <n v="440"/>
    <n v="15840"/>
    <s v="190+268"/>
    <s v="Yes"/>
    <m/>
    <s v="Yes"/>
    <m/>
    <s v="Yes"/>
    <m/>
    <s v="Yes"/>
    <m/>
    <s v="N/A"/>
    <m/>
    <s v="Yes"/>
    <m/>
    <s v="Yes"/>
    <m/>
    <s v="New"/>
    <s v="infasco"/>
    <n v="106.94"/>
    <n v="106.94"/>
  </r>
  <r>
    <x v="20"/>
    <x v="17"/>
    <n v="11546389"/>
    <n v="717701"/>
    <n v="36"/>
    <n v="4500"/>
    <n v="162000"/>
    <s v="190+268"/>
    <s v="Yes"/>
    <m/>
    <s v="Yes"/>
    <m/>
    <s v="Yes"/>
    <m/>
    <s v="Yes"/>
    <m/>
    <s v="N/A"/>
    <m/>
    <s v="Yes"/>
    <m/>
    <s v="Yes"/>
    <m/>
    <s v="New"/>
    <s v="infasco"/>
    <n v="106.94"/>
    <n v="106.94"/>
  </r>
  <r>
    <x v="20"/>
    <x v="17"/>
    <n v="11546389"/>
    <n v="717705"/>
    <n v="19"/>
    <n v="4500"/>
    <n v="85500"/>
    <s v="190+268"/>
    <s v="Yes"/>
    <m/>
    <s v="Yes"/>
    <m/>
    <s v="Yes"/>
    <m/>
    <s v="Yes"/>
    <m/>
    <s v="N/A"/>
    <m/>
    <s v="Yes"/>
    <m/>
    <s v="Yes"/>
    <m/>
    <s v="New"/>
    <s v="infasco"/>
    <n v="106.94"/>
    <n v="106.94"/>
  </r>
  <r>
    <x v="20"/>
    <x v="17"/>
    <s v="06513404AA"/>
    <n v="716322"/>
    <n v="38"/>
    <n v="120"/>
    <n v="4560"/>
    <s v="190+268"/>
    <s v="Yes"/>
    <m/>
    <s v="Yes"/>
    <m/>
    <s v="Yes"/>
    <m/>
    <s v="Yes"/>
    <m/>
    <s v="N/A"/>
    <m/>
    <s v="Yes"/>
    <m/>
    <s v="Yes"/>
    <m/>
    <s v="New"/>
    <s v="infasco"/>
    <n v="106.94"/>
    <n v="106.94"/>
  </r>
  <r>
    <x v="20"/>
    <x v="32"/>
    <s v="NU1136-01"/>
    <n v="716493"/>
    <n v="1"/>
    <n v="4600"/>
    <n v="4600"/>
    <s v="252+011"/>
    <s v="Yes"/>
    <m/>
    <s v="Yes"/>
    <m/>
    <s v="Yes"/>
    <m/>
    <s v="Yes"/>
    <m/>
    <s v="N/A"/>
    <m/>
    <s v="Yes"/>
    <m/>
    <s v="Yes"/>
    <m/>
    <s v="New"/>
    <s v="infasco"/>
    <n v="129.44999999999999"/>
    <n v="129.44999999999999"/>
  </r>
  <r>
    <x v="20"/>
    <x v="32"/>
    <s v="NU1136-01"/>
    <n v="717243"/>
    <n v="1"/>
    <n v="7620"/>
    <n v="7620"/>
    <s v="252+011"/>
    <s v="Yes"/>
    <m/>
    <s v="Yes"/>
    <m/>
    <s v="Yes"/>
    <m/>
    <s v="Yes"/>
    <m/>
    <s v="N/A"/>
    <m/>
    <s v="Yes"/>
    <m/>
    <s v="Yes"/>
    <m/>
    <s v="New"/>
    <s v="infasco"/>
    <n v="129.44999999999999"/>
    <n v="129.44999999999999"/>
  </r>
  <r>
    <x v="20"/>
    <x v="32"/>
    <s v="NU3019"/>
    <n v="716730"/>
    <n v="1"/>
    <n v="4700"/>
    <n v="4700"/>
    <s v="252+011"/>
    <s v="Yes"/>
    <m/>
    <s v="Yes"/>
    <m/>
    <s v="Yes"/>
    <m/>
    <s v="Yes"/>
    <m/>
    <s v="N/A"/>
    <m/>
    <s v="Yes"/>
    <m/>
    <s v="Yes"/>
    <m/>
    <s v="New"/>
    <s v="infasco"/>
    <n v="129.44999999999999"/>
    <n v="129.44999999999999"/>
  </r>
  <r>
    <x v="20"/>
    <x v="32"/>
    <s v="NU3019"/>
    <n v="716736"/>
    <n v="1"/>
    <n v="5250"/>
    <n v="5250"/>
    <s v="252+011"/>
    <s v="Yes"/>
    <m/>
    <s v="Yes"/>
    <m/>
    <s v="Yes"/>
    <m/>
    <s v="Yes"/>
    <m/>
    <s v="N/A"/>
    <m/>
    <s v="Yes"/>
    <m/>
    <s v="Yes"/>
    <m/>
    <s v="New"/>
    <s v="infasco"/>
    <n v="129.44999999999999"/>
    <n v="129.44999999999999"/>
  </r>
  <r>
    <x v="20"/>
    <x v="32"/>
    <s v="NU3019"/>
    <n v="716733"/>
    <n v="1"/>
    <n v="5400"/>
    <n v="5400"/>
    <s v="252+011"/>
    <s v="Yes"/>
    <m/>
    <s v="Yes"/>
    <m/>
    <s v="Yes"/>
    <m/>
    <s v="Yes"/>
    <m/>
    <s v="N/A"/>
    <m/>
    <s v="Yes"/>
    <m/>
    <s v="Yes"/>
    <m/>
    <s v="New"/>
    <s v="infasco"/>
    <n v="129.44999999999999"/>
    <n v="129.44999999999999"/>
  </r>
  <r>
    <x v="20"/>
    <x v="32"/>
    <s v="NU3019"/>
    <n v="716727"/>
    <n v="1"/>
    <n v="4760"/>
    <n v="4760"/>
    <s v="252+011"/>
    <s v="Yes"/>
    <m/>
    <s v="Yes"/>
    <m/>
    <s v="Yes"/>
    <m/>
    <s v="Yes"/>
    <m/>
    <s v="N/A"/>
    <m/>
    <s v="Yes"/>
    <m/>
    <s v="Yes"/>
    <m/>
    <s v="New"/>
    <s v="infasco"/>
    <n v="129.44999999999999"/>
    <n v="129.44999999999999"/>
  </r>
  <r>
    <x v="20"/>
    <x v="32"/>
    <s v="06514094AA"/>
    <n v="716902"/>
    <n v="26"/>
    <n v="330"/>
    <n v="8580"/>
    <s v="252+011"/>
    <s v="Yes"/>
    <m/>
    <s v="Yes"/>
    <m/>
    <s v="Yes"/>
    <m/>
    <s v="Yes"/>
    <m/>
    <s v="N/A"/>
    <m/>
    <s v="Yes"/>
    <m/>
    <s v="Yes"/>
    <m/>
    <s v="New"/>
    <s v="infasco"/>
    <n v="280.16000000000003"/>
    <n v="280.16000000000003"/>
  </r>
  <r>
    <x v="20"/>
    <x v="32"/>
    <s v="06513404AA"/>
    <n v="716323"/>
    <n v="37"/>
    <n v="120"/>
    <n v="4440"/>
    <s v="252+011"/>
    <s v="Yes"/>
    <m/>
    <s v="Yes"/>
    <m/>
    <s v="Yes"/>
    <m/>
    <s v="Yes"/>
    <m/>
    <s v="N/A"/>
    <m/>
    <s v="Yes"/>
    <m/>
    <s v="Yes"/>
    <m/>
    <s v="New"/>
    <s v="infasco"/>
    <n v="106.94"/>
    <n v="106.94"/>
  </r>
  <r>
    <x v="20"/>
    <x v="32"/>
    <s v="06513404AA"/>
    <n v="716321"/>
    <n v="39"/>
    <n v="120"/>
    <n v="4680"/>
    <s v="252+011"/>
    <s v="Yes"/>
    <m/>
    <s v="Yes"/>
    <m/>
    <s v="Yes"/>
    <m/>
    <s v="Yes"/>
    <m/>
    <s v="N/A"/>
    <m/>
    <s v="Yes"/>
    <m/>
    <s v="Yes"/>
    <m/>
    <s v="New"/>
    <s v="infasco"/>
    <n v="106.94"/>
    <n v="106.94"/>
  </r>
  <r>
    <x v="20"/>
    <x v="32"/>
    <s v="11549171-MY-AK"/>
    <n v="717211"/>
    <n v="38"/>
    <n v="280"/>
    <n v="10640"/>
    <s v="252+011"/>
    <s v="Yes"/>
    <m/>
    <s v="Yes"/>
    <m/>
    <s v="Yes"/>
    <m/>
    <s v="Yes"/>
    <m/>
    <s v="N/A"/>
    <m/>
    <s v="Yes"/>
    <m/>
    <s v="Yes"/>
    <m/>
    <s v="New"/>
    <s v="infasco"/>
    <n v="106.94"/>
    <n v="106.94"/>
  </r>
  <r>
    <x v="20"/>
    <x v="32"/>
    <s v="06513404AA"/>
    <n v="716319"/>
    <n v="36"/>
    <n v="120"/>
    <n v="4320"/>
    <s v="252+011"/>
    <s v="Yes"/>
    <m/>
    <s v="Yes"/>
    <m/>
    <s v="Yes"/>
    <m/>
    <s v="Yes"/>
    <m/>
    <s v="N/A"/>
    <m/>
    <s v="Yes"/>
    <m/>
    <s v="Yes"/>
    <m/>
    <s v="New"/>
    <s v="infasco"/>
    <n v="106.94"/>
    <n v="106.94"/>
  </r>
  <r>
    <x v="20"/>
    <x v="32"/>
    <s v="06513404AA"/>
    <n v="716320"/>
    <n v="38"/>
    <n v="120"/>
    <n v="4560"/>
    <s v="252+011"/>
    <s v="Yes"/>
    <m/>
    <s v="Yes"/>
    <m/>
    <s v="Yes"/>
    <m/>
    <s v="Yes"/>
    <m/>
    <s v="N/A"/>
    <m/>
    <s v="Yes"/>
    <m/>
    <s v="Yes"/>
    <m/>
    <s v="New"/>
    <s v="infasco"/>
    <n v="106.94"/>
    <n v="106.94"/>
  </r>
  <r>
    <x v="20"/>
    <x v="32"/>
    <s v="W20-1028-012"/>
    <n v="716830"/>
    <n v="12"/>
    <n v="940"/>
    <n v="11280"/>
    <s v="252+011"/>
    <s v="Yes"/>
    <m/>
    <s v="Yes"/>
    <m/>
    <s v="Yes"/>
    <m/>
    <s v="Yes"/>
    <m/>
    <s v="N/A"/>
    <m/>
    <s v="Yes"/>
    <m/>
    <s v="Yes"/>
    <m/>
    <s v="Re-certified"/>
    <s v="infasco"/>
    <n v="0"/>
    <n v="0"/>
  </r>
  <r>
    <x v="20"/>
    <x v="13"/>
    <s v="PZ18-7P483-AA"/>
    <n v="716410"/>
    <n v="15"/>
    <n v="195"/>
    <n v="2925"/>
    <n v="197"/>
    <s v="Yes"/>
    <m/>
    <s v="Yes"/>
    <m/>
    <s v="Yes"/>
    <m/>
    <s v="Yes"/>
    <m/>
    <s v="N/A"/>
    <m/>
    <s v="Yes"/>
    <m/>
    <s v="Yes"/>
    <m/>
    <s v="New"/>
    <s v="infasco"/>
    <n v="51.78"/>
    <n v="51.78"/>
  </r>
  <r>
    <x v="20"/>
    <x v="33"/>
    <s v="11546364-PH-RO"/>
    <n v="713721"/>
    <n v="10"/>
    <n v="3500"/>
    <n v="35000"/>
    <n v="272"/>
    <s v="Yes"/>
    <m/>
    <s v="Yes"/>
    <m/>
    <s v="Yes"/>
    <m/>
    <s v="Yes"/>
    <m/>
    <s v="N/A"/>
    <m/>
    <s v="Yes"/>
    <m/>
    <s v="Yes"/>
    <m/>
    <s v="Re-certified"/>
    <s v="infasco"/>
    <n v="0"/>
    <n v="0"/>
  </r>
  <r>
    <x v="20"/>
    <x v="14"/>
    <n v="11612078"/>
    <n v="707328"/>
    <n v="22"/>
    <n v="1850"/>
    <n v="40700"/>
    <n v="4"/>
    <s v="Yes"/>
    <m/>
    <s v="Yes"/>
    <m/>
    <s v="Yes"/>
    <m/>
    <s v="Yes"/>
    <m/>
    <s v="N/A"/>
    <m/>
    <s v="Yes"/>
    <m/>
    <s v="Yes"/>
    <m/>
    <s v="Re-certified"/>
    <s v="infasco"/>
    <n v="0"/>
    <n v="0"/>
  </r>
  <r>
    <x v="21"/>
    <x v="0"/>
    <s v="11546365-MY-AK"/>
    <n v="716822"/>
    <n v="10"/>
    <n v="1900"/>
    <n v="19000"/>
    <n v="292"/>
    <s v="Yes"/>
    <m/>
    <s v="Yes"/>
    <m/>
    <s v="Yes"/>
    <m/>
    <s v="Yes"/>
    <m/>
    <s v="N/A"/>
    <m/>
    <s v="Yes"/>
    <m/>
    <s v="Yes"/>
    <m/>
    <s v="Re-certified"/>
    <s v="infasco"/>
    <n v="106.94"/>
    <n v="0"/>
  </r>
  <r>
    <x v="21"/>
    <x v="2"/>
    <n v="11549168"/>
    <n v="716562"/>
    <n v="6"/>
    <n v="1000"/>
    <n v="6000"/>
    <n v="292"/>
    <s v="Yes"/>
    <m/>
    <s v="Yes"/>
    <m/>
    <s v="Yes"/>
    <m/>
    <s v="Yes"/>
    <m/>
    <s v="N/A"/>
    <m/>
    <s v="Yes"/>
    <m/>
    <s v="Yes"/>
    <m/>
    <s v="New"/>
    <s v="infasco"/>
    <n v="106.94"/>
    <n v="106.94"/>
  </r>
  <r>
    <x v="21"/>
    <x v="2"/>
    <n v="11549168"/>
    <n v="716228"/>
    <n v="20"/>
    <n v="1000"/>
    <n v="20000"/>
    <n v="292"/>
    <s v="Yes"/>
    <m/>
    <s v="Yes"/>
    <m/>
    <s v="Yes"/>
    <m/>
    <s v="Yes"/>
    <m/>
    <s v="N/A"/>
    <m/>
    <s v="Yes"/>
    <m/>
    <s v="Yes"/>
    <m/>
    <s v="Re-certified"/>
    <s v="infasco"/>
    <n v="0"/>
    <n v="0"/>
  </r>
  <r>
    <x v="21"/>
    <x v="1"/>
    <s v="11546377-PH-RO"/>
    <n v="717635"/>
    <n v="15"/>
    <n v="2150"/>
    <n v="32250"/>
    <n v="292"/>
    <s v="Yes"/>
    <m/>
    <s v="Yes"/>
    <m/>
    <s v="Yes"/>
    <m/>
    <s v="Yes"/>
    <m/>
    <s v="N/A"/>
    <m/>
    <s v="Yes"/>
    <m/>
    <s v="Yes"/>
    <m/>
    <s v="Re-certified"/>
    <s v="infasco"/>
    <n v="0"/>
    <n v="0"/>
  </r>
  <r>
    <x v="21"/>
    <x v="19"/>
    <n v="11549168"/>
    <n v="716549"/>
    <n v="11"/>
    <n v="1000"/>
    <n v="11000"/>
    <n v="292"/>
    <s v="Yes"/>
    <m/>
    <s v="Yes"/>
    <m/>
    <s v="Yes"/>
    <m/>
    <s v="Yes"/>
    <m/>
    <s v="N/A"/>
    <m/>
    <s v="Yes"/>
    <m/>
    <s v="Yes"/>
    <m/>
    <s v="New"/>
    <s v="infasco"/>
    <n v="106.94"/>
    <n v="106.94"/>
  </r>
  <r>
    <x v="21"/>
    <x v="19"/>
    <n v="11549168"/>
    <n v="716564"/>
    <n v="61"/>
    <n v="1000"/>
    <n v="61000"/>
    <n v="292"/>
    <s v="Yes"/>
    <m/>
    <s v="Yes"/>
    <m/>
    <s v="Yes"/>
    <m/>
    <s v="Yes"/>
    <m/>
    <s v="N/A"/>
    <m/>
    <s v="Yes"/>
    <m/>
    <s v="Yes"/>
    <m/>
    <s v="Re-certified"/>
    <s v="infasco"/>
    <n v="0"/>
    <n v="0"/>
  </r>
  <r>
    <x v="21"/>
    <x v="3"/>
    <n v="11549170"/>
    <n v="716583"/>
    <n v="21"/>
    <n v="400"/>
    <n v="8400"/>
    <n v="292"/>
    <s v="Yes"/>
    <m/>
    <s v="Yes"/>
    <m/>
    <s v="Yes"/>
    <m/>
    <s v="Yes"/>
    <m/>
    <s v="N/A"/>
    <m/>
    <s v="Yes"/>
    <m/>
    <s v="Yes"/>
    <m/>
    <s v="New"/>
    <s v="infasco"/>
    <n v="106.94"/>
    <n v="106.94"/>
  </r>
  <r>
    <x v="21"/>
    <x v="3"/>
    <n v="11549170"/>
    <n v="716572"/>
    <n v="36"/>
    <n v="400"/>
    <n v="14400"/>
    <n v="292"/>
    <s v="Yes"/>
    <m/>
    <s v="Yes"/>
    <m/>
    <s v="Yes"/>
    <m/>
    <s v="Yes"/>
    <m/>
    <s v="N/A"/>
    <m/>
    <s v="Yes"/>
    <m/>
    <s v="Yes"/>
    <m/>
    <s v="New"/>
    <s v="infasco"/>
    <n v="106.94"/>
    <n v="106.94"/>
  </r>
  <r>
    <x v="21"/>
    <x v="3"/>
    <n v="11549170"/>
    <n v="716571"/>
    <n v="36"/>
    <n v="400"/>
    <n v="14400"/>
    <n v="292"/>
    <s v="Yes"/>
    <m/>
    <s v="Yes"/>
    <m/>
    <s v="Yes"/>
    <m/>
    <s v="Yes"/>
    <m/>
    <s v="N/A"/>
    <m/>
    <s v="Yes"/>
    <m/>
    <s v="Yes"/>
    <m/>
    <s v="New"/>
    <s v="infasco"/>
    <n v="106.94"/>
    <n v="106.94"/>
  </r>
  <r>
    <x v="21"/>
    <x v="5"/>
    <n v="11549170"/>
    <n v="716584"/>
    <n v="26"/>
    <n v="400"/>
    <n v="10400"/>
    <n v="292"/>
    <s v="Yes"/>
    <m/>
    <s v="Yes"/>
    <m/>
    <s v="Yes"/>
    <m/>
    <s v="Yes"/>
    <m/>
    <s v="N/A"/>
    <m/>
    <s v="Yes"/>
    <m/>
    <s v="Yes"/>
    <m/>
    <s v="New"/>
    <s v="infasco"/>
    <n v="106.94"/>
    <n v="106.94"/>
  </r>
  <r>
    <x v="21"/>
    <x v="5"/>
    <n v="11549170"/>
    <n v="716569"/>
    <n v="51"/>
    <n v="400"/>
    <n v="20400"/>
    <n v="292"/>
    <s v="Yes"/>
    <m/>
    <s v="Yes"/>
    <m/>
    <s v="Yes"/>
    <m/>
    <s v="Yes"/>
    <m/>
    <s v="N/A"/>
    <m/>
    <s v="Yes"/>
    <m/>
    <s v="Yes"/>
    <m/>
    <s v="Re-certified"/>
    <s v="infasco"/>
    <n v="0"/>
    <n v="0"/>
  </r>
  <r>
    <x v="21"/>
    <x v="4"/>
    <n v="11546389"/>
    <n v="717703"/>
    <n v="21"/>
    <n v="4500"/>
    <n v="94500"/>
    <n v="292"/>
    <s v="Yes"/>
    <m/>
    <s v="Yes"/>
    <m/>
    <s v="Yes"/>
    <m/>
    <s v="Yes"/>
    <m/>
    <s v="N/A"/>
    <m/>
    <s v="Yes"/>
    <m/>
    <s v="Yes"/>
    <m/>
    <s v="Re-certified"/>
    <s v="infasco"/>
    <n v="0"/>
    <n v="0"/>
  </r>
  <r>
    <x v="21"/>
    <x v="12"/>
    <s v="06100050-A"/>
    <n v="717264"/>
    <n v="12"/>
    <n v="1500"/>
    <n v="18000"/>
    <n v="275"/>
    <s v="Yes"/>
    <m/>
    <s v="Yes"/>
    <m/>
    <s v="Yes"/>
    <m/>
    <s v="Yes"/>
    <m/>
    <s v="N/A"/>
    <m/>
    <s v="Yes"/>
    <m/>
    <s v="Yes"/>
    <m/>
    <s v="New"/>
    <s v="infasco"/>
    <n v="106.94"/>
    <n v="106.94"/>
  </r>
  <r>
    <x v="21"/>
    <x v="12"/>
    <s v="06100050-A"/>
    <n v="717263"/>
    <n v="36"/>
    <n v="1500"/>
    <n v="54000"/>
    <n v="275"/>
    <s v="Yes"/>
    <m/>
    <s v="Yes"/>
    <m/>
    <s v="Yes"/>
    <m/>
    <s v="Yes"/>
    <m/>
    <s v="N/A"/>
    <m/>
    <s v="Yes"/>
    <m/>
    <s v="Yes"/>
    <m/>
    <s v="New"/>
    <s v="infasco"/>
    <n v="106.94"/>
    <n v="106.94"/>
  </r>
  <r>
    <x v="21"/>
    <x v="6"/>
    <s v="W520412-S442"/>
    <n v="715998"/>
    <n v="10"/>
    <n v="3800"/>
    <n v="38000"/>
    <n v="275"/>
    <s v="Yes"/>
    <m/>
    <s v="Yes"/>
    <m/>
    <s v="Yes"/>
    <m/>
    <s v="Yes"/>
    <m/>
    <s v="N/A"/>
    <m/>
    <s v="Yes"/>
    <m/>
    <s v="Yes"/>
    <m/>
    <s v="New"/>
    <s v="infasco"/>
    <n v="106.94"/>
    <n v="106.94"/>
  </r>
  <r>
    <x v="21"/>
    <x v="6"/>
    <n v="11549168"/>
    <n v="716229"/>
    <n v="20"/>
    <n v="1000"/>
    <n v="20000"/>
    <n v="275"/>
    <s v="Yes"/>
    <m/>
    <s v="Yes"/>
    <m/>
    <s v="Yes"/>
    <m/>
    <s v="Yes"/>
    <m/>
    <s v="N/A"/>
    <m/>
    <s v="Yes"/>
    <m/>
    <s v="Yes"/>
    <m/>
    <s v="Re-certified"/>
    <s v="infasco"/>
    <n v="0"/>
    <n v="0"/>
  </r>
  <r>
    <x v="21"/>
    <x v="10"/>
    <s v="11546377-PH-RO"/>
    <n v="717633"/>
    <n v="15"/>
    <n v="2150"/>
    <n v="32250"/>
    <n v="275"/>
    <s v="Yes"/>
    <m/>
    <s v="Yes"/>
    <m/>
    <s v="Yes"/>
    <m/>
    <s v="Yes"/>
    <m/>
    <s v="N/A"/>
    <m/>
    <s v="Yes"/>
    <m/>
    <s v="Yes"/>
    <m/>
    <s v="New"/>
    <s v="infasco"/>
    <n v="106.94"/>
    <n v="106.94"/>
  </r>
  <r>
    <x v="21"/>
    <x v="10"/>
    <n v="11546545"/>
    <n v="717332"/>
    <n v="15"/>
    <n v="1500"/>
    <n v="22500"/>
    <n v="275"/>
    <s v="Yes"/>
    <m/>
    <s v="Yes"/>
    <m/>
    <s v="Yes"/>
    <m/>
    <s v="Yes"/>
    <m/>
    <s v="N/A"/>
    <m/>
    <s v="Yes"/>
    <m/>
    <s v="Yes"/>
    <m/>
    <s v="Re-certified"/>
    <s v="infasco"/>
    <n v="0"/>
    <n v="0"/>
  </r>
  <r>
    <x v="21"/>
    <x v="8"/>
    <s v="NU1510"/>
    <n v="717103"/>
    <n v="1"/>
    <n v="35000"/>
    <n v="35000"/>
    <n v="275"/>
    <s v="Yes"/>
    <m/>
    <s v="Yes"/>
    <m/>
    <s v="Yes"/>
    <m/>
    <s v="Yes"/>
    <m/>
    <s v="N/A"/>
    <m/>
    <s v="Yes"/>
    <m/>
    <s v="Yes"/>
    <m/>
    <s v="New"/>
    <s v="infasco"/>
    <n v="129.44999999999999"/>
    <n v="129.44999999999999"/>
  </r>
  <r>
    <x v="21"/>
    <x v="8"/>
    <s v="NU1510"/>
    <n v="717104"/>
    <n v="1"/>
    <n v="8000"/>
    <n v="8000"/>
    <n v="275"/>
    <s v="Yes"/>
    <m/>
    <s v="Yes"/>
    <m/>
    <s v="Yes"/>
    <m/>
    <s v="Yes"/>
    <m/>
    <s v="N/A"/>
    <m/>
    <s v="Yes"/>
    <m/>
    <s v="Yes"/>
    <m/>
    <s v="Re-certified"/>
    <s v="infasco"/>
    <n v="0"/>
    <n v="0"/>
  </r>
  <r>
    <x v="21"/>
    <x v="9"/>
    <s v="W711468-S437"/>
    <n v="714258"/>
    <n v="22"/>
    <n v="1600"/>
    <n v="35200"/>
    <n v="275"/>
    <s v="Yes"/>
    <m/>
    <s v="Yes"/>
    <m/>
    <s v="Yes"/>
    <m/>
    <s v="Yes"/>
    <m/>
    <s v="N/A"/>
    <m/>
    <s v="Yes"/>
    <m/>
    <s v="Yes"/>
    <m/>
    <s v="New"/>
    <s v="infasco"/>
    <n v="106.94"/>
    <n v="106.94"/>
  </r>
  <r>
    <x v="21"/>
    <x v="9"/>
    <s v="11546365-MY-AK"/>
    <n v="716820"/>
    <n v="9"/>
    <n v="1900"/>
    <n v="17100"/>
    <n v="275"/>
    <s v="Yes"/>
    <m/>
    <s v="Yes"/>
    <m/>
    <s v="Yes"/>
    <m/>
    <s v="Yes"/>
    <m/>
    <s v="N/A"/>
    <m/>
    <s v="Yes"/>
    <m/>
    <s v="Yes"/>
    <m/>
    <s v="Re-certified"/>
    <s v="infasco"/>
    <n v="0"/>
    <n v="0"/>
  </r>
  <r>
    <x v="21"/>
    <x v="11"/>
    <n v="11546545"/>
    <n v="717331"/>
    <n v="36"/>
    <n v="2500"/>
    <n v="90000"/>
    <n v="275"/>
    <s v="Yes"/>
    <m/>
    <s v="Yes"/>
    <m/>
    <s v="Yes"/>
    <m/>
    <s v="Yes"/>
    <m/>
    <s v="N/A"/>
    <m/>
    <s v="Yes"/>
    <m/>
    <s v="Yes"/>
    <m/>
    <s v="New"/>
    <s v="infasco"/>
    <n v="106.94"/>
    <n v="106.94"/>
  </r>
  <r>
    <x v="21"/>
    <x v="29"/>
    <n v="11546391"/>
    <n v="715798"/>
    <n v="5"/>
    <n v="4500"/>
    <n v="22500"/>
    <n v="290"/>
    <s v="Yes"/>
    <m/>
    <s v="Yes"/>
    <m/>
    <s v="Yes"/>
    <m/>
    <s v="Yes"/>
    <m/>
    <s v="N/A"/>
    <m/>
    <s v="Yes"/>
    <m/>
    <s v="Yes"/>
    <m/>
    <s v="New"/>
    <s v="infasco"/>
    <n v="106.94"/>
    <n v="106.94"/>
  </r>
  <r>
    <x v="21"/>
    <x v="29"/>
    <n v="11546545"/>
    <n v="717330"/>
    <n v="12"/>
    <n v="2500"/>
    <n v="30000"/>
    <n v="290"/>
    <s v="Yes"/>
    <m/>
    <s v="Yes"/>
    <m/>
    <s v="Yes"/>
    <m/>
    <s v="Yes"/>
    <m/>
    <s v="N/A"/>
    <m/>
    <s v="Yes"/>
    <m/>
    <s v="Yes"/>
    <m/>
    <s v="Re-certified"/>
    <s v="infasco"/>
    <n v="0"/>
    <n v="0"/>
  </r>
  <r>
    <x v="21"/>
    <x v="30"/>
    <s v="11546368-MY-AK"/>
    <n v="716124"/>
    <n v="19"/>
    <n v="450"/>
    <n v="8550"/>
    <n v="290"/>
    <s v="Yes"/>
    <m/>
    <s v="Yes"/>
    <m/>
    <s v="Yes"/>
    <m/>
    <s v="Yes"/>
    <m/>
    <s v="N/A"/>
    <m/>
    <s v="Yes"/>
    <m/>
    <s v="Yes"/>
    <m/>
    <s v="New"/>
    <s v="infasco"/>
    <n v="106.94"/>
    <n v="106.94"/>
  </r>
  <r>
    <x v="21"/>
    <x v="30"/>
    <s v="11546368-MY-AK"/>
    <n v="716127"/>
    <n v="36"/>
    <n v="450"/>
    <n v="16200"/>
    <n v="290"/>
    <s v="Yes"/>
    <m/>
    <s v="Yes"/>
    <m/>
    <s v="Yes"/>
    <m/>
    <s v="Yes"/>
    <m/>
    <s v="N/A"/>
    <m/>
    <s v="Yes"/>
    <m/>
    <s v="Yes"/>
    <m/>
    <s v="New"/>
    <s v="infasco"/>
    <n v="106.94"/>
    <n v="106.94"/>
  </r>
  <r>
    <x v="21"/>
    <x v="30"/>
    <s v="11546368-MY-AK"/>
    <n v="716125"/>
    <n v="30"/>
    <n v="450"/>
    <n v="13500"/>
    <n v="290"/>
    <s v="Yes"/>
    <m/>
    <s v="Yes"/>
    <m/>
    <s v="Yes"/>
    <m/>
    <s v="Yes"/>
    <m/>
    <s v="N/A"/>
    <m/>
    <s v="Yes"/>
    <m/>
    <s v="Yes"/>
    <m/>
    <s v="New"/>
    <s v="infasco"/>
    <n v="106.94"/>
    <n v="106.94"/>
  </r>
  <r>
    <x v="21"/>
    <x v="30"/>
    <s v="11549171-MY-AK"/>
    <n v="717208"/>
    <n v="36"/>
    <n v="280"/>
    <n v="10080"/>
    <n v="290"/>
    <s v="Yes"/>
    <m/>
    <s v="Yes"/>
    <m/>
    <s v="Yes"/>
    <m/>
    <s v="Yes"/>
    <m/>
    <s v="N/A"/>
    <m/>
    <s v="Yes"/>
    <m/>
    <s v="Yes"/>
    <m/>
    <s v="New"/>
    <s v="infasco"/>
    <n v="106.94"/>
    <n v="106.94"/>
  </r>
  <r>
    <x v="21"/>
    <x v="26"/>
    <n v="11549168"/>
    <n v="716230"/>
    <n v="46"/>
    <n v="1000"/>
    <n v="46000"/>
    <n v="290"/>
    <s v="Yes"/>
    <m/>
    <s v="Yes"/>
    <m/>
    <s v="Yes"/>
    <m/>
    <s v="Yes"/>
    <m/>
    <s v="N/A"/>
    <m/>
    <s v="Yes"/>
    <m/>
    <s v="Yes"/>
    <m/>
    <s v="New"/>
    <s v="infasco"/>
    <n v="106.94"/>
    <n v="106.94"/>
  </r>
  <r>
    <x v="21"/>
    <x v="26"/>
    <n v="11549168"/>
    <n v="716563"/>
    <n v="36"/>
    <n v="1000"/>
    <n v="36000"/>
    <n v="290"/>
    <s v="Yes"/>
    <m/>
    <s v="Yes"/>
    <m/>
    <s v="Yes"/>
    <m/>
    <s v="Yes"/>
    <m/>
    <s v="N/A"/>
    <m/>
    <s v="Yes"/>
    <m/>
    <s v="Yes"/>
    <m/>
    <s v="New"/>
    <s v="infasco"/>
    <n v="106.94"/>
    <n v="106.94"/>
  </r>
  <r>
    <x v="21"/>
    <x v="26"/>
    <n v="11549168"/>
    <n v="716912"/>
    <n v="30"/>
    <n v="1000"/>
    <n v="30000"/>
    <n v="290"/>
    <s v="Yes"/>
    <m/>
    <s v="Yes"/>
    <m/>
    <s v="Yes"/>
    <m/>
    <s v="Yes"/>
    <m/>
    <s v="N/A"/>
    <m/>
    <s v="Yes"/>
    <m/>
    <s v="Yes"/>
    <m/>
    <s v="Re-certified"/>
    <s v="infasco"/>
    <n v="0"/>
    <n v="0"/>
  </r>
  <r>
    <x v="21"/>
    <x v="28"/>
    <n v="11546571"/>
    <n v="717162"/>
    <n v="6"/>
    <n v="1550"/>
    <n v="9300"/>
    <n v="290"/>
    <s v="Yes"/>
    <m/>
    <s v="Yes"/>
    <m/>
    <s v="Yes"/>
    <m/>
    <s v="Yes"/>
    <m/>
    <s v="N/A"/>
    <m/>
    <s v="Yes"/>
    <m/>
    <s v="Yes"/>
    <m/>
    <s v="Re-certified"/>
    <s v="infasco"/>
    <n v="0"/>
    <n v="0"/>
  </r>
  <r>
    <x v="21"/>
    <x v="27"/>
    <n v="11549170"/>
    <n v="716576"/>
    <n v="13"/>
    <n v="400"/>
    <n v="5200"/>
    <n v="290"/>
    <s v="Yes"/>
    <m/>
    <s v="Yes"/>
    <m/>
    <s v="Yes"/>
    <m/>
    <s v="Yes"/>
    <m/>
    <s v="N/A"/>
    <m/>
    <s v="Yes"/>
    <m/>
    <s v="Yes"/>
    <m/>
    <s v="New"/>
    <s v="infasco"/>
    <n v="106.94"/>
    <n v="106.94"/>
  </r>
  <r>
    <x v="21"/>
    <x v="27"/>
    <n v="11549170"/>
    <n v="716559"/>
    <n v="40"/>
    <n v="400"/>
    <n v="16000"/>
    <n v="290"/>
    <s v="Yes"/>
    <m/>
    <s v="Yes"/>
    <m/>
    <s v="Yes"/>
    <m/>
    <s v="Yes"/>
    <m/>
    <s v="N/A"/>
    <m/>
    <s v="Yes"/>
    <m/>
    <s v="Yes"/>
    <m/>
    <s v="New"/>
    <s v="infasco"/>
    <n v="106.94"/>
    <n v="106.94"/>
  </r>
  <r>
    <x v="21"/>
    <x v="27"/>
    <n v="11549170"/>
    <n v="716552"/>
    <n v="3"/>
    <n v="400"/>
    <n v="1200"/>
    <n v="290"/>
    <s v="Yes"/>
    <m/>
    <s v="Yes"/>
    <m/>
    <s v="Yes"/>
    <m/>
    <s v="Yes"/>
    <m/>
    <s v="N/A"/>
    <m/>
    <s v="Yes"/>
    <m/>
    <s v="Yes"/>
    <m/>
    <s v="Re-certified"/>
    <s v="infasco"/>
    <n v="0"/>
    <n v="0"/>
  </r>
  <r>
    <x v="21"/>
    <x v="21"/>
    <n v="11546545"/>
    <n v="717326"/>
    <n v="36"/>
    <n v="2500"/>
    <n v="90000"/>
    <n v="280"/>
    <s v="Yes"/>
    <m/>
    <s v="Yes"/>
    <m/>
    <s v="Yes"/>
    <m/>
    <s v="Yes"/>
    <m/>
    <s v="N/A"/>
    <m/>
    <s v="Yes"/>
    <m/>
    <s v="Yes"/>
    <m/>
    <s v="New"/>
    <s v="infasco"/>
    <n v="106.94"/>
    <n v="106.94"/>
  </r>
  <r>
    <x v="21"/>
    <x v="21"/>
    <n v="11546545"/>
    <n v="717329"/>
    <n v="36"/>
    <n v="2500"/>
    <n v="90000"/>
    <n v="280"/>
    <s v="Yes"/>
    <m/>
    <s v="Yes"/>
    <m/>
    <s v="Yes"/>
    <m/>
    <s v="Yes"/>
    <m/>
    <s v="N/A"/>
    <m/>
    <s v="Yes"/>
    <m/>
    <s v="Yes"/>
    <m/>
    <s v="New"/>
    <s v="infasco"/>
    <n v="106.94"/>
    <n v="106.94"/>
  </r>
  <r>
    <x v="21"/>
    <x v="20"/>
    <n v="11549168"/>
    <n v="716561"/>
    <n v="22"/>
    <n v="1000"/>
    <n v="22000"/>
    <n v="280"/>
    <s v="Yes"/>
    <m/>
    <s v="Yes"/>
    <m/>
    <s v="Yes"/>
    <m/>
    <s v="Yes"/>
    <m/>
    <s v="N/A"/>
    <m/>
    <s v="Yes"/>
    <m/>
    <s v="Yes"/>
    <m/>
    <s v="New"/>
    <s v="infasco"/>
    <n v="106.94"/>
    <n v="106.94"/>
  </r>
  <r>
    <x v="21"/>
    <x v="20"/>
    <n v="11549168"/>
    <n v="716566"/>
    <n v="20"/>
    <n v="1000"/>
    <n v="20000"/>
    <n v="280"/>
    <s v="Yes"/>
    <m/>
    <s v="Yes"/>
    <m/>
    <s v="Yes"/>
    <m/>
    <s v="Yes"/>
    <m/>
    <s v="N/A"/>
    <m/>
    <s v="Yes"/>
    <m/>
    <s v="Yes"/>
    <m/>
    <s v="Re-certified"/>
    <s v="infasco"/>
    <n v="0"/>
    <n v="0"/>
  </r>
  <r>
    <x v="21"/>
    <x v="22"/>
    <s v="11546377-PH-RO"/>
    <n v="717637"/>
    <n v="24"/>
    <n v="2150"/>
    <n v="51600"/>
    <n v="280"/>
    <s v="Yes"/>
    <m/>
    <s v="Yes"/>
    <m/>
    <s v="Yes"/>
    <m/>
    <s v="Yes"/>
    <m/>
    <s v="N/A"/>
    <m/>
    <s v="Yes"/>
    <m/>
    <s v="Yes"/>
    <m/>
    <s v="Re-certified"/>
    <s v="infasco"/>
    <n v="0"/>
    <n v="0"/>
  </r>
  <r>
    <x v="21"/>
    <x v="23"/>
    <s v="11546545-TH-TC"/>
    <n v="717139"/>
    <n v="36"/>
    <n v="2500"/>
    <n v="90000"/>
    <n v="280"/>
    <s v="Yes"/>
    <m/>
    <s v="Yes"/>
    <m/>
    <s v="Yes"/>
    <m/>
    <s v="Yes"/>
    <m/>
    <s v="N/A"/>
    <m/>
    <s v="Yes"/>
    <m/>
    <s v="Yes"/>
    <m/>
    <s v="New"/>
    <s v="infasco"/>
    <n v="106.94"/>
    <n v="106.94"/>
  </r>
  <r>
    <x v="21"/>
    <x v="23"/>
    <s v="11546545-TH-TC"/>
    <n v="717138"/>
    <n v="12"/>
    <n v="2500"/>
    <n v="30000"/>
    <n v="280"/>
    <s v="Yes"/>
    <m/>
    <s v="Yes"/>
    <m/>
    <s v="Yes"/>
    <m/>
    <s v="Yes"/>
    <m/>
    <s v="N/A"/>
    <m/>
    <s v="Yes"/>
    <m/>
    <s v="Yes"/>
    <m/>
    <s v="Re-certified"/>
    <s v="infasco"/>
    <n v="0"/>
    <n v="0"/>
  </r>
  <r>
    <x v="21"/>
    <x v="25"/>
    <s v="06101736-A"/>
    <n v="716775"/>
    <n v="8"/>
    <n v="3200"/>
    <n v="25600"/>
    <n v="280"/>
    <s v="Yes"/>
    <m/>
    <s v="Yes"/>
    <m/>
    <s v="Yes"/>
    <m/>
    <s v="Yes"/>
    <m/>
    <s v="N/A"/>
    <m/>
    <s v="Yes"/>
    <m/>
    <s v="Yes"/>
    <m/>
    <s v="New"/>
    <s v="infasco"/>
    <n v="106.94"/>
    <n v="106.94"/>
  </r>
  <r>
    <x v="21"/>
    <x v="25"/>
    <s v="06101736-A"/>
    <n v="716776"/>
    <n v="3"/>
    <n v="3200"/>
    <n v="9600"/>
    <n v="280"/>
    <s v="Yes"/>
    <m/>
    <s v="Yes"/>
    <m/>
    <s v="Yes"/>
    <m/>
    <s v="Yes"/>
    <m/>
    <s v="N/A"/>
    <m/>
    <s v="Yes"/>
    <m/>
    <s v="Yes"/>
    <m/>
    <s v="Re-certified"/>
    <s v="infasco"/>
    <n v="0"/>
    <n v="0"/>
  </r>
  <r>
    <x v="21"/>
    <x v="24"/>
    <s v="W716298-S450"/>
    <n v="716901"/>
    <n v="2"/>
    <n v="3500"/>
    <n v="7000"/>
    <n v="280"/>
    <s v="Yes"/>
    <m/>
    <s v="Yes"/>
    <m/>
    <s v="Yes"/>
    <m/>
    <s v="Yes"/>
    <m/>
    <s v="N/A"/>
    <m/>
    <s v="Yes"/>
    <m/>
    <s v="Yes"/>
    <m/>
    <s v="New"/>
    <s v="infasco"/>
    <n v="106.94"/>
    <n v="106.94"/>
  </r>
  <r>
    <x v="21"/>
    <x v="24"/>
    <n v="11561645"/>
    <n v="714524"/>
    <n v="15"/>
    <n v="4000"/>
    <n v="60000"/>
    <n v="280"/>
    <s v="Yes"/>
    <m/>
    <s v="Yes"/>
    <m/>
    <s v="Yes"/>
    <m/>
    <s v="Yes"/>
    <m/>
    <s v="N/A"/>
    <m/>
    <s v="Yes"/>
    <m/>
    <s v="Yes"/>
    <m/>
    <s v="Re-certified"/>
    <s v="infasco"/>
    <n v="0"/>
    <n v="0"/>
  </r>
  <r>
    <x v="21"/>
    <x v="14"/>
    <n v="11612078"/>
    <n v="707328"/>
    <n v="12"/>
    <n v="1850"/>
    <n v="22200"/>
    <n v="4"/>
    <s v="Yes"/>
    <m/>
    <s v="Yes"/>
    <m/>
    <s v="Yes"/>
    <m/>
    <s v="Yes"/>
    <m/>
    <s v="N/A"/>
    <m/>
    <s v="Yes"/>
    <m/>
    <s v="Yes"/>
    <m/>
    <s v="Re-certified"/>
    <s v="infasco"/>
    <n v="0"/>
    <n v="0"/>
  </r>
  <r>
    <x v="21"/>
    <x v="15"/>
    <s v="W20-1028-012"/>
    <n v="716827"/>
    <n v="26"/>
    <n v="940"/>
    <n v="24440"/>
    <s v="157+297"/>
    <s v="Yes"/>
    <m/>
    <s v="Yes"/>
    <m/>
    <s v="Yes"/>
    <m/>
    <s v="Yes"/>
    <m/>
    <s v="N/A"/>
    <m/>
    <s v="Yes"/>
    <m/>
    <s v="Yes"/>
    <m/>
    <s v="New"/>
    <s v="infasco"/>
    <n v="106.94"/>
    <n v="106.94"/>
  </r>
  <r>
    <x v="21"/>
    <x v="15"/>
    <s v="06509967AA"/>
    <n v="717452"/>
    <n v="28"/>
    <n v="825"/>
    <n v="23100"/>
    <s v="157+297"/>
    <s v="Yes"/>
    <m/>
    <s v="Yes"/>
    <m/>
    <s v="Yes"/>
    <m/>
    <s v="Yes"/>
    <m/>
    <s v="N/A"/>
    <m/>
    <s v="Yes"/>
    <m/>
    <s v="Yes"/>
    <m/>
    <s v="New"/>
    <s v="infasco"/>
    <n v="280.16000000000003"/>
    <n v="280.16000000000003"/>
  </r>
  <r>
    <x v="21"/>
    <x v="15"/>
    <s v="06105102AA"/>
    <n v="717463"/>
    <n v="23"/>
    <n v="670"/>
    <n v="15410"/>
    <s v="157+297"/>
    <s v="Yes"/>
    <m/>
    <s v="Yes"/>
    <m/>
    <s v="Yes"/>
    <m/>
    <s v="Yes"/>
    <m/>
    <s v="N/A"/>
    <m/>
    <s v="Yes"/>
    <m/>
    <s v="Yes"/>
    <m/>
    <s v="New"/>
    <s v="infasco"/>
    <n v="280.16000000000003"/>
    <n v="280.16000000000003"/>
  </r>
  <r>
    <x v="21"/>
    <x v="15"/>
    <n v="42068967"/>
    <n v="717205"/>
    <n v="36"/>
    <n v="320"/>
    <n v="11520"/>
    <s v="157+297"/>
    <s v="Yes"/>
    <m/>
    <s v="Yes"/>
    <m/>
    <s v="Yes"/>
    <m/>
    <s v="Yes"/>
    <m/>
    <s v="N/A"/>
    <m/>
    <s v="Yes"/>
    <m/>
    <s v="Yes"/>
    <m/>
    <s v="New"/>
    <s v="infasco"/>
    <n v="123.82"/>
    <n v="123.82"/>
  </r>
  <r>
    <x v="21"/>
    <x v="15"/>
    <n v="42068967"/>
    <n v="717203"/>
    <n v="28"/>
    <n v="320"/>
    <n v="8960"/>
    <s v="157+297"/>
    <s v="Yes"/>
    <m/>
    <s v="Yes"/>
    <m/>
    <s v="Yes"/>
    <m/>
    <s v="Yes"/>
    <m/>
    <s v="N/A"/>
    <m/>
    <s v="Yes"/>
    <m/>
    <s v="Yes"/>
    <m/>
    <s v="New"/>
    <s v="infasco"/>
    <n v="123.82"/>
    <n v="123.82"/>
  </r>
  <r>
    <x v="21"/>
    <x v="15"/>
    <s v="06503825-A"/>
    <n v="717002"/>
    <n v="36"/>
    <n v="1500"/>
    <n v="54000"/>
    <s v="157+297"/>
    <s v="Yes"/>
    <m/>
    <s v="Yes"/>
    <m/>
    <s v="Yes"/>
    <m/>
    <s v="Yes"/>
    <m/>
    <s v="N/A"/>
    <m/>
    <s v="Yes"/>
    <m/>
    <s v="Yes"/>
    <m/>
    <s v="New"/>
    <s v="infasco"/>
    <n v="226.94"/>
    <n v="226.94"/>
  </r>
  <r>
    <x v="21"/>
    <x v="15"/>
    <s v="06503825-A"/>
    <n v="716999"/>
    <n v="12"/>
    <n v="1500"/>
    <n v="18000"/>
    <s v="157+297"/>
    <s v="Yes"/>
    <m/>
    <s v="Yes"/>
    <m/>
    <s v="Yes"/>
    <m/>
    <s v="Yes"/>
    <m/>
    <s v="N/A"/>
    <m/>
    <s v="Yes"/>
    <m/>
    <s v="Yes"/>
    <m/>
    <s v="Re-certified"/>
    <s v="infasco"/>
    <n v="0"/>
    <n v="0"/>
  </r>
  <r>
    <x v="21"/>
    <x v="16"/>
    <s v="4200818SHJ5A00Z"/>
    <n v="714598"/>
    <n v="18"/>
    <n v="850"/>
    <n v="15300"/>
    <s v="285+391"/>
    <s v="Yes"/>
    <m/>
    <s v="Yes"/>
    <m/>
    <s v="Yes"/>
    <m/>
    <s v="Yes"/>
    <m/>
    <s v="N/A"/>
    <m/>
    <s v="Yes"/>
    <m/>
    <s v="Yes"/>
    <m/>
    <s v="New"/>
    <s v="infasco"/>
    <n v="106.94"/>
    <n v="106.94"/>
  </r>
  <r>
    <x v="21"/>
    <x v="16"/>
    <s v="W20-1028-012"/>
    <n v="716828"/>
    <n v="35"/>
    <n v="940"/>
    <n v="32900"/>
    <s v="285+391"/>
    <s v="Yes"/>
    <m/>
    <s v="Yes"/>
    <m/>
    <s v="Yes"/>
    <m/>
    <s v="Yes"/>
    <m/>
    <s v="N/A"/>
    <m/>
    <s v="Yes"/>
    <m/>
    <s v="Yes"/>
    <m/>
    <s v="New"/>
    <s v="infasco"/>
    <n v="106.94"/>
    <n v="106.94"/>
  </r>
  <r>
    <x v="21"/>
    <x v="16"/>
    <s v="4200818SHJ5A00Z"/>
    <n v="714596"/>
    <n v="43"/>
    <n v="850"/>
    <n v="36550"/>
    <s v="285+391"/>
    <s v="Yes"/>
    <m/>
    <s v="Yes"/>
    <m/>
    <s v="Yes"/>
    <m/>
    <s v="Yes"/>
    <m/>
    <s v="N/A"/>
    <m/>
    <s v="Yes"/>
    <m/>
    <s v="Yes"/>
    <m/>
    <s v="New"/>
    <s v="infasco"/>
    <n v="106.94"/>
    <n v="106.94"/>
  </r>
  <r>
    <x v="21"/>
    <x v="16"/>
    <s v="06503825-A"/>
    <n v="717004"/>
    <n v="20"/>
    <n v="1500"/>
    <n v="30000"/>
    <s v="285+391"/>
    <s v="Yes"/>
    <m/>
    <s v="Yes"/>
    <m/>
    <s v="Yes"/>
    <m/>
    <s v="Yes"/>
    <m/>
    <s v="N/A"/>
    <m/>
    <s v="Yes"/>
    <m/>
    <s v="Yes"/>
    <m/>
    <s v="New"/>
    <s v="infasco"/>
    <n v="226.94"/>
    <n v="226.94"/>
  </r>
  <r>
    <x v="21"/>
    <x v="17"/>
    <s v="11546389BR-PH-RO"/>
    <n v="717653"/>
    <n v="36"/>
    <n v="3900"/>
    <n v="140400"/>
    <s v="190+268"/>
    <s v="Yes"/>
    <m/>
    <s v="Yes"/>
    <m/>
    <s v="Yes"/>
    <m/>
    <s v="Yes"/>
    <m/>
    <s v="N/A"/>
    <m/>
    <s v="Yes"/>
    <m/>
    <s v="Yes"/>
    <m/>
    <s v="New"/>
    <s v="infasco"/>
    <n v="106.94"/>
    <n v="106.94"/>
  </r>
  <r>
    <x v="21"/>
    <x v="17"/>
    <s v="11546389BR-PH-RO"/>
    <n v="717654"/>
    <n v="26"/>
    <n v="3900"/>
    <n v="101400"/>
    <s v="190+268"/>
    <s v="Yes"/>
    <m/>
    <s v="Yes"/>
    <m/>
    <s v="Yes"/>
    <m/>
    <s v="Yes"/>
    <m/>
    <s v="N/A"/>
    <m/>
    <s v="Yes"/>
    <m/>
    <s v="Yes"/>
    <m/>
    <s v="New"/>
    <s v="infasco"/>
    <n v="106.94"/>
    <n v="106.94"/>
  </r>
  <r>
    <x v="21"/>
    <x v="17"/>
    <n v="42068967"/>
    <n v="717204"/>
    <n v="30"/>
    <n v="320"/>
    <n v="9600"/>
    <s v="190+268"/>
    <s v="Yes"/>
    <m/>
    <s v="Yes"/>
    <m/>
    <s v="Yes"/>
    <m/>
    <s v="Yes"/>
    <m/>
    <s v="N/A"/>
    <m/>
    <s v="Yes"/>
    <m/>
    <s v="Yes"/>
    <m/>
    <s v="New"/>
    <s v="infasco"/>
    <n v="123.82"/>
    <n v="123.82"/>
  </r>
  <r>
    <x v="21"/>
    <x v="17"/>
    <s v="11516077BR-MY-AK"/>
    <n v="716306"/>
    <n v="33"/>
    <n v="1200"/>
    <n v="39600"/>
    <s v="190+268"/>
    <s v="Yes"/>
    <m/>
    <s v="Yes"/>
    <m/>
    <s v="Yes"/>
    <m/>
    <s v="Yes"/>
    <m/>
    <s v="N/A"/>
    <m/>
    <s v="Yes"/>
    <m/>
    <s v="Yes"/>
    <m/>
    <s v="New"/>
    <s v="infasco"/>
    <n v="106.94"/>
    <n v="106.94"/>
  </r>
  <r>
    <x v="21"/>
    <x v="17"/>
    <s v="11546366-MY-AK"/>
    <n v="714532"/>
    <n v="36"/>
    <n v="1000"/>
    <n v="36000"/>
    <s v="190+268"/>
    <s v="Yes"/>
    <m/>
    <s v="Yes"/>
    <m/>
    <s v="Yes"/>
    <m/>
    <s v="Yes"/>
    <m/>
    <s v="N/A"/>
    <m/>
    <s v="Yes"/>
    <m/>
    <s v="Yes"/>
    <m/>
    <s v="New"/>
    <s v="infasco"/>
    <n v="106.94"/>
    <n v="106.94"/>
  </r>
  <r>
    <x v="21"/>
    <x v="17"/>
    <s v="11546366-MY-AK"/>
    <n v="714533"/>
    <n v="32"/>
    <n v="1000"/>
    <n v="32000"/>
    <s v="190+268"/>
    <s v="Yes"/>
    <m/>
    <s v="Yes"/>
    <m/>
    <s v="Yes"/>
    <m/>
    <s v="Yes"/>
    <m/>
    <s v="N/A"/>
    <m/>
    <s v="Yes"/>
    <m/>
    <s v="Yes"/>
    <m/>
    <s v="Re-certified"/>
    <s v="infasco"/>
    <n v="0"/>
    <n v="0"/>
  </r>
  <r>
    <x v="21"/>
    <x v="32"/>
    <s v="W20-1028-012"/>
    <n v="716830"/>
    <n v="24"/>
    <n v="940"/>
    <n v="22560"/>
    <s v="011+252"/>
    <s v="Yes"/>
    <m/>
    <s v="Yes"/>
    <m/>
    <s v="Yes"/>
    <m/>
    <s v="Yes"/>
    <m/>
    <s v="N/A"/>
    <m/>
    <s v="Yes"/>
    <m/>
    <s v="Yes"/>
    <m/>
    <s v="New"/>
    <s v="infasco"/>
    <n v="106.94"/>
    <n v="106.94"/>
  </r>
  <r>
    <x v="21"/>
    <x v="32"/>
    <s v="06509967AA"/>
    <n v="717451"/>
    <n v="26"/>
    <n v="825"/>
    <n v="21450"/>
    <s v="011+252"/>
    <s v="Yes"/>
    <m/>
    <s v="Yes"/>
    <m/>
    <s v="Yes"/>
    <m/>
    <s v="Yes"/>
    <m/>
    <s v="N/A"/>
    <m/>
    <s v="Yes"/>
    <m/>
    <s v="Yes"/>
    <m/>
    <s v="New"/>
    <s v="infasco"/>
    <n v="280.16000000000003"/>
    <n v="280.16000000000003"/>
  </r>
  <r>
    <x v="21"/>
    <x v="32"/>
    <s v="06105102AA"/>
    <n v="717465"/>
    <n v="36"/>
    <n v="670"/>
    <n v="24120"/>
    <s v="011+252"/>
    <s v="Yes"/>
    <m/>
    <s v="Yes"/>
    <m/>
    <s v="Yes"/>
    <m/>
    <s v="Yes"/>
    <m/>
    <s v="N/A"/>
    <m/>
    <s v="Yes"/>
    <m/>
    <s v="Yes"/>
    <m/>
    <s v="New"/>
    <s v="infasco"/>
    <n v="280.16000000000003"/>
    <n v="280.16000000000003"/>
  </r>
  <r>
    <x v="21"/>
    <x v="32"/>
    <s v="06105102AA"/>
    <n v="717466"/>
    <n v="22"/>
    <n v="670"/>
    <n v="14740"/>
    <s v="011+252"/>
    <s v="Yes"/>
    <m/>
    <s v="Yes"/>
    <m/>
    <s v="Yes"/>
    <m/>
    <s v="Yes"/>
    <m/>
    <s v="N/A"/>
    <m/>
    <s v="Yes"/>
    <m/>
    <s v="Yes"/>
    <m/>
    <s v="New"/>
    <s v="infasco"/>
    <n v="280.16000000000003"/>
    <n v="280.16000000000003"/>
  </r>
  <r>
    <x v="21"/>
    <x v="32"/>
    <n v="42068967"/>
    <n v="717206"/>
    <n v="36"/>
    <n v="320"/>
    <n v="11520"/>
    <s v="011+252"/>
    <s v="Yes"/>
    <m/>
    <s v="Yes"/>
    <m/>
    <s v="Yes"/>
    <m/>
    <s v="Yes"/>
    <m/>
    <s v="N/A"/>
    <m/>
    <s v="Yes"/>
    <m/>
    <s v="Yes"/>
    <m/>
    <s v="New"/>
    <s v="infasco"/>
    <n v="123.82"/>
    <n v="123.82"/>
  </r>
  <r>
    <x v="21"/>
    <x v="32"/>
    <n v="42068967"/>
    <n v="717201"/>
    <n v="27"/>
    <n v="320"/>
    <n v="8640"/>
    <s v="011+252"/>
    <s v="Yes"/>
    <m/>
    <s v="Yes"/>
    <m/>
    <s v="Yes"/>
    <m/>
    <s v="Yes"/>
    <m/>
    <s v="N/A"/>
    <m/>
    <s v="Yes"/>
    <m/>
    <s v="Yes"/>
    <m/>
    <s v="New"/>
    <s v="infasco"/>
    <n v="123.82"/>
    <n v="123.82"/>
  </r>
  <r>
    <x v="21"/>
    <x v="32"/>
    <n v="42068967"/>
    <n v="717202"/>
    <n v="27"/>
    <n v="320"/>
    <n v="8640"/>
    <s v="011+252"/>
    <s v="Yes"/>
    <m/>
    <s v="Yes"/>
    <m/>
    <s v="Yes"/>
    <m/>
    <s v="Yes"/>
    <m/>
    <s v="N/A"/>
    <m/>
    <s v="Yes"/>
    <m/>
    <s v="Yes"/>
    <m/>
    <s v="New"/>
    <s v="infasco"/>
    <n v="123.82"/>
    <n v="123.82"/>
  </r>
  <r>
    <x v="21"/>
    <x v="32"/>
    <s v="06503825-A"/>
    <n v="717000"/>
    <n v="36"/>
    <n v="1500"/>
    <n v="54000"/>
    <s v="011+252"/>
    <s v="Yes"/>
    <m/>
    <s v="Yes"/>
    <m/>
    <s v="Yes"/>
    <m/>
    <s v="Yes"/>
    <m/>
    <s v="N/A"/>
    <m/>
    <s v="Yes"/>
    <m/>
    <s v="Yes"/>
    <m/>
    <s v="New"/>
    <s v="infasco"/>
    <n v="226.94"/>
    <n v="226.94"/>
  </r>
  <r>
    <x v="21"/>
    <x v="13"/>
    <s v="PZ18-7P483-AA"/>
    <n v="716404"/>
    <n v="14"/>
    <n v="195"/>
    <n v="2730"/>
    <n v="197"/>
    <s v="Yes"/>
    <m/>
    <s v="Yes"/>
    <m/>
    <s v="Yes"/>
    <m/>
    <s v="Yes"/>
    <m/>
    <s v="N/A"/>
    <m/>
    <s v="Yes"/>
    <m/>
    <s v="Yes"/>
    <m/>
    <s v="Re-certified"/>
    <s v="infasco"/>
    <n v="0"/>
    <n v="0"/>
  </r>
  <r>
    <x v="21"/>
    <x v="33"/>
    <s v="11546364-PH-RO"/>
    <n v="713721"/>
    <n v="8"/>
    <n v="3500"/>
    <n v="28000"/>
    <n v="272"/>
    <s v="Yes"/>
    <m/>
    <s v="Yes"/>
    <m/>
    <s v="Yes"/>
    <m/>
    <s v="Yes"/>
    <m/>
    <s v="N/A"/>
    <m/>
    <s v="Yes"/>
    <m/>
    <s v="Yes"/>
    <m/>
    <s v="Re-certified"/>
    <s v="infasco"/>
    <n v="0"/>
    <n v="0"/>
  </r>
  <r>
    <x v="22"/>
    <x v="12"/>
    <s v="06100050-A"/>
    <n v="717266"/>
    <n v="51"/>
    <n v="1500"/>
    <n v="76500"/>
    <n v="275"/>
    <s v="Yes"/>
    <m/>
    <s v="Yes"/>
    <m/>
    <s v="Yes"/>
    <m/>
    <s v="Yes"/>
    <m/>
    <s v="N/A"/>
    <m/>
    <s v="Yes"/>
    <m/>
    <s v="Yes"/>
    <m/>
    <s v="New"/>
    <s v="infasco"/>
    <n v="106.94"/>
    <n v="106.94"/>
  </r>
  <r>
    <x v="22"/>
    <x v="8"/>
    <s v="NU1510"/>
    <n v="717104"/>
    <n v="1"/>
    <n v="35000"/>
    <n v="35000"/>
    <n v="275"/>
    <s v="Yes"/>
    <m/>
    <s v="Yes"/>
    <m/>
    <s v="Yes"/>
    <m/>
    <s v="Yes"/>
    <m/>
    <s v="N/A"/>
    <m/>
    <s v="Yes"/>
    <m/>
    <s v="Yes"/>
    <m/>
    <s v="New"/>
    <s v="infasco"/>
    <n v="129.44999999999999"/>
    <n v="129.44999999999999"/>
  </r>
  <r>
    <x v="22"/>
    <x v="8"/>
    <n v="82248"/>
    <n v="717419"/>
    <n v="36"/>
    <n v="1050"/>
    <n v="37800"/>
    <n v="275"/>
    <s v="Yes"/>
    <m/>
    <s v="Yes"/>
    <m/>
    <s v="Yes"/>
    <m/>
    <s v="Yes"/>
    <m/>
    <s v="N/A"/>
    <m/>
    <s v="Yes"/>
    <m/>
    <s v="Yes"/>
    <m/>
    <s v="Re-certified"/>
    <s v="infasco"/>
    <n v="0"/>
    <n v="0"/>
  </r>
  <r>
    <x v="22"/>
    <x v="10"/>
    <n v="11546545"/>
    <n v="717332"/>
    <n v="21"/>
    <n v="2500"/>
    <n v="52500"/>
    <n v="275"/>
    <s v="Yes"/>
    <m/>
    <s v="Yes"/>
    <m/>
    <s v="Yes"/>
    <m/>
    <s v="Yes"/>
    <m/>
    <s v="N/A"/>
    <m/>
    <s v="Yes"/>
    <m/>
    <s v="Yes"/>
    <m/>
    <s v="New"/>
    <s v="infasco"/>
    <n v="106.94"/>
    <n v="106.94"/>
  </r>
  <r>
    <x v="22"/>
    <x v="10"/>
    <n v="11546449"/>
    <n v="717692"/>
    <n v="5"/>
    <n v="2500"/>
    <n v="12500"/>
    <n v="275"/>
    <s v="Yes"/>
    <m/>
    <s v="Yes"/>
    <m/>
    <s v="Yes"/>
    <m/>
    <s v="Yes"/>
    <m/>
    <s v="N/A"/>
    <m/>
    <s v="Yes"/>
    <m/>
    <s v="Yes"/>
    <m/>
    <s v="Re-certified"/>
    <s v="infasco"/>
    <n v="0"/>
    <n v="0"/>
  </r>
  <r>
    <x v="22"/>
    <x v="11"/>
    <n v="11546545"/>
    <n v="717327"/>
    <n v="36"/>
    <n v="2500"/>
    <n v="90000"/>
    <n v="275"/>
    <s v="Yes"/>
    <m/>
    <s v="Yes"/>
    <m/>
    <s v="Yes"/>
    <m/>
    <s v="Yes"/>
    <m/>
    <s v="N/A"/>
    <m/>
    <s v="Yes"/>
    <m/>
    <s v="Yes"/>
    <m/>
    <s v="New"/>
    <s v="infasco"/>
    <n v="106.94"/>
    <n v="106.94"/>
  </r>
  <r>
    <x v="22"/>
    <x v="11"/>
    <n v="11546545"/>
    <n v="717322"/>
    <n v="15"/>
    <n v="2500"/>
    <n v="37500"/>
    <n v="275"/>
    <s v="Yes"/>
    <m/>
    <s v="Yes"/>
    <m/>
    <s v="Yes"/>
    <m/>
    <s v="Yes"/>
    <m/>
    <s v="N/A"/>
    <m/>
    <s v="Yes"/>
    <m/>
    <s v="Yes"/>
    <m/>
    <s v="Re-certified"/>
    <s v="infasco"/>
    <n v="0"/>
    <n v="0"/>
  </r>
  <r>
    <x v="22"/>
    <x v="9"/>
    <s v="11546365-MY-AK"/>
    <n v="716820"/>
    <n v="27"/>
    <n v="1900"/>
    <n v="51300"/>
    <n v="275"/>
    <s v="Yes"/>
    <m/>
    <s v="Yes"/>
    <m/>
    <s v="Yes"/>
    <m/>
    <s v="Yes"/>
    <m/>
    <s v="N/A"/>
    <m/>
    <s v="Yes"/>
    <m/>
    <s v="Yes"/>
    <m/>
    <s v="New"/>
    <s v="infasco"/>
    <n v="106.94"/>
    <n v="106.94"/>
  </r>
  <r>
    <x v="22"/>
    <x v="9"/>
    <s v="11546365-MY-AK"/>
    <n v="716817"/>
    <n v="18"/>
    <n v="1900"/>
    <n v="34200"/>
    <n v="275"/>
    <s v="Yes"/>
    <m/>
    <s v="Yes"/>
    <m/>
    <s v="Yes"/>
    <m/>
    <s v="Yes"/>
    <m/>
    <s v="N/A"/>
    <m/>
    <s v="Yes"/>
    <m/>
    <s v="Yes"/>
    <m/>
    <s v="New"/>
    <s v="infasco"/>
    <n v="106.94"/>
    <n v="106.94"/>
  </r>
  <r>
    <x v="22"/>
    <x v="9"/>
    <s v="11546365-MY-AK"/>
    <n v="716819"/>
    <n v="14"/>
    <n v="1900"/>
    <n v="26600"/>
    <n v="275"/>
    <s v="Yes"/>
    <m/>
    <s v="Yes"/>
    <m/>
    <s v="Yes"/>
    <m/>
    <s v="Yes"/>
    <m/>
    <s v="N/A"/>
    <m/>
    <s v="Yes"/>
    <m/>
    <s v="Yes"/>
    <m/>
    <s v="Re-certified"/>
    <s v="infasco"/>
    <n v="0"/>
    <n v="0"/>
  </r>
  <r>
    <x v="22"/>
    <x v="6"/>
    <n v="11549168"/>
    <n v="716229"/>
    <n v="16"/>
    <n v="1000"/>
    <n v="16000"/>
    <n v="275"/>
    <s v="Yes"/>
    <m/>
    <s v="Yes"/>
    <m/>
    <s v="Yes"/>
    <m/>
    <s v="Yes"/>
    <m/>
    <s v="N/A"/>
    <m/>
    <s v="Yes"/>
    <m/>
    <s v="Yes"/>
    <m/>
    <s v="New"/>
    <s v="infasco"/>
    <n v="106.94"/>
    <n v="106.94"/>
  </r>
  <r>
    <x v="22"/>
    <x v="6"/>
    <n v="11549168"/>
    <n v="716565"/>
    <n v="35"/>
    <n v="1000"/>
    <n v="35000"/>
    <n v="275"/>
    <s v="Yes"/>
    <m/>
    <s v="Yes"/>
    <m/>
    <s v="Yes"/>
    <m/>
    <s v="Yes"/>
    <m/>
    <s v="N/A"/>
    <m/>
    <s v="Yes"/>
    <m/>
    <s v="Yes"/>
    <m/>
    <s v="Re-certified"/>
    <s v="infasco"/>
    <n v="0"/>
    <n v="0"/>
  </r>
  <r>
    <x v="22"/>
    <x v="1"/>
    <s v="11546377-PH-RO"/>
    <n v="717635"/>
    <n v="2"/>
    <n v="2150"/>
    <n v="4300"/>
    <n v="4"/>
    <s v="Yes"/>
    <m/>
    <s v="Yes"/>
    <m/>
    <s v="Yes"/>
    <m/>
    <s v="Yes"/>
    <m/>
    <s v="N/A"/>
    <m/>
    <s v="Yes"/>
    <m/>
    <s v="Yes"/>
    <m/>
    <s v="New"/>
    <s v="infasco"/>
    <n v="106.94"/>
    <n v="106.94"/>
  </r>
  <r>
    <x v="22"/>
    <x v="1"/>
    <s v="11546365-MY-AK"/>
    <n v="716821"/>
    <n v="14"/>
    <n v="1900"/>
    <n v="26600"/>
    <n v="4"/>
    <s v="Yes"/>
    <m/>
    <s v="Yes"/>
    <m/>
    <s v="Yes"/>
    <m/>
    <s v="Yes"/>
    <m/>
    <s v="N/A"/>
    <m/>
    <s v="Yes"/>
    <m/>
    <s v="Yes"/>
    <m/>
    <s v="Re-certified"/>
    <s v="infasco"/>
    <n v="0"/>
    <n v="0"/>
  </r>
  <r>
    <x v="22"/>
    <x v="2"/>
    <n v="11549168"/>
    <n v="716228"/>
    <n v="16"/>
    <n v="1000"/>
    <n v="16000"/>
    <n v="4"/>
    <s v="Yes"/>
    <m/>
    <s v="Yes"/>
    <m/>
    <s v="Yes"/>
    <m/>
    <s v="Yes"/>
    <m/>
    <s v="N/A"/>
    <m/>
    <s v="Yes"/>
    <m/>
    <s v="Yes"/>
    <m/>
    <s v="New"/>
    <s v="infasco"/>
    <n v="106.94"/>
    <n v="106.94"/>
  </r>
  <r>
    <x v="22"/>
    <x v="2"/>
    <n v="11549168"/>
    <n v="716915"/>
    <n v="18"/>
    <n v="1000"/>
    <n v="18000"/>
    <n v="4"/>
    <s v="Yes"/>
    <m/>
    <s v="Yes"/>
    <m/>
    <s v="Yes"/>
    <m/>
    <s v="Yes"/>
    <m/>
    <s v="N/A"/>
    <m/>
    <s v="Yes"/>
    <m/>
    <s v="Yes"/>
    <m/>
    <s v="Re-certified"/>
    <s v="infasco"/>
    <n v="0"/>
    <n v="0"/>
  </r>
  <r>
    <x v="22"/>
    <x v="19"/>
    <n v="11549168"/>
    <n v="716913"/>
    <n v="36"/>
    <n v="1000"/>
    <n v="36000"/>
    <n v="4"/>
    <s v="Yes"/>
    <m/>
    <s v="Yes"/>
    <m/>
    <s v="Yes"/>
    <m/>
    <s v="Yes"/>
    <m/>
    <s v="N/A"/>
    <m/>
    <s v="Yes"/>
    <m/>
    <s v="Yes"/>
    <m/>
    <s v="New"/>
    <s v="infasco"/>
    <n v="106.94"/>
    <n v="106.94"/>
  </r>
  <r>
    <x v="22"/>
    <x v="19"/>
    <n v="11549168"/>
    <n v="716911"/>
    <n v="26"/>
    <n v="1000"/>
    <n v="26000"/>
    <n v="4"/>
    <s v="Yes"/>
    <m/>
    <s v="Yes"/>
    <m/>
    <s v="Yes"/>
    <m/>
    <s v="Yes"/>
    <m/>
    <s v="N/A"/>
    <m/>
    <s v="Yes"/>
    <m/>
    <s v="Yes"/>
    <m/>
    <s v="Re-certified"/>
    <s v="infasco"/>
    <n v="0"/>
    <n v="0"/>
  </r>
  <r>
    <x v="22"/>
    <x v="0"/>
    <s v="11546365-MY-AK"/>
    <n v="716822"/>
    <n v="14"/>
    <n v="1900"/>
    <n v="26600"/>
    <n v="4"/>
    <s v="Yes"/>
    <m/>
    <s v="Yes"/>
    <m/>
    <s v="Yes"/>
    <m/>
    <s v="Yes"/>
    <m/>
    <s v="N/A"/>
    <m/>
    <s v="Yes"/>
    <m/>
    <s v="Yes"/>
    <m/>
    <s v="New"/>
    <s v="infasco"/>
    <n v="106.94"/>
    <n v="106.94"/>
  </r>
  <r>
    <x v="22"/>
    <x v="0"/>
    <s v="11546365-MY-AK"/>
    <n v="716818"/>
    <n v="2"/>
    <n v="1900"/>
    <n v="3800"/>
    <n v="4"/>
    <s v="Yes"/>
    <m/>
    <s v="Yes"/>
    <m/>
    <s v="Yes"/>
    <m/>
    <s v="Yes"/>
    <m/>
    <s v="N/A"/>
    <m/>
    <s v="Yes"/>
    <m/>
    <s v="Yes"/>
    <m/>
    <s v="Re-certified"/>
    <s v="infasco"/>
    <n v="0"/>
    <n v="0"/>
  </r>
  <r>
    <x v="22"/>
    <x v="3"/>
    <n v="11549170"/>
    <n v="716556"/>
    <n v="36"/>
    <n v="400"/>
    <n v="14400"/>
    <n v="4"/>
    <s v="Yes"/>
    <m/>
    <s v="Yes"/>
    <m/>
    <s v="Yes"/>
    <m/>
    <s v="Yes"/>
    <m/>
    <s v="N/A"/>
    <m/>
    <s v="Yes"/>
    <m/>
    <s v="Yes"/>
    <m/>
    <s v="New"/>
    <s v="infasco"/>
    <n v="106.94"/>
    <n v="106.94"/>
  </r>
  <r>
    <x v="22"/>
    <x v="3"/>
    <n v="11549170"/>
    <n v="716554"/>
    <n v="36"/>
    <n v="400"/>
    <n v="14400"/>
    <n v="4"/>
    <s v="Yes"/>
    <m/>
    <s v="Yes"/>
    <m/>
    <s v="Yes"/>
    <m/>
    <s v="Yes"/>
    <m/>
    <s v="N/A"/>
    <m/>
    <s v="Yes"/>
    <m/>
    <s v="Yes"/>
    <m/>
    <s v="New"/>
    <s v="infasco"/>
    <n v="106.94"/>
    <n v="106.94"/>
  </r>
  <r>
    <x v="22"/>
    <x v="3"/>
    <n v="11549170"/>
    <n v="716574"/>
    <n v="36"/>
    <n v="400"/>
    <n v="14400"/>
    <n v="4"/>
    <s v="Yes"/>
    <m/>
    <s v="Yes"/>
    <m/>
    <s v="Yes"/>
    <m/>
    <s v="Yes"/>
    <m/>
    <s v="N/A"/>
    <m/>
    <s v="Yes"/>
    <m/>
    <s v="Yes"/>
    <m/>
    <s v="New"/>
    <s v="infasco"/>
    <n v="106.94"/>
    <n v="106.94"/>
  </r>
  <r>
    <x v="22"/>
    <x v="3"/>
    <n v="11549170"/>
    <n v="716933"/>
    <n v="16"/>
    <n v="400"/>
    <n v="6400"/>
    <n v="4"/>
    <s v="Yes"/>
    <m/>
    <s v="Yes"/>
    <m/>
    <s v="Yes"/>
    <m/>
    <s v="Yes"/>
    <m/>
    <s v="N/A"/>
    <m/>
    <s v="Yes"/>
    <m/>
    <s v="Yes"/>
    <m/>
    <s v="Re-certified"/>
    <s v="infasco"/>
    <n v="0"/>
    <n v="0"/>
  </r>
  <r>
    <x v="22"/>
    <x v="5"/>
    <n v="11549170"/>
    <n v="716570"/>
    <n v="39"/>
    <n v="400"/>
    <n v="15600"/>
    <n v="4"/>
    <s v="Yes"/>
    <m/>
    <s v="Yes"/>
    <m/>
    <s v="Yes"/>
    <m/>
    <s v="Yes"/>
    <m/>
    <s v="N/A"/>
    <m/>
    <s v="Yes"/>
    <m/>
    <s v="Yes"/>
    <m/>
    <s v="New"/>
    <s v="infasco"/>
    <n v="106.94"/>
    <n v="106.94"/>
  </r>
  <r>
    <x v="22"/>
    <x v="5"/>
    <n v="11549170"/>
    <n v="716557"/>
    <n v="40"/>
    <n v="400"/>
    <n v="16000"/>
    <n v="4"/>
    <s v="Yes"/>
    <m/>
    <s v="Yes"/>
    <m/>
    <s v="Yes"/>
    <m/>
    <s v="Yes"/>
    <m/>
    <s v="N/A"/>
    <m/>
    <s v="Yes"/>
    <m/>
    <s v="Yes"/>
    <m/>
    <s v="New"/>
    <s v="infasco"/>
    <n v="106.94"/>
    <n v="106.94"/>
  </r>
  <r>
    <x v="22"/>
    <x v="5"/>
    <n v="11549170"/>
    <n v="716582"/>
    <n v="30"/>
    <n v="400"/>
    <n v="12000"/>
    <n v="4"/>
    <s v="Yes"/>
    <m/>
    <s v="Yes"/>
    <m/>
    <s v="Yes"/>
    <m/>
    <s v="Yes"/>
    <m/>
    <s v="N/A"/>
    <m/>
    <s v="Yes"/>
    <m/>
    <s v="Yes"/>
    <m/>
    <s v="Re-certified"/>
    <s v="infasco"/>
    <n v="0"/>
    <n v="0"/>
  </r>
  <r>
    <x v="22"/>
    <x v="4"/>
    <n v="11546389"/>
    <n v="717703"/>
    <n v="3"/>
    <n v="4500"/>
    <n v="13500"/>
    <n v="4"/>
    <s v="Yes"/>
    <m/>
    <s v="Yes"/>
    <m/>
    <s v="Yes"/>
    <m/>
    <s v="Yes"/>
    <m/>
    <s v="N/A"/>
    <m/>
    <s v="Yes"/>
    <m/>
    <s v="Yes"/>
    <m/>
    <s v="New"/>
    <s v="infasco"/>
    <n v="106.94"/>
    <n v="106.94"/>
  </r>
  <r>
    <x v="22"/>
    <x v="4"/>
    <n v="11546389"/>
    <n v="717704"/>
    <n v="14"/>
    <n v="4500"/>
    <n v="63000"/>
    <n v="4"/>
    <s v="Yes"/>
    <m/>
    <s v="Yes"/>
    <m/>
    <s v="Yes"/>
    <m/>
    <s v="Yes"/>
    <m/>
    <s v="N/A"/>
    <m/>
    <s v="Yes"/>
    <m/>
    <s v="Yes"/>
    <m/>
    <s v="Re-certified"/>
    <s v="infasco"/>
    <n v="0"/>
    <n v="0"/>
  </r>
  <r>
    <x v="22"/>
    <x v="29"/>
    <n v="11546545"/>
    <n v="717330"/>
    <n v="11"/>
    <n v="2500"/>
    <n v="27500"/>
    <n v="290"/>
    <s v="Yes"/>
    <m/>
    <s v="Yes"/>
    <m/>
    <s v="Yes"/>
    <m/>
    <s v="Yes"/>
    <m/>
    <s v="N/A"/>
    <m/>
    <s v="Yes"/>
    <m/>
    <s v="Yes"/>
    <m/>
    <s v="New"/>
    <s v="infasco"/>
    <n v="106.94"/>
    <n v="106.94"/>
  </r>
  <r>
    <x v="22"/>
    <x v="29"/>
    <n v="11546545"/>
    <n v="717323"/>
    <n v="38"/>
    <n v="2500"/>
    <n v="95000"/>
    <n v="290"/>
    <s v="Yes"/>
    <m/>
    <s v="Yes"/>
    <m/>
    <s v="Yes"/>
    <m/>
    <s v="Yes"/>
    <m/>
    <s v="N/A"/>
    <m/>
    <s v="Yes"/>
    <m/>
    <s v="Yes"/>
    <m/>
    <s v="New"/>
    <s v="infasco"/>
    <n v="106.94"/>
    <n v="106.94"/>
  </r>
  <r>
    <x v="22"/>
    <x v="29"/>
    <n v="11546449"/>
    <n v="717691"/>
    <n v="2"/>
    <n v="2500"/>
    <n v="5000"/>
    <n v="290"/>
    <s v="Yes"/>
    <m/>
    <s v="Yes"/>
    <m/>
    <s v="Yes"/>
    <m/>
    <s v="Yes"/>
    <m/>
    <s v="N/A"/>
    <m/>
    <s v="Yes"/>
    <m/>
    <s v="Yes"/>
    <m/>
    <s v="Re-certified"/>
    <s v="infasco"/>
    <n v="0"/>
    <n v="0"/>
  </r>
  <r>
    <x v="22"/>
    <x v="30"/>
    <s v="11549171-MY-AK"/>
    <n v="717182"/>
    <n v="36"/>
    <n v="280"/>
    <n v="10080"/>
    <n v="290"/>
    <s v="Yes"/>
    <m/>
    <s v="Yes"/>
    <m/>
    <s v="Yes"/>
    <m/>
    <s v="Yes"/>
    <m/>
    <s v="N/A"/>
    <m/>
    <s v="Yes"/>
    <m/>
    <s v="Yes"/>
    <m/>
    <s v="New"/>
    <s v="infasco"/>
    <n v="106.94"/>
    <n v="106.94"/>
  </r>
  <r>
    <x v="22"/>
    <x v="30"/>
    <s v="11549171-MY-AK"/>
    <n v="717214"/>
    <n v="36"/>
    <n v="280"/>
    <n v="10080"/>
    <n v="290"/>
    <s v="Yes"/>
    <m/>
    <s v="Yes"/>
    <m/>
    <s v="Yes"/>
    <m/>
    <s v="Yes"/>
    <m/>
    <s v="N/A"/>
    <m/>
    <s v="Yes"/>
    <m/>
    <s v="Yes"/>
    <m/>
    <s v="New"/>
    <s v="infasco"/>
    <n v="106.94"/>
    <n v="106.94"/>
  </r>
  <r>
    <x v="22"/>
    <x v="30"/>
    <s v="11549171-MY-AK"/>
    <n v="717212"/>
    <n v="36"/>
    <n v="280"/>
    <n v="10080"/>
    <n v="290"/>
    <s v="Yes"/>
    <m/>
    <s v="Yes"/>
    <m/>
    <s v="Yes"/>
    <m/>
    <s v="Yes"/>
    <m/>
    <s v="N/A"/>
    <m/>
    <s v="Yes"/>
    <m/>
    <s v="Yes"/>
    <m/>
    <s v="New"/>
    <s v="infasco"/>
    <n v="106.94"/>
    <n v="106.94"/>
  </r>
  <r>
    <x v="22"/>
    <x v="30"/>
    <s v="11549171-MY-AK"/>
    <n v="717218"/>
    <n v="15"/>
    <n v="280"/>
    <n v="4200"/>
    <n v="290"/>
    <s v="Yes"/>
    <m/>
    <s v="Yes"/>
    <m/>
    <s v="Yes"/>
    <m/>
    <s v="Yes"/>
    <m/>
    <s v="N/A"/>
    <m/>
    <s v="Yes"/>
    <m/>
    <s v="Yes"/>
    <m/>
    <s v="Re-certified"/>
    <s v="infasco"/>
    <n v="0"/>
    <n v="0"/>
  </r>
  <r>
    <x v="22"/>
    <x v="28"/>
    <n v="11546571"/>
    <n v="717162"/>
    <n v="16"/>
    <n v="1550"/>
    <n v="24800"/>
    <n v="290"/>
    <s v="Yes"/>
    <m/>
    <s v="Yes"/>
    <m/>
    <s v="Yes"/>
    <m/>
    <s v="Yes"/>
    <m/>
    <s v="N/A"/>
    <m/>
    <s v="Yes"/>
    <m/>
    <s v="Yes"/>
    <m/>
    <s v="Re-certified"/>
    <s v="infasco"/>
    <n v="0"/>
    <n v="0"/>
  </r>
  <r>
    <x v="22"/>
    <x v="26"/>
    <n v="11549168"/>
    <n v="716912"/>
    <n v="6"/>
    <n v="1000"/>
    <n v="6000"/>
    <n v="290"/>
    <s v="Yes"/>
    <m/>
    <s v="Yes"/>
    <m/>
    <s v="Yes"/>
    <m/>
    <s v="Yes"/>
    <m/>
    <s v="N/A"/>
    <m/>
    <s v="Yes"/>
    <m/>
    <s v="Yes"/>
    <m/>
    <s v="New"/>
    <s v="infasco"/>
    <n v="106.94"/>
    <n v="106.94"/>
  </r>
  <r>
    <x v="22"/>
    <x v="26"/>
    <n v="11549168"/>
    <n v="716908"/>
    <n v="36"/>
    <n v="1000"/>
    <n v="36000"/>
    <n v="290"/>
    <s v="Yes"/>
    <m/>
    <s v="Yes"/>
    <m/>
    <s v="Yes"/>
    <m/>
    <s v="Yes"/>
    <m/>
    <s v="N/A"/>
    <m/>
    <s v="Yes"/>
    <m/>
    <s v="Yes"/>
    <m/>
    <s v="New"/>
    <s v="infasco"/>
    <n v="106.94"/>
    <n v="106.94"/>
  </r>
  <r>
    <x v="22"/>
    <x v="26"/>
    <n v="11549168"/>
    <n v="716909"/>
    <n v="53"/>
    <n v="1000"/>
    <n v="53000"/>
    <n v="290"/>
    <s v="Yes"/>
    <m/>
    <s v="Yes"/>
    <m/>
    <s v="Yes"/>
    <m/>
    <s v="Yes"/>
    <m/>
    <s v="N/A"/>
    <m/>
    <s v="Yes"/>
    <m/>
    <s v="Yes"/>
    <m/>
    <s v="New"/>
    <s v="infasco"/>
    <n v="106.94"/>
    <n v="106.94"/>
  </r>
  <r>
    <x v="22"/>
    <x v="26"/>
    <n v="11549168"/>
    <n v="716910"/>
    <n v="14"/>
    <n v="1000"/>
    <n v="14000"/>
    <n v="290"/>
    <s v="Yes"/>
    <m/>
    <s v="Yes"/>
    <m/>
    <s v="Yes"/>
    <m/>
    <s v="Yes"/>
    <m/>
    <s v="N/A"/>
    <m/>
    <s v="Yes"/>
    <m/>
    <s v="Yes"/>
    <m/>
    <s v="Re-certified"/>
    <s v="infasco"/>
    <n v="0"/>
    <n v="0"/>
  </r>
  <r>
    <x v="22"/>
    <x v="27"/>
    <n v="11549170"/>
    <n v="716552"/>
    <n v="33"/>
    <n v="400"/>
    <n v="13200"/>
    <n v="290"/>
    <s v="Yes"/>
    <m/>
    <s v="Yes"/>
    <m/>
    <s v="Yes"/>
    <m/>
    <s v="Yes"/>
    <m/>
    <s v="N/A"/>
    <m/>
    <s v="Yes"/>
    <m/>
    <s v="Yes"/>
    <m/>
    <s v="New"/>
    <s v="infasco"/>
    <n v="106.94"/>
    <n v="106.94"/>
  </r>
  <r>
    <x v="22"/>
    <x v="27"/>
    <n v="11549170"/>
    <n v="716558"/>
    <n v="36"/>
    <n v="400"/>
    <n v="14400"/>
    <n v="290"/>
    <s v="Yes"/>
    <m/>
    <s v="Yes"/>
    <m/>
    <s v="Yes"/>
    <m/>
    <s v="Yes"/>
    <m/>
    <s v="N/A"/>
    <m/>
    <s v="Yes"/>
    <m/>
    <s v="Yes"/>
    <m/>
    <s v="New"/>
    <s v="infasco"/>
    <n v="106.94"/>
    <n v="106.94"/>
  </r>
  <r>
    <x v="22"/>
    <x v="21"/>
    <n v="11546545"/>
    <n v="717328"/>
    <n v="36"/>
    <n v="2500"/>
    <n v="90000"/>
    <n v="280"/>
    <s v="Yes"/>
    <m/>
    <s v="Yes"/>
    <m/>
    <s v="Yes"/>
    <m/>
    <s v="Yes"/>
    <m/>
    <s v="N/A"/>
    <m/>
    <s v="Yes"/>
    <m/>
    <s v="Yes"/>
    <m/>
    <s v="New"/>
    <s v="infasco"/>
    <n v="106.94"/>
    <n v="106.94"/>
  </r>
  <r>
    <x v="22"/>
    <x v="21"/>
    <n v="11546545"/>
    <n v="717325"/>
    <n v="37"/>
    <n v="2500"/>
    <n v="92500"/>
    <n v="280"/>
    <s v="Yes"/>
    <m/>
    <s v="Yes"/>
    <m/>
    <s v="Yes"/>
    <m/>
    <s v="Yes"/>
    <m/>
    <s v="N/A"/>
    <m/>
    <s v="Yes"/>
    <m/>
    <s v="Yes"/>
    <m/>
    <s v="New"/>
    <s v="infasco"/>
    <n v="106.94"/>
    <n v="106.94"/>
  </r>
  <r>
    <x v="22"/>
    <x v="21"/>
    <n v="11546449"/>
    <n v="717693"/>
    <n v="8"/>
    <n v="2500"/>
    <n v="20000"/>
    <n v="280"/>
    <s v="Yes"/>
    <m/>
    <s v="Yes"/>
    <m/>
    <s v="Yes"/>
    <m/>
    <s v="Yes"/>
    <m/>
    <s v="N/A"/>
    <m/>
    <s v="Yes"/>
    <m/>
    <s v="Yes"/>
    <m/>
    <s v="Re-certified"/>
    <s v="infasco"/>
    <n v="0"/>
    <n v="0"/>
  </r>
  <r>
    <x v="22"/>
    <x v="25"/>
    <s v="06101736-A"/>
    <n v="716776"/>
    <n v="16"/>
    <n v="3200"/>
    <n v="51200"/>
    <n v="280"/>
    <s v="Yes"/>
    <m/>
    <s v="Yes"/>
    <m/>
    <s v="Yes"/>
    <m/>
    <s v="Yes"/>
    <m/>
    <s v="N/A"/>
    <m/>
    <s v="Yes"/>
    <m/>
    <s v="Yes"/>
    <m/>
    <s v="Re-certified"/>
    <s v="infasco"/>
    <n v="0"/>
    <n v="0"/>
  </r>
  <r>
    <x v="22"/>
    <x v="22"/>
    <s v="11546377-PH-RO"/>
    <n v="717637"/>
    <n v="3"/>
    <n v="2150"/>
    <n v="6450"/>
    <n v="280"/>
    <s v="Yes"/>
    <m/>
    <s v="Yes"/>
    <m/>
    <s v="Yes"/>
    <m/>
    <s v="Yes"/>
    <m/>
    <s v="N/A"/>
    <m/>
    <s v="Yes"/>
    <m/>
    <s v="Yes"/>
    <m/>
    <s v="New"/>
    <s v="infasco"/>
    <n v="106.94"/>
    <n v="106.94"/>
  </r>
  <r>
    <x v="22"/>
    <x v="24"/>
    <n v="11561645"/>
    <n v="714524"/>
    <n v="22"/>
    <n v="4000"/>
    <n v="88000"/>
    <n v="280"/>
    <s v="Yes"/>
    <m/>
    <s v="Yes"/>
    <m/>
    <s v="Yes"/>
    <m/>
    <s v="Yes"/>
    <m/>
    <s v="N/A"/>
    <m/>
    <s v="Yes"/>
    <m/>
    <s v="Yes"/>
    <m/>
    <s v="New"/>
    <s v="infasco"/>
    <n v="106.94"/>
    <n v="106.94"/>
  </r>
  <r>
    <x v="22"/>
    <x v="24"/>
    <n v="11561645"/>
    <n v="714525"/>
    <n v="3"/>
    <n v="4000"/>
    <n v="12000"/>
    <n v="280"/>
    <s v="Yes"/>
    <m/>
    <s v="Yes"/>
    <m/>
    <s v="Yes"/>
    <m/>
    <s v="Yes"/>
    <m/>
    <s v="N/A"/>
    <m/>
    <s v="Yes"/>
    <m/>
    <s v="Yes"/>
    <m/>
    <s v="Re-certified"/>
    <s v="infasco"/>
    <n v="0"/>
    <n v="0"/>
  </r>
  <r>
    <x v="22"/>
    <x v="23"/>
    <s v="11546545-TH-TC"/>
    <n v="717138"/>
    <n v="21"/>
    <n v="2500"/>
    <n v="52500"/>
    <n v="280"/>
    <s v="Yes"/>
    <m/>
    <s v="Yes"/>
    <m/>
    <s v="Yes"/>
    <m/>
    <s v="Yes"/>
    <m/>
    <s v="N/A"/>
    <m/>
    <s v="Yes"/>
    <m/>
    <s v="Yes"/>
    <m/>
    <s v="New"/>
    <s v="infasco"/>
    <n v="106.94"/>
    <n v="106.94"/>
  </r>
  <r>
    <x v="22"/>
    <x v="23"/>
    <n v="11546545"/>
    <n v="717321"/>
    <n v="34"/>
    <n v="2500"/>
    <n v="85000"/>
    <n v="280"/>
    <s v="Yes"/>
    <m/>
    <s v="Yes"/>
    <m/>
    <s v="Yes"/>
    <m/>
    <s v="Yes"/>
    <m/>
    <s v="N/A"/>
    <m/>
    <s v="Yes"/>
    <m/>
    <s v="Yes"/>
    <m/>
    <s v="New"/>
    <s v="infasco"/>
    <n v="106.94"/>
    <n v="106.94"/>
  </r>
  <r>
    <x v="22"/>
    <x v="23"/>
    <n v="11546449"/>
    <n v="717694"/>
    <n v="6"/>
    <n v="2500"/>
    <n v="15000"/>
    <n v="280"/>
    <s v="Yes"/>
    <m/>
    <s v="Yes"/>
    <m/>
    <s v="Yes"/>
    <m/>
    <s v="Yes"/>
    <m/>
    <s v="N/A"/>
    <m/>
    <s v="Yes"/>
    <m/>
    <s v="Yes"/>
    <m/>
    <s v="Re-certified"/>
    <s v="infasco"/>
    <n v="0"/>
    <n v="0"/>
  </r>
  <r>
    <x v="22"/>
    <x v="20"/>
    <n v="11549168"/>
    <n v="716566"/>
    <n v="30"/>
    <n v="1000"/>
    <n v="30000"/>
    <n v="280"/>
    <s v="Yes"/>
    <m/>
    <s v="Yes"/>
    <m/>
    <s v="Yes"/>
    <m/>
    <s v="Yes"/>
    <m/>
    <s v="N/A"/>
    <m/>
    <s v="Yes"/>
    <m/>
    <s v="Yes"/>
    <m/>
    <s v="New"/>
    <s v="infasco"/>
    <n v="106.94"/>
    <n v="106.94"/>
  </r>
  <r>
    <x v="22"/>
    <x v="20"/>
    <n v="11549168"/>
    <n v="716914"/>
    <n v="28"/>
    <n v="1000"/>
    <n v="28000"/>
    <n v="280"/>
    <s v="Yes"/>
    <m/>
    <s v="Yes"/>
    <m/>
    <s v="Yes"/>
    <m/>
    <s v="Yes"/>
    <m/>
    <s v="N/A"/>
    <m/>
    <s v="Yes"/>
    <m/>
    <s v="Yes"/>
    <m/>
    <s v="Re-certified"/>
    <s v="infasco"/>
    <n v="0"/>
    <n v="0"/>
  </r>
  <r>
    <x v="22"/>
    <x v="15"/>
    <s v="06104388AA"/>
    <n v="717625"/>
    <n v="19"/>
    <n v="660"/>
    <n v="12540"/>
    <s v="297+157"/>
    <s v="Yes"/>
    <m/>
    <s v="Yes"/>
    <m/>
    <s v="Yes"/>
    <m/>
    <s v="Yes"/>
    <m/>
    <s v="N/A"/>
    <m/>
    <s v="Yes"/>
    <m/>
    <s v="Yes"/>
    <m/>
    <s v="New"/>
    <s v="infasco"/>
    <n v="135.08000000000001"/>
    <n v="135.08000000000001"/>
  </r>
  <r>
    <x v="22"/>
    <x v="15"/>
    <s v="06503825-A"/>
    <n v="717003"/>
    <n v="49"/>
    <n v="1500"/>
    <n v="73500"/>
    <s v="297+157"/>
    <s v="Yes"/>
    <m/>
    <s v="Yes"/>
    <m/>
    <s v="Yes"/>
    <m/>
    <s v="Yes"/>
    <m/>
    <s v="N/A"/>
    <m/>
    <s v="Yes"/>
    <m/>
    <s v="Yes"/>
    <m/>
    <s v="New"/>
    <s v="infasco"/>
    <n v="226.94"/>
    <n v="226.94"/>
  </r>
  <r>
    <x v="22"/>
    <x v="15"/>
    <s v="06105102AA"/>
    <n v="717462"/>
    <n v="33"/>
    <n v="670"/>
    <n v="22110"/>
    <s v="297+157"/>
    <s v="Yes"/>
    <m/>
    <s v="Yes"/>
    <m/>
    <s v="Yes"/>
    <m/>
    <s v="Yes"/>
    <m/>
    <s v="N/A"/>
    <m/>
    <s v="Yes"/>
    <m/>
    <s v="Yes"/>
    <m/>
    <s v="New"/>
    <s v="infasco"/>
    <n v="280.16000000000003"/>
    <n v="280.16000000000003"/>
  </r>
  <r>
    <x v="22"/>
    <x v="15"/>
    <n v="11546379"/>
    <n v="716825"/>
    <n v="20"/>
    <n v="700"/>
    <n v="14000"/>
    <s v="297+157"/>
    <s v="Yes"/>
    <m/>
    <s v="Yes"/>
    <m/>
    <s v="Yes"/>
    <m/>
    <s v="Yes"/>
    <m/>
    <s v="N/A"/>
    <m/>
    <s v="Yes"/>
    <m/>
    <s v="Yes"/>
    <m/>
    <s v="Re-certified"/>
    <s v="infasco"/>
    <n v="0"/>
    <n v="0"/>
  </r>
  <r>
    <x v="22"/>
    <x v="15"/>
    <s v="06503825-A"/>
    <n v="716999"/>
    <n v="40"/>
    <n v="1500"/>
    <n v="60000"/>
    <s v="297+157"/>
    <s v="Yes"/>
    <m/>
    <s v="Yes"/>
    <m/>
    <s v="Yes"/>
    <m/>
    <s v="Yes"/>
    <m/>
    <s v="N/A"/>
    <m/>
    <s v="Yes"/>
    <m/>
    <s v="Yes"/>
    <m/>
    <s v="New"/>
    <s v="infasco"/>
    <n v="226.94"/>
    <n v="226.94"/>
  </r>
  <r>
    <x v="22"/>
    <x v="15"/>
    <s v="55364498AA"/>
    <n v="717010"/>
    <n v="36"/>
    <n v="520"/>
    <n v="18720"/>
    <s v="297+157"/>
    <s v="Yes"/>
    <m/>
    <s v="Yes"/>
    <m/>
    <s v="Yes"/>
    <m/>
    <s v="Yes"/>
    <m/>
    <s v="N/A"/>
    <m/>
    <s v="Yes"/>
    <m/>
    <s v="Yes"/>
    <m/>
    <s v="New"/>
    <s v="infasco"/>
    <n v="135.07999999999998"/>
    <n v="135.07999999999998"/>
  </r>
  <r>
    <x v="22"/>
    <x v="15"/>
    <s v="55364498AA"/>
    <n v="717009"/>
    <n v="11"/>
    <n v="520"/>
    <n v="5720"/>
    <s v="297+157"/>
    <s v="Yes"/>
    <m/>
    <s v="Yes"/>
    <m/>
    <s v="Yes"/>
    <m/>
    <s v="Yes"/>
    <m/>
    <s v="N/A"/>
    <m/>
    <s v="Yes"/>
    <m/>
    <s v="Yes"/>
    <m/>
    <s v="New"/>
    <s v="infasco"/>
    <n v="135.07999999999998"/>
    <n v="135.07999999999998"/>
  </r>
  <r>
    <x v="22"/>
    <x v="15"/>
    <n v="11546571"/>
    <n v="717163"/>
    <n v="33"/>
    <n v="1550"/>
    <n v="51150"/>
    <s v="297+157"/>
    <s v="Yes"/>
    <m/>
    <s v="Yes"/>
    <m/>
    <s v="Yes"/>
    <m/>
    <s v="Yes"/>
    <m/>
    <s v="N/A"/>
    <m/>
    <s v="Yes"/>
    <m/>
    <s v="Yes"/>
    <m/>
    <s v="New"/>
    <s v="infasco"/>
    <n v="135.07999999999998"/>
    <n v="135.07999999999998"/>
  </r>
  <r>
    <x v="22"/>
    <x v="15"/>
    <s v="06104388AA"/>
    <n v="717628"/>
    <n v="36"/>
    <n v="660"/>
    <n v="23760"/>
    <s v="297+157"/>
    <s v="Yes"/>
    <m/>
    <s v="Yes"/>
    <m/>
    <s v="Yes"/>
    <m/>
    <s v="Yes"/>
    <m/>
    <s v="N/A"/>
    <m/>
    <s v="Yes"/>
    <m/>
    <s v="Yes"/>
    <m/>
    <s v="New"/>
    <s v="infasco"/>
    <n v="135.08000000000001"/>
    <n v="135.08000000000001"/>
  </r>
  <r>
    <x v="22"/>
    <x v="16"/>
    <s v="06104388AA"/>
    <n v="717627"/>
    <n v="30"/>
    <n v="660"/>
    <n v="19800"/>
    <s v="279+391"/>
    <s v="Yes"/>
    <m/>
    <s v="Yes"/>
    <m/>
    <s v="Yes"/>
    <m/>
    <s v="Yes"/>
    <m/>
    <s v="N/A"/>
    <m/>
    <s v="Yes"/>
    <m/>
    <s v="Yes"/>
    <m/>
    <s v="New"/>
    <s v="infasco"/>
    <n v="135.08000000000001"/>
    <n v="135.08000000000001"/>
  </r>
  <r>
    <x v="22"/>
    <x v="16"/>
    <s v="06105102AA"/>
    <n v="717467"/>
    <n v="36"/>
    <n v="670"/>
    <n v="24120"/>
    <s v="279+391"/>
    <s v="Yes"/>
    <m/>
    <s v="Yes"/>
    <m/>
    <s v="Yes"/>
    <m/>
    <s v="Yes"/>
    <m/>
    <s v="N/A"/>
    <m/>
    <s v="Yes"/>
    <m/>
    <s v="Yes"/>
    <m/>
    <s v="New"/>
    <s v="infasco"/>
    <n v="280.16000000000003"/>
    <n v="280.16000000000003"/>
  </r>
  <r>
    <x v="22"/>
    <x v="16"/>
    <s v="06105102AA"/>
    <n v="717468"/>
    <n v="36"/>
    <n v="670"/>
    <n v="24120"/>
    <s v="279+391"/>
    <s v="Yes"/>
    <m/>
    <s v="Yes"/>
    <m/>
    <s v="Yes"/>
    <m/>
    <s v="Yes"/>
    <m/>
    <s v="N/A"/>
    <m/>
    <s v="Yes"/>
    <m/>
    <s v="Yes"/>
    <m/>
    <s v="New"/>
    <s v="infasco"/>
    <n v="280.16000000000003"/>
    <n v="280.16000000000003"/>
  </r>
  <r>
    <x v="22"/>
    <x v="16"/>
    <s v="06105102AA"/>
    <n v="717461"/>
    <n v="14"/>
    <n v="670"/>
    <n v="9380"/>
    <s v="279+391"/>
    <s v="Yes"/>
    <m/>
    <s v="Yes"/>
    <m/>
    <s v="Yes"/>
    <m/>
    <s v="Yes"/>
    <m/>
    <s v="N/A"/>
    <m/>
    <s v="Yes"/>
    <m/>
    <s v="Yes"/>
    <m/>
    <s v="New"/>
    <s v="infasco"/>
    <n v="280.16000000000003"/>
    <n v="280.16000000000003"/>
  </r>
  <r>
    <x v="22"/>
    <x v="16"/>
    <s v="11546370-MY-AK"/>
    <n v="717166"/>
    <n v="25"/>
    <n v="220"/>
    <n v="5500"/>
    <s v="279+391"/>
    <s v="Yes"/>
    <m/>
    <s v="Yes"/>
    <m/>
    <s v="Yes"/>
    <m/>
    <s v="Yes"/>
    <m/>
    <s v="N/A"/>
    <m/>
    <s v="Yes"/>
    <m/>
    <s v="Yes"/>
    <m/>
    <s v="Re-certified"/>
    <s v="infasco"/>
    <n v="0"/>
    <n v="0"/>
  </r>
  <r>
    <x v="22"/>
    <x v="16"/>
    <s v="06503825-A"/>
    <n v="717004"/>
    <n v="27"/>
    <n v="1500"/>
    <n v="40500"/>
    <s v="279+391"/>
    <s v="Yes"/>
    <m/>
    <s v="Yes"/>
    <m/>
    <s v="Yes"/>
    <m/>
    <s v="Yes"/>
    <m/>
    <s v="N/A"/>
    <m/>
    <s v="Yes"/>
    <m/>
    <s v="Yes"/>
    <m/>
    <s v="New"/>
    <s v="infasco"/>
    <n v="226.94"/>
    <n v="226.94"/>
  </r>
  <r>
    <x v="22"/>
    <x v="16"/>
    <n v="11546571"/>
    <n v="716747"/>
    <n v="36"/>
    <n v="1550"/>
    <n v="55800"/>
    <s v="279+391"/>
    <s v="Yes"/>
    <m/>
    <s v="Yes"/>
    <m/>
    <s v="Yes"/>
    <m/>
    <s v="Yes"/>
    <m/>
    <s v="N/A"/>
    <m/>
    <s v="Yes"/>
    <m/>
    <s v="Yes"/>
    <m/>
    <s v="New"/>
    <s v="infasco"/>
    <n v="135.07999999999998"/>
    <n v="135.07999999999998"/>
  </r>
  <r>
    <x v="22"/>
    <x v="16"/>
    <s v="06105102AA"/>
    <n v="717464"/>
    <n v="36"/>
    <n v="670"/>
    <n v="24120"/>
    <s v="279+391"/>
    <s v="Yes"/>
    <m/>
    <s v="Yes"/>
    <m/>
    <s v="Yes"/>
    <m/>
    <s v="Yes"/>
    <m/>
    <s v="N/A"/>
    <m/>
    <s v="Yes"/>
    <m/>
    <s v="Yes"/>
    <m/>
    <s v="New"/>
    <s v="infasco"/>
    <n v="280.16000000000003"/>
    <n v="280.16000000000003"/>
  </r>
  <r>
    <x v="22"/>
    <x v="16"/>
    <s v="06105102AA"/>
    <n v="717469"/>
    <n v="20"/>
    <n v="670"/>
    <n v="13400"/>
    <s v="279+391"/>
    <s v="Yes"/>
    <m/>
    <s v="Yes"/>
    <m/>
    <s v="Yes"/>
    <m/>
    <s v="Yes"/>
    <m/>
    <s v="N/A"/>
    <m/>
    <s v="Yes"/>
    <m/>
    <s v="Yes"/>
    <m/>
    <s v="New"/>
    <s v="infasco"/>
    <n v="280.16000000000003"/>
    <n v="280.16000000000003"/>
  </r>
  <r>
    <x v="22"/>
    <x v="16"/>
    <n v="11546571"/>
    <n v="716748"/>
    <n v="26"/>
    <n v="1550"/>
    <n v="40300"/>
    <s v="279+391"/>
    <s v="Yes"/>
    <m/>
    <s v="Yes"/>
    <m/>
    <s v="Yes"/>
    <m/>
    <s v="Yes"/>
    <m/>
    <s v="N/A"/>
    <m/>
    <s v="Yes"/>
    <m/>
    <s v="Yes"/>
    <m/>
    <s v="New"/>
    <s v="infasco"/>
    <n v="135.07999999999998"/>
    <n v="135.07999999999998"/>
  </r>
  <r>
    <x v="22"/>
    <x v="17"/>
    <s v="11546366-MY-AK"/>
    <n v="714533"/>
    <n v="17"/>
    <n v="1000"/>
    <n v="17000"/>
    <s v="190+268"/>
    <s v="Yes"/>
    <m/>
    <s v="Yes"/>
    <m/>
    <s v="Yes"/>
    <m/>
    <s v="Yes"/>
    <m/>
    <s v="N/A"/>
    <m/>
    <s v="Yes"/>
    <m/>
    <s v="Yes"/>
    <m/>
    <s v="New"/>
    <s v="infasco"/>
    <n v="106.94"/>
    <n v="106.94"/>
  </r>
  <r>
    <x v="22"/>
    <x v="17"/>
    <s v="11516077BR-MY-AK"/>
    <n v="716305"/>
    <n v="32"/>
    <n v="1200"/>
    <n v="38400"/>
    <s v="190+268"/>
    <s v="Yes"/>
    <m/>
    <s v="Yes"/>
    <m/>
    <s v="Yes"/>
    <m/>
    <s v="Yes"/>
    <m/>
    <s v="N/A"/>
    <m/>
    <s v="Yes"/>
    <m/>
    <s v="Yes"/>
    <m/>
    <s v="New"/>
    <s v="infasco"/>
    <n v="106.94"/>
    <n v="106.94"/>
  </r>
  <r>
    <x v="22"/>
    <x v="17"/>
    <s v="06105102AA"/>
    <n v="717470"/>
    <n v="38"/>
    <n v="670"/>
    <n v="25460"/>
    <s v="190+268"/>
    <s v="Yes"/>
    <m/>
    <s v="Yes"/>
    <m/>
    <s v="Yes"/>
    <m/>
    <s v="Yes"/>
    <m/>
    <s v="N/A"/>
    <m/>
    <s v="Yes"/>
    <m/>
    <s v="Yes"/>
    <m/>
    <s v="New"/>
    <s v="infasco"/>
    <n v="280.16000000000003"/>
    <n v="280.16000000000003"/>
  </r>
  <r>
    <x v="22"/>
    <x v="17"/>
    <s v="11546370-MY-AK"/>
    <n v="717172"/>
    <n v="36"/>
    <n v="220"/>
    <n v="7920"/>
    <s v="190+268"/>
    <s v="Yes"/>
    <m/>
    <s v="Yes"/>
    <m/>
    <s v="Yes"/>
    <m/>
    <s v="Yes"/>
    <m/>
    <s v="N/A"/>
    <m/>
    <s v="Yes"/>
    <m/>
    <s v="Yes"/>
    <m/>
    <s v="New"/>
    <s v="infasco"/>
    <n v="106.94"/>
    <n v="106.94"/>
  </r>
  <r>
    <x v="22"/>
    <x v="17"/>
    <s v="11546370-MY-AK"/>
    <n v="717173"/>
    <n v="36"/>
    <n v="220"/>
    <n v="7920"/>
    <s v="190+268"/>
    <s v="Yes"/>
    <m/>
    <s v="Yes"/>
    <m/>
    <s v="Yes"/>
    <m/>
    <s v="Yes"/>
    <m/>
    <s v="N/A"/>
    <m/>
    <s v="Yes"/>
    <m/>
    <s v="Yes"/>
    <m/>
    <s v="New"/>
    <s v="infasco"/>
    <n v="106.94"/>
    <n v="106.94"/>
  </r>
  <r>
    <x v="22"/>
    <x v="17"/>
    <s v="11546370-MY-AK"/>
    <n v="717174"/>
    <n v="20"/>
    <n v="220"/>
    <n v="4400"/>
    <s v="190+268"/>
    <s v="Yes"/>
    <m/>
    <s v="Yes"/>
    <m/>
    <s v="Yes"/>
    <m/>
    <s v="Yes"/>
    <m/>
    <s v="N/A"/>
    <m/>
    <s v="Yes"/>
    <m/>
    <s v="Yes"/>
    <m/>
    <s v="New"/>
    <s v="infasco"/>
    <n v="106.94"/>
    <n v="106.94"/>
  </r>
  <r>
    <x v="22"/>
    <x v="17"/>
    <s v="06104388AA"/>
    <n v="717626"/>
    <n v="34"/>
    <n v="660"/>
    <n v="22440"/>
    <s v="190+268"/>
    <s v="Yes"/>
    <m/>
    <s v="Yes"/>
    <m/>
    <s v="Yes"/>
    <m/>
    <s v="Yes"/>
    <m/>
    <s v="N/A"/>
    <m/>
    <s v="Yes"/>
    <m/>
    <s v="Yes"/>
    <m/>
    <s v="New"/>
    <s v="infasco"/>
    <n v="135.08000000000001"/>
    <n v="135.08000000000001"/>
  </r>
  <r>
    <x v="22"/>
    <x v="17"/>
    <s v="06105049AA"/>
    <n v="717450"/>
    <n v="36"/>
    <n v="800"/>
    <n v="28800"/>
    <s v="190+268"/>
    <s v="Yes"/>
    <m/>
    <s v="Yes"/>
    <m/>
    <s v="Yes"/>
    <m/>
    <s v="Yes"/>
    <m/>
    <s v="N/A"/>
    <m/>
    <s v="Yes"/>
    <m/>
    <s v="Yes"/>
    <m/>
    <s v="New"/>
    <s v="infasco"/>
    <n v="280.16000000000003"/>
    <n v="280.16000000000003"/>
  </r>
  <r>
    <x v="22"/>
    <x v="17"/>
    <s v="06105049AA"/>
    <n v="717449"/>
    <n v="13"/>
    <n v="800"/>
    <n v="10400"/>
    <s v="190+268"/>
    <s v="Yes"/>
    <m/>
    <s v="Yes"/>
    <m/>
    <s v="Yes"/>
    <m/>
    <s v="Yes"/>
    <m/>
    <s v="N/A"/>
    <m/>
    <s v="Yes"/>
    <m/>
    <s v="Yes"/>
    <m/>
    <s v="New"/>
    <s v="infasco"/>
    <n v="280.16000000000003"/>
    <n v="280.16000000000003"/>
  </r>
  <r>
    <x v="22"/>
    <x v="17"/>
    <n v="11546379"/>
    <n v="716826"/>
    <n v="32"/>
    <n v="700"/>
    <n v="22400"/>
    <s v="190+268"/>
    <s v="Yes"/>
    <m/>
    <s v="Yes"/>
    <m/>
    <s v="Yes"/>
    <m/>
    <s v="Yes"/>
    <m/>
    <s v="N/A"/>
    <m/>
    <s v="Yes"/>
    <m/>
    <s v="Yes"/>
    <m/>
    <s v="New"/>
    <s v="infasco"/>
    <n v="106.94"/>
    <n v="106.94"/>
  </r>
  <r>
    <x v="22"/>
    <x v="32"/>
    <s v="06503825-A"/>
    <n v="717000"/>
    <n v="14"/>
    <n v="1500"/>
    <n v="21000"/>
    <s v="252+11"/>
    <s v="Yes"/>
    <m/>
    <s v="Yes"/>
    <m/>
    <s v="Yes"/>
    <m/>
    <s v="Yes"/>
    <m/>
    <s v="N/A"/>
    <m/>
    <s v="Yes"/>
    <m/>
    <s v="Yes"/>
    <m/>
    <s v="New"/>
    <s v="infasco"/>
    <n v="226.94"/>
    <n v="226.94"/>
  </r>
  <r>
    <x v="22"/>
    <x v="32"/>
    <n v="11546571"/>
    <n v="717164"/>
    <n v="31"/>
    <n v="1550"/>
    <n v="48050"/>
    <s v="252+11"/>
    <s v="Yes"/>
    <m/>
    <s v="Yes"/>
    <m/>
    <s v="Yes"/>
    <m/>
    <s v="Yes"/>
    <m/>
    <s v="N/A"/>
    <m/>
    <s v="Yes"/>
    <m/>
    <s v="Yes"/>
    <m/>
    <s v="New"/>
    <s v="infasco"/>
    <n v="135.07999999999998"/>
    <n v="135.07999999999998"/>
  </r>
  <r>
    <x v="22"/>
    <x v="32"/>
    <s v="W20-1028-012"/>
    <n v="716829"/>
    <n v="42"/>
    <n v="940"/>
    <n v="39480"/>
    <s v="252+11"/>
    <s v="Yes"/>
    <m/>
    <s v="Yes"/>
    <m/>
    <s v="Yes"/>
    <m/>
    <s v="Yes"/>
    <m/>
    <s v="N/A"/>
    <m/>
    <s v="Yes"/>
    <m/>
    <s v="Yes"/>
    <m/>
    <s v="New"/>
    <s v="infasco"/>
    <n v="106.94"/>
    <n v="106.94"/>
  </r>
  <r>
    <x v="22"/>
    <x v="32"/>
    <s v="11546370-MY-AK"/>
    <n v="717171"/>
    <n v="36"/>
    <n v="220"/>
    <n v="7920"/>
    <s v="252+11"/>
    <s v="Yes"/>
    <m/>
    <s v="Yes"/>
    <m/>
    <s v="Yes"/>
    <m/>
    <s v="Yes"/>
    <m/>
    <s v="N/A"/>
    <m/>
    <s v="Yes"/>
    <m/>
    <s v="Yes"/>
    <m/>
    <s v="New"/>
    <s v="infasco"/>
    <n v="106.94"/>
    <n v="106.94"/>
  </r>
  <r>
    <x v="22"/>
    <x v="32"/>
    <s v="11546370-MY-AK"/>
    <n v="717170"/>
    <n v="38"/>
    <n v="220"/>
    <n v="8360"/>
    <s v="252+11"/>
    <s v="Yes"/>
    <m/>
    <s v="Yes"/>
    <m/>
    <s v="Yes"/>
    <m/>
    <s v="Yes"/>
    <m/>
    <s v="N/A"/>
    <m/>
    <s v="Yes"/>
    <m/>
    <s v="Yes"/>
    <m/>
    <s v="New"/>
    <s v="infasco"/>
    <n v="106.94"/>
    <n v="106.94"/>
  </r>
  <r>
    <x v="22"/>
    <x v="32"/>
    <n v="11602031"/>
    <n v="717899"/>
    <n v="21"/>
    <n v="145"/>
    <n v="3045"/>
    <s v="252+11"/>
    <s v="Yes"/>
    <m/>
    <s v="Yes"/>
    <m/>
    <s v="Yes"/>
    <m/>
    <s v="Yes"/>
    <m/>
    <s v="N/A"/>
    <m/>
    <s v="Yes"/>
    <m/>
    <s v="Yes"/>
    <m/>
    <s v="New"/>
    <s v="infasco"/>
    <n v="135.07999999999998"/>
    <n v="135.07999999999998"/>
  </r>
  <r>
    <x v="22"/>
    <x v="32"/>
    <s v="11546389-PH-RO"/>
    <n v="717640"/>
    <n v="36"/>
    <n v="4500"/>
    <n v="162000"/>
    <s v="252+11"/>
    <s v="Yes"/>
    <m/>
    <s v="Yes"/>
    <m/>
    <s v="Yes"/>
    <m/>
    <s v="Yes"/>
    <m/>
    <s v="N/A"/>
    <m/>
    <s v="Yes"/>
    <m/>
    <s v="Yes"/>
    <m/>
    <s v="New"/>
    <s v="infasco"/>
    <n v="106.94"/>
    <n v="106.94"/>
  </r>
  <r>
    <x v="22"/>
    <x v="32"/>
    <s v="11546389-PH-RO"/>
    <n v="717639"/>
    <n v="14"/>
    <n v="4500"/>
    <n v="63000"/>
    <s v="252+11"/>
    <s v="Yes"/>
    <m/>
    <s v="Yes"/>
    <m/>
    <s v="Yes"/>
    <m/>
    <s v="Yes"/>
    <m/>
    <s v="N/A"/>
    <m/>
    <s v="Yes"/>
    <m/>
    <s v="Yes"/>
    <m/>
    <s v="New"/>
    <s v="infasco"/>
    <n v="106.94"/>
    <n v="106.94"/>
  </r>
  <r>
    <x v="22"/>
    <x v="13"/>
    <s v="PZ18-7P483-AA"/>
    <n v="716404"/>
    <n v="22"/>
    <n v="195"/>
    <n v="4290"/>
    <n v="197"/>
    <s v="Yes"/>
    <m/>
    <s v="Yes"/>
    <m/>
    <s v="Yes"/>
    <m/>
    <s v="Yes"/>
    <m/>
    <s v="N/A"/>
    <m/>
    <s v="Yes"/>
    <m/>
    <s v="Yes"/>
    <m/>
    <s v="Re-certified"/>
    <s v="infasco"/>
    <n v="0"/>
    <n v="0"/>
  </r>
  <r>
    <x v="22"/>
    <x v="33"/>
    <s v="11546364-PH-RO"/>
    <n v="713721"/>
    <n v="6"/>
    <n v="3500"/>
    <n v="21000"/>
    <n v="285"/>
    <s v="Yes"/>
    <m/>
    <s v="Yes"/>
    <m/>
    <s v="Yes"/>
    <m/>
    <s v="Yes"/>
    <m/>
    <s v="N/A"/>
    <m/>
    <s v="Yes"/>
    <m/>
    <s v="Yes"/>
    <m/>
    <s v="Re-certified"/>
    <s v="infasco"/>
    <n v="0"/>
    <n v="0"/>
  </r>
  <r>
    <x v="23"/>
    <x v="36"/>
    <s v="11610091-MY-AK"/>
    <n v="717564"/>
    <n v="30"/>
    <n v="2500"/>
    <n v="75000"/>
    <n v="280"/>
    <s v="Yes"/>
    <m/>
    <s v="Yes"/>
    <m/>
    <s v="Yes"/>
    <m/>
    <s v="Yes"/>
    <m/>
    <s v="N/A"/>
    <m/>
    <s v="Yes"/>
    <m/>
    <s v="Yes"/>
    <m/>
    <s v="New"/>
    <s v="infasco"/>
    <n v="106.94"/>
    <n v="106.94"/>
  </r>
  <r>
    <x v="23"/>
    <x v="36"/>
    <s v="11610091-MY-AK"/>
    <n v="717288"/>
    <n v="8"/>
    <n v="2500"/>
    <n v="20000"/>
    <n v="280"/>
    <s v="Yes"/>
    <m/>
    <s v="Yes"/>
    <m/>
    <s v="Yes"/>
    <m/>
    <s v="Yes"/>
    <m/>
    <s v="N/A"/>
    <m/>
    <s v="Yes"/>
    <m/>
    <s v="Yes"/>
    <m/>
    <s v="Re-certified"/>
    <s v="infasco"/>
    <n v="0"/>
    <n v="0"/>
  </r>
  <r>
    <x v="23"/>
    <x v="25"/>
    <s v="06101736-A"/>
    <n v="716776"/>
    <n v="15"/>
    <n v="3200"/>
    <n v="48000"/>
    <n v="280"/>
    <s v="Yes"/>
    <m/>
    <s v="Yes"/>
    <m/>
    <s v="Yes"/>
    <m/>
    <s v="Yes"/>
    <m/>
    <s v="N/A"/>
    <m/>
    <s v="Yes"/>
    <m/>
    <s v="Yes"/>
    <m/>
    <s v="New"/>
    <s v="infasco"/>
    <n v="106.94"/>
    <n v="106.94"/>
  </r>
  <r>
    <x v="23"/>
    <x v="25"/>
    <s v="11546389-PH-RO"/>
    <n v="717650"/>
    <n v="2"/>
    <n v="4500"/>
    <n v="9000"/>
    <n v="280"/>
    <s v="Yes"/>
    <m/>
    <s v="Yes"/>
    <m/>
    <s v="Yes"/>
    <m/>
    <s v="Yes"/>
    <m/>
    <s v="N/A"/>
    <m/>
    <s v="Yes"/>
    <m/>
    <s v="Yes"/>
    <m/>
    <s v="Re-certified"/>
    <s v="infasco"/>
    <n v="0"/>
    <n v="0"/>
  </r>
  <r>
    <x v="23"/>
    <x v="24"/>
    <n v="11561645"/>
    <n v="714525"/>
    <n v="19"/>
    <n v="4000"/>
    <n v="76000"/>
    <n v="280"/>
    <s v="Yes"/>
    <m/>
    <s v="Yes"/>
    <m/>
    <s v="Yes"/>
    <m/>
    <s v="Yes"/>
    <m/>
    <s v="N/A"/>
    <m/>
    <s v="Yes"/>
    <m/>
    <s v="Yes"/>
    <m/>
    <s v="New"/>
    <s v="infasco"/>
    <n v="106.94"/>
    <n v="106.94"/>
  </r>
  <r>
    <x v="23"/>
    <x v="21"/>
    <n v="11546449"/>
    <n v="717693"/>
    <n v="27"/>
    <n v="2500"/>
    <n v="67500"/>
    <n v="280"/>
    <s v="Yes"/>
    <m/>
    <s v="Yes"/>
    <m/>
    <s v="Yes"/>
    <m/>
    <s v="Yes"/>
    <m/>
    <s v="N/A"/>
    <m/>
    <s v="Yes"/>
    <m/>
    <s v="Yes"/>
    <m/>
    <s v="New"/>
    <s v="infasco"/>
    <n v="106.94"/>
    <n v="106.94"/>
  </r>
  <r>
    <x v="23"/>
    <x v="21"/>
    <n v="11546449"/>
    <n v="717689"/>
    <n v="37"/>
    <n v="2500"/>
    <n v="92500"/>
    <n v="280"/>
    <s v="Yes"/>
    <m/>
    <s v="Yes"/>
    <m/>
    <s v="Yes"/>
    <m/>
    <s v="Yes"/>
    <m/>
    <s v="N/A"/>
    <m/>
    <s v="Yes"/>
    <m/>
    <s v="Yes"/>
    <m/>
    <s v="New"/>
    <s v="infasco"/>
    <n v="106.94"/>
    <n v="106.94"/>
  </r>
  <r>
    <x v="23"/>
    <x v="21"/>
    <s v="11546389-PH-RO"/>
    <n v="717649"/>
    <n v="10"/>
    <n v="4500"/>
    <n v="45000"/>
    <n v="280"/>
    <s v="Yes"/>
    <m/>
    <s v="Yes"/>
    <m/>
    <s v="Yes"/>
    <m/>
    <s v="Yes"/>
    <m/>
    <s v="N/A"/>
    <m/>
    <s v="Yes"/>
    <m/>
    <s v="Yes"/>
    <m/>
    <s v="Re-certified"/>
    <s v="infasco"/>
    <n v="0"/>
    <n v="0"/>
  </r>
  <r>
    <x v="23"/>
    <x v="23"/>
    <n v="11546449"/>
    <n v="717694"/>
    <n v="30"/>
    <n v="2500"/>
    <n v="75000"/>
    <n v="280"/>
    <s v="Yes"/>
    <m/>
    <s v="Yes"/>
    <m/>
    <s v="Yes"/>
    <m/>
    <s v="Yes"/>
    <m/>
    <s v="N/A"/>
    <m/>
    <s v="Yes"/>
    <m/>
    <s v="Yes"/>
    <m/>
    <s v="New"/>
    <s v="infasco"/>
    <n v="106.94"/>
    <n v="106.94"/>
  </r>
  <r>
    <x v="23"/>
    <x v="20"/>
    <n v="11549168"/>
    <n v="716914"/>
    <n v="14"/>
    <n v="1000"/>
    <n v="14000"/>
    <n v="280"/>
    <s v="Yes"/>
    <m/>
    <s v="Yes"/>
    <m/>
    <s v="Yes"/>
    <m/>
    <s v="Yes"/>
    <m/>
    <s v="N/A"/>
    <m/>
    <s v="Yes"/>
    <m/>
    <s v="Yes"/>
    <m/>
    <s v="New"/>
    <s v="infasco"/>
    <n v="106.94"/>
    <n v="106.94"/>
  </r>
  <r>
    <x v="23"/>
    <x v="20"/>
    <s v="11546367-MY-AK"/>
    <n v="717507"/>
    <n v="24"/>
    <n v="700"/>
    <n v="16800"/>
    <n v="280"/>
    <s v="Yes"/>
    <m/>
    <s v="Yes"/>
    <m/>
    <s v="Yes"/>
    <m/>
    <s v="Yes"/>
    <m/>
    <s v="N/A"/>
    <m/>
    <s v="Yes"/>
    <m/>
    <s v="Yes"/>
    <m/>
    <s v="Re-certified"/>
    <s v="infasco"/>
    <n v="0"/>
    <n v="0"/>
  </r>
  <r>
    <x v="23"/>
    <x v="29"/>
    <n v="11546449"/>
    <n v="717691"/>
    <n v="14"/>
    <n v="2500"/>
    <n v="35000"/>
    <n v="290"/>
    <s v="Yes"/>
    <m/>
    <s v="Yes"/>
    <m/>
    <s v="Yes"/>
    <m/>
    <s v="Yes"/>
    <m/>
    <s v="N/A"/>
    <m/>
    <s v="Yes"/>
    <m/>
    <s v="Yes"/>
    <m/>
    <s v="New"/>
    <s v="infasco"/>
    <n v="106.94"/>
    <n v="106.94"/>
  </r>
  <r>
    <x v="23"/>
    <x v="30"/>
    <s v="11549171-MY-AK"/>
    <n v="717218"/>
    <n v="20"/>
    <n v="280"/>
    <n v="5600"/>
    <n v="290"/>
    <s v="Yes"/>
    <m/>
    <s v="Yes"/>
    <m/>
    <s v="Yes"/>
    <m/>
    <s v="Yes"/>
    <m/>
    <s v="N/A"/>
    <m/>
    <s v="Yes"/>
    <m/>
    <s v="Yes"/>
    <m/>
    <s v="New"/>
    <s v="infasco"/>
    <n v="106.94"/>
    <n v="106.94"/>
  </r>
  <r>
    <x v="23"/>
    <x v="30"/>
    <s v="11549171-MY-AK"/>
    <n v="717215"/>
    <n v="36"/>
    <n v="280"/>
    <n v="10080"/>
    <n v="290"/>
    <s v="Yes"/>
    <m/>
    <s v="Yes"/>
    <m/>
    <s v="Yes"/>
    <m/>
    <s v="Yes"/>
    <m/>
    <s v="N/A"/>
    <m/>
    <s v="Yes"/>
    <m/>
    <s v="Yes"/>
    <m/>
    <s v="New"/>
    <s v="infasco"/>
    <n v="106.94"/>
    <n v="106.94"/>
  </r>
  <r>
    <x v="23"/>
    <x v="30"/>
    <s v="11549171-MY-AK"/>
    <n v="717217"/>
    <n v="36"/>
    <n v="280"/>
    <n v="10080"/>
    <n v="290"/>
    <s v="Yes"/>
    <m/>
    <s v="Yes"/>
    <m/>
    <s v="Yes"/>
    <m/>
    <s v="Yes"/>
    <m/>
    <s v="N/A"/>
    <m/>
    <s v="Yes"/>
    <m/>
    <s v="Yes"/>
    <m/>
    <s v="New"/>
    <s v="infasco"/>
    <n v="106.94"/>
    <n v="106.94"/>
  </r>
  <r>
    <x v="23"/>
    <x v="30"/>
    <s v="11549171-MY-AK"/>
    <n v="717210"/>
    <n v="12"/>
    <n v="280"/>
    <n v="3360"/>
    <n v="290"/>
    <s v="Yes"/>
    <m/>
    <s v="Yes"/>
    <m/>
    <s v="Yes"/>
    <m/>
    <s v="Yes"/>
    <m/>
    <s v="N/A"/>
    <m/>
    <s v="Yes"/>
    <m/>
    <s v="Yes"/>
    <m/>
    <s v="Re-certified"/>
    <s v="infasco"/>
    <n v="0"/>
    <n v="0"/>
  </r>
  <r>
    <x v="23"/>
    <x v="28"/>
    <n v="11546571"/>
    <n v="717162"/>
    <n v="12"/>
    <n v="1550"/>
    <n v="18600"/>
    <n v="290"/>
    <s v="Yes"/>
    <m/>
    <s v="Yes"/>
    <m/>
    <s v="Yes"/>
    <m/>
    <s v="Yes"/>
    <m/>
    <s v="N/A"/>
    <m/>
    <s v="Yes"/>
    <m/>
    <s v="Yes"/>
    <m/>
    <s v="New"/>
    <s v="infasco"/>
    <n v="135.07999999999998"/>
    <n v="135.07999999999998"/>
  </r>
  <r>
    <x v="23"/>
    <x v="28"/>
    <n v="11546571"/>
    <n v="717161"/>
    <n v="2"/>
    <n v="1550"/>
    <n v="3100"/>
    <n v="290"/>
    <s v="Yes"/>
    <m/>
    <s v="Yes"/>
    <m/>
    <s v="Yes"/>
    <m/>
    <s v="Yes"/>
    <m/>
    <s v="N/A"/>
    <m/>
    <s v="Yes"/>
    <m/>
    <s v="Yes"/>
    <m/>
    <s v="Re-certified"/>
    <s v="infasco"/>
    <n v="0"/>
    <n v="0"/>
  </r>
  <r>
    <x v="23"/>
    <x v="26"/>
    <n v="11549168"/>
    <n v="716910"/>
    <n v="30"/>
    <n v="1000"/>
    <n v="30000"/>
    <n v="290"/>
    <s v="Yes"/>
    <m/>
    <s v="Yes"/>
    <m/>
    <s v="Yes"/>
    <m/>
    <s v="Yes"/>
    <m/>
    <s v="N/A"/>
    <m/>
    <s v="Yes"/>
    <m/>
    <s v="Yes"/>
    <m/>
    <s v="New"/>
    <s v="infasco"/>
    <n v="106.94"/>
    <n v="106.94"/>
  </r>
  <r>
    <x v="23"/>
    <x v="26"/>
    <s v="11546367-MY-AK"/>
    <n v="717509"/>
    <n v="36"/>
    <n v="700"/>
    <n v="25200"/>
    <n v="290"/>
    <s v="Yes"/>
    <m/>
    <s v="Yes"/>
    <m/>
    <s v="Yes"/>
    <m/>
    <s v="Yes"/>
    <m/>
    <s v="N/A"/>
    <m/>
    <s v="Yes"/>
    <m/>
    <s v="Yes"/>
    <m/>
    <s v="New"/>
    <s v="infasco"/>
    <n v="106.94"/>
    <n v="106.94"/>
  </r>
  <r>
    <x v="23"/>
    <x v="26"/>
    <s v="11546367-MY-AK"/>
    <n v="717510"/>
    <n v="36"/>
    <n v="700"/>
    <n v="25200"/>
    <n v="290"/>
    <s v="Yes"/>
    <m/>
    <s v="Yes"/>
    <m/>
    <s v="Yes"/>
    <m/>
    <s v="Yes"/>
    <m/>
    <s v="N/A"/>
    <m/>
    <s v="Yes"/>
    <m/>
    <s v="Yes"/>
    <m/>
    <s v="New"/>
    <s v="infasco"/>
    <n v="106.94"/>
    <n v="106.94"/>
  </r>
  <r>
    <x v="23"/>
    <x v="26"/>
    <s v="11546367-MY-AK"/>
    <n v="717029"/>
    <n v="23"/>
    <n v="700"/>
    <n v="16100"/>
    <n v="290"/>
    <s v="Yes"/>
    <m/>
    <s v="Yes"/>
    <m/>
    <s v="Yes"/>
    <m/>
    <s v="Yes"/>
    <m/>
    <s v="N/A"/>
    <m/>
    <s v="Yes"/>
    <m/>
    <s v="Yes"/>
    <m/>
    <s v="Re-certified"/>
    <s v="infasco"/>
    <n v="0"/>
    <n v="0"/>
  </r>
  <r>
    <x v="23"/>
    <x v="27"/>
    <n v="11549170"/>
    <n v="716932"/>
    <n v="10"/>
    <n v="400"/>
    <n v="4000"/>
    <n v="290"/>
    <s v="Yes"/>
    <m/>
    <s v="Yes"/>
    <m/>
    <s v="Yes"/>
    <m/>
    <s v="Yes"/>
    <m/>
    <s v="N/A"/>
    <m/>
    <s v="Yes"/>
    <m/>
    <s v="Yes"/>
    <m/>
    <s v="New"/>
    <s v="infasco"/>
    <n v="106.94"/>
    <n v="106.94"/>
  </r>
  <r>
    <x v="23"/>
    <x v="27"/>
    <n v="11549170"/>
    <n v="716939"/>
    <n v="11"/>
    <n v="400"/>
    <n v="4400"/>
    <n v="290"/>
    <s v="Yes"/>
    <m/>
    <s v="Yes"/>
    <m/>
    <s v="Yes"/>
    <m/>
    <s v="Yes"/>
    <m/>
    <s v="N/A"/>
    <m/>
    <s v="Yes"/>
    <m/>
    <s v="Yes"/>
    <m/>
    <s v="New"/>
    <s v="infasco"/>
    <n v="106.94"/>
    <n v="106.94"/>
  </r>
  <r>
    <x v="23"/>
    <x v="27"/>
    <n v="11549170"/>
    <n v="716931"/>
    <n v="36"/>
    <n v="400"/>
    <n v="14400"/>
    <n v="290"/>
    <s v="Yes"/>
    <m/>
    <s v="Yes"/>
    <m/>
    <s v="Yes"/>
    <m/>
    <s v="Yes"/>
    <m/>
    <s v="N/A"/>
    <m/>
    <s v="Yes"/>
    <m/>
    <s v="Yes"/>
    <m/>
    <s v="New"/>
    <s v="infasco"/>
    <n v="106.94"/>
    <n v="106.94"/>
  </r>
  <r>
    <x v="23"/>
    <x v="27"/>
    <n v="11549170"/>
    <n v="716923"/>
    <n v="28"/>
    <n v="400"/>
    <n v="11200"/>
    <n v="290"/>
    <s v="Yes"/>
    <m/>
    <s v="Yes"/>
    <m/>
    <s v="Yes"/>
    <m/>
    <s v="Yes"/>
    <m/>
    <s v="N/A"/>
    <m/>
    <s v="Yes"/>
    <m/>
    <s v="Yes"/>
    <m/>
    <s v="Re-certified"/>
    <s v="infasco"/>
    <n v="0"/>
    <n v="0"/>
  </r>
  <r>
    <x v="23"/>
    <x v="8"/>
    <n v="82248"/>
    <n v="717420"/>
    <n v="36"/>
    <n v="1050"/>
    <n v="37800"/>
    <n v="275"/>
    <s v="Yes"/>
    <m/>
    <s v="Yes"/>
    <m/>
    <s v="Yes"/>
    <m/>
    <s v="Yes"/>
    <m/>
    <s v="N/A"/>
    <m/>
    <s v="Yes"/>
    <m/>
    <s v="Yes"/>
    <m/>
    <s v="New"/>
    <s v="infasco"/>
    <n v="106.94"/>
    <n v="106.94"/>
  </r>
  <r>
    <x v="23"/>
    <x v="8"/>
    <s v="06101831-A"/>
    <n v="717405"/>
    <n v="16"/>
    <n v="1000"/>
    <n v="16000"/>
    <n v="275"/>
    <s v="Yes"/>
    <m/>
    <s v="Yes"/>
    <m/>
    <s v="Yes"/>
    <m/>
    <s v="Yes"/>
    <m/>
    <s v="N/A"/>
    <m/>
    <s v="Yes"/>
    <m/>
    <s v="Yes"/>
    <m/>
    <s v="Re-certified"/>
    <s v="infasco"/>
    <n v="0"/>
    <n v="0"/>
  </r>
  <r>
    <x v="23"/>
    <x v="9"/>
    <s v="11546365-MY-AK"/>
    <n v="716819"/>
    <n v="27"/>
    <n v="1900"/>
    <n v="51300"/>
    <n v="275"/>
    <s v="Yes"/>
    <m/>
    <s v="Yes"/>
    <m/>
    <s v="Yes"/>
    <m/>
    <s v="Yes"/>
    <m/>
    <s v="N/A"/>
    <m/>
    <s v="Yes"/>
    <m/>
    <s v="Yes"/>
    <m/>
    <s v="New"/>
    <s v="infasco"/>
    <n v="106.94"/>
    <n v="106.94"/>
  </r>
  <r>
    <x v="23"/>
    <x v="9"/>
    <s v="11546389-PH-RO"/>
    <n v="717644"/>
    <n v="13"/>
    <n v="4500"/>
    <n v="58500"/>
    <n v="275"/>
    <s v="Yes"/>
    <m/>
    <s v="Yes"/>
    <m/>
    <s v="Yes"/>
    <m/>
    <s v="Yes"/>
    <m/>
    <s v="N/A"/>
    <m/>
    <s v="Yes"/>
    <m/>
    <s v="Yes"/>
    <m/>
    <s v="Re-certified"/>
    <s v="infasco"/>
    <n v="0"/>
    <n v="0"/>
  </r>
  <r>
    <x v="23"/>
    <x v="11"/>
    <n v="11546545"/>
    <n v="717322"/>
    <n v="19"/>
    <n v="2500"/>
    <n v="47500"/>
    <n v="275"/>
    <s v="Yes"/>
    <m/>
    <s v="Yes"/>
    <m/>
    <s v="Yes"/>
    <m/>
    <s v="Yes"/>
    <m/>
    <s v="N/A"/>
    <m/>
    <s v="Yes"/>
    <m/>
    <s v="Yes"/>
    <m/>
    <s v="New"/>
    <s v="infasco"/>
    <n v="106.94"/>
    <n v="106.94"/>
  </r>
  <r>
    <x v="23"/>
    <x v="11"/>
    <n v="11546449"/>
    <n v="717690"/>
    <n v="27"/>
    <n v="2500"/>
    <n v="67500"/>
    <n v="275"/>
    <s v="Yes"/>
    <m/>
    <s v="Yes"/>
    <m/>
    <s v="Yes"/>
    <m/>
    <s v="Yes"/>
    <m/>
    <s v="N/A"/>
    <m/>
    <s v="Yes"/>
    <m/>
    <s v="Yes"/>
    <m/>
    <s v="Re-certified"/>
    <s v="infasco"/>
    <n v="0"/>
    <n v="0"/>
  </r>
  <r>
    <x v="23"/>
    <x v="10"/>
    <n v="11546449"/>
    <n v="717692"/>
    <n v="18"/>
    <n v="2500"/>
    <n v="45000"/>
    <n v="275"/>
    <s v="Yes"/>
    <m/>
    <s v="Yes"/>
    <m/>
    <s v="Yes"/>
    <m/>
    <s v="Yes"/>
    <m/>
    <s v="N/A"/>
    <m/>
    <s v="Yes"/>
    <m/>
    <s v="Yes"/>
    <m/>
    <s v="Re-certified"/>
    <s v="infasco"/>
    <n v="0"/>
    <n v="0"/>
  </r>
  <r>
    <x v="23"/>
    <x v="6"/>
    <n v="11549168"/>
    <n v="716565"/>
    <n v="7"/>
    <n v="1000"/>
    <n v="7000"/>
    <n v="275"/>
    <s v="Yes"/>
    <m/>
    <s v="Yes"/>
    <m/>
    <s v="Yes"/>
    <m/>
    <s v="Yes"/>
    <m/>
    <s v="N/A"/>
    <m/>
    <s v="Yes"/>
    <m/>
    <s v="Yes"/>
    <m/>
    <s v="New"/>
    <s v="infasco"/>
    <n v="106.94"/>
    <n v="106.94"/>
  </r>
  <r>
    <x v="23"/>
    <x v="6"/>
    <s v="11610091-MY-AK"/>
    <n v="717565"/>
    <n v="31"/>
    <n v="2500"/>
    <n v="77500"/>
    <n v="275"/>
    <s v="Yes"/>
    <m/>
    <s v="Yes"/>
    <m/>
    <s v="Yes"/>
    <m/>
    <s v="Yes"/>
    <m/>
    <s v="N/A"/>
    <m/>
    <s v="Yes"/>
    <m/>
    <s v="Yes"/>
    <m/>
    <s v="New"/>
    <s v="infasco"/>
    <n v="106.94"/>
    <n v="106.94"/>
  </r>
  <r>
    <x v="23"/>
    <x v="6"/>
    <s v="11610091-MY-AK"/>
    <n v="717180"/>
    <n v="5"/>
    <n v="2500"/>
    <n v="12500"/>
    <n v="275"/>
    <s v="Yes"/>
    <m/>
    <s v="Yes"/>
    <m/>
    <s v="Yes"/>
    <m/>
    <s v="Yes"/>
    <m/>
    <s v="N/A"/>
    <m/>
    <s v="Yes"/>
    <m/>
    <s v="Yes"/>
    <m/>
    <s v="Re-certified"/>
    <s v="infasco"/>
    <n v="0"/>
    <n v="0"/>
  </r>
  <r>
    <x v="23"/>
    <x v="12"/>
    <s v="06100050-A"/>
    <n v="717265"/>
    <n v="57"/>
    <n v="1500"/>
    <n v="85500"/>
    <n v="275"/>
    <s v="Yes"/>
    <m/>
    <s v="Yes"/>
    <m/>
    <s v="Yes"/>
    <m/>
    <s v="Yes"/>
    <m/>
    <s v="N/A"/>
    <m/>
    <s v="Yes"/>
    <m/>
    <s v="Yes"/>
    <m/>
    <s v="New"/>
    <s v="infasco"/>
    <n v="106.94"/>
    <n v="106.94"/>
  </r>
  <r>
    <x v="23"/>
    <x v="12"/>
    <s v="06100050-A"/>
    <n v="717259"/>
    <n v="5"/>
    <n v="1500"/>
    <n v="7500"/>
    <n v="275"/>
    <s v="Yes"/>
    <m/>
    <s v="Yes"/>
    <m/>
    <s v="Yes"/>
    <m/>
    <s v="Yes"/>
    <m/>
    <s v="N/A"/>
    <m/>
    <s v="Yes"/>
    <m/>
    <s v="Yes"/>
    <m/>
    <s v="Re-certified"/>
    <s v="infasco"/>
    <n v="0"/>
    <n v="0"/>
  </r>
  <r>
    <x v="23"/>
    <x v="19"/>
    <n v="11549168"/>
    <n v="716911"/>
    <n v="16"/>
    <n v="1000"/>
    <n v="16000"/>
    <n v="292"/>
    <s v="Yes"/>
    <m/>
    <s v="Yes"/>
    <m/>
    <s v="Yes"/>
    <m/>
    <s v="Yes"/>
    <m/>
    <s v="N/A"/>
    <m/>
    <s v="Yes"/>
    <m/>
    <s v="Yes"/>
    <m/>
    <s v="New"/>
    <s v="infasco"/>
    <n v="106.94"/>
    <n v="106.94"/>
  </r>
  <r>
    <x v="23"/>
    <x v="19"/>
    <s v="11546378-my-ak"/>
    <n v="717176"/>
    <n v="36"/>
    <n v="1250"/>
    <n v="45000"/>
    <n v="292"/>
    <s v="Yes"/>
    <m/>
    <s v="Yes"/>
    <m/>
    <s v="Yes"/>
    <m/>
    <s v="Yes"/>
    <m/>
    <s v="N/A"/>
    <m/>
    <s v="Yes"/>
    <m/>
    <s v="Yes"/>
    <m/>
    <s v="New"/>
    <s v="infasco"/>
    <n v="106.94"/>
    <n v="106.94"/>
  </r>
  <r>
    <x v="23"/>
    <x v="19"/>
    <s v="11546378-my-ak"/>
    <n v="717178"/>
    <n v="9"/>
    <n v="1250"/>
    <n v="11250"/>
    <n v="292"/>
    <s v="Yes"/>
    <m/>
    <s v="Yes"/>
    <m/>
    <s v="Yes"/>
    <m/>
    <s v="Yes"/>
    <m/>
    <s v="N/A"/>
    <m/>
    <s v="Yes"/>
    <m/>
    <s v="Yes"/>
    <m/>
    <s v="Re-certified"/>
    <s v="infasco"/>
    <n v="0"/>
    <n v="0"/>
  </r>
  <r>
    <x v="23"/>
    <x v="1"/>
    <s v="11546365-MY-AK"/>
    <n v="716821"/>
    <n v="22"/>
    <n v="1900"/>
    <n v="41800"/>
    <n v="292"/>
    <s v="Yes"/>
    <m/>
    <s v="Yes"/>
    <m/>
    <s v="Yes"/>
    <m/>
    <s v="Yes"/>
    <m/>
    <s v="N/A"/>
    <m/>
    <s v="Yes"/>
    <m/>
    <s v="Yes"/>
    <m/>
    <s v="New"/>
    <s v="infasco"/>
    <n v="106.94"/>
    <n v="106.94"/>
  </r>
  <r>
    <x v="23"/>
    <x v="0"/>
    <s v="11546365-MY-AK"/>
    <n v="716818"/>
    <n v="16"/>
    <n v="1900"/>
    <n v="30400"/>
    <n v="292"/>
    <s v="Yes"/>
    <m/>
    <s v="Yes"/>
    <m/>
    <s v="Yes"/>
    <m/>
    <s v="Yes"/>
    <m/>
    <s v="N/A"/>
    <m/>
    <s v="Yes"/>
    <m/>
    <s v="Yes"/>
    <m/>
    <s v="Re-certified"/>
    <s v="infasco"/>
    <n v="0"/>
    <n v="0"/>
  </r>
  <r>
    <x v="23"/>
    <x v="3"/>
    <n v="11549170"/>
    <n v="716933"/>
    <n v="20"/>
    <n v="400"/>
    <n v="8000"/>
    <n v="292"/>
    <s v="Yes"/>
    <m/>
    <s v="Yes"/>
    <m/>
    <s v="Yes"/>
    <m/>
    <s v="Yes"/>
    <m/>
    <s v="N/A"/>
    <m/>
    <s v="Yes"/>
    <m/>
    <s v="Yes"/>
    <m/>
    <s v="New"/>
    <s v="infasco"/>
    <n v="106.94"/>
    <n v="106.94"/>
  </r>
  <r>
    <x v="23"/>
    <x v="3"/>
    <n v="11549170"/>
    <n v="716930"/>
    <n v="36"/>
    <n v="400"/>
    <n v="14400"/>
    <n v="292"/>
    <s v="Yes"/>
    <m/>
    <s v="Yes"/>
    <m/>
    <s v="Yes"/>
    <m/>
    <s v="Yes"/>
    <m/>
    <s v="N/A"/>
    <m/>
    <s v="Yes"/>
    <m/>
    <s v="Yes"/>
    <m/>
    <s v="New"/>
    <s v="infasco"/>
    <n v="106.94"/>
    <n v="106.94"/>
  </r>
  <r>
    <x v="23"/>
    <x v="3"/>
    <n v="11549170"/>
    <n v="716922"/>
    <n v="36"/>
    <n v="400"/>
    <n v="14400"/>
    <n v="292"/>
    <s v="Yes"/>
    <m/>
    <s v="Yes"/>
    <m/>
    <s v="Yes"/>
    <m/>
    <s v="Yes"/>
    <m/>
    <s v="N/A"/>
    <m/>
    <s v="Yes"/>
    <m/>
    <s v="Yes"/>
    <m/>
    <s v="New"/>
    <s v="infasco"/>
    <n v="106.94"/>
    <n v="106.94"/>
  </r>
  <r>
    <x v="23"/>
    <x v="3"/>
    <n v="11549170"/>
    <n v="716575"/>
    <n v="15"/>
    <n v="400"/>
    <n v="6000"/>
    <n v="292"/>
    <s v="Yes"/>
    <m/>
    <s v="Yes"/>
    <m/>
    <s v="Yes"/>
    <m/>
    <s v="Yes"/>
    <m/>
    <s v="N/A"/>
    <m/>
    <s v="Yes"/>
    <m/>
    <s v="Yes"/>
    <m/>
    <s v="Re-certified"/>
    <s v="infasco"/>
    <n v="0"/>
    <n v="0"/>
  </r>
  <r>
    <x v="23"/>
    <x v="5"/>
    <n v="11549170"/>
    <n v="716582"/>
    <n v="11"/>
    <n v="400"/>
    <n v="4400"/>
    <n v="292"/>
    <s v="Yes"/>
    <m/>
    <s v="Yes"/>
    <m/>
    <s v="Yes"/>
    <m/>
    <s v="Yes"/>
    <m/>
    <s v="N/A"/>
    <m/>
    <s v="Yes"/>
    <m/>
    <s v="Yes"/>
    <m/>
    <s v="New"/>
    <s v="infasco"/>
    <n v="106.94"/>
    <n v="106.94"/>
  </r>
  <r>
    <x v="23"/>
    <x v="5"/>
    <n v="11549170"/>
    <n v="716938"/>
    <n v="42"/>
    <n v="400"/>
    <n v="16800"/>
    <n v="292"/>
    <s v="Yes"/>
    <m/>
    <s v="Yes"/>
    <m/>
    <s v="Yes"/>
    <m/>
    <s v="Yes"/>
    <m/>
    <s v="N/A"/>
    <m/>
    <s v="Yes"/>
    <m/>
    <s v="Yes"/>
    <m/>
    <s v="New"/>
    <s v="infasco"/>
    <n v="106.94"/>
    <n v="106.94"/>
  </r>
  <r>
    <x v="23"/>
    <x v="5"/>
    <n v="11549170"/>
    <n v="716560"/>
    <n v="36"/>
    <n v="400"/>
    <n v="14400"/>
    <n v="292"/>
    <s v="Yes"/>
    <m/>
    <s v="Yes"/>
    <m/>
    <s v="Yes"/>
    <m/>
    <s v="Yes"/>
    <m/>
    <s v="N/A"/>
    <m/>
    <s v="Yes"/>
    <m/>
    <s v="Yes"/>
    <m/>
    <s v="New"/>
    <s v="infasco"/>
    <n v="106.94"/>
    <n v="106.94"/>
  </r>
  <r>
    <x v="23"/>
    <x v="5"/>
    <n v="11549170"/>
    <n v="716573"/>
    <n v="15"/>
    <n v="400"/>
    <n v="6000"/>
    <n v="292"/>
    <s v="Yes"/>
    <m/>
    <s v="Yes"/>
    <m/>
    <s v="Yes"/>
    <m/>
    <s v="Yes"/>
    <m/>
    <s v="N/A"/>
    <m/>
    <s v="Yes"/>
    <m/>
    <s v="Yes"/>
    <m/>
    <s v="Re-certified"/>
    <s v="infasco"/>
    <n v="0"/>
    <n v="0"/>
  </r>
  <r>
    <x v="23"/>
    <x v="4"/>
    <n v="11546389"/>
    <n v="717704"/>
    <n v="12"/>
    <n v="4500"/>
    <n v="54000"/>
    <n v="292"/>
    <s v="Yes"/>
    <m/>
    <s v="Yes"/>
    <m/>
    <s v="Yes"/>
    <m/>
    <s v="Yes"/>
    <m/>
    <s v="N/A"/>
    <m/>
    <s v="Yes"/>
    <m/>
    <s v="Yes"/>
    <m/>
    <s v="New"/>
    <s v="infasco"/>
    <n v="106.94"/>
    <n v="106.94"/>
  </r>
  <r>
    <x v="23"/>
    <x v="4"/>
    <s v="11546389-PH-RO"/>
    <n v="717645"/>
    <n v="5"/>
    <n v="4500"/>
    <n v="22500"/>
    <n v="292"/>
    <s v="Yes"/>
    <m/>
    <s v="Yes"/>
    <m/>
    <s v="Yes"/>
    <m/>
    <s v="Yes"/>
    <m/>
    <s v="N/A"/>
    <m/>
    <s v="Yes"/>
    <m/>
    <s v="Yes"/>
    <m/>
    <s v="Re-certified"/>
    <s v="infasco"/>
    <n v="0"/>
    <n v="0"/>
  </r>
  <r>
    <x v="23"/>
    <x v="2"/>
    <n v="11549168"/>
    <n v="716915"/>
    <n v="41"/>
    <n v="1000"/>
    <n v="41000"/>
    <n v="292"/>
    <s v="Yes"/>
    <m/>
    <s v="Yes"/>
    <m/>
    <s v="Yes"/>
    <m/>
    <s v="Yes"/>
    <m/>
    <s v="N/A"/>
    <m/>
    <s v="Yes"/>
    <m/>
    <s v="Yes"/>
    <m/>
    <s v="Re-certified"/>
    <s v="infasco"/>
    <n v="0"/>
    <n v="0"/>
  </r>
  <r>
    <x v="23"/>
    <x v="14"/>
    <n v="11612078"/>
    <n v="707328"/>
    <n v="2"/>
    <n v="1850"/>
    <n v="3700"/>
    <n v="4"/>
    <s v="Yes"/>
    <m/>
    <s v="Yes"/>
    <m/>
    <s v="Yes"/>
    <m/>
    <s v="Yes"/>
    <m/>
    <s v="N/A"/>
    <m/>
    <s v="Yes"/>
    <m/>
    <s v="Yes"/>
    <m/>
    <s v="New"/>
    <s v="infasco"/>
    <n v="247.64"/>
    <n v="247.64"/>
  </r>
  <r>
    <x v="23"/>
    <x v="14"/>
    <n v="11612078"/>
    <n v="703121"/>
    <n v="20"/>
    <n v="1850"/>
    <n v="37000"/>
    <n v="4"/>
    <s v="Yes"/>
    <m/>
    <s v="Yes"/>
    <m/>
    <s v="Yes"/>
    <m/>
    <s v="Yes"/>
    <m/>
    <s v="N/A"/>
    <m/>
    <s v="Yes"/>
    <m/>
    <s v="Yes"/>
    <m/>
    <s v="Re-certified"/>
    <s v="infasco"/>
    <n v="0"/>
    <n v="0"/>
  </r>
  <r>
    <x v="23"/>
    <x v="15"/>
    <n v="11546379"/>
    <n v="716825"/>
    <n v="19"/>
    <n v="700"/>
    <n v="13300"/>
    <s v="257+157"/>
    <s v="Yes"/>
    <m/>
    <s v="Yes"/>
    <m/>
    <s v="Yes"/>
    <m/>
    <s v="Yes"/>
    <m/>
    <s v="N/A"/>
    <m/>
    <s v="Yes"/>
    <m/>
    <s v="Yes"/>
    <m/>
    <s v="New"/>
    <s v="infasco"/>
    <n v="106.94"/>
    <n v="106.94"/>
  </r>
  <r>
    <x v="23"/>
    <x v="15"/>
    <n v="40073474"/>
    <n v="717907"/>
    <n v="36"/>
    <n v="150"/>
    <n v="5400"/>
    <s v="257+157"/>
    <s v="Yes"/>
    <m/>
    <s v="Yes"/>
    <m/>
    <s v="Yes"/>
    <m/>
    <s v="Yes"/>
    <m/>
    <s v="N/A"/>
    <m/>
    <s v="Yes"/>
    <m/>
    <s v="Yes"/>
    <m/>
    <s v="New"/>
    <s v="infasco"/>
    <n v="106.94"/>
    <n v="106.94"/>
  </r>
  <r>
    <x v="23"/>
    <x v="15"/>
    <n v="11546703"/>
    <n v="715817"/>
    <n v="55"/>
    <n v="4000"/>
    <n v="220000"/>
    <s v="257+157"/>
    <s v="Yes"/>
    <m/>
    <s v="Yes"/>
    <m/>
    <s v="Yes"/>
    <m/>
    <s v="Yes"/>
    <m/>
    <s v="N/A"/>
    <m/>
    <s v="Yes"/>
    <m/>
    <s v="Yes"/>
    <m/>
    <s v="New"/>
    <s v="infasco"/>
    <n v="135.07999999999998"/>
    <n v="135.07999999999998"/>
  </r>
  <r>
    <x v="23"/>
    <x v="15"/>
    <n v="11546703"/>
    <n v="715816"/>
    <n v="23"/>
    <n v="4000"/>
    <n v="92000"/>
    <s v="257+157"/>
    <s v="Yes"/>
    <m/>
    <s v="Yes"/>
    <m/>
    <s v="Yes"/>
    <m/>
    <s v="Yes"/>
    <m/>
    <s v="N/A"/>
    <m/>
    <s v="Yes"/>
    <m/>
    <s v="Yes"/>
    <m/>
    <s v="New"/>
    <s v="infasco"/>
    <n v="135.07999999999998"/>
    <n v="135.07999999999998"/>
  </r>
  <r>
    <x v="23"/>
    <x v="15"/>
    <n v="11546465"/>
    <n v="715687"/>
    <n v="34"/>
    <n v="1100"/>
    <n v="37400"/>
    <s v="257+157"/>
    <s v="Yes"/>
    <m/>
    <s v="Yes"/>
    <m/>
    <s v="Yes"/>
    <m/>
    <s v="Yes"/>
    <m/>
    <s v="N/A"/>
    <m/>
    <s v="Yes"/>
    <m/>
    <s v="Yes"/>
    <m/>
    <s v="New"/>
    <s v="infasco"/>
    <n v="106.94"/>
    <n v="106.94"/>
  </r>
  <r>
    <x v="23"/>
    <x v="15"/>
    <n v="11546465"/>
    <n v="715686"/>
    <n v="34"/>
    <n v="1100"/>
    <n v="37400"/>
    <s v="257+157"/>
    <s v="Yes"/>
    <m/>
    <s v="Yes"/>
    <m/>
    <s v="Yes"/>
    <m/>
    <s v="Yes"/>
    <m/>
    <s v="N/A"/>
    <m/>
    <s v="Yes"/>
    <m/>
    <s v="Yes"/>
    <m/>
    <s v="New"/>
    <s v="infasco"/>
    <n v="106.94"/>
    <n v="106.94"/>
  </r>
  <r>
    <x v="23"/>
    <x v="15"/>
    <s v="11546370-MY-AK"/>
    <n v="716627"/>
    <n v="36"/>
    <n v="220"/>
    <n v="7920"/>
    <s v="257+157"/>
    <s v="Yes"/>
    <m/>
    <s v="Yes"/>
    <m/>
    <s v="Yes"/>
    <m/>
    <s v="Yes"/>
    <m/>
    <s v="N/A"/>
    <m/>
    <s v="Yes"/>
    <m/>
    <s v="Yes"/>
    <m/>
    <s v="New"/>
    <s v="infasco"/>
    <n v="106.94"/>
    <n v="106.94"/>
  </r>
  <r>
    <x v="23"/>
    <x v="15"/>
    <s v="11546370-MY-AK"/>
    <n v="716635"/>
    <n v="36"/>
    <n v="220"/>
    <n v="7920"/>
    <s v="257+157"/>
    <s v="Yes"/>
    <m/>
    <s v="Yes"/>
    <m/>
    <s v="Yes"/>
    <m/>
    <s v="Yes"/>
    <m/>
    <s v="N/A"/>
    <m/>
    <s v="Yes"/>
    <m/>
    <s v="Yes"/>
    <m/>
    <s v="New"/>
    <s v="infasco"/>
    <n v="106.94"/>
    <n v="106.94"/>
  </r>
  <r>
    <x v="23"/>
    <x v="15"/>
    <s v="11546370-MY-AK"/>
    <n v="716634"/>
    <n v="28"/>
    <n v="220"/>
    <n v="6160"/>
    <s v="257+157"/>
    <s v="Yes"/>
    <m/>
    <s v="Yes"/>
    <m/>
    <s v="Yes"/>
    <m/>
    <s v="Yes"/>
    <m/>
    <s v="N/A"/>
    <m/>
    <s v="Yes"/>
    <m/>
    <s v="Yes"/>
    <m/>
    <s v="New"/>
    <s v="infasco"/>
    <n v="106.94"/>
    <n v="106.94"/>
  </r>
  <r>
    <x v="23"/>
    <x v="15"/>
    <s v="W705606-S440"/>
    <n v="717980"/>
    <n v="27"/>
    <n v="580"/>
    <n v="15660"/>
    <s v="257+157"/>
    <s v="Yes"/>
    <m/>
    <s v="Yes"/>
    <m/>
    <s v="Yes"/>
    <m/>
    <s v="Yes"/>
    <m/>
    <s v="N/A"/>
    <m/>
    <s v="Yes"/>
    <m/>
    <s v="Yes"/>
    <m/>
    <s v="New"/>
    <s v="infasco"/>
    <n v="280.15999999999997"/>
    <n v="280.15999999999997"/>
  </r>
  <r>
    <x v="23"/>
    <x v="16"/>
    <s v="11546370-MY-AK"/>
    <n v="717166"/>
    <n v="12"/>
    <n v="220"/>
    <n v="2640"/>
    <s v="279+391"/>
    <s v="Yes"/>
    <m/>
    <s v="Yes"/>
    <m/>
    <s v="Yes"/>
    <m/>
    <s v="Yes"/>
    <m/>
    <s v="N/A"/>
    <m/>
    <s v="Yes"/>
    <m/>
    <s v="Yes"/>
    <m/>
    <s v="New"/>
    <s v="infasco"/>
    <n v="106.94"/>
    <n v="106.94"/>
  </r>
  <r>
    <x v="23"/>
    <x v="16"/>
    <n v="40073474"/>
    <n v="717906"/>
    <n v="32"/>
    <n v="150"/>
    <n v="4800"/>
    <s v="279+391"/>
    <s v="Yes"/>
    <m/>
    <s v="Yes"/>
    <m/>
    <s v="Yes"/>
    <m/>
    <s v="Yes"/>
    <m/>
    <s v="N/A"/>
    <m/>
    <s v="Yes"/>
    <m/>
    <s v="Yes"/>
    <m/>
    <s v="New"/>
    <s v="infasco"/>
    <n v="106.94"/>
    <n v="106.94"/>
  </r>
  <r>
    <x v="23"/>
    <x v="16"/>
    <s v="11546370-MY-AK"/>
    <n v="716632"/>
    <n v="36"/>
    <n v="220"/>
    <n v="7920"/>
    <s v="279+391"/>
    <s v="Yes"/>
    <m/>
    <s v="Yes"/>
    <m/>
    <s v="Yes"/>
    <m/>
    <s v="Yes"/>
    <m/>
    <s v="N/A"/>
    <m/>
    <s v="Yes"/>
    <m/>
    <s v="Yes"/>
    <m/>
    <s v="New"/>
    <s v="infasco"/>
    <n v="106.94"/>
    <n v="106.94"/>
  </r>
  <r>
    <x v="23"/>
    <x v="16"/>
    <n v="11546465"/>
    <n v="715848"/>
    <n v="35"/>
    <n v="1100"/>
    <n v="38500"/>
    <s v="279+391"/>
    <s v="Yes"/>
    <m/>
    <s v="Yes"/>
    <m/>
    <s v="Yes"/>
    <m/>
    <s v="Yes"/>
    <m/>
    <s v="N/A"/>
    <m/>
    <s v="Yes"/>
    <m/>
    <s v="Yes"/>
    <m/>
    <s v="New"/>
    <s v="infasco"/>
    <n v="106.94"/>
    <n v="106.94"/>
  </r>
  <r>
    <x v="23"/>
    <x v="16"/>
    <n v="11546703"/>
    <n v="715809"/>
    <n v="36"/>
    <n v="4000"/>
    <n v="144000"/>
    <s v="279+391"/>
    <s v="Yes"/>
    <m/>
    <s v="Yes"/>
    <m/>
    <s v="Yes"/>
    <m/>
    <s v="Yes"/>
    <m/>
    <s v="N/A"/>
    <m/>
    <s v="Yes"/>
    <m/>
    <s v="Yes"/>
    <m/>
    <s v="New"/>
    <s v="infasco"/>
    <n v="135.07999999999998"/>
    <n v="135.07999999999998"/>
  </r>
  <r>
    <x v="23"/>
    <x v="16"/>
    <n v="11546703"/>
    <n v="715813"/>
    <n v="20"/>
    <n v="4000"/>
    <n v="80000"/>
    <s v="279+391"/>
    <s v="Yes"/>
    <m/>
    <s v="Yes"/>
    <m/>
    <s v="Yes"/>
    <m/>
    <s v="Yes"/>
    <m/>
    <s v="N/A"/>
    <m/>
    <s v="Yes"/>
    <m/>
    <s v="Yes"/>
    <m/>
    <s v="New"/>
    <s v="infasco"/>
    <n v="135.07999999999998"/>
    <n v="135.07999999999998"/>
  </r>
  <r>
    <x v="23"/>
    <x v="16"/>
    <s v="11546370-MY-AK"/>
    <n v="716625"/>
    <n v="36"/>
    <n v="220"/>
    <n v="7920"/>
    <s v="279+391"/>
    <s v="Yes"/>
    <m/>
    <s v="Yes"/>
    <m/>
    <s v="Yes"/>
    <m/>
    <s v="Yes"/>
    <m/>
    <s v="N/A"/>
    <m/>
    <s v="Yes"/>
    <m/>
    <s v="Yes"/>
    <m/>
    <s v="New"/>
    <s v="infasco"/>
    <n v="106.94"/>
    <n v="106.94"/>
  </r>
  <r>
    <x v="23"/>
    <x v="16"/>
    <s v="11546370-MY-AK"/>
    <n v="716636"/>
    <n v="36"/>
    <n v="220"/>
    <n v="7920"/>
    <s v="279+391"/>
    <s v="Yes"/>
    <m/>
    <s v="Yes"/>
    <m/>
    <s v="Yes"/>
    <m/>
    <s v="Yes"/>
    <m/>
    <s v="N/A"/>
    <m/>
    <s v="Yes"/>
    <m/>
    <s v="Yes"/>
    <m/>
    <s v="New"/>
    <s v="infasco"/>
    <n v="106.94"/>
    <n v="106.94"/>
  </r>
  <r>
    <x v="23"/>
    <x v="16"/>
    <s v="11546370-MY-AK"/>
    <n v="717168"/>
    <n v="20"/>
    <n v="220"/>
    <n v="4400"/>
    <s v="279+391"/>
    <s v="Yes"/>
    <m/>
    <s v="Yes"/>
    <m/>
    <s v="Yes"/>
    <m/>
    <s v="Yes"/>
    <m/>
    <s v="N/A"/>
    <m/>
    <s v="Yes"/>
    <m/>
    <s v="Yes"/>
    <m/>
    <s v="Re-certified"/>
    <s v="infasco"/>
    <n v="0"/>
    <n v="0"/>
  </r>
  <r>
    <x v="23"/>
    <x v="17"/>
    <s v="11546370-MY-AK"/>
    <n v="716628"/>
    <n v="36"/>
    <n v="220"/>
    <n v="7920"/>
    <s v="190+268"/>
    <s v="Yes"/>
    <m/>
    <s v="Yes"/>
    <m/>
    <s v="Yes"/>
    <m/>
    <s v="Yes"/>
    <m/>
    <s v="N/A"/>
    <m/>
    <s v="Yes"/>
    <m/>
    <s v="Yes"/>
    <m/>
    <s v="New"/>
    <s v="infasco"/>
    <n v="106.94"/>
    <n v="106.94"/>
  </r>
  <r>
    <x v="23"/>
    <x v="17"/>
    <s v="11546370-MY-AK"/>
    <n v="716626"/>
    <n v="36"/>
    <n v="220"/>
    <n v="7920"/>
    <s v="190+268"/>
    <s v="Yes"/>
    <m/>
    <s v="Yes"/>
    <m/>
    <s v="Yes"/>
    <m/>
    <s v="Yes"/>
    <m/>
    <s v="N/A"/>
    <m/>
    <s v="Yes"/>
    <m/>
    <s v="Yes"/>
    <m/>
    <s v="New"/>
    <s v="infasco"/>
    <n v="106.94"/>
    <n v="106.94"/>
  </r>
  <r>
    <x v="23"/>
    <x v="17"/>
    <s v="11546370-MY-AK"/>
    <n v="716633"/>
    <n v="36"/>
    <n v="220"/>
    <n v="7920"/>
    <s v="190+268"/>
    <s v="Yes"/>
    <m/>
    <s v="Yes"/>
    <m/>
    <s v="Yes"/>
    <m/>
    <s v="Yes"/>
    <m/>
    <s v="N/A"/>
    <m/>
    <s v="Yes"/>
    <m/>
    <s v="Yes"/>
    <m/>
    <s v="New"/>
    <s v="infasco"/>
    <n v="106.94"/>
    <n v="106.94"/>
  </r>
  <r>
    <x v="23"/>
    <x v="17"/>
    <s v="11546370-MY-AK"/>
    <n v="717165"/>
    <n v="36"/>
    <n v="220"/>
    <n v="7920"/>
    <s v="190+268"/>
    <s v="Yes"/>
    <m/>
    <s v="Yes"/>
    <m/>
    <s v="Yes"/>
    <m/>
    <s v="Yes"/>
    <m/>
    <s v="N/A"/>
    <m/>
    <s v="Yes"/>
    <m/>
    <s v="Yes"/>
    <m/>
    <s v="New"/>
    <s v="infasco"/>
    <n v="106.94"/>
    <n v="106.94"/>
  </r>
  <r>
    <x v="23"/>
    <x v="17"/>
    <s v="11546370-MY-AK"/>
    <n v="717167"/>
    <n v="9"/>
    <n v="220"/>
    <n v="1980"/>
    <s v="190+268"/>
    <s v="Yes"/>
    <m/>
    <s v="Yes"/>
    <m/>
    <s v="Yes"/>
    <m/>
    <s v="Yes"/>
    <m/>
    <s v="N/A"/>
    <m/>
    <s v="Yes"/>
    <m/>
    <s v="Yes"/>
    <m/>
    <s v="Re-certified"/>
    <s v="infasco"/>
    <n v="0"/>
    <n v="0"/>
  </r>
  <r>
    <x v="23"/>
    <x v="17"/>
    <n v="40073474"/>
    <n v="717905"/>
    <n v="36"/>
    <n v="150"/>
    <n v="5400"/>
    <s v="190+268"/>
    <s v="Yes"/>
    <m/>
    <s v="Yes"/>
    <m/>
    <s v="Yes"/>
    <m/>
    <s v="Yes"/>
    <m/>
    <s v="N/A"/>
    <m/>
    <s v="Yes"/>
    <m/>
    <s v="Yes"/>
    <m/>
    <s v="New"/>
    <s v="infasco"/>
    <n v="106.94"/>
    <n v="106.94"/>
  </r>
  <r>
    <x v="23"/>
    <x v="17"/>
    <n v="40073474"/>
    <n v="717904"/>
    <n v="25"/>
    <n v="150"/>
    <n v="3750"/>
    <s v="190+268"/>
    <s v="Yes"/>
    <m/>
    <s v="Yes"/>
    <m/>
    <s v="Yes"/>
    <m/>
    <s v="Yes"/>
    <m/>
    <s v="N/A"/>
    <m/>
    <s v="Yes"/>
    <m/>
    <s v="Yes"/>
    <m/>
    <s v="New"/>
    <s v="infasco"/>
    <n v="106.94"/>
    <n v="106.94"/>
  </r>
  <r>
    <x v="23"/>
    <x v="17"/>
    <s v="11546370-MY-AK"/>
    <n v="716630"/>
    <n v="36"/>
    <n v="220"/>
    <n v="7920"/>
    <s v="190+268"/>
    <s v="Yes"/>
    <m/>
    <s v="Yes"/>
    <m/>
    <s v="Yes"/>
    <m/>
    <s v="Yes"/>
    <m/>
    <s v="N/A"/>
    <m/>
    <s v="Yes"/>
    <m/>
    <s v="Yes"/>
    <m/>
    <s v="New"/>
    <s v="infasco"/>
    <n v="106.94"/>
    <n v="106.94"/>
  </r>
  <r>
    <x v="23"/>
    <x v="17"/>
    <n v="11546703"/>
    <n v="715808"/>
    <n v="36"/>
    <n v="4000"/>
    <n v="144000"/>
    <s v="190+268"/>
    <s v="Yes"/>
    <m/>
    <s v="Yes"/>
    <m/>
    <s v="Yes"/>
    <m/>
    <s v="Yes"/>
    <m/>
    <s v="N/A"/>
    <m/>
    <s v="Yes"/>
    <m/>
    <s v="Yes"/>
    <m/>
    <s v="New"/>
    <s v="infasco"/>
    <n v="135.07999999999998"/>
    <n v="135.07999999999998"/>
  </r>
  <r>
    <x v="23"/>
    <x v="17"/>
    <n v="11546703"/>
    <n v="715807"/>
    <n v="19"/>
    <n v="4000"/>
    <n v="76000"/>
    <s v="190+268"/>
    <s v="Yes"/>
    <m/>
    <s v="Yes"/>
    <m/>
    <s v="Yes"/>
    <m/>
    <s v="Yes"/>
    <m/>
    <s v="N/A"/>
    <m/>
    <s v="Yes"/>
    <m/>
    <s v="Yes"/>
    <m/>
    <s v="New"/>
    <s v="infasco"/>
    <n v="135.07999999999998"/>
    <n v="135.07999999999998"/>
  </r>
  <r>
    <x v="23"/>
    <x v="32"/>
    <s v="11546389-PH-RO"/>
    <n v="717639"/>
    <n v="22"/>
    <n v="4500"/>
    <n v="99000"/>
    <s v="252+11"/>
    <s v="Yes"/>
    <m/>
    <s v="Yes"/>
    <m/>
    <s v="Yes"/>
    <m/>
    <s v="Yes"/>
    <m/>
    <s v="N/A"/>
    <m/>
    <s v="Yes"/>
    <m/>
    <s v="Yes"/>
    <m/>
    <s v="New"/>
    <s v="infasco"/>
    <n v="106.94"/>
    <n v="106.94"/>
  </r>
  <r>
    <x v="23"/>
    <x v="32"/>
    <s v="11546389-PH-RO"/>
    <n v="717641"/>
    <n v="15"/>
    <n v="4500"/>
    <n v="67500"/>
    <s v="252+11"/>
    <s v="Yes"/>
    <m/>
    <s v="Yes"/>
    <m/>
    <s v="Yes"/>
    <m/>
    <s v="Yes"/>
    <m/>
    <s v="N/A"/>
    <m/>
    <s v="Yes"/>
    <m/>
    <s v="Yes"/>
    <m/>
    <s v="New"/>
    <s v="infasco"/>
    <n v="106.94"/>
    <n v="106.94"/>
  </r>
  <r>
    <x v="23"/>
    <x v="32"/>
    <s v="06509787AA"/>
    <n v="716348"/>
    <n v="42"/>
    <n v="670"/>
    <n v="28140"/>
    <s v="252+11"/>
    <s v="Yes"/>
    <m/>
    <s v="Yes"/>
    <m/>
    <s v="Yes"/>
    <m/>
    <s v="Yes"/>
    <m/>
    <s v="N/A"/>
    <m/>
    <s v="Yes"/>
    <m/>
    <s v="Yes"/>
    <m/>
    <s v="New"/>
    <s v="infasco"/>
    <n v="135.08000000000001"/>
    <n v="135.08000000000001"/>
  </r>
  <r>
    <x v="23"/>
    <x v="32"/>
    <n v="11546465"/>
    <n v="715849"/>
    <n v="34"/>
    <n v="1100"/>
    <n v="37400"/>
    <s v="252+11"/>
    <s v="Yes"/>
    <m/>
    <s v="Yes"/>
    <m/>
    <s v="Yes"/>
    <m/>
    <s v="Yes"/>
    <m/>
    <s v="N/A"/>
    <m/>
    <s v="Yes"/>
    <m/>
    <s v="Yes"/>
    <m/>
    <s v="New"/>
    <s v="infasco"/>
    <n v="106.94"/>
    <n v="106.94"/>
  </r>
  <r>
    <x v="23"/>
    <x v="32"/>
    <s v="11546370-MY-AK"/>
    <n v="716631"/>
    <n v="37"/>
    <n v="220"/>
    <n v="8140"/>
    <s v="252+11"/>
    <s v="Yes"/>
    <m/>
    <s v="Yes"/>
    <m/>
    <s v="Yes"/>
    <m/>
    <s v="Yes"/>
    <m/>
    <s v="N/A"/>
    <m/>
    <s v="Yes"/>
    <m/>
    <s v="Yes"/>
    <m/>
    <s v="New"/>
    <s v="infasco"/>
    <n v="106.94"/>
    <n v="106.94"/>
  </r>
  <r>
    <x v="23"/>
    <x v="32"/>
    <s v="11546370-MY-AK"/>
    <n v="716629"/>
    <n v="37"/>
    <n v="220"/>
    <n v="8140"/>
    <s v="252+11"/>
    <s v="Yes"/>
    <m/>
    <s v="Yes"/>
    <m/>
    <s v="Yes"/>
    <m/>
    <s v="Yes"/>
    <m/>
    <s v="N/A"/>
    <m/>
    <s v="Yes"/>
    <m/>
    <s v="Yes"/>
    <m/>
    <s v="New"/>
    <s v="infasco"/>
    <n v="106.94"/>
    <n v="106.94"/>
  </r>
  <r>
    <x v="23"/>
    <x v="32"/>
    <s v="11546370-MY-AK"/>
    <n v="716624"/>
    <n v="36"/>
    <n v="220"/>
    <n v="7920"/>
    <s v="252+11"/>
    <s v="Yes"/>
    <m/>
    <s v="Yes"/>
    <m/>
    <s v="Yes"/>
    <m/>
    <s v="Yes"/>
    <m/>
    <s v="N/A"/>
    <m/>
    <s v="Yes"/>
    <m/>
    <s v="Yes"/>
    <m/>
    <s v="New"/>
    <s v="infasco"/>
    <n v="106.94"/>
    <n v="106.94"/>
  </r>
  <r>
    <x v="23"/>
    <x v="32"/>
    <s v="11546370-MY-AK"/>
    <n v="717169"/>
    <n v="36"/>
    <n v="220"/>
    <n v="7920"/>
    <s v="252+11"/>
    <s v="Yes"/>
    <m/>
    <s v="Yes"/>
    <m/>
    <s v="Yes"/>
    <m/>
    <s v="Yes"/>
    <m/>
    <s v="N/A"/>
    <m/>
    <s v="Yes"/>
    <m/>
    <s v="Yes"/>
    <m/>
    <s v="New"/>
    <s v="infasco"/>
    <n v="106.94"/>
    <n v="106.94"/>
  </r>
  <r>
    <x v="23"/>
    <x v="32"/>
    <s v="11546370-MY-AK"/>
    <n v="716623"/>
    <n v="27"/>
    <n v="220"/>
    <n v="5940"/>
    <s v="252+11"/>
    <s v="Yes"/>
    <m/>
    <s v="Yes"/>
    <m/>
    <s v="Yes"/>
    <m/>
    <s v="Yes"/>
    <m/>
    <s v="N/A"/>
    <m/>
    <s v="Yes"/>
    <m/>
    <s v="Yes"/>
    <m/>
    <s v="New"/>
    <s v="infasco"/>
    <n v="106.94"/>
    <n v="106.94"/>
  </r>
  <r>
    <x v="23"/>
    <x v="32"/>
    <n v="11602031"/>
    <n v="717901"/>
    <n v="18"/>
    <n v="145"/>
    <n v="2610"/>
    <s v="252+11"/>
    <s v="Yes"/>
    <m/>
    <s v="Yes"/>
    <m/>
    <s v="Yes"/>
    <m/>
    <s v="Yes"/>
    <m/>
    <s v="N/A"/>
    <m/>
    <s v="Yes"/>
    <m/>
    <s v="Yes"/>
    <m/>
    <s v="Re-certified"/>
    <s v="infasco"/>
    <n v="0"/>
    <n v="0"/>
  </r>
  <r>
    <x v="23"/>
    <x v="13"/>
    <s v="PZ18-7P483-AA"/>
    <n v="716404"/>
    <n v="2"/>
    <n v="195"/>
    <n v="390"/>
    <s v="197+285"/>
    <s v="Yes"/>
    <m/>
    <s v="Yes"/>
    <m/>
    <s v="Yes"/>
    <m/>
    <s v="Yes"/>
    <m/>
    <s v="N/A"/>
    <m/>
    <s v="Yes"/>
    <m/>
    <s v="Yes"/>
    <m/>
    <s v="New"/>
    <s v="infasco"/>
    <n v="51.78"/>
    <n v="51.78"/>
  </r>
  <r>
    <x v="23"/>
    <x v="13"/>
    <s v="PZ18-7P483-AA"/>
    <n v="716412"/>
    <n v="12"/>
    <n v="195"/>
    <n v="2340"/>
    <s v="197+285"/>
    <s v="Yes"/>
    <m/>
    <s v="Yes"/>
    <m/>
    <s v="Yes"/>
    <m/>
    <s v="Yes"/>
    <m/>
    <s v="N/A"/>
    <m/>
    <s v="Yes"/>
    <m/>
    <s v="Yes"/>
    <m/>
    <s v="New"/>
    <s v="infasco"/>
    <n v="51.78"/>
    <n v="51.78"/>
  </r>
  <r>
    <x v="23"/>
    <x v="33"/>
    <s v="11546364-PH-RO"/>
    <n v="713721"/>
    <n v="4"/>
    <n v="3500"/>
    <n v="14000"/>
    <n v="285"/>
    <s v="Yes"/>
    <m/>
    <s v="Yes"/>
    <m/>
    <s v="Yes"/>
    <m/>
    <s v="Yes"/>
    <m/>
    <s v="N/A"/>
    <m/>
    <s v="Yes"/>
    <m/>
    <s v="Yes"/>
    <m/>
    <s v="New"/>
    <s v="infasco"/>
    <n v="106.94"/>
    <n v="106.94"/>
  </r>
  <r>
    <x v="24"/>
    <x v="9"/>
    <s v="11546389-PH-RO"/>
    <n v="717644"/>
    <n v="23"/>
    <n v="4500"/>
    <n v="103500"/>
    <n v="275"/>
    <s v="Yes"/>
    <m/>
    <s v="Yes"/>
    <m/>
    <s v="Yes"/>
    <m/>
    <s v="Yes"/>
    <m/>
    <s v="N/A"/>
    <m/>
    <s v="Yes"/>
    <m/>
    <s v="Yes"/>
    <m/>
    <s v="New"/>
    <s v="infasco"/>
    <n v="106.94"/>
    <n v="106.94"/>
  </r>
  <r>
    <x v="24"/>
    <x v="9"/>
    <s v="11546389-PH-RO"/>
    <n v="717643"/>
    <n v="16"/>
    <n v="4500"/>
    <n v="72000"/>
    <n v="275"/>
    <s v="Yes"/>
    <m/>
    <s v="Yes"/>
    <m/>
    <s v="Yes"/>
    <m/>
    <s v="Yes"/>
    <m/>
    <s v="N/A"/>
    <m/>
    <s v="Yes"/>
    <m/>
    <s v="Yes"/>
    <m/>
    <s v="Re-certified"/>
    <s v="infasco"/>
    <n v="0"/>
    <n v="0"/>
  </r>
  <r>
    <x v="24"/>
    <x v="11"/>
    <n v="11546449"/>
    <n v="717690"/>
    <n v="5"/>
    <n v="2500"/>
    <n v="12500"/>
    <n v="275"/>
    <s v="Yes"/>
    <m/>
    <s v="Yes"/>
    <m/>
    <s v="Yes"/>
    <m/>
    <s v="Yes"/>
    <m/>
    <s v="N/A"/>
    <m/>
    <s v="Yes"/>
    <m/>
    <s v="Yes"/>
    <m/>
    <s v="New"/>
    <s v="infasco"/>
    <n v="106.94"/>
    <n v="106.94"/>
  </r>
  <r>
    <x v="24"/>
    <x v="11"/>
    <s v="11546389-PH-RO"/>
    <n v="717648"/>
    <n v="12"/>
    <n v="4500"/>
    <n v="54000"/>
    <n v="275"/>
    <s v="Yes"/>
    <m/>
    <s v="Yes"/>
    <m/>
    <s v="Yes"/>
    <m/>
    <s v="Yes"/>
    <m/>
    <s v="N/A"/>
    <m/>
    <s v="Yes"/>
    <m/>
    <s v="Yes"/>
    <m/>
    <s v="New"/>
    <s v="infasco"/>
    <n v="106.94"/>
    <n v="106.94"/>
  </r>
  <r>
    <x v="24"/>
    <x v="11"/>
    <s v="11546389-PH-RO"/>
    <n v="717647"/>
    <n v="7"/>
    <n v="4500"/>
    <n v="31500"/>
    <n v="275"/>
    <s v="Yes"/>
    <m/>
    <s v="Yes"/>
    <m/>
    <s v="Yes"/>
    <m/>
    <s v="Yes"/>
    <m/>
    <s v="N/A"/>
    <m/>
    <s v="Yes"/>
    <m/>
    <s v="Yes"/>
    <m/>
    <s v="Re-certified"/>
    <s v="infasco"/>
    <n v="0"/>
    <n v="0"/>
  </r>
  <r>
    <x v="24"/>
    <x v="8"/>
    <s v="06101831-A"/>
    <n v="717405"/>
    <n v="20"/>
    <n v="1000"/>
    <n v="20000"/>
    <n v="275"/>
    <s v="Yes"/>
    <m/>
    <s v="Yes"/>
    <m/>
    <s v="Yes"/>
    <m/>
    <s v="Yes"/>
    <m/>
    <s v="N/A"/>
    <m/>
    <s v="Yes"/>
    <m/>
    <s v="Yes"/>
    <m/>
    <s v="New"/>
    <s v="infasco"/>
    <n v="106.94"/>
    <n v="106.94"/>
  </r>
  <r>
    <x v="24"/>
    <x v="8"/>
    <s v="06101831-A"/>
    <n v="717406"/>
    <n v="36"/>
    <n v="1000"/>
    <n v="36000"/>
    <n v="275"/>
    <s v="Yes"/>
    <m/>
    <s v="Yes"/>
    <m/>
    <s v="Yes"/>
    <m/>
    <s v="Yes"/>
    <m/>
    <s v="N/A"/>
    <m/>
    <s v="Yes"/>
    <m/>
    <s v="Yes"/>
    <m/>
    <s v="New"/>
    <s v="infasco"/>
    <n v="106.94"/>
    <n v="106.94"/>
  </r>
  <r>
    <x v="24"/>
    <x v="8"/>
    <s v="06101831-A"/>
    <n v="717407"/>
    <n v="20"/>
    <n v="1000"/>
    <n v="20000"/>
    <n v="275"/>
    <s v="Yes"/>
    <m/>
    <s v="Yes"/>
    <m/>
    <s v="Yes"/>
    <m/>
    <s v="Yes"/>
    <m/>
    <s v="N/A"/>
    <m/>
    <s v="Yes"/>
    <m/>
    <s v="Yes"/>
    <m/>
    <s v="Re-certified"/>
    <s v="infasco"/>
    <n v="0"/>
    <n v="0"/>
  </r>
  <r>
    <x v="24"/>
    <x v="10"/>
    <n v="11546449"/>
    <n v="717692"/>
    <n v="13"/>
    <n v="2500"/>
    <n v="32500"/>
    <n v="275"/>
    <s v="Yes"/>
    <m/>
    <s v="Yes"/>
    <m/>
    <s v="Yes"/>
    <m/>
    <s v="Yes"/>
    <m/>
    <s v="N/A"/>
    <m/>
    <s v="Yes"/>
    <m/>
    <s v="Yes"/>
    <m/>
    <s v="New"/>
    <s v="infasco"/>
    <n v="106.94"/>
    <n v="106.94"/>
  </r>
  <r>
    <x v="24"/>
    <x v="10"/>
    <n v="11546377"/>
    <n v="718132"/>
    <n v="9"/>
    <n v="2150"/>
    <n v="19350"/>
    <n v="275"/>
    <s v="Yes"/>
    <m/>
    <s v="Yes"/>
    <m/>
    <s v="Yes"/>
    <m/>
    <s v="Yes"/>
    <m/>
    <s v="N/A"/>
    <m/>
    <s v="Yes"/>
    <m/>
    <s v="Yes"/>
    <m/>
    <s v="Re-certified"/>
    <s v="infasco"/>
    <n v="0"/>
    <n v="0"/>
  </r>
  <r>
    <x v="24"/>
    <x v="6"/>
    <s v="11610091-MY-AK"/>
    <n v="717180"/>
    <n v="31"/>
    <n v="2500"/>
    <n v="77500"/>
    <n v="275"/>
    <s v="Yes"/>
    <m/>
    <s v="Yes"/>
    <m/>
    <s v="Yes"/>
    <m/>
    <s v="Yes"/>
    <m/>
    <s v="N/A"/>
    <m/>
    <s v="Yes"/>
    <m/>
    <s v="Yes"/>
    <m/>
    <s v="New"/>
    <s v="infasco"/>
    <n v="106.94"/>
    <n v="106.94"/>
  </r>
  <r>
    <x v="24"/>
    <x v="6"/>
    <s v="11610091-MY-AK"/>
    <n v="717289"/>
    <n v="20"/>
    <n v="2500"/>
    <n v="50000"/>
    <n v="275"/>
    <s v="Yes"/>
    <m/>
    <s v="Yes"/>
    <m/>
    <s v="Yes"/>
    <m/>
    <s v="Yes"/>
    <m/>
    <s v="N/A"/>
    <m/>
    <s v="Yes"/>
    <m/>
    <s v="Yes"/>
    <m/>
    <s v="Re-certified"/>
    <s v="infasco"/>
    <n v="0"/>
    <n v="0"/>
  </r>
  <r>
    <x v="24"/>
    <x v="12"/>
    <s v="06100050-A"/>
    <n v="717259"/>
    <n v="31"/>
    <n v="1500"/>
    <n v="46500"/>
    <n v="275"/>
    <s v="Yes"/>
    <m/>
    <s v="Yes"/>
    <m/>
    <s v="Yes"/>
    <m/>
    <s v="Yes"/>
    <m/>
    <s v="N/A"/>
    <m/>
    <s v="Yes"/>
    <m/>
    <s v="Yes"/>
    <m/>
    <s v="New"/>
    <s v="infasco"/>
    <n v="106.94"/>
    <n v="106.94"/>
  </r>
  <r>
    <x v="24"/>
    <x v="12"/>
    <s v="06100050-A"/>
    <n v="717260"/>
    <n v="36"/>
    <n v="1500"/>
    <n v="54000"/>
    <n v="275"/>
    <s v="Yes"/>
    <m/>
    <s v="Yes"/>
    <m/>
    <s v="Yes"/>
    <m/>
    <s v="Yes"/>
    <m/>
    <s v="N/A"/>
    <m/>
    <s v="Yes"/>
    <m/>
    <s v="Yes"/>
    <m/>
    <s v="New"/>
    <s v="infasco"/>
    <n v="106.94"/>
    <n v="106.94"/>
  </r>
  <r>
    <x v="24"/>
    <x v="3"/>
    <s v="11546368-MY-AK"/>
    <n v="716355"/>
    <n v="36"/>
    <n v="450"/>
    <n v="16200"/>
    <n v="292"/>
    <s v="Yes"/>
    <m/>
    <s v="Yes"/>
    <m/>
    <s v="Yes"/>
    <m/>
    <s v="Yes"/>
    <m/>
    <s v="N/A"/>
    <m/>
    <s v="Yes"/>
    <m/>
    <s v="Yes"/>
    <m/>
    <s v="New"/>
    <s v="infasco"/>
    <n v="106.94"/>
    <n v="106.94"/>
  </r>
  <r>
    <x v="24"/>
    <x v="3"/>
    <s v="11546368-MY-AK"/>
    <n v="716354"/>
    <n v="36"/>
    <n v="450"/>
    <n v="16200"/>
    <n v="292"/>
    <s v="Yes"/>
    <m/>
    <s v="Yes"/>
    <m/>
    <s v="Yes"/>
    <m/>
    <s v="Yes"/>
    <m/>
    <s v="N/A"/>
    <m/>
    <s v="Yes"/>
    <m/>
    <s v="Yes"/>
    <m/>
    <s v="New"/>
    <s v="infasco"/>
    <n v="106.94"/>
    <n v="106.94"/>
  </r>
  <r>
    <x v="24"/>
    <x v="3"/>
    <s v="11546368-MY-AK"/>
    <n v="716362"/>
    <n v="20"/>
    <n v="450"/>
    <n v="9000"/>
    <n v="292"/>
    <s v="Yes"/>
    <m/>
    <s v="Yes"/>
    <m/>
    <s v="Yes"/>
    <m/>
    <s v="Yes"/>
    <m/>
    <s v="N/A"/>
    <m/>
    <s v="Yes"/>
    <m/>
    <s v="Yes"/>
    <m/>
    <s v="Re-certified"/>
    <s v="infasco"/>
    <n v="0"/>
    <n v="0"/>
  </r>
  <r>
    <x v="24"/>
    <x v="0"/>
    <s v="11546365-MY-AK"/>
    <n v="716818"/>
    <n v="11"/>
    <n v="1900"/>
    <n v="20900"/>
    <n v="292"/>
    <s v="Yes"/>
    <m/>
    <s v="Yes"/>
    <m/>
    <s v="Yes"/>
    <m/>
    <s v="Yes"/>
    <m/>
    <s v="N/A"/>
    <m/>
    <s v="Yes"/>
    <m/>
    <s v="Yes"/>
    <m/>
    <s v="New"/>
    <s v="infasco"/>
    <n v="106.94"/>
    <n v="106.94"/>
  </r>
  <r>
    <x v="24"/>
    <x v="0"/>
    <n v="11546377"/>
    <n v="718131"/>
    <n v="10"/>
    <n v="2150"/>
    <n v="21500"/>
    <n v="292"/>
    <s v="Yes"/>
    <m/>
    <s v="Yes"/>
    <m/>
    <s v="Yes"/>
    <m/>
    <s v="Yes"/>
    <m/>
    <s v="N/A"/>
    <m/>
    <s v="Yes"/>
    <m/>
    <s v="Yes"/>
    <m/>
    <s v="Re-certified"/>
    <s v="infasco"/>
    <n v="0"/>
    <n v="0"/>
  </r>
  <r>
    <x v="24"/>
    <x v="19"/>
    <s v="11546378-my-ak"/>
    <n v="717178"/>
    <n v="27"/>
    <n v="1250"/>
    <n v="33750"/>
    <n v="292"/>
    <s v="Yes"/>
    <m/>
    <s v="Yes"/>
    <m/>
    <s v="Yes"/>
    <m/>
    <s v="Yes"/>
    <m/>
    <s v="N/A"/>
    <m/>
    <s v="Yes"/>
    <m/>
    <s v="Yes"/>
    <m/>
    <s v="New"/>
    <s v="infasco"/>
    <n v="106.94"/>
    <n v="106.94"/>
  </r>
  <r>
    <x v="24"/>
    <x v="19"/>
    <s v="11546378-my-ak"/>
    <n v="717175"/>
    <n v="36"/>
    <n v="1250"/>
    <n v="45000"/>
    <n v="292"/>
    <s v="Yes"/>
    <m/>
    <s v="Yes"/>
    <m/>
    <s v="Yes"/>
    <m/>
    <s v="Yes"/>
    <m/>
    <s v="N/A"/>
    <m/>
    <s v="Yes"/>
    <m/>
    <s v="Yes"/>
    <m/>
    <s v="New"/>
    <s v="infasco"/>
    <n v="106.94"/>
    <n v="106.94"/>
  </r>
  <r>
    <x v="24"/>
    <x v="19"/>
    <s v="11546378-my-ak"/>
    <n v="717177"/>
    <n v="10"/>
    <n v="1250"/>
    <n v="12500"/>
    <n v="292"/>
    <s v="Yes"/>
    <m/>
    <s v="Yes"/>
    <m/>
    <s v="Yes"/>
    <m/>
    <s v="Yes"/>
    <m/>
    <s v="N/A"/>
    <m/>
    <s v="Yes"/>
    <m/>
    <s v="Yes"/>
    <m/>
    <s v="Re-certified"/>
    <s v="infasco"/>
    <n v="0"/>
    <n v="0"/>
  </r>
  <r>
    <x v="24"/>
    <x v="1"/>
    <n v="11546545"/>
    <n v="717324"/>
    <n v="10"/>
    <n v="2500"/>
    <n v="25000"/>
    <n v="292"/>
    <s v="Yes"/>
    <m/>
    <s v="Yes"/>
    <m/>
    <s v="Yes"/>
    <m/>
    <s v="Yes"/>
    <m/>
    <s v="N/A"/>
    <m/>
    <s v="Yes"/>
    <m/>
    <s v="Yes"/>
    <m/>
    <s v="Re-certified"/>
    <s v="infasco"/>
    <n v="0"/>
    <n v="0"/>
  </r>
  <r>
    <x v="24"/>
    <x v="2"/>
    <n v="11549168"/>
    <n v="716915"/>
    <n v="1"/>
    <n v="1000"/>
    <n v="1000"/>
    <n v="292"/>
    <s v="Yes"/>
    <m/>
    <s v="Yes"/>
    <m/>
    <s v="Yes"/>
    <m/>
    <s v="Yes"/>
    <m/>
    <s v="N/A"/>
    <m/>
    <s v="Yes"/>
    <m/>
    <s v="Yes"/>
    <m/>
    <s v="New"/>
    <s v="infasco"/>
    <n v="106.94"/>
    <n v="106.94"/>
  </r>
  <r>
    <x v="24"/>
    <x v="2"/>
    <s v="06101831-A"/>
    <n v="717402"/>
    <n v="36"/>
    <n v="1000"/>
    <n v="36000"/>
    <n v="292"/>
    <s v="Yes"/>
    <m/>
    <s v="Yes"/>
    <m/>
    <s v="Yes"/>
    <m/>
    <s v="Yes"/>
    <m/>
    <s v="N/A"/>
    <m/>
    <s v="Yes"/>
    <m/>
    <s v="Yes"/>
    <m/>
    <s v="Re-certified"/>
    <s v="infasco"/>
    <n v="0"/>
    <n v="0"/>
  </r>
  <r>
    <x v="24"/>
    <x v="4"/>
    <s v="11546389-PH-RO"/>
    <n v="717645"/>
    <n v="23"/>
    <n v="4500"/>
    <n v="103500"/>
    <n v="292"/>
    <s v="Yes"/>
    <m/>
    <s v="Yes"/>
    <m/>
    <s v="Yes"/>
    <m/>
    <s v="Yes"/>
    <m/>
    <s v="N/A"/>
    <m/>
    <s v="Yes"/>
    <m/>
    <s v="Yes"/>
    <m/>
    <s v="Re-certified"/>
    <s v="infasco"/>
    <n v="0"/>
    <n v="0"/>
  </r>
  <r>
    <x v="24"/>
    <x v="5"/>
    <n v="11549170"/>
    <n v="716573"/>
    <n v="26"/>
    <n v="400"/>
    <n v="10400"/>
    <n v="292"/>
    <s v="Yes"/>
    <m/>
    <s v="Yes"/>
    <m/>
    <s v="Yes"/>
    <m/>
    <s v="Yes"/>
    <m/>
    <s v="N/A"/>
    <m/>
    <s v="Yes"/>
    <m/>
    <s v="Yes"/>
    <m/>
    <s v="New"/>
    <s v="infasco"/>
    <n v="106.94"/>
    <n v="106.94"/>
  </r>
  <r>
    <x v="24"/>
    <x v="5"/>
    <s v="11610091-MY-AK"/>
    <n v="717563"/>
    <n v="30"/>
    <n v="2500"/>
    <n v="75000"/>
    <n v="292"/>
    <s v="Yes"/>
    <m/>
    <s v="Yes"/>
    <m/>
    <s v="Yes"/>
    <m/>
    <s v="Yes"/>
    <m/>
    <s v="N/A"/>
    <m/>
    <s v="Yes"/>
    <m/>
    <s v="Yes"/>
    <m/>
    <s v="New"/>
    <s v="infasco"/>
    <n v="106.94"/>
    <n v="106.94"/>
  </r>
  <r>
    <x v="24"/>
    <x v="29"/>
    <n v="11546389"/>
    <n v="717702"/>
    <n v="19"/>
    <n v="4500"/>
    <n v="85500"/>
    <n v="290"/>
    <s v="Yes"/>
    <m/>
    <s v="Yes"/>
    <m/>
    <s v="Yes"/>
    <m/>
    <s v="Yes"/>
    <m/>
    <s v="N/A"/>
    <m/>
    <s v="Yes"/>
    <m/>
    <s v="Yes"/>
    <m/>
    <s v="Re-certified"/>
    <s v="infasco"/>
    <n v="0"/>
    <n v="0"/>
  </r>
  <r>
    <x v="24"/>
    <x v="30"/>
    <s v="11549171-MY-AK"/>
    <n v="717210"/>
    <n v="24"/>
    <n v="280"/>
    <n v="6720"/>
    <n v="290"/>
    <s v="Yes"/>
    <m/>
    <s v="Yes"/>
    <m/>
    <s v="Yes"/>
    <m/>
    <s v="Yes"/>
    <m/>
    <s v="N/A"/>
    <m/>
    <s v="Yes"/>
    <m/>
    <s v="Yes"/>
    <m/>
    <s v="New"/>
    <s v="infasco"/>
    <n v="106.94"/>
    <n v="106.94"/>
  </r>
  <r>
    <x v="24"/>
    <x v="30"/>
    <s v="11549171-MY-AK"/>
    <n v="717216"/>
    <n v="22"/>
    <n v="280"/>
    <n v="6160"/>
    <n v="290"/>
    <s v="Yes"/>
    <m/>
    <s v="Yes"/>
    <m/>
    <s v="Yes"/>
    <m/>
    <s v="Yes"/>
    <m/>
    <s v="N/A"/>
    <m/>
    <s v="Yes"/>
    <m/>
    <s v="Yes"/>
    <m/>
    <s v="New"/>
    <s v="infasco"/>
    <n v="106.94"/>
    <n v="106.94"/>
  </r>
  <r>
    <x v="24"/>
    <x v="30"/>
    <s v="11549171-MY-AK"/>
    <n v="717209"/>
    <n v="37"/>
    <n v="280"/>
    <n v="10360"/>
    <n v="290"/>
    <s v="Yes"/>
    <m/>
    <s v="Yes"/>
    <m/>
    <s v="Yes"/>
    <m/>
    <s v="Yes"/>
    <m/>
    <s v="N/A"/>
    <m/>
    <s v="Yes"/>
    <m/>
    <s v="Yes"/>
    <m/>
    <s v="New"/>
    <s v="infasco"/>
    <n v="106.94"/>
    <n v="106.94"/>
  </r>
  <r>
    <x v="24"/>
    <x v="28"/>
    <n v="11546571"/>
    <n v="717161"/>
    <n v="5"/>
    <n v="1550"/>
    <n v="7750"/>
    <n v="290"/>
    <s v="Yes"/>
    <m/>
    <s v="Yes"/>
    <m/>
    <s v="Yes"/>
    <m/>
    <s v="Yes"/>
    <m/>
    <s v="N/A"/>
    <m/>
    <s v="Yes"/>
    <m/>
    <s v="Yes"/>
    <m/>
    <s v="Re-certified"/>
    <s v="infasco"/>
    <n v="0"/>
    <n v="0"/>
  </r>
  <r>
    <x v="24"/>
    <x v="31"/>
    <s v="E6267AB"/>
    <n v="716489"/>
    <n v="1"/>
    <n v="20000"/>
    <n v="20000"/>
    <n v="290"/>
    <s v="Yes"/>
    <m/>
    <s v="Yes"/>
    <m/>
    <s v="Yes"/>
    <m/>
    <s v="Yes"/>
    <m/>
    <s v="N/A"/>
    <m/>
    <s v="Yes"/>
    <m/>
    <s v="Yes"/>
    <m/>
    <s v="New"/>
    <s v="infasco"/>
    <n v="106.94"/>
    <n v="106.94"/>
  </r>
  <r>
    <x v="24"/>
    <x v="31"/>
    <s v="06101831-A"/>
    <n v="717396"/>
    <n v="36"/>
    <n v="1000"/>
    <n v="36000"/>
    <n v="290"/>
    <s v="Yes"/>
    <m/>
    <s v="Yes"/>
    <m/>
    <s v="Yes"/>
    <m/>
    <s v="Yes"/>
    <m/>
    <s v="N/A"/>
    <m/>
    <s v="Yes"/>
    <m/>
    <s v="Yes"/>
    <m/>
    <s v="New"/>
    <s v="infasco"/>
    <n v="106.94"/>
    <n v="106.94"/>
  </r>
  <r>
    <x v="24"/>
    <x v="31"/>
    <s v="06101831-A"/>
    <n v="717914"/>
    <n v="18"/>
    <n v="1000"/>
    <n v="18000"/>
    <n v="290"/>
    <s v="Yes"/>
    <m/>
    <s v="Yes"/>
    <m/>
    <s v="Yes"/>
    <m/>
    <s v="Yes"/>
    <m/>
    <s v="N/A"/>
    <m/>
    <s v="Yes"/>
    <m/>
    <s v="Yes"/>
    <m/>
    <s v="Re-certified"/>
    <s v="infasco"/>
    <n v="0"/>
    <n v="0"/>
  </r>
  <r>
    <x v="24"/>
    <x v="26"/>
    <s v="11546367-MY-AK"/>
    <n v="717029"/>
    <n v="13"/>
    <n v="700"/>
    <n v="9100"/>
    <n v="290"/>
    <s v="Yes"/>
    <m/>
    <s v="Yes"/>
    <m/>
    <s v="Yes"/>
    <m/>
    <s v="Yes"/>
    <m/>
    <s v="N/A"/>
    <m/>
    <s v="Yes"/>
    <m/>
    <s v="Yes"/>
    <m/>
    <s v="New"/>
    <s v="infasco"/>
    <n v="106.94"/>
    <n v="106.94"/>
  </r>
  <r>
    <x v="24"/>
    <x v="26"/>
    <s v="11546367-MY-AK"/>
    <n v="717497"/>
    <n v="36"/>
    <n v="700"/>
    <n v="25200"/>
    <n v="290"/>
    <s v="Yes"/>
    <m/>
    <s v="Yes"/>
    <m/>
    <s v="Yes"/>
    <m/>
    <s v="Yes"/>
    <m/>
    <s v="N/A"/>
    <m/>
    <s v="Yes"/>
    <m/>
    <s v="Yes"/>
    <m/>
    <s v="New"/>
    <s v="infasco"/>
    <n v="106.94"/>
    <n v="106.94"/>
  </r>
  <r>
    <x v="24"/>
    <x v="26"/>
    <s v="11546367-MY-AK"/>
    <n v="717030"/>
    <n v="32"/>
    <n v="700"/>
    <n v="22400"/>
    <n v="290"/>
    <s v="Yes"/>
    <m/>
    <s v="Yes"/>
    <m/>
    <s v="Yes"/>
    <m/>
    <s v="Yes"/>
    <m/>
    <s v="N/A"/>
    <m/>
    <s v="Yes"/>
    <m/>
    <s v="Yes"/>
    <m/>
    <s v="New"/>
    <s v="infasco"/>
    <n v="106.94"/>
    <n v="106.94"/>
  </r>
  <r>
    <x v="24"/>
    <x v="26"/>
    <s v="W711953-S900"/>
    <n v="717854"/>
    <n v="15"/>
    <n v="1750"/>
    <n v="26250"/>
    <n v="290"/>
    <s v="Yes"/>
    <m/>
    <s v="Yes"/>
    <m/>
    <s v="Yes"/>
    <m/>
    <s v="Yes"/>
    <m/>
    <s v="N/A"/>
    <m/>
    <s v="Yes"/>
    <m/>
    <s v="Yes"/>
    <m/>
    <s v="Re-certified"/>
    <s v="infasco"/>
    <n v="0"/>
    <n v="0"/>
  </r>
  <r>
    <x v="24"/>
    <x v="27"/>
    <n v="11549170"/>
    <n v="716923"/>
    <n v="8"/>
    <n v="400"/>
    <n v="3200"/>
    <n v="290"/>
    <s v="Yes"/>
    <m/>
    <s v="Yes"/>
    <m/>
    <s v="Yes"/>
    <m/>
    <s v="Yes"/>
    <m/>
    <s v="N/A"/>
    <m/>
    <s v="Yes"/>
    <m/>
    <s v="Yes"/>
    <m/>
    <s v="New"/>
    <s v="infasco"/>
    <n v="106.94"/>
    <n v="106.94"/>
  </r>
  <r>
    <x v="24"/>
    <x v="27"/>
    <n v="11549170"/>
    <n v="716918"/>
    <n v="50"/>
    <n v="400"/>
    <n v="20000"/>
    <n v="290"/>
    <s v="Yes"/>
    <m/>
    <s v="Yes"/>
    <m/>
    <s v="Yes"/>
    <m/>
    <s v="Yes"/>
    <m/>
    <s v="N/A"/>
    <m/>
    <s v="Yes"/>
    <m/>
    <s v="Yes"/>
    <m/>
    <s v="New"/>
    <s v="infasco"/>
    <n v="106.94"/>
    <n v="106.94"/>
  </r>
  <r>
    <x v="24"/>
    <x v="27"/>
    <n v="11549170"/>
    <n v="716919"/>
    <n v="28"/>
    <n v="400"/>
    <n v="11200"/>
    <n v="290"/>
    <s v="Yes"/>
    <m/>
    <s v="Yes"/>
    <m/>
    <s v="Yes"/>
    <m/>
    <s v="Yes"/>
    <m/>
    <s v="N/A"/>
    <m/>
    <s v="Yes"/>
    <m/>
    <s v="Yes"/>
    <m/>
    <s v="Re-certified"/>
    <s v="infasco"/>
    <n v="0"/>
    <n v="0"/>
  </r>
  <r>
    <x v="24"/>
    <x v="14"/>
    <n v="11612078"/>
    <n v="703121"/>
    <n v="16"/>
    <n v="1850"/>
    <n v="29600"/>
    <n v="4"/>
    <s v="Yes"/>
    <m/>
    <s v="Yes"/>
    <m/>
    <s v="Yes"/>
    <m/>
    <s v="Yes"/>
    <m/>
    <s v="N/A"/>
    <m/>
    <s v="Yes"/>
    <m/>
    <s v="Yes"/>
    <m/>
    <s v="New"/>
    <s v="infasco"/>
    <n v="247.64"/>
    <n v="247.64"/>
  </r>
  <r>
    <x v="24"/>
    <x v="14"/>
    <n v="11612078"/>
    <n v="710174"/>
    <n v="1"/>
    <n v="1850"/>
    <n v="1850"/>
    <n v="4"/>
    <s v="Yes"/>
    <m/>
    <s v="Yes"/>
    <m/>
    <s v="Yes"/>
    <m/>
    <s v="Yes"/>
    <m/>
    <s v="N/A"/>
    <m/>
    <s v="Yes"/>
    <m/>
    <s v="Yes"/>
    <m/>
    <s v="Re-certified"/>
    <s v="infasco"/>
    <n v="0"/>
    <n v="0"/>
  </r>
  <r>
    <x v="24"/>
    <x v="22"/>
    <s v="11610091-MY-AK"/>
    <n v="717288"/>
    <n v="21"/>
    <n v="2500"/>
    <n v="52500"/>
    <n v="280"/>
    <s v="Yes"/>
    <m/>
    <s v="Yes"/>
    <m/>
    <s v="Yes"/>
    <m/>
    <s v="Yes"/>
    <m/>
    <s v="N/A"/>
    <m/>
    <s v="Yes"/>
    <m/>
    <s v="Yes"/>
    <m/>
    <s v="New"/>
    <s v="infasco"/>
    <n v="106.94"/>
    <n v="106.94"/>
  </r>
  <r>
    <x v="24"/>
    <x v="22"/>
    <s v="11610091-MY-AK"/>
    <n v="717291"/>
    <n v="30"/>
    <n v="2500"/>
    <n v="75000"/>
    <n v="280"/>
    <s v="Yes"/>
    <m/>
    <s v="Yes"/>
    <m/>
    <s v="Yes"/>
    <m/>
    <s v="Yes"/>
    <m/>
    <s v="N/A"/>
    <m/>
    <s v="Yes"/>
    <m/>
    <s v="Yes"/>
    <m/>
    <s v="New"/>
    <s v="infasco"/>
    <n v="106.94"/>
    <n v="106.94"/>
  </r>
  <r>
    <x v="24"/>
    <x v="22"/>
    <s v="11610091-MY-AK"/>
    <n v="717287"/>
    <n v="22"/>
    <n v="2500"/>
    <n v="55000"/>
    <n v="280"/>
    <s v="Yes"/>
    <m/>
    <s v="Yes"/>
    <m/>
    <s v="Yes"/>
    <m/>
    <s v="Yes"/>
    <m/>
    <s v="N/A"/>
    <m/>
    <s v="Yes"/>
    <m/>
    <s v="Yes"/>
    <m/>
    <s v="Re-certified"/>
    <s v="infasco"/>
    <n v="0"/>
    <n v="0"/>
  </r>
  <r>
    <x v="24"/>
    <x v="25"/>
    <s v="11546389-PH-RO"/>
    <n v="717650"/>
    <n v="16"/>
    <n v="4500"/>
    <n v="72000"/>
    <n v="280"/>
    <s v="Yes"/>
    <m/>
    <s v="Yes"/>
    <m/>
    <s v="Yes"/>
    <m/>
    <s v="Yes"/>
    <m/>
    <s v="N/A"/>
    <m/>
    <s v="Yes"/>
    <m/>
    <s v="Yes"/>
    <m/>
    <s v="Re-certified"/>
    <s v="infasco"/>
    <n v="0"/>
    <n v="0"/>
  </r>
  <r>
    <x v="24"/>
    <x v="20"/>
    <s v="11546367-MY-AK"/>
    <n v="717507"/>
    <n v="12"/>
    <n v="700"/>
    <n v="8400"/>
    <n v="280"/>
    <s v="Yes"/>
    <m/>
    <s v="Yes"/>
    <m/>
    <s v="Yes"/>
    <m/>
    <s v="Yes"/>
    <m/>
    <s v="N/A"/>
    <m/>
    <s v="Yes"/>
    <m/>
    <s v="Yes"/>
    <m/>
    <s v="New"/>
    <s v="infasco"/>
    <n v="106.94"/>
    <n v="106.94"/>
  </r>
  <r>
    <x v="24"/>
    <x v="20"/>
    <s v="11546367-MY-AK"/>
    <n v="717508"/>
    <n v="32"/>
    <n v="700"/>
    <n v="22400"/>
    <n v="280"/>
    <s v="Yes"/>
    <m/>
    <s v="Yes"/>
    <m/>
    <s v="Yes"/>
    <m/>
    <s v="Yes"/>
    <m/>
    <s v="N/A"/>
    <m/>
    <s v="Yes"/>
    <m/>
    <s v="Yes"/>
    <m/>
    <s v="New"/>
    <s v="infasco"/>
    <n v="106.94"/>
    <n v="106.94"/>
  </r>
  <r>
    <x v="24"/>
    <x v="20"/>
    <s v="11546367-MY-AK"/>
    <n v="717489"/>
    <n v="12"/>
    <n v="700"/>
    <n v="8400"/>
    <n v="280"/>
    <s v="Yes"/>
    <m/>
    <s v="Yes"/>
    <m/>
    <s v="Yes"/>
    <m/>
    <s v="Yes"/>
    <m/>
    <s v="N/A"/>
    <m/>
    <s v="Yes"/>
    <m/>
    <s v="Yes"/>
    <m/>
    <s v="Re-certified"/>
    <s v="infasco"/>
    <n v="0"/>
    <n v="0"/>
  </r>
  <r>
    <x v="24"/>
    <x v="21"/>
    <s v="11546389-PH-RO"/>
    <n v="717649"/>
    <n v="22"/>
    <n v="4500"/>
    <n v="99000"/>
    <n v="280"/>
    <s v="Yes"/>
    <m/>
    <s v="Yes"/>
    <m/>
    <s v="Yes"/>
    <m/>
    <s v="Yes"/>
    <m/>
    <s v="N/A"/>
    <m/>
    <s v="Yes"/>
    <m/>
    <s v="Yes"/>
    <m/>
    <s v="New"/>
    <s v="infasco"/>
    <n v="106.94"/>
    <n v="106.94"/>
  </r>
  <r>
    <x v="24"/>
    <x v="21"/>
    <s v="11546389-PH-RO"/>
    <n v="717646"/>
    <n v="25"/>
    <n v="4500"/>
    <n v="112500"/>
    <n v="280"/>
    <s v="Yes"/>
    <m/>
    <s v="Yes"/>
    <m/>
    <s v="Yes"/>
    <m/>
    <s v="Yes"/>
    <m/>
    <s v="N/A"/>
    <m/>
    <s v="Yes"/>
    <m/>
    <s v="Yes"/>
    <m/>
    <s v="Re-certified"/>
    <s v="infasco"/>
    <n v="0"/>
    <n v="0"/>
  </r>
  <r>
    <x v="24"/>
    <x v="24"/>
    <s v="06512313AA"/>
    <n v="717535"/>
    <n v="20"/>
    <n v="3500"/>
    <n v="70000"/>
    <n v="280"/>
    <s v="Yes"/>
    <m/>
    <s v="Yes"/>
    <m/>
    <s v="Yes"/>
    <m/>
    <s v="Yes"/>
    <m/>
    <s v="N/A"/>
    <m/>
    <s v="Yes"/>
    <m/>
    <s v="Yes"/>
    <m/>
    <s v="Re-certified"/>
    <s v="infasco"/>
    <n v="0"/>
    <n v="0"/>
  </r>
  <r>
    <x v="24"/>
    <x v="15"/>
    <s v="W705606-S440"/>
    <n v="717979"/>
    <n v="33"/>
    <n v="580"/>
    <n v="19140"/>
    <s v="157+297"/>
    <s v="Yes"/>
    <m/>
    <s v="Yes"/>
    <m/>
    <s v="Yes"/>
    <m/>
    <s v="Yes"/>
    <m/>
    <s v="N/A"/>
    <m/>
    <s v="Yes"/>
    <m/>
    <s v="Yes"/>
    <m/>
    <s v="New"/>
    <s v="infasco"/>
    <n v="280.15999999999997"/>
    <n v="280.15999999999997"/>
  </r>
  <r>
    <x v="24"/>
    <x v="15"/>
    <s v="11546774-MY-AK"/>
    <n v="716285"/>
    <n v="36"/>
    <n v="450"/>
    <n v="16200"/>
    <s v="157+297"/>
    <s v="Yes"/>
    <m/>
    <s v="Yes"/>
    <m/>
    <s v="Yes"/>
    <m/>
    <s v="Yes"/>
    <m/>
    <s v="N/A"/>
    <m/>
    <s v="Yes"/>
    <m/>
    <s v="Yes"/>
    <m/>
    <s v="New"/>
    <s v="infasco"/>
    <n v="106.94"/>
    <n v="106.94"/>
  </r>
  <r>
    <x v="24"/>
    <x v="15"/>
    <s v="11546774-MY-AK"/>
    <n v="716175"/>
    <n v="22"/>
    <n v="450"/>
    <n v="9900"/>
    <s v="157+297"/>
    <s v="Yes"/>
    <m/>
    <s v="Yes"/>
    <m/>
    <s v="Yes"/>
    <m/>
    <s v="Yes"/>
    <m/>
    <s v="N/A"/>
    <m/>
    <s v="Yes"/>
    <m/>
    <s v="Yes"/>
    <m/>
    <s v="New"/>
    <s v="infasco"/>
    <n v="106.94"/>
    <n v="106.94"/>
  </r>
  <r>
    <x v="24"/>
    <x v="15"/>
    <n v="11548535"/>
    <n v="716969"/>
    <n v="36"/>
    <n v="150"/>
    <n v="5400"/>
    <s v="157+297"/>
    <s v="Yes"/>
    <m/>
    <s v="Yes"/>
    <m/>
    <s v="Yes"/>
    <m/>
    <s v="Yes"/>
    <m/>
    <s v="N/A"/>
    <m/>
    <s v="Yes"/>
    <m/>
    <s v="Yes"/>
    <m/>
    <s v="New"/>
    <s v="infasco"/>
    <n v="106.94"/>
    <n v="106.94"/>
  </r>
  <r>
    <x v="24"/>
    <x v="15"/>
    <s v="NU1405"/>
    <n v="718098"/>
    <n v="1"/>
    <n v="74919"/>
    <n v="74919"/>
    <s v="157+297"/>
    <s v="Yes"/>
    <m/>
    <s v="Yes"/>
    <m/>
    <s v="Yes"/>
    <m/>
    <s v="Yes"/>
    <m/>
    <s v="N/A"/>
    <m/>
    <s v="Yes"/>
    <m/>
    <s v="Yes"/>
    <m/>
    <s v="New"/>
    <s v="infasco"/>
    <n v="129.44999999999999"/>
    <n v="129.44999999999999"/>
  </r>
  <r>
    <x v="24"/>
    <x v="15"/>
    <n v="11602031"/>
    <n v="717900"/>
    <n v="31"/>
    <n v="145"/>
    <n v="4495"/>
    <s v="157+297"/>
    <s v="Yes"/>
    <m/>
    <s v="Yes"/>
    <m/>
    <s v="Yes"/>
    <m/>
    <s v="Yes"/>
    <m/>
    <s v="N/A"/>
    <m/>
    <s v="Yes"/>
    <m/>
    <s v="Yes"/>
    <m/>
    <s v="New"/>
    <s v="infasco"/>
    <n v="135.07999999999998"/>
    <n v="135.07999999999998"/>
  </r>
  <r>
    <x v="24"/>
    <x v="15"/>
    <n v="11546377"/>
    <n v="718135"/>
    <n v="27"/>
    <n v="2150"/>
    <n v="58050"/>
    <s v="157+297"/>
    <s v="Yes"/>
    <m/>
    <s v="Yes"/>
    <m/>
    <s v="Yes"/>
    <m/>
    <s v="Yes"/>
    <m/>
    <s v="N/A"/>
    <m/>
    <s v="Yes"/>
    <m/>
    <s v="Yes"/>
    <m/>
    <s v="New"/>
    <s v="infasco"/>
    <n v="106.94"/>
    <n v="106.94"/>
  </r>
  <r>
    <x v="24"/>
    <x v="15"/>
    <n v="11546377"/>
    <n v="718141"/>
    <n v="12"/>
    <n v="2150"/>
    <n v="25800"/>
    <s v="157+297"/>
    <s v="Yes"/>
    <m/>
    <s v="Yes"/>
    <m/>
    <s v="Yes"/>
    <m/>
    <s v="Yes"/>
    <m/>
    <s v="N/A"/>
    <m/>
    <s v="Yes"/>
    <m/>
    <s v="Yes"/>
    <m/>
    <s v="Re-certified"/>
    <s v="infasco"/>
    <n v="0"/>
    <n v="0"/>
  </r>
  <r>
    <x v="24"/>
    <x v="16"/>
    <s v="11546370-MY-AK"/>
    <n v="717168"/>
    <n v="14"/>
    <n v="220"/>
    <n v="3080"/>
    <s v="279+391"/>
    <s v="Yes"/>
    <m/>
    <s v="Yes"/>
    <m/>
    <s v="Yes"/>
    <m/>
    <s v="Yes"/>
    <m/>
    <s v="N/A"/>
    <m/>
    <s v="Yes"/>
    <m/>
    <s v="Yes"/>
    <m/>
    <s v="New"/>
    <s v="infasco"/>
    <n v="106.94"/>
    <n v="106.94"/>
  </r>
  <r>
    <x v="24"/>
    <x v="16"/>
    <n v="11604820"/>
    <n v="716429"/>
    <n v="14"/>
    <n v="330"/>
    <n v="4620"/>
    <s v="279+391"/>
    <s v="Yes"/>
    <m/>
    <s v="Yes"/>
    <m/>
    <s v="Yes"/>
    <m/>
    <s v="Yes"/>
    <m/>
    <s v="N/A"/>
    <m/>
    <s v="Yes"/>
    <m/>
    <s v="Yes"/>
    <m/>
    <s v="New"/>
    <s v="infasco"/>
    <n v="135.08000000000001"/>
    <n v="135.08000000000001"/>
  </r>
  <r>
    <x v="24"/>
    <x v="16"/>
    <s v="11546774-MY-AK"/>
    <n v="716165"/>
    <n v="20"/>
    <n v="450"/>
    <n v="9000"/>
    <s v="279+391"/>
    <s v="Yes"/>
    <m/>
    <s v="Yes"/>
    <m/>
    <s v="Yes"/>
    <m/>
    <s v="Yes"/>
    <m/>
    <s v="N/A"/>
    <m/>
    <s v="Yes"/>
    <m/>
    <s v="Yes"/>
    <m/>
    <s v="New"/>
    <s v="infasco"/>
    <n v="106.94"/>
    <n v="106.94"/>
  </r>
  <r>
    <x v="24"/>
    <x v="16"/>
    <s v="11546774-MY-AK"/>
    <n v="716286"/>
    <n v="19"/>
    <n v="450"/>
    <n v="8550"/>
    <s v="279+391"/>
    <s v="Yes"/>
    <m/>
    <s v="Yes"/>
    <m/>
    <s v="Yes"/>
    <m/>
    <s v="Yes"/>
    <m/>
    <s v="N/A"/>
    <m/>
    <s v="Yes"/>
    <m/>
    <s v="Yes"/>
    <m/>
    <s v="New"/>
    <s v="infasco"/>
    <n v="106.94"/>
    <n v="106.94"/>
  </r>
  <r>
    <x v="24"/>
    <x v="16"/>
    <n v="11549170"/>
    <n v="716575"/>
    <n v="33"/>
    <n v="400"/>
    <n v="13200"/>
    <s v="279+391"/>
    <s v="Yes"/>
    <m/>
    <s v="Yes"/>
    <m/>
    <s v="Yes"/>
    <m/>
    <s v="Yes"/>
    <m/>
    <s v="N/A"/>
    <m/>
    <s v="Yes"/>
    <m/>
    <s v="Yes"/>
    <m/>
    <s v="New"/>
    <s v="infasco"/>
    <n v="106.94"/>
    <n v="106.94"/>
  </r>
  <r>
    <x v="24"/>
    <x v="16"/>
    <s v="11502717-TH-TC"/>
    <n v="717543"/>
    <n v="38"/>
    <n v="1300"/>
    <n v="49400"/>
    <s v="279+391"/>
    <s v="Yes"/>
    <m/>
    <s v="Yes"/>
    <m/>
    <s v="Yes"/>
    <m/>
    <s v="Yes"/>
    <m/>
    <s v="N/A"/>
    <m/>
    <s v="Yes"/>
    <m/>
    <s v="Yes"/>
    <m/>
    <s v="New"/>
    <s v="infasco"/>
    <n v="129.44999999999999"/>
    <n v="129.44999999999999"/>
  </r>
  <r>
    <x v="24"/>
    <x v="16"/>
    <n v="11602031"/>
    <n v="717898"/>
    <n v="32"/>
    <n v="145"/>
    <n v="4640"/>
    <s v="279+391"/>
    <s v="Yes"/>
    <m/>
    <s v="Yes"/>
    <m/>
    <s v="Yes"/>
    <m/>
    <s v="Yes"/>
    <m/>
    <s v="N/A"/>
    <m/>
    <s v="Yes"/>
    <m/>
    <s v="Yes"/>
    <m/>
    <s v="New"/>
    <s v="infasco"/>
    <n v="135.07999999999998"/>
    <n v="135.07999999999998"/>
  </r>
  <r>
    <x v="24"/>
    <x v="16"/>
    <n v="11546377"/>
    <n v="718133"/>
    <n v="28"/>
    <n v="2150"/>
    <n v="60200"/>
    <s v="279+391"/>
    <s v="Yes"/>
    <m/>
    <s v="Yes"/>
    <m/>
    <s v="Yes"/>
    <m/>
    <s v="Yes"/>
    <m/>
    <s v="N/A"/>
    <m/>
    <s v="Yes"/>
    <m/>
    <s v="Yes"/>
    <m/>
    <s v="Re-certified"/>
    <s v="infasco"/>
    <n v="0"/>
    <n v="0"/>
  </r>
  <r>
    <x v="24"/>
    <x v="17"/>
    <s v="W705606-S440"/>
    <n v="717977"/>
    <n v="22"/>
    <n v="580"/>
    <n v="12760"/>
    <s v="190+268"/>
    <s v="Yes"/>
    <m/>
    <s v="Yes"/>
    <m/>
    <s v="Yes"/>
    <m/>
    <s v="Yes"/>
    <m/>
    <s v="N/A"/>
    <m/>
    <s v="Yes"/>
    <m/>
    <s v="Yes"/>
    <m/>
    <s v="New"/>
    <s v="infasco"/>
    <n v="280.15999999999997"/>
    <n v="280.15999999999997"/>
  </r>
  <r>
    <x v="24"/>
    <x v="17"/>
    <n v="11546703"/>
    <n v="715806"/>
    <n v="31"/>
    <n v="4000"/>
    <n v="124000"/>
    <s v="190+268"/>
    <s v="Yes"/>
    <m/>
    <s v="Yes"/>
    <m/>
    <s v="Yes"/>
    <m/>
    <s v="Yes"/>
    <m/>
    <s v="N/A"/>
    <m/>
    <s v="Yes"/>
    <m/>
    <s v="Yes"/>
    <m/>
    <s v="New"/>
    <s v="infasco"/>
    <n v="135.07999999999998"/>
    <n v="135.07999999999998"/>
  </r>
  <r>
    <x v="24"/>
    <x v="17"/>
    <n v="11546703"/>
    <n v="715812"/>
    <n v="34"/>
    <n v="4000"/>
    <n v="136000"/>
    <s v="190+268"/>
    <s v="Yes"/>
    <m/>
    <s v="Yes"/>
    <m/>
    <s v="Yes"/>
    <m/>
    <s v="Yes"/>
    <m/>
    <s v="N/A"/>
    <m/>
    <s v="Yes"/>
    <m/>
    <s v="Yes"/>
    <m/>
    <s v="New"/>
    <s v="infasco"/>
    <n v="135.07999999999998"/>
    <n v="135.07999999999998"/>
  </r>
  <r>
    <x v="24"/>
    <x v="17"/>
    <s v="7150-1710-03"/>
    <n v="717567"/>
    <n v="27"/>
    <n v="1100"/>
    <n v="29700"/>
    <s v="190+268"/>
    <s v="Yes"/>
    <m/>
    <s v="Yes"/>
    <m/>
    <s v="Yes"/>
    <m/>
    <s v="Yes"/>
    <m/>
    <s v="N/A"/>
    <m/>
    <s v="Yes"/>
    <m/>
    <s v="Yes"/>
    <m/>
    <s v="New"/>
    <s v="infasco"/>
    <n v="135.08000000000001"/>
    <n v="135.08000000000001"/>
  </r>
  <r>
    <x v="24"/>
    <x v="17"/>
    <s v="NU1405"/>
    <n v="718102"/>
    <n v="1"/>
    <n v="70450"/>
    <n v="70450"/>
    <s v="190+268"/>
    <s v="Yes"/>
    <m/>
    <s v="Yes"/>
    <m/>
    <s v="Yes"/>
    <m/>
    <s v="Yes"/>
    <m/>
    <s v="N/A"/>
    <m/>
    <s v="Yes"/>
    <m/>
    <s v="Yes"/>
    <m/>
    <s v="New"/>
    <s v="infasco"/>
    <n v="129.44999999999999"/>
    <n v="129.44999999999999"/>
  </r>
  <r>
    <x v="24"/>
    <x v="17"/>
    <s v="NU1405"/>
    <n v="718097"/>
    <n v="1"/>
    <n v="74100"/>
    <n v="74100"/>
    <s v="190+268"/>
    <s v="Yes"/>
    <m/>
    <s v="Yes"/>
    <m/>
    <s v="Yes"/>
    <m/>
    <s v="Yes"/>
    <m/>
    <s v="N/A"/>
    <m/>
    <s v="Yes"/>
    <m/>
    <s v="Yes"/>
    <m/>
    <s v="New"/>
    <s v="infasco"/>
    <n v="129.44999999999999"/>
    <n v="129.44999999999999"/>
  </r>
  <r>
    <x v="24"/>
    <x v="17"/>
    <s v="11546368-MY-AK"/>
    <n v="716353"/>
    <n v="36"/>
    <n v="450"/>
    <n v="16200"/>
    <s v="190+268"/>
    <s v="Yes"/>
    <m/>
    <s v="Yes"/>
    <m/>
    <s v="Yes"/>
    <m/>
    <s v="Yes"/>
    <m/>
    <s v="N/A"/>
    <m/>
    <s v="Yes"/>
    <m/>
    <s v="Yes"/>
    <m/>
    <s v="New"/>
    <s v="infasco"/>
    <n v="106.94"/>
    <n v="106.94"/>
  </r>
  <r>
    <x v="24"/>
    <x v="17"/>
    <s v="11546368-MY-AK"/>
    <n v="716356"/>
    <n v="32"/>
    <n v="450"/>
    <n v="14400"/>
    <s v="190+268"/>
    <s v="Yes"/>
    <m/>
    <s v="Yes"/>
    <m/>
    <s v="Yes"/>
    <m/>
    <s v="Yes"/>
    <m/>
    <s v="N/A"/>
    <m/>
    <s v="Yes"/>
    <m/>
    <s v="Yes"/>
    <m/>
    <s v="New"/>
    <s v="infasco"/>
    <n v="106.94"/>
    <n v="106.94"/>
  </r>
  <r>
    <x v="24"/>
    <x v="17"/>
    <n v="11546377"/>
    <n v="718134"/>
    <n v="18"/>
    <n v="2150"/>
    <n v="38700"/>
    <s v="190+268"/>
    <s v="Yes"/>
    <m/>
    <s v="Yes"/>
    <m/>
    <s v="Yes"/>
    <m/>
    <s v="Yes"/>
    <m/>
    <s v="N/A"/>
    <m/>
    <s v="Yes"/>
    <m/>
    <s v="Yes"/>
    <m/>
    <s v="Re-certified"/>
    <s v="infasco"/>
    <n v="0"/>
    <n v="0"/>
  </r>
  <r>
    <x v="24"/>
    <x v="32"/>
    <s v="22800396-IN-PN"/>
    <n v="716955"/>
    <n v="16"/>
    <n v="1300"/>
    <n v="20800"/>
    <s v="252+11"/>
    <s v="Yes"/>
    <m/>
    <s v="Yes"/>
    <m/>
    <s v="Yes"/>
    <m/>
    <s v="Yes"/>
    <m/>
    <s v="N/A"/>
    <m/>
    <s v="Yes"/>
    <m/>
    <s v="Yes"/>
    <m/>
    <s v="New"/>
    <s v="infasco"/>
    <n v="124.18"/>
    <n v="124.18"/>
  </r>
  <r>
    <x v="24"/>
    <x v="32"/>
    <s v="NU1405"/>
    <n v="718099"/>
    <n v="1"/>
    <n v="75000"/>
    <n v="75000"/>
    <s v="252+11"/>
    <s v="Yes"/>
    <m/>
    <s v="Yes"/>
    <m/>
    <s v="Yes"/>
    <m/>
    <s v="Yes"/>
    <m/>
    <s v="N/A"/>
    <m/>
    <s v="Yes"/>
    <m/>
    <s v="Yes"/>
    <m/>
    <s v="New"/>
    <s v="infasco"/>
    <n v="129.44999999999999"/>
    <n v="129.44999999999999"/>
  </r>
  <r>
    <x v="24"/>
    <x v="32"/>
    <s v="NU1405"/>
    <n v="718101"/>
    <n v="1"/>
    <n v="75000"/>
    <n v="75000"/>
    <s v="252+11"/>
    <s v="Yes"/>
    <m/>
    <s v="Yes"/>
    <m/>
    <s v="Yes"/>
    <m/>
    <s v="Yes"/>
    <m/>
    <s v="N/A"/>
    <m/>
    <s v="Yes"/>
    <m/>
    <s v="Yes"/>
    <m/>
    <s v="New"/>
    <s v="infasco"/>
    <n v="129.44999999999999"/>
    <n v="129.44999999999999"/>
  </r>
  <r>
    <x v="24"/>
    <x v="32"/>
    <s v="NU1405"/>
    <n v="718100"/>
    <n v="1"/>
    <n v="79050"/>
    <n v="79050"/>
    <s v="252+11"/>
    <s v="Yes"/>
    <m/>
    <s v="Yes"/>
    <m/>
    <s v="Yes"/>
    <m/>
    <s v="Yes"/>
    <m/>
    <s v="N/A"/>
    <m/>
    <s v="Yes"/>
    <m/>
    <s v="Yes"/>
    <m/>
    <s v="New"/>
    <s v="infasco"/>
    <n v="129.44999999999999"/>
    <n v="129.44999999999999"/>
  </r>
  <r>
    <x v="24"/>
    <x v="32"/>
    <n v="11602031"/>
    <n v="717901"/>
    <n v="13"/>
    <n v="145"/>
    <n v="1885"/>
    <s v="252+11"/>
    <s v="Yes"/>
    <m/>
    <s v="Yes"/>
    <m/>
    <s v="Yes"/>
    <m/>
    <s v="Yes"/>
    <m/>
    <s v="N/A"/>
    <m/>
    <s v="Yes"/>
    <m/>
    <s v="Yes"/>
    <m/>
    <s v="New"/>
    <s v="infasco"/>
    <n v="135.07999999999998"/>
    <n v="135.07999999999998"/>
  </r>
  <r>
    <x v="24"/>
    <x v="32"/>
    <s v="W705606-S440"/>
    <n v="717918"/>
    <n v="37"/>
    <n v="580"/>
    <n v="21460"/>
    <s v="252+11"/>
    <s v="Yes"/>
    <m/>
    <s v="Yes"/>
    <m/>
    <s v="Yes"/>
    <m/>
    <s v="Yes"/>
    <m/>
    <s v="N/A"/>
    <m/>
    <s v="Yes"/>
    <m/>
    <s v="Yes"/>
    <m/>
    <s v="New"/>
    <s v="infasco"/>
    <n v="280.15999999999997"/>
    <n v="280.15999999999997"/>
  </r>
  <r>
    <x v="24"/>
    <x v="32"/>
    <s v="11546774-MY-AK"/>
    <n v="716287"/>
    <n v="36"/>
    <n v="450"/>
    <n v="16200"/>
    <s v="252+11"/>
    <s v="Yes"/>
    <m/>
    <s v="Yes"/>
    <m/>
    <s v="Yes"/>
    <m/>
    <s v="Yes"/>
    <m/>
    <s v="N/A"/>
    <m/>
    <s v="Yes"/>
    <m/>
    <s v="Yes"/>
    <m/>
    <s v="New"/>
    <s v="infasco"/>
    <n v="106.94"/>
    <n v="106.94"/>
  </r>
  <r>
    <x v="24"/>
    <x v="32"/>
    <s v="11546774-MY-AK"/>
    <n v="716164"/>
    <n v="36"/>
    <n v="450"/>
    <n v="16200"/>
    <s v="252+11"/>
    <s v="Yes"/>
    <m/>
    <s v="Yes"/>
    <m/>
    <s v="Yes"/>
    <m/>
    <s v="Yes"/>
    <m/>
    <s v="N/A"/>
    <m/>
    <s v="Yes"/>
    <m/>
    <s v="Yes"/>
    <m/>
    <s v="New"/>
    <s v="infasco"/>
    <n v="106.94"/>
    <n v="106.94"/>
  </r>
  <r>
    <x v="24"/>
    <x v="32"/>
    <s v="11546774-MY-AK"/>
    <n v="716284"/>
    <n v="22"/>
    <n v="450"/>
    <n v="9900"/>
    <s v="252+11"/>
    <s v="Yes"/>
    <m/>
    <s v="Yes"/>
    <m/>
    <s v="Yes"/>
    <m/>
    <s v="Yes"/>
    <m/>
    <s v="N/A"/>
    <m/>
    <s v="Yes"/>
    <m/>
    <s v="Yes"/>
    <m/>
    <s v="New"/>
    <s v="infasco"/>
    <n v="106.94"/>
    <n v="106.94"/>
  </r>
  <r>
    <x v="24"/>
    <x v="13"/>
    <s v="PZ18-7P483-AA"/>
    <n v="716412"/>
    <n v="13"/>
    <n v="195"/>
    <n v="2535"/>
    <n v="285"/>
    <s v="Yes"/>
    <m/>
    <s v="Yes"/>
    <m/>
    <s v="Yes"/>
    <m/>
    <s v="Yes"/>
    <m/>
    <s v="N/A"/>
    <m/>
    <s v="Yes"/>
    <m/>
    <s v="Yes"/>
    <m/>
    <s v="Re-certified"/>
    <s v="infasco"/>
    <n v="0"/>
    <n v="0"/>
  </r>
  <r>
    <x v="25"/>
    <x v="8"/>
    <s v="06101831-A"/>
    <n v="717407"/>
    <n v="16"/>
    <n v="1000"/>
    <n v="16000"/>
    <n v="275"/>
    <s v="Yes"/>
    <m/>
    <s v="Yes"/>
    <m/>
    <s v="Yes"/>
    <m/>
    <s v="Yes"/>
    <m/>
    <s v="N/A"/>
    <m/>
    <s v="Yes"/>
    <m/>
    <s v="Yes"/>
    <m/>
    <s v="New"/>
    <s v="infasco"/>
    <n v="106.94"/>
    <n v="106.94"/>
  </r>
  <r>
    <x v="25"/>
    <x v="8"/>
    <s v="06101831-A"/>
    <n v="717915"/>
    <n v="36"/>
    <n v="1000"/>
    <n v="36000"/>
    <n v="275"/>
    <s v="Yes"/>
    <m/>
    <s v="Yes"/>
    <m/>
    <s v="Yes"/>
    <m/>
    <s v="Yes"/>
    <m/>
    <s v="N/A"/>
    <m/>
    <s v="Yes"/>
    <m/>
    <s v="Yes"/>
    <m/>
    <s v="New"/>
    <s v="infasco"/>
    <n v="106.94"/>
    <n v="106.94"/>
  </r>
  <r>
    <x v="25"/>
    <x v="8"/>
    <s v="06101831-A"/>
    <n v="717912"/>
    <n v="12"/>
    <n v="1000"/>
    <n v="12000"/>
    <n v="275"/>
    <s v="Yes"/>
    <m/>
    <s v="Yes"/>
    <m/>
    <s v="Yes"/>
    <m/>
    <s v="Yes"/>
    <m/>
    <s v="N/A"/>
    <m/>
    <s v="Yes"/>
    <m/>
    <s v="Yes"/>
    <m/>
    <s v="New"/>
    <s v="infasco"/>
    <n v="106.94"/>
    <n v="106.94"/>
  </r>
  <r>
    <x v="25"/>
    <x v="8"/>
    <s v="06101831-A"/>
    <n v="717968"/>
    <n v="5"/>
    <n v="1000"/>
    <n v="5000"/>
    <n v="275"/>
    <s v="Yes"/>
    <m/>
    <s v="Yes"/>
    <m/>
    <s v="Yes"/>
    <m/>
    <s v="Yes"/>
    <m/>
    <s v="N/A"/>
    <m/>
    <s v="Yes"/>
    <m/>
    <s v="Yes"/>
    <m/>
    <s v="Re-certified"/>
    <s v="infasco"/>
    <n v="0"/>
    <n v="0"/>
  </r>
  <r>
    <x v="25"/>
    <x v="11"/>
    <s v="11546389-PH-RO"/>
    <n v="717647"/>
    <n v="9"/>
    <n v="4500"/>
    <n v="40500"/>
    <n v="275"/>
    <s v="Yes"/>
    <m/>
    <s v="Yes"/>
    <m/>
    <s v="Yes"/>
    <m/>
    <s v="Yes"/>
    <m/>
    <s v="N/A"/>
    <m/>
    <s v="Yes"/>
    <m/>
    <s v="Yes"/>
    <m/>
    <s v="New"/>
    <s v="infasco"/>
    <n v="106.94"/>
    <n v="106.94"/>
  </r>
  <r>
    <x v="25"/>
    <x v="9"/>
    <s v="11546389-PH-RO"/>
    <n v="717643"/>
    <n v="20"/>
    <n v="4500"/>
    <n v="90000"/>
    <n v="275"/>
    <s v="Yes"/>
    <m/>
    <s v="Yes"/>
    <m/>
    <s v="Yes"/>
    <m/>
    <s v="Yes"/>
    <m/>
    <s v="N/A"/>
    <m/>
    <s v="Yes"/>
    <m/>
    <s v="Yes"/>
    <m/>
    <s v="New"/>
    <s v="infasco"/>
    <n v="106.94"/>
    <n v="106.94"/>
  </r>
  <r>
    <x v="25"/>
    <x v="9"/>
    <s v="P7241250"/>
    <n v="714675"/>
    <n v="20"/>
    <n v="1900"/>
    <n v="38000"/>
    <n v="275"/>
    <s v="Yes"/>
    <m/>
    <s v="Yes"/>
    <m/>
    <s v="Yes"/>
    <m/>
    <s v="Yes"/>
    <m/>
    <s v="N/A"/>
    <m/>
    <s v="Yes"/>
    <m/>
    <s v="Yes"/>
    <m/>
    <s v="Re-certified"/>
    <s v="infasco"/>
    <n v="0"/>
    <n v="0"/>
  </r>
  <r>
    <x v="25"/>
    <x v="10"/>
    <n v="11546377"/>
    <n v="718132"/>
    <n v="11"/>
    <n v="2150"/>
    <n v="23650"/>
    <n v="275"/>
    <s v="Yes"/>
    <m/>
    <s v="Yes"/>
    <m/>
    <s v="Yes"/>
    <m/>
    <s v="Yes"/>
    <m/>
    <s v="N/A"/>
    <m/>
    <s v="Yes"/>
    <m/>
    <s v="Yes"/>
    <m/>
    <s v="New"/>
    <s v="infasco"/>
    <n v="106.94"/>
    <n v="106.94"/>
  </r>
  <r>
    <x v="25"/>
    <x v="10"/>
    <n v="11546377"/>
    <n v="718140"/>
    <n v="16"/>
    <n v="2150"/>
    <n v="34400"/>
    <n v="275"/>
    <s v="Yes"/>
    <m/>
    <s v="Yes"/>
    <m/>
    <s v="Yes"/>
    <m/>
    <s v="Yes"/>
    <m/>
    <s v="N/A"/>
    <m/>
    <s v="Yes"/>
    <m/>
    <s v="Yes"/>
    <m/>
    <s v="New"/>
    <s v="infasco"/>
    <n v="106.94"/>
    <n v="106.94"/>
  </r>
  <r>
    <x v="25"/>
    <x v="10"/>
    <n v="11546377"/>
    <n v="718139"/>
    <n v="13"/>
    <n v="2150"/>
    <n v="27950"/>
    <n v="275"/>
    <s v="Yes"/>
    <m/>
    <s v="Yes"/>
    <m/>
    <s v="Yes"/>
    <m/>
    <s v="Yes"/>
    <m/>
    <s v="N/A"/>
    <m/>
    <s v="Yes"/>
    <m/>
    <s v="Yes"/>
    <m/>
    <s v="Re-certified"/>
    <s v="infasco"/>
    <n v="0"/>
    <n v="0"/>
  </r>
  <r>
    <x v="25"/>
    <x v="6"/>
    <s v="11610091-MY-AK"/>
    <n v="717289"/>
    <n v="1"/>
    <n v="2500"/>
    <n v="2500"/>
    <n v="275"/>
    <s v="Yes"/>
    <m/>
    <s v="Yes"/>
    <m/>
    <s v="Yes"/>
    <m/>
    <s v="Yes"/>
    <m/>
    <s v="N/A"/>
    <m/>
    <s v="Yes"/>
    <m/>
    <s v="Yes"/>
    <m/>
    <s v="New"/>
    <s v="infasco"/>
    <n v="106.94"/>
    <n v="106.94"/>
  </r>
  <r>
    <x v="25"/>
    <x v="6"/>
    <s v="11610091-MY-AK"/>
    <n v="717285"/>
    <n v="29"/>
    <n v="2500"/>
    <n v="72500"/>
    <n v="275"/>
    <s v="Yes"/>
    <m/>
    <s v="Yes"/>
    <m/>
    <s v="Yes"/>
    <m/>
    <s v="Yes"/>
    <m/>
    <s v="N/A"/>
    <m/>
    <s v="Yes"/>
    <m/>
    <s v="Yes"/>
    <m/>
    <s v="New"/>
    <s v="infasco"/>
    <n v="106.94"/>
    <n v="106.94"/>
  </r>
  <r>
    <x v="25"/>
    <x v="6"/>
    <s v="11546377-PH-RO"/>
    <n v="718120"/>
    <n v="6"/>
    <n v="2150"/>
    <n v="12900"/>
    <n v="275"/>
    <s v="Yes"/>
    <m/>
    <s v="Yes"/>
    <m/>
    <s v="Yes"/>
    <m/>
    <s v="Yes"/>
    <m/>
    <s v="N/A"/>
    <m/>
    <s v="Yes"/>
    <m/>
    <s v="Yes"/>
    <m/>
    <s v="Re-certified"/>
    <s v="infasco"/>
    <n v="0"/>
    <n v="0"/>
  </r>
  <r>
    <x v="25"/>
    <x v="12"/>
    <s v="06100050-A"/>
    <n v="717261"/>
    <n v="25"/>
    <n v="1500"/>
    <n v="37500"/>
    <n v="275"/>
    <s v="Yes"/>
    <m/>
    <s v="Yes"/>
    <m/>
    <s v="Yes"/>
    <m/>
    <s v="Yes"/>
    <m/>
    <s v="N/A"/>
    <m/>
    <s v="Yes"/>
    <m/>
    <s v="Yes"/>
    <m/>
    <s v="New"/>
    <s v="infasco"/>
    <n v="106.94"/>
    <n v="106.94"/>
  </r>
  <r>
    <x v="25"/>
    <x v="12"/>
    <n v="11549170"/>
    <n v="716924"/>
    <n v="36"/>
    <n v="400"/>
    <n v="14400"/>
    <n v="275"/>
    <s v="Yes"/>
    <m/>
    <s v="Yes"/>
    <m/>
    <s v="Yes"/>
    <m/>
    <s v="Yes"/>
    <m/>
    <s v="N/A"/>
    <m/>
    <s v="Yes"/>
    <m/>
    <s v="Yes"/>
    <m/>
    <s v="New"/>
    <s v="infasco"/>
    <n v="106.94"/>
    <n v="106.94"/>
  </r>
  <r>
    <x v="25"/>
    <x v="12"/>
    <n v="11549170"/>
    <n v="716934"/>
    <n v="16"/>
    <n v="400"/>
    <n v="6400"/>
    <n v="275"/>
    <s v="Yes"/>
    <m/>
    <s v="Yes"/>
    <m/>
    <s v="Yes"/>
    <m/>
    <s v="Yes"/>
    <m/>
    <s v="N/A"/>
    <m/>
    <s v="Yes"/>
    <m/>
    <s v="Yes"/>
    <m/>
    <s v="Re-certified"/>
    <s v="infasco"/>
    <n v="0"/>
    <n v="0"/>
  </r>
  <r>
    <x v="25"/>
    <x v="1"/>
    <n v="11546545"/>
    <n v="717324"/>
    <n v="26"/>
    <n v="2500"/>
    <n v="65000"/>
    <n v="292"/>
    <s v="Yes"/>
    <m/>
    <s v="Yes"/>
    <m/>
    <s v="Yes"/>
    <m/>
    <s v="Yes"/>
    <m/>
    <s v="N/A"/>
    <m/>
    <s v="Yes"/>
    <m/>
    <s v="Yes"/>
    <m/>
    <s v="New"/>
    <s v="infasco"/>
    <n v="106.94"/>
    <n v="106.94"/>
  </r>
  <r>
    <x v="25"/>
    <x v="19"/>
    <s v="11546378-my-ak"/>
    <n v="717177"/>
    <n v="22"/>
    <n v="1250"/>
    <n v="27500"/>
    <n v="292"/>
    <s v="Yes"/>
    <m/>
    <s v="Yes"/>
    <m/>
    <s v="Yes"/>
    <m/>
    <s v="Yes"/>
    <m/>
    <s v="N/A"/>
    <m/>
    <s v="Yes"/>
    <m/>
    <s v="Yes"/>
    <m/>
    <s v="New"/>
    <s v="infasco"/>
    <n v="106.94"/>
    <n v="106.94"/>
  </r>
  <r>
    <x v="25"/>
    <x v="19"/>
    <n v="11546377"/>
    <n v="718142"/>
    <n v="36"/>
    <n v="2150"/>
    <n v="77400"/>
    <n v="292"/>
    <s v="Yes"/>
    <m/>
    <s v="Yes"/>
    <m/>
    <s v="Yes"/>
    <m/>
    <s v="Yes"/>
    <m/>
    <s v="N/A"/>
    <m/>
    <s v="Yes"/>
    <m/>
    <s v="Yes"/>
    <m/>
    <s v="New"/>
    <s v="infasco"/>
    <n v="106.94"/>
    <n v="106.94"/>
  </r>
  <r>
    <x v="25"/>
    <x v="0"/>
    <n v="11546377"/>
    <n v="718131"/>
    <n v="23"/>
    <n v="2150"/>
    <n v="49450"/>
    <n v="292"/>
    <s v="Yes"/>
    <m/>
    <s v="Yes"/>
    <m/>
    <s v="Yes"/>
    <m/>
    <s v="Yes"/>
    <m/>
    <s v="N/A"/>
    <m/>
    <s v="Yes"/>
    <m/>
    <s v="Yes"/>
    <m/>
    <s v="New"/>
    <s v="infasco"/>
    <n v="106.94"/>
    <n v="106.94"/>
  </r>
  <r>
    <x v="25"/>
    <x v="0"/>
    <s v="11546377-PH-RO"/>
    <n v="718124"/>
    <n v="3"/>
    <n v="2150"/>
    <n v="6450"/>
    <n v="292"/>
    <s v="Yes"/>
    <m/>
    <s v="Yes"/>
    <m/>
    <s v="Yes"/>
    <m/>
    <s v="Yes"/>
    <m/>
    <s v="N/A"/>
    <m/>
    <s v="Yes"/>
    <m/>
    <s v="Yes"/>
    <m/>
    <s v="Re-certified"/>
    <s v="infasco"/>
    <n v="0"/>
    <n v="0"/>
  </r>
  <r>
    <x v="25"/>
    <x v="3"/>
    <s v="11546368-MY-AK"/>
    <n v="716362"/>
    <n v="10"/>
    <n v="450"/>
    <n v="4500"/>
    <n v="292"/>
    <s v="Yes"/>
    <m/>
    <s v="Yes"/>
    <m/>
    <s v="Yes"/>
    <m/>
    <s v="Yes"/>
    <m/>
    <s v="N/A"/>
    <m/>
    <s v="Yes"/>
    <m/>
    <s v="Yes"/>
    <m/>
    <s v="New"/>
    <s v="infasco"/>
    <n v="106.94"/>
    <n v="106.94"/>
  </r>
  <r>
    <x v="25"/>
    <x v="3"/>
    <s v="11546368-MY-AK"/>
    <n v="716361"/>
    <n v="31"/>
    <n v="450"/>
    <n v="13950"/>
    <n v="292"/>
    <s v="Yes"/>
    <m/>
    <s v="Yes"/>
    <m/>
    <s v="Yes"/>
    <m/>
    <s v="Yes"/>
    <m/>
    <s v="N/A"/>
    <m/>
    <s v="Yes"/>
    <m/>
    <s v="Yes"/>
    <m/>
    <s v="New"/>
    <s v="infasco"/>
    <n v="106.94"/>
    <n v="106.94"/>
  </r>
  <r>
    <x v="25"/>
    <x v="3"/>
    <s v="11546368-MY-AK"/>
    <n v="716364"/>
    <n v="31"/>
    <n v="450"/>
    <n v="13950"/>
    <n v="292"/>
    <s v="Yes"/>
    <m/>
    <s v="Yes"/>
    <m/>
    <s v="Yes"/>
    <m/>
    <s v="Yes"/>
    <m/>
    <s v="N/A"/>
    <m/>
    <s v="Yes"/>
    <m/>
    <s v="Yes"/>
    <m/>
    <s v="New"/>
    <s v="infasco"/>
    <n v="106.94"/>
    <n v="106.94"/>
  </r>
  <r>
    <x v="25"/>
    <x v="3"/>
    <s v="11546368-MY-AK"/>
    <n v="716368"/>
    <n v="34"/>
    <n v="450"/>
    <n v="15300"/>
    <n v="292"/>
    <s v="Yes"/>
    <m/>
    <s v="Yes"/>
    <m/>
    <s v="Yes"/>
    <m/>
    <s v="Yes"/>
    <m/>
    <s v="N/A"/>
    <m/>
    <s v="Yes"/>
    <m/>
    <s v="Yes"/>
    <m/>
    <s v="New"/>
    <s v="infasco"/>
    <n v="106.94"/>
    <n v="106.94"/>
  </r>
  <r>
    <x v="25"/>
    <x v="3"/>
    <s v="11546368-MY-AK"/>
    <n v="716358"/>
    <n v="18"/>
    <n v="450"/>
    <n v="8100"/>
    <n v="292"/>
    <s v="Yes"/>
    <m/>
    <s v="Yes"/>
    <m/>
    <s v="Yes"/>
    <m/>
    <s v="Yes"/>
    <m/>
    <s v="N/A"/>
    <m/>
    <s v="Yes"/>
    <m/>
    <s v="Yes"/>
    <m/>
    <s v="New"/>
    <s v="infasco"/>
    <n v="106.94"/>
    <n v="106.94"/>
  </r>
  <r>
    <x v="25"/>
    <x v="4"/>
    <s v="11546389-PH-RO"/>
    <n v="717645"/>
    <n v="13"/>
    <n v="4500"/>
    <n v="58500"/>
    <n v="292"/>
    <s v="Yes"/>
    <m/>
    <s v="Yes"/>
    <m/>
    <s v="Yes"/>
    <m/>
    <s v="Yes"/>
    <m/>
    <s v="N/A"/>
    <m/>
    <s v="Yes"/>
    <m/>
    <s v="Yes"/>
    <m/>
    <s v="New"/>
    <s v="infasco"/>
    <n v="106.94"/>
    <n v="106.94"/>
  </r>
  <r>
    <x v="25"/>
    <x v="4"/>
    <s v="11546389-PH-RO"/>
    <n v="717642"/>
    <n v="8"/>
    <n v="4500"/>
    <n v="36000"/>
    <n v="292"/>
    <s v="Yes"/>
    <m/>
    <s v="Yes"/>
    <m/>
    <s v="Yes"/>
    <m/>
    <s v="Yes"/>
    <m/>
    <s v="N/A"/>
    <m/>
    <s v="Yes"/>
    <m/>
    <s v="Yes"/>
    <m/>
    <s v="New"/>
    <s v="infasco"/>
    <n v="106.94"/>
    <n v="106.94"/>
  </r>
  <r>
    <x v="25"/>
    <x v="4"/>
    <s v="11546377-PH-RO"/>
    <n v="718123"/>
    <n v="6"/>
    <n v="2150"/>
    <n v="12900"/>
    <n v="292"/>
    <s v="Yes"/>
    <m/>
    <s v="Yes"/>
    <m/>
    <s v="Yes"/>
    <m/>
    <s v="Yes"/>
    <m/>
    <s v="N/A"/>
    <m/>
    <s v="Yes"/>
    <m/>
    <s v="Yes"/>
    <m/>
    <s v="Re-certified"/>
    <s v="infasco"/>
    <n v="0"/>
    <n v="0"/>
  </r>
  <r>
    <x v="25"/>
    <x v="5"/>
    <s v="11610091-MY-AK"/>
    <n v="717566"/>
    <n v="36"/>
    <n v="2500"/>
    <n v="90000"/>
    <n v="292"/>
    <s v="Yes"/>
    <m/>
    <s v="Yes"/>
    <m/>
    <s v="Yes"/>
    <m/>
    <s v="Yes"/>
    <m/>
    <s v="N/A"/>
    <m/>
    <s v="Yes"/>
    <m/>
    <s v="Yes"/>
    <m/>
    <s v="New"/>
    <s v="infasco"/>
    <n v="106.94"/>
    <n v="106.94"/>
  </r>
  <r>
    <x v="25"/>
    <x v="5"/>
    <s v="11610091-MY-AK"/>
    <n v="717563"/>
    <n v="5"/>
    <n v="2500"/>
    <n v="12500"/>
    <n v="292"/>
    <s v="Yes"/>
    <m/>
    <s v="Yes"/>
    <m/>
    <s v="Yes"/>
    <m/>
    <s v="Yes"/>
    <m/>
    <s v="N/A"/>
    <m/>
    <s v="Yes"/>
    <m/>
    <s v="Yes"/>
    <m/>
    <s v="Re-certified"/>
    <s v="infasco"/>
    <n v="0"/>
    <n v="0"/>
  </r>
  <r>
    <x v="25"/>
    <x v="2"/>
    <s v="06101831-A"/>
    <n v="717403"/>
    <n v="36"/>
    <n v="1000"/>
    <n v="36000"/>
    <n v="292"/>
    <s v="Yes"/>
    <m/>
    <s v="Yes"/>
    <m/>
    <s v="Yes"/>
    <m/>
    <s v="Yes"/>
    <m/>
    <s v="N/A"/>
    <m/>
    <s v="Yes"/>
    <m/>
    <s v="Yes"/>
    <m/>
    <s v="New"/>
    <s v="infasco"/>
    <n v="106.94"/>
    <n v="106.94"/>
  </r>
  <r>
    <x v="25"/>
    <x v="2"/>
    <s v="06101831-A"/>
    <n v="717916"/>
    <n v="5"/>
    <n v="1000"/>
    <n v="5000"/>
    <n v="292"/>
    <s v="Yes"/>
    <m/>
    <s v="Yes"/>
    <m/>
    <s v="Yes"/>
    <m/>
    <s v="Yes"/>
    <m/>
    <s v="N/A"/>
    <m/>
    <s v="Yes"/>
    <m/>
    <s v="Yes"/>
    <m/>
    <s v="Re-certified"/>
    <s v="infasco"/>
    <n v="0"/>
    <n v="0"/>
  </r>
  <r>
    <x v="25"/>
    <x v="29"/>
    <n v="11546389"/>
    <n v="717702"/>
    <n v="7"/>
    <n v="4500"/>
    <n v="31500"/>
    <n v="290"/>
    <s v="Yes"/>
    <m/>
    <s v="Yes"/>
    <m/>
    <s v="Yes"/>
    <m/>
    <s v="Yes"/>
    <m/>
    <s v="N/A"/>
    <m/>
    <s v="Yes"/>
    <m/>
    <s v="Yes"/>
    <m/>
    <s v="New"/>
    <s v="infasco"/>
    <n v="106.94"/>
    <n v="106.94"/>
  </r>
  <r>
    <x v="25"/>
    <x v="29"/>
    <s v="11546389-PH-RO"/>
    <n v="717651"/>
    <n v="3"/>
    <n v="4500"/>
    <n v="13500"/>
    <n v="290"/>
    <s v="Yes"/>
    <m/>
    <s v="Yes"/>
    <m/>
    <s v="Yes"/>
    <m/>
    <s v="Yes"/>
    <m/>
    <s v="N/A"/>
    <m/>
    <s v="Yes"/>
    <m/>
    <s v="Yes"/>
    <m/>
    <s v="New"/>
    <s v="infasco"/>
    <n v="106.94"/>
    <n v="106.94"/>
  </r>
  <r>
    <x v="25"/>
    <x v="29"/>
    <s v="06101736-A"/>
    <n v="717766"/>
    <n v="5"/>
    <n v="3200"/>
    <n v="16000"/>
    <n v="290"/>
    <s v="Yes"/>
    <m/>
    <s v="Yes"/>
    <m/>
    <s v="Yes"/>
    <m/>
    <s v="Yes"/>
    <m/>
    <s v="N/A"/>
    <m/>
    <s v="Yes"/>
    <m/>
    <s v="Yes"/>
    <m/>
    <s v="Re-certified"/>
    <s v="infasco"/>
    <n v="0"/>
    <n v="0"/>
  </r>
  <r>
    <x v="25"/>
    <x v="30"/>
    <s v="11549171-MY-AK"/>
    <n v="717207"/>
    <n v="37"/>
    <n v="280"/>
    <n v="10360"/>
    <n v="290"/>
    <s v="Yes"/>
    <m/>
    <s v="Yes"/>
    <m/>
    <s v="Yes"/>
    <m/>
    <s v="Yes"/>
    <m/>
    <s v="N/A"/>
    <m/>
    <s v="Yes"/>
    <m/>
    <s v="Yes"/>
    <m/>
    <s v="New"/>
    <s v="infasco"/>
    <n v="106.94"/>
    <n v="106.94"/>
  </r>
  <r>
    <x v="25"/>
    <x v="30"/>
    <s v="11549171-MY-AK"/>
    <n v="717181"/>
    <n v="28"/>
    <n v="280"/>
    <n v="7840"/>
    <n v="290"/>
    <s v="Yes"/>
    <m/>
    <s v="Yes"/>
    <m/>
    <s v="Yes"/>
    <m/>
    <s v="Yes"/>
    <m/>
    <s v="N/A"/>
    <m/>
    <s v="Yes"/>
    <m/>
    <s v="Yes"/>
    <m/>
    <s v="New"/>
    <s v="infasco"/>
    <n v="106.94"/>
    <n v="106.94"/>
  </r>
  <r>
    <x v="25"/>
    <x v="30"/>
    <s v="11546368-MY-AK"/>
    <n v="716357"/>
    <n v="36"/>
    <n v="450"/>
    <n v="16200"/>
    <n v="290"/>
    <s v="Yes"/>
    <m/>
    <s v="Yes"/>
    <m/>
    <s v="Yes"/>
    <m/>
    <s v="Yes"/>
    <m/>
    <s v="N/A"/>
    <m/>
    <s v="Yes"/>
    <m/>
    <s v="Yes"/>
    <m/>
    <s v="New"/>
    <s v="infasco"/>
    <n v="106.94"/>
    <n v="106.94"/>
  </r>
  <r>
    <x v="25"/>
    <x v="30"/>
    <s v="11546368-MY-AK"/>
    <n v="716360"/>
    <n v="5"/>
    <n v="450"/>
    <n v="2250"/>
    <n v="290"/>
    <s v="Yes"/>
    <m/>
    <s v="Yes"/>
    <m/>
    <s v="Yes"/>
    <m/>
    <s v="Yes"/>
    <m/>
    <s v="N/A"/>
    <m/>
    <s v="Yes"/>
    <m/>
    <s v="Yes"/>
    <m/>
    <s v="Re-certified"/>
    <s v="infasco"/>
    <n v="0"/>
    <n v="0"/>
  </r>
  <r>
    <x v="25"/>
    <x v="28"/>
    <n v="11546571"/>
    <n v="717161"/>
    <n v="5"/>
    <n v="1550"/>
    <n v="7750"/>
    <n v="290"/>
    <s v="Yes"/>
    <m/>
    <s v="Yes"/>
    <m/>
    <s v="Yes"/>
    <m/>
    <s v="Yes"/>
    <m/>
    <s v="N/A"/>
    <m/>
    <s v="Yes"/>
    <m/>
    <s v="Yes"/>
    <m/>
    <s v="Re-certified"/>
    <s v="infasco"/>
    <n v="0"/>
    <n v="0"/>
  </r>
  <r>
    <x v="25"/>
    <x v="31"/>
    <s v="06101831-A"/>
    <n v="717914"/>
    <n v="22"/>
    <n v="1000"/>
    <n v="22000"/>
    <n v="290"/>
    <s v="Yes"/>
    <m/>
    <s v="Yes"/>
    <m/>
    <s v="Yes"/>
    <m/>
    <s v="Yes"/>
    <m/>
    <s v="N/A"/>
    <m/>
    <s v="Yes"/>
    <m/>
    <s v="Yes"/>
    <m/>
    <s v="New"/>
    <s v="infasco"/>
    <n v="106.94"/>
    <n v="106.94"/>
  </r>
  <r>
    <x v="25"/>
    <x v="31"/>
    <s v="06101831-A"/>
    <n v="717395"/>
    <n v="36"/>
    <n v="1000"/>
    <n v="36000"/>
    <n v="290"/>
    <s v="Yes"/>
    <m/>
    <s v="Yes"/>
    <m/>
    <s v="Yes"/>
    <m/>
    <s v="Yes"/>
    <m/>
    <s v="N/A"/>
    <m/>
    <s v="Yes"/>
    <m/>
    <s v="Yes"/>
    <m/>
    <s v="New"/>
    <s v="infasco"/>
    <n v="106.94"/>
    <n v="106.94"/>
  </r>
  <r>
    <x v="25"/>
    <x v="31"/>
    <s v="06101831-A"/>
    <n v="717404"/>
    <n v="34"/>
    <n v="1000"/>
    <n v="34000"/>
    <n v="290"/>
    <s v="Yes"/>
    <m/>
    <s v="Yes"/>
    <m/>
    <s v="Yes"/>
    <m/>
    <s v="Yes"/>
    <m/>
    <s v="N/A"/>
    <m/>
    <s v="Yes"/>
    <m/>
    <s v="Yes"/>
    <m/>
    <s v="New"/>
    <s v="infasco"/>
    <n v="106.94"/>
    <n v="106.94"/>
  </r>
  <r>
    <x v="25"/>
    <x v="26"/>
    <s v="W711953-S900"/>
    <n v="717854"/>
    <n v="21"/>
    <n v="1750"/>
    <n v="36750"/>
    <n v="290"/>
    <s v="Yes"/>
    <m/>
    <s v="Yes"/>
    <m/>
    <s v="Yes"/>
    <m/>
    <s v="Yes"/>
    <m/>
    <s v="N/A"/>
    <m/>
    <s v="Yes"/>
    <m/>
    <s v="Yes"/>
    <m/>
    <s v="New"/>
    <s v="infasco"/>
    <n v="106.94"/>
    <n v="106.94"/>
  </r>
  <r>
    <x v="25"/>
    <x v="26"/>
    <s v="W711953-S900"/>
    <n v="717855"/>
    <n v="36"/>
    <n v="1750"/>
    <n v="63000"/>
    <n v="290"/>
    <s v="Yes"/>
    <m/>
    <s v="Yes"/>
    <m/>
    <s v="Yes"/>
    <m/>
    <s v="Yes"/>
    <m/>
    <s v="N/A"/>
    <m/>
    <s v="Yes"/>
    <m/>
    <s v="Yes"/>
    <m/>
    <s v="New"/>
    <s v="infasco"/>
    <n v="106.94"/>
    <n v="106.94"/>
  </r>
  <r>
    <x v="25"/>
    <x v="26"/>
    <s v="W711953-S900"/>
    <n v="717852"/>
    <n v="25"/>
    <n v="1750"/>
    <n v="43750"/>
    <n v="290"/>
    <s v="Yes"/>
    <m/>
    <s v="Yes"/>
    <m/>
    <s v="Yes"/>
    <m/>
    <s v="Yes"/>
    <m/>
    <s v="N/A"/>
    <m/>
    <s v="Yes"/>
    <m/>
    <s v="Yes"/>
    <m/>
    <s v="Re-certified"/>
    <s v="infasco"/>
    <n v="0"/>
    <n v="0"/>
  </r>
  <r>
    <x v="25"/>
    <x v="27"/>
    <n v="11549170"/>
    <n v="716919"/>
    <n v="8"/>
    <n v="400"/>
    <n v="3200"/>
    <n v="290"/>
    <s v="Yes"/>
    <m/>
    <s v="Yes"/>
    <m/>
    <s v="Yes"/>
    <m/>
    <s v="Yes"/>
    <m/>
    <s v="N/A"/>
    <m/>
    <s v="Yes"/>
    <m/>
    <s v="Yes"/>
    <m/>
    <s v="New"/>
    <s v="infasco"/>
    <n v="106.94"/>
    <n v="106.94"/>
  </r>
  <r>
    <x v="25"/>
    <x v="27"/>
    <n v="11549170"/>
    <n v="716936"/>
    <n v="36"/>
    <n v="400"/>
    <n v="14400"/>
    <n v="290"/>
    <s v="Yes"/>
    <m/>
    <s v="Yes"/>
    <m/>
    <s v="Yes"/>
    <m/>
    <s v="Yes"/>
    <m/>
    <s v="N/A"/>
    <m/>
    <s v="Yes"/>
    <m/>
    <s v="Yes"/>
    <m/>
    <s v="New"/>
    <s v="infasco"/>
    <n v="106.94"/>
    <n v="106.94"/>
  </r>
  <r>
    <x v="25"/>
    <x v="27"/>
    <n v="11549170"/>
    <n v="716928"/>
    <n v="36"/>
    <n v="400"/>
    <n v="14400"/>
    <n v="290"/>
    <s v="Yes"/>
    <m/>
    <s v="Yes"/>
    <m/>
    <s v="Yes"/>
    <m/>
    <s v="Yes"/>
    <m/>
    <s v="N/A"/>
    <m/>
    <s v="Yes"/>
    <m/>
    <s v="Yes"/>
    <m/>
    <s v="New"/>
    <s v="infasco"/>
    <n v="106.94"/>
    <n v="106.94"/>
  </r>
  <r>
    <x v="25"/>
    <x v="27"/>
    <n v="11549170"/>
    <n v="716925"/>
    <n v="16"/>
    <n v="400"/>
    <n v="6400"/>
    <n v="290"/>
    <s v="Yes"/>
    <m/>
    <s v="Yes"/>
    <m/>
    <s v="Yes"/>
    <m/>
    <s v="Yes"/>
    <m/>
    <s v="N/A"/>
    <m/>
    <s v="Yes"/>
    <m/>
    <s v="Yes"/>
    <m/>
    <s v="Re-certified"/>
    <s v="infasco"/>
    <n v="0"/>
    <n v="0"/>
  </r>
  <r>
    <x v="25"/>
    <x v="24"/>
    <s v="06512313AA"/>
    <n v="717535"/>
    <n v="16"/>
    <n v="3500"/>
    <n v="56000"/>
    <n v="280"/>
    <s v="Yes"/>
    <m/>
    <s v="Yes"/>
    <m/>
    <s v="Yes"/>
    <m/>
    <s v="Yes"/>
    <m/>
    <s v="N/A"/>
    <m/>
    <s v="Yes"/>
    <m/>
    <s v="Yes"/>
    <m/>
    <s v="New"/>
    <s v="infasco"/>
    <n v="106.94"/>
    <n v="106.94"/>
  </r>
  <r>
    <x v="25"/>
    <x v="24"/>
    <s v="06101736-A"/>
    <n v="717767"/>
    <n v="4"/>
    <n v="3200"/>
    <n v="12800"/>
    <n v="280"/>
    <s v="Yes"/>
    <m/>
    <s v="Yes"/>
    <m/>
    <s v="Yes"/>
    <m/>
    <s v="Yes"/>
    <m/>
    <s v="N/A"/>
    <m/>
    <s v="Yes"/>
    <m/>
    <s v="Yes"/>
    <m/>
    <s v="Re-certified"/>
    <s v="infasco"/>
    <n v="0"/>
    <n v="0"/>
  </r>
  <r>
    <x v="25"/>
    <x v="25"/>
    <s v="11546389-PH-RO"/>
    <n v="717650"/>
    <n v="14"/>
    <n v="4500"/>
    <n v="63000"/>
    <n v="280"/>
    <s v="Yes"/>
    <m/>
    <s v="Yes"/>
    <m/>
    <s v="Yes"/>
    <m/>
    <s v="Yes"/>
    <m/>
    <s v="N/A"/>
    <m/>
    <s v="Yes"/>
    <m/>
    <s v="Yes"/>
    <m/>
    <s v="Re-certified"/>
    <s v="infasco"/>
    <n v="0"/>
    <n v="0"/>
  </r>
  <r>
    <x v="25"/>
    <x v="23"/>
    <s v="W520101-S450"/>
    <n v="716237"/>
    <n v="32"/>
    <n v="3000"/>
    <n v="96000"/>
    <n v="280"/>
    <s v="Yes"/>
    <m/>
    <s v="Yes"/>
    <m/>
    <s v="Yes"/>
    <m/>
    <s v="Yes"/>
    <m/>
    <s v="N/A"/>
    <m/>
    <s v="Yes"/>
    <m/>
    <s v="Yes"/>
    <m/>
    <s v="Re-certified"/>
    <s v="infasco"/>
    <n v="0"/>
    <n v="0"/>
  </r>
  <r>
    <x v="25"/>
    <x v="22"/>
    <s v="11610091-MY-AK"/>
    <n v="717287"/>
    <n v="9"/>
    <n v="2500"/>
    <n v="22500"/>
    <n v="280"/>
    <s v="Yes"/>
    <m/>
    <s v="Yes"/>
    <m/>
    <s v="Yes"/>
    <m/>
    <s v="Yes"/>
    <m/>
    <s v="N/A"/>
    <m/>
    <s v="Yes"/>
    <m/>
    <s v="Yes"/>
    <m/>
    <s v="New"/>
    <s v="infasco"/>
    <n v="106.94"/>
    <n v="106.94"/>
  </r>
  <r>
    <x v="25"/>
    <x v="22"/>
    <s v="11610091-MY-AK"/>
    <n v="717292"/>
    <n v="28"/>
    <n v="2500"/>
    <n v="70000"/>
    <n v="280"/>
    <s v="Yes"/>
    <m/>
    <s v="Yes"/>
    <m/>
    <s v="Yes"/>
    <m/>
    <s v="Yes"/>
    <m/>
    <s v="N/A"/>
    <m/>
    <s v="Yes"/>
    <m/>
    <s v="Yes"/>
    <m/>
    <s v="New"/>
    <s v="infasco"/>
    <n v="106.94"/>
    <n v="106.94"/>
  </r>
  <r>
    <x v="25"/>
    <x v="22"/>
    <s v="11610091-MY-AK"/>
    <n v="717179"/>
    <n v="29"/>
    <n v="2500"/>
    <n v="72500"/>
    <n v="280"/>
    <s v="Yes"/>
    <m/>
    <s v="Yes"/>
    <m/>
    <s v="Yes"/>
    <m/>
    <s v="Yes"/>
    <m/>
    <s v="N/A"/>
    <m/>
    <s v="Yes"/>
    <m/>
    <s v="Yes"/>
    <m/>
    <s v="New"/>
    <s v="infasco"/>
    <n v="106.94"/>
    <n v="106.94"/>
  </r>
  <r>
    <x v="25"/>
    <x v="21"/>
    <s v="11546389-PH-RO"/>
    <n v="717646"/>
    <n v="11"/>
    <n v="4500"/>
    <n v="49500"/>
    <n v="280"/>
    <s v="Yes"/>
    <m/>
    <s v="Yes"/>
    <m/>
    <s v="Yes"/>
    <m/>
    <s v="Yes"/>
    <m/>
    <s v="N/A"/>
    <m/>
    <s v="Yes"/>
    <m/>
    <s v="Yes"/>
    <m/>
    <s v="New"/>
    <s v="infasco"/>
    <n v="106.94"/>
    <n v="106.94"/>
  </r>
  <r>
    <x v="25"/>
    <x v="21"/>
    <s v="11546389-PH-RO"/>
    <n v="717652"/>
    <n v="36"/>
    <n v="4500"/>
    <n v="162000"/>
    <n v="280"/>
    <s v="Yes"/>
    <m/>
    <s v="Yes"/>
    <m/>
    <s v="Yes"/>
    <m/>
    <s v="Yes"/>
    <m/>
    <s v="N/A"/>
    <m/>
    <s v="Yes"/>
    <m/>
    <s v="Yes"/>
    <m/>
    <s v="New"/>
    <s v="infasco"/>
    <n v="106.94"/>
    <n v="106.94"/>
  </r>
  <r>
    <x v="25"/>
    <x v="20"/>
    <s v="11546367-MY-AK"/>
    <n v="717489"/>
    <n v="26"/>
    <n v="700"/>
    <n v="18200"/>
    <n v="280"/>
    <s v="Yes"/>
    <m/>
    <s v="Yes"/>
    <m/>
    <s v="Yes"/>
    <m/>
    <s v="Yes"/>
    <m/>
    <s v="N/A"/>
    <m/>
    <s v="Yes"/>
    <m/>
    <s v="Yes"/>
    <m/>
    <s v="New"/>
    <s v="infasco"/>
    <n v="106.94"/>
    <n v="106.94"/>
  </r>
  <r>
    <x v="25"/>
    <x v="14"/>
    <n v="11612078"/>
    <n v="710174"/>
    <n v="20"/>
    <n v="1850"/>
    <n v="37000"/>
    <n v="4"/>
    <s v="Yes"/>
    <m/>
    <s v="Yes"/>
    <m/>
    <s v="Yes"/>
    <m/>
    <s v="Yes"/>
    <m/>
    <s v="N/A"/>
    <m/>
    <s v="Yes"/>
    <m/>
    <s v="Yes"/>
    <m/>
    <s v="Re-certified"/>
    <s v="infasco"/>
    <n v="0"/>
    <n v="0"/>
  </r>
  <r>
    <x v="25"/>
    <x v="15"/>
    <n v="11546377"/>
    <n v="718141"/>
    <n v="25"/>
    <n v="2150"/>
    <n v="53750"/>
    <s v="297+157"/>
    <s v="Yes"/>
    <m/>
    <s v="Yes"/>
    <m/>
    <s v="Yes"/>
    <m/>
    <s v="Yes"/>
    <m/>
    <s v="N/A"/>
    <m/>
    <s v="Yes"/>
    <m/>
    <s v="Yes"/>
    <m/>
    <s v="New"/>
    <s v="infasco"/>
    <n v="106.94"/>
    <n v="106.94"/>
  </r>
  <r>
    <x v="25"/>
    <x v="15"/>
    <s v="06512834AA"/>
    <n v="716996"/>
    <n v="36"/>
    <n v="290"/>
    <n v="10440"/>
    <s v="297+157"/>
    <s v="Yes"/>
    <m/>
    <s v="Yes"/>
    <m/>
    <s v="Yes"/>
    <m/>
    <s v="Yes"/>
    <m/>
    <s v="N/A"/>
    <m/>
    <s v="Yes"/>
    <m/>
    <s v="Yes"/>
    <m/>
    <s v="New"/>
    <s v="infasco"/>
    <n v="106.94"/>
    <n v="106.94"/>
  </r>
  <r>
    <x v="25"/>
    <x v="15"/>
    <s v="06512834AA"/>
    <n v="716995"/>
    <n v="50"/>
    <n v="290"/>
    <n v="14500"/>
    <s v="297+157"/>
    <s v="Yes"/>
    <m/>
    <s v="Yes"/>
    <m/>
    <s v="Yes"/>
    <m/>
    <s v="Yes"/>
    <m/>
    <s v="N/A"/>
    <m/>
    <s v="Yes"/>
    <m/>
    <s v="Yes"/>
    <m/>
    <s v="New"/>
    <s v="infasco"/>
    <n v="106.94"/>
    <n v="106.94"/>
  </r>
  <r>
    <x v="25"/>
    <x v="15"/>
    <s v="06514085AA"/>
    <n v="716858"/>
    <n v="36"/>
    <n v="830"/>
    <n v="29880"/>
    <s v="297+157"/>
    <s v="Yes"/>
    <m/>
    <s v="Yes"/>
    <m/>
    <s v="Yes"/>
    <m/>
    <s v="Yes"/>
    <m/>
    <s v="N/A"/>
    <m/>
    <s v="Yes"/>
    <m/>
    <s v="Yes"/>
    <m/>
    <s v="New"/>
    <s v="infasco"/>
    <n v="135.08000000000001"/>
    <n v="135.08000000000001"/>
  </r>
  <r>
    <x v="25"/>
    <x v="15"/>
    <s v="NU3516-00"/>
    <n v="713307"/>
    <n v="1"/>
    <n v="13472"/>
    <n v="13472"/>
    <s v="297+157"/>
    <s v="Yes"/>
    <m/>
    <s v="Yes"/>
    <m/>
    <s v="Yes"/>
    <m/>
    <s v="Yes"/>
    <m/>
    <s v="N/A"/>
    <m/>
    <s v="Yes"/>
    <m/>
    <s v="Yes"/>
    <m/>
    <s v="New"/>
    <s v="infasco"/>
    <n v="129.44999999999999"/>
    <n v="129.44999999999999"/>
  </r>
  <r>
    <x v="25"/>
    <x v="15"/>
    <n v="82246"/>
    <n v="717453"/>
    <n v="32"/>
    <n v="250"/>
    <n v="8000"/>
    <s v="297+157"/>
    <s v="Yes"/>
    <m/>
    <s v="Yes"/>
    <m/>
    <s v="Yes"/>
    <m/>
    <s v="Yes"/>
    <m/>
    <s v="N/A"/>
    <m/>
    <s v="Yes"/>
    <m/>
    <s v="Yes"/>
    <m/>
    <s v="New"/>
    <s v="infasco"/>
    <n v="280.15999999999997"/>
    <n v="280.15999999999997"/>
  </r>
  <r>
    <x v="25"/>
    <x v="15"/>
    <s v="W520203-S440"/>
    <n v="717975"/>
    <n v="40"/>
    <n v="960"/>
    <n v="38400"/>
    <s v="297+157"/>
    <s v="Yes"/>
    <m/>
    <s v="Yes"/>
    <m/>
    <s v="Yes"/>
    <m/>
    <s v="Yes"/>
    <m/>
    <s v="N/A"/>
    <m/>
    <s v="Yes"/>
    <m/>
    <s v="Yes"/>
    <m/>
    <s v="New"/>
    <s v="infasco"/>
    <n v="223.88"/>
    <n v="223.88"/>
  </r>
  <r>
    <x v="25"/>
    <x v="15"/>
    <s v="W20-1028-010NA"/>
    <n v="710204"/>
    <n v="5"/>
    <n v="1450"/>
    <n v="7250"/>
    <s v="297+157"/>
    <s v="Yes"/>
    <m/>
    <s v="Yes"/>
    <m/>
    <s v="Yes"/>
    <m/>
    <s v="Yes"/>
    <m/>
    <s v="N/A"/>
    <m/>
    <s v="Yes"/>
    <m/>
    <s v="Yes"/>
    <m/>
    <s v="Re-certified"/>
    <s v="infasco"/>
    <n v="0"/>
    <n v="0"/>
  </r>
  <r>
    <x v="25"/>
    <x v="16"/>
    <n v="11546377"/>
    <n v="718133"/>
    <n v="8"/>
    <n v="2150"/>
    <n v="17200"/>
    <s v="279+391"/>
    <s v="Yes"/>
    <m/>
    <s v="Yes"/>
    <m/>
    <s v="Yes"/>
    <m/>
    <s v="Yes"/>
    <m/>
    <s v="N/A"/>
    <m/>
    <s v="Yes"/>
    <m/>
    <s v="Yes"/>
    <m/>
    <s v="New"/>
    <s v="infasco"/>
    <n v="106.94"/>
    <n v="106.94"/>
  </r>
  <r>
    <x v="25"/>
    <x v="16"/>
    <n v="11546377"/>
    <n v="718136"/>
    <n v="24"/>
    <n v="2150"/>
    <n v="51600"/>
    <s v="279+391"/>
    <s v="Yes"/>
    <m/>
    <s v="Yes"/>
    <m/>
    <s v="Yes"/>
    <m/>
    <s v="Yes"/>
    <m/>
    <s v="N/A"/>
    <m/>
    <s v="Yes"/>
    <m/>
    <s v="Yes"/>
    <m/>
    <s v="New"/>
    <s v="infasco"/>
    <n v="106.94"/>
    <n v="106.94"/>
  </r>
  <r>
    <x v="25"/>
    <x v="16"/>
    <s v="06509475AA"/>
    <n v="716026"/>
    <n v="37"/>
    <n v="450"/>
    <n v="16650"/>
    <s v="279+391"/>
    <s v="Yes"/>
    <m/>
    <s v="Yes"/>
    <m/>
    <s v="Yes"/>
    <m/>
    <s v="Yes"/>
    <m/>
    <s v="N/A"/>
    <m/>
    <s v="Yes"/>
    <m/>
    <s v="Yes"/>
    <m/>
    <s v="New"/>
    <s v="infasco"/>
    <n v="135.08000000000001"/>
    <n v="135.08000000000001"/>
  </r>
  <r>
    <x v="25"/>
    <x v="16"/>
    <s v="06512834AA"/>
    <n v="716993"/>
    <n v="48"/>
    <n v="290"/>
    <n v="13920"/>
    <s v="279+391"/>
    <s v="Yes"/>
    <m/>
    <s v="Yes"/>
    <m/>
    <s v="Yes"/>
    <m/>
    <s v="Yes"/>
    <m/>
    <s v="N/A"/>
    <m/>
    <s v="Yes"/>
    <m/>
    <s v="Yes"/>
    <m/>
    <s v="New"/>
    <s v="infasco"/>
    <n v="106.94"/>
    <n v="106.94"/>
  </r>
  <r>
    <x v="25"/>
    <x v="16"/>
    <s v="NU5108"/>
    <n v="717969"/>
    <n v="1"/>
    <n v="64403"/>
    <n v="64403"/>
    <s v="279+391"/>
    <s v="Yes"/>
    <m/>
    <s v="Yes"/>
    <m/>
    <s v="Yes"/>
    <m/>
    <s v="Yes"/>
    <m/>
    <s v="N/A"/>
    <m/>
    <s v="Yes"/>
    <m/>
    <s v="Yes"/>
    <m/>
    <s v="New"/>
    <s v="infasco"/>
    <n v="129.44999999999999"/>
    <n v="129.44999999999999"/>
  </r>
  <r>
    <x v="25"/>
    <x v="16"/>
    <s v="P7241950-IN-PN"/>
    <n v="711385"/>
    <n v="18"/>
    <n v="180"/>
    <n v="3240"/>
    <s v="279+391"/>
    <s v="Yes"/>
    <m/>
    <s v="Yes"/>
    <m/>
    <s v="Yes"/>
    <m/>
    <s v="Yes"/>
    <m/>
    <s v="N/A"/>
    <m/>
    <s v="Yes"/>
    <m/>
    <s v="Yes"/>
    <m/>
    <s v="New"/>
    <s v="infasco"/>
    <n v="270.16000000000003"/>
    <n v="270.16000000000003"/>
  </r>
  <r>
    <x v="25"/>
    <x v="16"/>
    <n v="11518428"/>
    <n v="717988"/>
    <n v="22"/>
    <n v="1200"/>
    <n v="26400"/>
    <s v="279+391"/>
    <s v="Yes"/>
    <m/>
    <s v="Yes"/>
    <m/>
    <s v="Yes"/>
    <m/>
    <s v="Yes"/>
    <m/>
    <s v="N/A"/>
    <m/>
    <s v="Yes"/>
    <m/>
    <s v="Yes"/>
    <m/>
    <s v="New"/>
    <s v="infasco"/>
    <n v="106.94"/>
    <n v="106.94"/>
  </r>
  <r>
    <x v="25"/>
    <x v="16"/>
    <s v="W20-1028-010NA"/>
    <n v="710203"/>
    <n v="2"/>
    <n v="1450"/>
    <n v="2900"/>
    <s v="279+391"/>
    <s v="Yes"/>
    <m/>
    <s v="Yes"/>
    <m/>
    <s v="Yes"/>
    <m/>
    <s v="Yes"/>
    <m/>
    <s v="N/A"/>
    <m/>
    <s v="Yes"/>
    <m/>
    <s v="Yes"/>
    <m/>
    <s v="Re-certified"/>
    <s v="infasco"/>
    <n v="0"/>
    <n v="0"/>
  </r>
  <r>
    <x v="25"/>
    <x v="32"/>
    <s v="06514720AA"/>
    <n v="717107"/>
    <n v="29"/>
    <n v="1250"/>
    <n v="36250"/>
    <s v="252+11"/>
    <s v="Yes"/>
    <m/>
    <s v="Yes"/>
    <m/>
    <s v="Yes"/>
    <m/>
    <s v="Yes"/>
    <m/>
    <s v="N/A"/>
    <m/>
    <s v="Yes"/>
    <m/>
    <s v="Yes"/>
    <m/>
    <s v="New"/>
    <s v="infasco"/>
    <n v="135.07999999999998"/>
    <n v="135.07999999999998"/>
  </r>
  <r>
    <x v="25"/>
    <x v="32"/>
    <n v="11518428"/>
    <n v="717987"/>
    <n v="27"/>
    <n v="1200"/>
    <n v="32400"/>
    <s v="252+11"/>
    <s v="Yes"/>
    <m/>
    <s v="Yes"/>
    <m/>
    <s v="Yes"/>
    <m/>
    <s v="Yes"/>
    <m/>
    <s v="N/A"/>
    <m/>
    <s v="Yes"/>
    <m/>
    <s v="Yes"/>
    <m/>
    <s v="New"/>
    <s v="infasco"/>
    <n v="106.94"/>
    <n v="106.94"/>
  </r>
  <r>
    <x v="25"/>
    <x v="32"/>
    <s v="W520203-S450B"/>
    <n v="717986"/>
    <n v="24"/>
    <n v="960"/>
    <n v="23040"/>
    <s v="252+11"/>
    <s v="Yes"/>
    <m/>
    <s v="Yes"/>
    <m/>
    <s v="Yes"/>
    <m/>
    <s v="Yes"/>
    <m/>
    <s v="N/A"/>
    <m/>
    <s v="Yes"/>
    <m/>
    <s v="Yes"/>
    <m/>
    <s v="New"/>
    <s v="infasco"/>
    <n v="224.49"/>
    <n v="224.49"/>
  </r>
  <r>
    <x v="25"/>
    <x v="32"/>
    <s v="W520203-S440"/>
    <n v="717976"/>
    <n v="22"/>
    <n v="960"/>
    <n v="21120"/>
    <n v="11"/>
    <s v="Yes"/>
    <m/>
    <s v="Yes"/>
    <m/>
    <s v="Yes"/>
    <m/>
    <s v="Yes"/>
    <m/>
    <s v="N/A"/>
    <m/>
    <s v="Yes"/>
    <m/>
    <s v="Yes"/>
    <m/>
    <s v="New"/>
    <s v="infasco"/>
    <n v="223.88"/>
    <n v="223.88"/>
  </r>
  <r>
    <x v="25"/>
    <x v="32"/>
    <s v="06511799AA"/>
    <n v="714568"/>
    <n v="14"/>
    <n v="1800"/>
    <n v="25200"/>
    <s v="252+11"/>
    <s v="Yes"/>
    <m/>
    <s v="Yes"/>
    <m/>
    <s v="Yes"/>
    <m/>
    <s v="Yes"/>
    <m/>
    <s v="N/A"/>
    <m/>
    <s v="Yes"/>
    <m/>
    <s v="Yes"/>
    <m/>
    <s v="New"/>
    <s v="infasco"/>
    <n v="106.94"/>
    <n v="106.94"/>
  </r>
  <r>
    <x v="25"/>
    <x v="32"/>
    <n v="11548535"/>
    <n v="716970"/>
    <n v="36"/>
    <n v="150"/>
    <n v="5400"/>
    <s v="252+11"/>
    <s v="Yes"/>
    <m/>
    <s v="Yes"/>
    <m/>
    <s v="Yes"/>
    <m/>
    <s v="Yes"/>
    <m/>
    <s v="N/A"/>
    <m/>
    <s v="Yes"/>
    <m/>
    <s v="Yes"/>
    <m/>
    <s v="New"/>
    <s v="infasco"/>
    <n v="106.94"/>
    <n v="106.94"/>
  </r>
  <r>
    <x v="25"/>
    <x v="32"/>
    <s v="P7241950-IN-PN"/>
    <n v="711386"/>
    <n v="17"/>
    <n v="180"/>
    <n v="3060"/>
    <s v="252+11"/>
    <s v="Yes"/>
    <m/>
    <s v="Yes"/>
    <m/>
    <s v="Yes"/>
    <m/>
    <s v="Yes"/>
    <m/>
    <s v="N/A"/>
    <m/>
    <s v="Yes"/>
    <m/>
    <s v="Yes"/>
    <m/>
    <s v="New"/>
    <s v="infasco"/>
    <n v="270.16000000000003"/>
    <n v="270.16000000000003"/>
  </r>
  <r>
    <x v="25"/>
    <x v="32"/>
    <s v="06105051AA"/>
    <n v="717006"/>
    <n v="33"/>
    <n v="620"/>
    <n v="20460"/>
    <s v="252+11"/>
    <s v="Yes"/>
    <m/>
    <s v="Yes"/>
    <m/>
    <s v="Yes"/>
    <m/>
    <s v="Yes"/>
    <m/>
    <s v="N/A"/>
    <m/>
    <s v="Yes"/>
    <m/>
    <s v="Yes"/>
    <m/>
    <s v="New"/>
    <s v="infasco"/>
    <n v="135.07999999999998"/>
    <n v="135.07999999999998"/>
  </r>
  <r>
    <x v="25"/>
    <x v="32"/>
    <s v="06512278AA"/>
    <n v="717534"/>
    <n v="23"/>
    <n v="1950"/>
    <n v="44850"/>
    <s v="252+11"/>
    <s v="Yes"/>
    <m/>
    <s v="Yes"/>
    <m/>
    <s v="Yes"/>
    <m/>
    <s v="Yes"/>
    <m/>
    <s v="N/A"/>
    <m/>
    <s v="Yes"/>
    <m/>
    <s v="Yes"/>
    <m/>
    <s v="New"/>
    <s v="infasco"/>
    <n v="106.94"/>
    <n v="106.94"/>
  </r>
  <r>
    <x v="25"/>
    <x v="17"/>
    <n v="11546377"/>
    <n v="718134"/>
    <n v="18"/>
    <n v="2150"/>
    <n v="38700"/>
    <s v="190+268"/>
    <s v="Yes"/>
    <m/>
    <s v="Yes"/>
    <m/>
    <s v="Yes"/>
    <m/>
    <s v="Yes"/>
    <m/>
    <s v="N/A"/>
    <m/>
    <s v="Yes"/>
    <m/>
    <s v="Yes"/>
    <m/>
    <s v="New"/>
    <s v="infasco"/>
    <n v="106.94"/>
    <n v="106.94"/>
  </r>
  <r>
    <x v="25"/>
    <x v="17"/>
    <s v="06512278AA"/>
    <n v="717533"/>
    <n v="29"/>
    <n v="1950"/>
    <n v="56550"/>
    <s v="190+268"/>
    <s v="Yes"/>
    <m/>
    <s v="Yes"/>
    <m/>
    <s v="Yes"/>
    <m/>
    <s v="Yes"/>
    <m/>
    <s v="N/A"/>
    <m/>
    <s v="Yes"/>
    <m/>
    <s v="Yes"/>
    <m/>
    <s v="New"/>
    <s v="infasco"/>
    <n v="106.94"/>
    <n v="106.94"/>
  </r>
  <r>
    <x v="25"/>
    <x v="17"/>
    <s v="11609789-IN-MR"/>
    <n v="716835"/>
    <n v="16"/>
    <n v="3000"/>
    <n v="48000"/>
    <s v="190+268"/>
    <s v="Yes"/>
    <m/>
    <s v="Yes"/>
    <m/>
    <s v="Yes"/>
    <m/>
    <s v="Yes"/>
    <m/>
    <s v="N/A"/>
    <m/>
    <s v="Yes"/>
    <m/>
    <s v="Yes"/>
    <m/>
    <s v="New"/>
    <s v="infasco"/>
    <n v="106.94"/>
    <n v="106.94"/>
  </r>
  <r>
    <x v="25"/>
    <x v="17"/>
    <s v="11611122-BR-HA"/>
    <n v="716052"/>
    <n v="5"/>
    <n v="1850"/>
    <n v="9250"/>
    <s v="190+268"/>
    <s v="Yes"/>
    <m/>
    <s v="Yes"/>
    <m/>
    <s v="Yes"/>
    <m/>
    <s v="Yes"/>
    <m/>
    <s v="N/A"/>
    <m/>
    <s v="Yes"/>
    <m/>
    <s v="Yes"/>
    <m/>
    <s v="New"/>
    <e v="#N/A"/>
    <e v="#N/A"/>
    <e v="#N/A"/>
  </r>
  <r>
    <x v="25"/>
    <x v="17"/>
    <s v="06105051AA"/>
    <n v="717005"/>
    <n v="19"/>
    <n v="620"/>
    <n v="11780"/>
    <s v="190+268"/>
    <s v="Yes"/>
    <m/>
    <s v="Yes"/>
    <m/>
    <s v="Yes"/>
    <m/>
    <s v="Yes"/>
    <m/>
    <s v="N/A"/>
    <m/>
    <s v="Yes"/>
    <m/>
    <s v="Yes"/>
    <m/>
    <s v="New"/>
    <s v="infasco"/>
    <n v="135.07999999999998"/>
    <n v="135.07999999999998"/>
  </r>
  <r>
    <x v="25"/>
    <x v="17"/>
    <s v="NU5108"/>
    <n v="717970"/>
    <n v="1"/>
    <n v="64200"/>
    <n v="64200"/>
    <s v="190+268"/>
    <s v="Yes"/>
    <m/>
    <s v="Yes"/>
    <m/>
    <s v="Yes"/>
    <m/>
    <s v="Yes"/>
    <m/>
    <s v="N/A"/>
    <m/>
    <s v="Yes"/>
    <m/>
    <s v="Yes"/>
    <m/>
    <s v="New"/>
    <s v="infasco"/>
    <n v="129.44999999999999"/>
    <n v="129.44999999999999"/>
  </r>
  <r>
    <x v="25"/>
    <x v="17"/>
    <s v="06514720AA"/>
    <n v="717109"/>
    <n v="31"/>
    <n v="1250"/>
    <n v="38750"/>
    <s v="190+268"/>
    <s v="Yes"/>
    <m/>
    <s v="Yes"/>
    <m/>
    <s v="Yes"/>
    <m/>
    <s v="Yes"/>
    <m/>
    <s v="N/A"/>
    <m/>
    <s v="Yes"/>
    <m/>
    <s v="Yes"/>
    <m/>
    <s v="New"/>
    <s v="infasco"/>
    <n v="135.07999999999998"/>
    <n v="135.07999999999998"/>
  </r>
  <r>
    <x v="25"/>
    <x v="17"/>
    <n v="82246"/>
    <n v="717454"/>
    <n v="27"/>
    <n v="250"/>
    <n v="6750"/>
    <s v="190+268"/>
    <s v="Yes"/>
    <m/>
    <s v="Yes"/>
    <m/>
    <s v="Yes"/>
    <m/>
    <s v="Yes"/>
    <m/>
    <s v="N/A"/>
    <m/>
    <s v="Yes"/>
    <m/>
    <s v="Yes"/>
    <m/>
    <s v="New"/>
    <s v="infasco"/>
    <n v="280.15999999999997"/>
    <n v="280.15999999999997"/>
  </r>
  <r>
    <x v="25"/>
    <x v="17"/>
    <s v="W520203-S450B"/>
    <n v="717985"/>
    <n v="29"/>
    <n v="960"/>
    <n v="27840"/>
    <s v="190+268"/>
    <s v="Yes"/>
    <m/>
    <s v="Yes"/>
    <m/>
    <s v="Yes"/>
    <m/>
    <s v="Yes"/>
    <m/>
    <s v="N/A"/>
    <m/>
    <s v="Yes"/>
    <m/>
    <s v="Yes"/>
    <m/>
    <s v="New"/>
    <s v="infasco"/>
    <n v="224.49"/>
    <n v="224.49"/>
  </r>
  <r>
    <x v="25"/>
    <x v="17"/>
    <s v="06511799AA"/>
    <n v="714569"/>
    <n v="9"/>
    <n v="1800"/>
    <n v="16200"/>
    <s v="190+268"/>
    <s v="Yes"/>
    <m/>
    <s v="Yes"/>
    <m/>
    <s v="Yes"/>
    <m/>
    <s v="Yes"/>
    <m/>
    <s v="N/A"/>
    <m/>
    <s v="Yes"/>
    <m/>
    <s v="Yes"/>
    <m/>
    <s v="Re-certified"/>
    <s v="infasco"/>
    <n v="0"/>
    <n v="0"/>
  </r>
  <r>
    <x v="25"/>
    <x v="13"/>
    <s v="PZ18-7P483-AA"/>
    <n v="716412"/>
    <n v="10"/>
    <n v="195"/>
    <n v="1950"/>
    <n v="285"/>
    <s v="Yes"/>
    <m/>
    <s v="Yes"/>
    <m/>
    <s v="Yes"/>
    <m/>
    <s v="Yes"/>
    <m/>
    <s v="N/A"/>
    <m/>
    <s v="Yes"/>
    <m/>
    <s v="Yes"/>
    <m/>
    <s v="New"/>
    <s v="infasco"/>
    <n v="320.82"/>
    <n v="320.82"/>
  </r>
  <r>
    <x v="25"/>
    <x v="13"/>
    <s v="PZ18-7P483-AA"/>
    <n v="715832"/>
    <n v="13"/>
    <n v="195"/>
    <n v="2535"/>
    <n v="285"/>
    <s v="Yes"/>
    <m/>
    <s v="Yes"/>
    <m/>
    <s v="Yes"/>
    <m/>
    <s v="Yes"/>
    <m/>
    <s v="N/A"/>
    <m/>
    <s v="Yes"/>
    <m/>
    <s v="Yes"/>
    <m/>
    <s v="Re-certified"/>
    <s v="infasco"/>
    <n v="0"/>
    <n v="0"/>
  </r>
  <r>
    <x v="26"/>
    <x v="6"/>
    <s v="11546377-PH-RO"/>
    <n v="718120"/>
    <n v="28"/>
    <n v="2150"/>
    <n v="60200"/>
    <n v="275"/>
    <s v="Yes"/>
    <m/>
    <s v="Yes"/>
    <m/>
    <s v="Yes"/>
    <m/>
    <s v="Yes"/>
    <m/>
    <s v="N/A"/>
    <m/>
    <s v="Yes"/>
    <m/>
    <s v="Yes"/>
    <m/>
    <s v="New"/>
    <s v="infasco"/>
    <n v="106.94"/>
    <n v="106.94"/>
  </r>
  <r>
    <x v="26"/>
    <x v="6"/>
    <n v="11546545"/>
    <n v="718234"/>
    <n v="5"/>
    <n v="2500"/>
    <n v="12500"/>
    <n v="275"/>
    <s v="Yes"/>
    <m/>
    <s v="Yes"/>
    <m/>
    <s v="Yes"/>
    <m/>
    <s v="Yes"/>
    <m/>
    <s v="N/A"/>
    <m/>
    <s v="Yes"/>
    <m/>
    <s v="Yes"/>
    <m/>
    <s v="Re-certified"/>
    <s v="infasco"/>
    <n v="0"/>
    <n v="0"/>
  </r>
  <r>
    <x v="26"/>
    <x v="8"/>
    <s v="06101831-A"/>
    <n v="717968"/>
    <n v="43"/>
    <n v="1000"/>
    <n v="43000"/>
    <n v="275"/>
    <s v="Yes"/>
    <m/>
    <s v="Yes"/>
    <m/>
    <s v="Yes"/>
    <m/>
    <s v="Yes"/>
    <m/>
    <s v="N/A"/>
    <m/>
    <s v="Yes"/>
    <m/>
    <s v="Yes"/>
    <m/>
    <s v="New"/>
    <s v="infasco"/>
    <n v="106.94"/>
    <n v="106.94"/>
  </r>
  <r>
    <x v="26"/>
    <x v="8"/>
    <s v="11546368-MY-AK"/>
    <n v="717524"/>
    <n v="26"/>
    <n v="450"/>
    <n v="11700"/>
    <n v="275"/>
    <s v="Yes"/>
    <m/>
    <s v="Yes"/>
    <m/>
    <s v="Yes"/>
    <m/>
    <s v="Yes"/>
    <m/>
    <s v="N/A"/>
    <m/>
    <s v="Yes"/>
    <m/>
    <s v="Yes"/>
    <m/>
    <s v="New"/>
    <s v="infasco"/>
    <n v="106.94"/>
    <n v="106.94"/>
  </r>
  <r>
    <x v="26"/>
    <x v="8"/>
    <s v="11546368-MY-AK"/>
    <n v="717522"/>
    <n v="16"/>
    <n v="450"/>
    <n v="7200"/>
    <n v="275"/>
    <s v="Yes"/>
    <m/>
    <s v="Yes"/>
    <m/>
    <s v="Yes"/>
    <m/>
    <s v="Yes"/>
    <m/>
    <s v="N/A"/>
    <m/>
    <s v="Yes"/>
    <m/>
    <s v="Yes"/>
    <m/>
    <s v="Re-certified"/>
    <s v="infasco"/>
    <n v="0"/>
    <n v="0"/>
  </r>
  <r>
    <x v="26"/>
    <x v="10"/>
    <n v="11546377"/>
    <n v="718139"/>
    <n v="27"/>
    <n v="2150"/>
    <n v="58050"/>
    <n v="275"/>
    <s v="Yes"/>
    <m/>
    <s v="Yes"/>
    <m/>
    <s v="Yes"/>
    <m/>
    <s v="Yes"/>
    <m/>
    <s v="N/A"/>
    <m/>
    <s v="Yes"/>
    <m/>
    <s v="Yes"/>
    <m/>
    <s v="New"/>
    <s v="infasco"/>
    <n v="106.94"/>
    <n v="106.94"/>
  </r>
  <r>
    <x v="26"/>
    <x v="10"/>
    <n v="11546545"/>
    <n v="718235"/>
    <n v="15"/>
    <n v="2500"/>
    <n v="37500"/>
    <n v="275"/>
    <s v="Yes"/>
    <m/>
    <s v="Yes"/>
    <m/>
    <s v="Yes"/>
    <m/>
    <s v="Yes"/>
    <m/>
    <s v="N/A"/>
    <m/>
    <s v="Yes"/>
    <m/>
    <s v="Yes"/>
    <m/>
    <s v="Re-certified"/>
    <s v="infasco"/>
    <n v="0"/>
    <n v="0"/>
  </r>
  <r>
    <x v="26"/>
    <x v="9"/>
    <s v="P7241250"/>
    <n v="714675"/>
    <n v="13"/>
    <n v="1900"/>
    <n v="24700"/>
    <n v="275"/>
    <s v="Yes"/>
    <m/>
    <s v="Yes"/>
    <m/>
    <s v="Yes"/>
    <m/>
    <s v="Yes"/>
    <m/>
    <s v="N/A"/>
    <m/>
    <s v="Yes"/>
    <m/>
    <s v="Yes"/>
    <m/>
    <s v="New"/>
    <s v="infasco"/>
    <n v="106.94"/>
    <n v="106.94"/>
  </r>
  <r>
    <x v="26"/>
    <x v="9"/>
    <n v="11546545"/>
    <n v="718233"/>
    <n v="7"/>
    <n v="2500"/>
    <n v="17500"/>
    <n v="275"/>
    <s v="Yes"/>
    <m/>
    <s v="Yes"/>
    <m/>
    <s v="Yes"/>
    <m/>
    <s v="Yes"/>
    <m/>
    <s v="N/A"/>
    <m/>
    <s v="Yes"/>
    <m/>
    <s v="Yes"/>
    <m/>
    <s v="Re-certified"/>
    <s v="infasco"/>
    <n v="0"/>
    <n v="0"/>
  </r>
  <r>
    <x v="26"/>
    <x v="11"/>
    <n v="11546545"/>
    <n v="718230"/>
    <n v="27"/>
    <n v="2500"/>
    <n v="67500"/>
    <n v="275"/>
    <s v="Yes"/>
    <m/>
    <s v="Yes"/>
    <m/>
    <s v="Yes"/>
    <m/>
    <s v="Yes"/>
    <m/>
    <s v="N/A"/>
    <m/>
    <s v="Yes"/>
    <m/>
    <s v="Yes"/>
    <m/>
    <s v="Re-certified"/>
    <s v="infasco"/>
    <n v="0"/>
    <n v="0"/>
  </r>
  <r>
    <x v="26"/>
    <x v="12"/>
    <n v="11549170"/>
    <n v="716934"/>
    <n v="20"/>
    <n v="400"/>
    <n v="8000"/>
    <n v="275"/>
    <s v="Yes"/>
    <m/>
    <s v="Yes"/>
    <m/>
    <s v="Yes"/>
    <m/>
    <s v="Yes"/>
    <m/>
    <s v="N/A"/>
    <m/>
    <s v="Yes"/>
    <m/>
    <s v="Yes"/>
    <m/>
    <s v="New"/>
    <s v="infasco"/>
    <n v="106.94"/>
    <n v="106.94"/>
  </r>
  <r>
    <x v="26"/>
    <x v="12"/>
    <n v="11549170"/>
    <n v="716935"/>
    <n v="41"/>
    <n v="400"/>
    <n v="16400"/>
    <n v="275"/>
    <s v="Yes"/>
    <m/>
    <s v="Yes"/>
    <m/>
    <s v="Yes"/>
    <m/>
    <s v="Yes"/>
    <m/>
    <s v="N/A"/>
    <m/>
    <s v="Yes"/>
    <m/>
    <s v="Yes"/>
    <m/>
    <s v="New"/>
    <s v="infasco"/>
    <n v="106.94"/>
    <n v="106.94"/>
  </r>
  <r>
    <x v="26"/>
    <x v="12"/>
    <n v="11546462"/>
    <n v="718223"/>
    <n v="39"/>
    <n v="650"/>
    <n v="25350"/>
    <n v="275"/>
    <s v="Yes"/>
    <m/>
    <s v="Yes"/>
    <m/>
    <s v="Yes"/>
    <m/>
    <s v="Yes"/>
    <m/>
    <s v="N/A"/>
    <m/>
    <s v="Yes"/>
    <m/>
    <s v="Yes"/>
    <m/>
    <s v="Re-certified"/>
    <s v="infasco"/>
    <n v="0"/>
    <n v="0"/>
  </r>
  <r>
    <x v="26"/>
    <x v="29"/>
    <s v="06101736-A"/>
    <n v="717563"/>
    <n v="23"/>
    <n v="3200"/>
    <n v="73600"/>
    <n v="290"/>
    <s v="Yes"/>
    <m/>
    <s v="Yes"/>
    <m/>
    <s v="Yes"/>
    <m/>
    <s v="Yes"/>
    <m/>
    <s v="N/A"/>
    <m/>
    <s v="Yes"/>
    <m/>
    <s v="Yes"/>
    <m/>
    <s v="Re-certified"/>
    <s v="infasco"/>
    <n v="0"/>
    <n v="0"/>
  </r>
  <r>
    <x v="26"/>
    <x v="30"/>
    <s v="11546368-MY-AK"/>
    <n v="716360"/>
    <n v="31"/>
    <n v="450"/>
    <n v="13950"/>
    <n v="290"/>
    <s v="Yes"/>
    <m/>
    <s v="Yes"/>
    <m/>
    <s v="Yes"/>
    <m/>
    <s v="Yes"/>
    <m/>
    <s v="N/A"/>
    <m/>
    <s v="Yes"/>
    <m/>
    <s v="Yes"/>
    <m/>
    <s v="New"/>
    <s v="infasco"/>
    <n v="106.94"/>
    <n v="106.94"/>
  </r>
  <r>
    <x v="26"/>
    <x v="30"/>
    <s v="11546368-MY-AK"/>
    <n v="716366"/>
    <n v="36"/>
    <n v="450"/>
    <n v="16200"/>
    <n v="290"/>
    <s v="Yes"/>
    <m/>
    <s v="Yes"/>
    <m/>
    <s v="Yes"/>
    <m/>
    <s v="Yes"/>
    <m/>
    <s v="N/A"/>
    <m/>
    <s v="Yes"/>
    <m/>
    <s v="Yes"/>
    <m/>
    <s v="New"/>
    <s v="infasco"/>
    <n v="106.94"/>
    <n v="106.94"/>
  </r>
  <r>
    <x v="26"/>
    <x v="30"/>
    <s v="11546368-MY-AK"/>
    <n v="716363"/>
    <n v="29"/>
    <n v="450"/>
    <n v="13050"/>
    <n v="290"/>
    <s v="Yes"/>
    <m/>
    <s v="Yes"/>
    <m/>
    <s v="Yes"/>
    <m/>
    <s v="Yes"/>
    <m/>
    <s v="N/A"/>
    <m/>
    <s v="Yes"/>
    <m/>
    <s v="Yes"/>
    <m/>
    <s v="New"/>
    <s v="infasco"/>
    <n v="106.94"/>
    <n v="106.94"/>
  </r>
  <r>
    <x v="26"/>
    <x v="30"/>
    <s v="11546368-MY-AK"/>
    <n v="717523"/>
    <n v="1"/>
    <n v="450"/>
    <n v="450"/>
    <n v="290"/>
    <s v="Yes"/>
    <m/>
    <s v="Yes"/>
    <m/>
    <s v="Yes"/>
    <m/>
    <s v="Yes"/>
    <m/>
    <s v="N/A"/>
    <m/>
    <s v="Yes"/>
    <m/>
    <s v="Yes"/>
    <m/>
    <s v="Re-certified"/>
    <s v="infasco"/>
    <n v="0"/>
    <n v="0"/>
  </r>
  <r>
    <x v="26"/>
    <x v="31"/>
    <s v="06511637AA"/>
    <n v="717530"/>
    <n v="36"/>
    <n v="1200"/>
    <n v="43200"/>
    <n v="290"/>
    <s v="Yes"/>
    <m/>
    <s v="Yes"/>
    <m/>
    <s v="Yes"/>
    <m/>
    <s v="Yes"/>
    <m/>
    <s v="N/A"/>
    <m/>
    <s v="Yes"/>
    <m/>
    <s v="Yes"/>
    <m/>
    <s v="New"/>
    <s v="infasco"/>
    <n v="106.94"/>
    <n v="106.94"/>
  </r>
  <r>
    <x v="26"/>
    <x v="31"/>
    <s v="06511637AA"/>
    <n v="717527"/>
    <n v="36"/>
    <n v="1200"/>
    <n v="43200"/>
    <n v="290"/>
    <s v="Yes"/>
    <m/>
    <s v="Yes"/>
    <m/>
    <s v="Yes"/>
    <m/>
    <s v="Yes"/>
    <m/>
    <s v="N/A"/>
    <m/>
    <s v="Yes"/>
    <m/>
    <s v="Yes"/>
    <m/>
    <s v="New"/>
    <s v="infasco"/>
    <n v="106.94"/>
    <n v="106.94"/>
  </r>
  <r>
    <x v="26"/>
    <x v="31"/>
    <s v="06511637AA"/>
    <n v="717531"/>
    <n v="36"/>
    <n v="1200"/>
    <n v="43200"/>
    <n v="290"/>
    <s v="Yes"/>
    <m/>
    <s v="Yes"/>
    <m/>
    <s v="Yes"/>
    <m/>
    <s v="Yes"/>
    <m/>
    <s v="N/A"/>
    <m/>
    <s v="Yes"/>
    <m/>
    <s v="Yes"/>
    <m/>
    <s v="New"/>
    <s v="infasco"/>
    <n v="106.94"/>
    <n v="106.94"/>
  </r>
  <r>
    <x v="26"/>
    <x v="31"/>
    <s v="06511637AA"/>
    <n v="717529"/>
    <n v="6"/>
    <n v="1200"/>
    <n v="7200"/>
    <n v="290"/>
    <s v="Yes"/>
    <m/>
    <s v="Yes"/>
    <m/>
    <s v="Yes"/>
    <m/>
    <s v="Yes"/>
    <m/>
    <s v="N/A"/>
    <m/>
    <s v="Yes"/>
    <m/>
    <s v="Yes"/>
    <m/>
    <s v="Re-certified"/>
    <s v="infasco"/>
    <n v="0"/>
    <n v="0"/>
  </r>
  <r>
    <x v="26"/>
    <x v="27"/>
    <n v="11549170"/>
    <n v="716925"/>
    <n v="20"/>
    <n v="400"/>
    <n v="8000"/>
    <n v="290"/>
    <s v="Yes"/>
    <m/>
    <s v="Yes"/>
    <m/>
    <s v="Yes"/>
    <m/>
    <s v="Yes"/>
    <m/>
    <s v="N/A"/>
    <m/>
    <s v="Yes"/>
    <m/>
    <s v="Yes"/>
    <m/>
    <s v="New"/>
    <s v="infasco"/>
    <n v="106.94"/>
    <n v="106.94"/>
  </r>
  <r>
    <x v="26"/>
    <x v="27"/>
    <n v="11549170"/>
    <n v="716929"/>
    <n v="36"/>
    <n v="400"/>
    <n v="14400"/>
    <n v="290"/>
    <s v="Yes"/>
    <m/>
    <s v="Yes"/>
    <m/>
    <s v="Yes"/>
    <m/>
    <s v="Yes"/>
    <m/>
    <s v="N/A"/>
    <m/>
    <s v="Yes"/>
    <m/>
    <s v="Yes"/>
    <m/>
    <s v="New"/>
    <s v="infasco"/>
    <n v="106.94"/>
    <n v="106.94"/>
  </r>
  <r>
    <x v="26"/>
    <x v="27"/>
    <n v="11549170"/>
    <n v="716937"/>
    <n v="18"/>
    <n v="400"/>
    <n v="7200"/>
    <n v="290"/>
    <s v="Yes"/>
    <m/>
    <s v="Yes"/>
    <m/>
    <s v="Yes"/>
    <m/>
    <s v="Yes"/>
    <m/>
    <s v="N/A"/>
    <m/>
    <s v="Yes"/>
    <m/>
    <s v="Yes"/>
    <m/>
    <s v="Re-certified"/>
    <s v="infasco"/>
    <n v="0"/>
    <n v="0"/>
  </r>
  <r>
    <x v="26"/>
    <x v="26"/>
    <s v="W711953-S900"/>
    <n v="717852"/>
    <n v="11"/>
    <n v="1750"/>
    <n v="19250"/>
    <n v="290"/>
    <s v="Yes"/>
    <m/>
    <s v="Yes"/>
    <m/>
    <s v="Yes"/>
    <m/>
    <s v="Yes"/>
    <m/>
    <s v="N/A"/>
    <m/>
    <s v="Yes"/>
    <m/>
    <s v="Yes"/>
    <m/>
    <s v="New"/>
    <s v="infasco"/>
    <n v="106.94"/>
    <n v="106.94"/>
  </r>
  <r>
    <x v="26"/>
    <x v="26"/>
    <s v="W711953-S900"/>
    <n v="717853"/>
    <n v="36"/>
    <n v="1750"/>
    <n v="63000"/>
    <n v="290"/>
    <s v="Yes"/>
    <m/>
    <s v="Yes"/>
    <m/>
    <s v="Yes"/>
    <m/>
    <s v="Yes"/>
    <m/>
    <s v="N/A"/>
    <m/>
    <s v="Yes"/>
    <m/>
    <s v="Yes"/>
    <m/>
    <s v="New"/>
    <s v="infasco"/>
    <n v="106.94"/>
    <n v="106.94"/>
  </r>
  <r>
    <x v="26"/>
    <x v="28"/>
    <n v="11546571"/>
    <n v="717161"/>
    <n v="20"/>
    <n v="1550"/>
    <n v="31000"/>
    <n v="290"/>
    <s v="Yes"/>
    <m/>
    <s v="Yes"/>
    <m/>
    <s v="Yes"/>
    <m/>
    <s v="Yes"/>
    <m/>
    <s v="N/A"/>
    <m/>
    <s v="Yes"/>
    <m/>
    <s v="Yes"/>
    <m/>
    <s v="Re-certified"/>
    <s v="infasco"/>
    <n v="0"/>
    <n v="0"/>
  </r>
  <r>
    <x v="26"/>
    <x v="5"/>
    <s v="11610091-MY-AK"/>
    <n v="717563"/>
    <n v="25"/>
    <n v="2500"/>
    <n v="62500"/>
    <n v="292"/>
    <s v="Yes"/>
    <m/>
    <s v="Yes"/>
    <m/>
    <s v="Yes"/>
    <m/>
    <s v="Yes"/>
    <m/>
    <s v="N/A"/>
    <m/>
    <s v="Yes"/>
    <m/>
    <s v="Yes"/>
    <m/>
    <s v="New"/>
    <s v="infasco"/>
    <n v="106.94"/>
    <n v="106.94"/>
  </r>
  <r>
    <x v="26"/>
    <x v="5"/>
    <s v="11610091-MY-AK"/>
    <n v="717560"/>
    <n v="20"/>
    <n v="2500"/>
    <n v="50000"/>
    <n v="292"/>
    <s v="Yes"/>
    <m/>
    <s v="Yes"/>
    <m/>
    <s v="Yes"/>
    <m/>
    <s v="Yes"/>
    <m/>
    <s v="N/A"/>
    <m/>
    <s v="Yes"/>
    <m/>
    <s v="Yes"/>
    <m/>
    <s v="Re-certified"/>
    <s v="infasco"/>
    <n v="0"/>
    <n v="0"/>
  </r>
  <r>
    <x v="26"/>
    <x v="2"/>
    <s v="06101831-A"/>
    <n v="717916"/>
    <n v="37"/>
    <n v="1000"/>
    <n v="37000"/>
    <n v="292"/>
    <s v="Yes"/>
    <m/>
    <s v="Yes"/>
    <m/>
    <s v="Yes"/>
    <m/>
    <s v="Yes"/>
    <m/>
    <s v="N/A"/>
    <m/>
    <s v="Yes"/>
    <m/>
    <s v="Yes"/>
    <m/>
    <s v="New"/>
    <s v="infasco"/>
    <n v="106.94"/>
    <n v="106.94"/>
  </r>
  <r>
    <x v="26"/>
    <x v="2"/>
    <n v="11546462"/>
    <n v="718222"/>
    <n v="10"/>
    <n v="650"/>
    <n v="6500"/>
    <n v="292"/>
    <s v="Yes"/>
    <m/>
    <s v="Yes"/>
    <m/>
    <s v="Yes"/>
    <m/>
    <s v="Yes"/>
    <m/>
    <s v="N/A"/>
    <m/>
    <s v="Yes"/>
    <m/>
    <s v="Yes"/>
    <m/>
    <s v="Re-certified"/>
    <s v="infasco"/>
    <n v="0"/>
    <n v="0"/>
  </r>
  <r>
    <x v="26"/>
    <x v="1"/>
    <n v="11546545"/>
    <n v="718232"/>
    <n v="12"/>
    <n v="2500"/>
    <n v="30000"/>
    <n v="292"/>
    <s v="Yes"/>
    <m/>
    <s v="Yes"/>
    <m/>
    <s v="Yes"/>
    <m/>
    <s v="Yes"/>
    <m/>
    <s v="N/A"/>
    <m/>
    <s v="Yes"/>
    <m/>
    <s v="Yes"/>
    <m/>
    <s v="Re-certified"/>
    <s v="infasco"/>
    <n v="0"/>
    <n v="0"/>
  </r>
  <r>
    <x v="26"/>
    <x v="19"/>
    <s v="W711468-S437"/>
    <n v="714259"/>
    <n v="25"/>
    <n v="1600"/>
    <n v="40000"/>
    <n v="292"/>
    <s v="Yes"/>
    <m/>
    <s v="Yes"/>
    <m/>
    <s v="Yes"/>
    <m/>
    <s v="Yes"/>
    <m/>
    <s v="N/A"/>
    <m/>
    <s v="Yes"/>
    <m/>
    <s v="Yes"/>
    <m/>
    <s v="New"/>
    <s v="infasco"/>
    <n v="106.94"/>
    <n v="106.94"/>
  </r>
  <r>
    <x v="26"/>
    <x v="19"/>
    <n v="11546462"/>
    <n v="718226"/>
    <n v="36"/>
    <n v="650"/>
    <n v="23400"/>
    <n v="292"/>
    <s v="Yes"/>
    <m/>
    <s v="Yes"/>
    <m/>
    <s v="Yes"/>
    <m/>
    <s v="Yes"/>
    <m/>
    <s v="N/A"/>
    <m/>
    <s v="Yes"/>
    <m/>
    <s v="Yes"/>
    <m/>
    <s v="New"/>
    <s v="infasco"/>
    <n v="106.94"/>
    <n v="106.94"/>
  </r>
  <r>
    <x v="26"/>
    <x v="0"/>
    <s v="11546377-PH-RO"/>
    <n v="718124"/>
    <n v="2"/>
    <n v="2150"/>
    <n v="4300"/>
    <n v="292"/>
    <s v="Yes"/>
    <m/>
    <s v="Yes"/>
    <m/>
    <s v="Yes"/>
    <m/>
    <s v="Yes"/>
    <m/>
    <s v="N/A"/>
    <m/>
    <s v="Yes"/>
    <m/>
    <s v="Yes"/>
    <m/>
    <s v="New"/>
    <s v="infasco"/>
    <n v="106.94"/>
    <n v="106.94"/>
  </r>
  <r>
    <x v="26"/>
    <x v="0"/>
    <n v="11546377"/>
    <n v="718138"/>
    <n v="20"/>
    <n v="2150"/>
    <n v="43000"/>
    <n v="292"/>
    <s v="Yes"/>
    <m/>
    <s v="Yes"/>
    <m/>
    <s v="Yes"/>
    <m/>
    <s v="Yes"/>
    <m/>
    <s v="N/A"/>
    <m/>
    <s v="Yes"/>
    <m/>
    <s v="Yes"/>
    <m/>
    <s v="Re-certified"/>
    <s v="infasco"/>
    <n v="0"/>
    <n v="0"/>
  </r>
  <r>
    <x v="26"/>
    <x v="3"/>
    <s v="11546368-MY-AK"/>
    <n v="716365"/>
    <n v="36"/>
    <n v="450"/>
    <n v="16200"/>
    <n v="292"/>
    <s v="Yes"/>
    <m/>
    <s v="Yes"/>
    <m/>
    <s v="Yes"/>
    <m/>
    <s v="Yes"/>
    <m/>
    <s v="N/A"/>
    <m/>
    <s v="Yes"/>
    <m/>
    <s v="Yes"/>
    <m/>
    <s v="New"/>
    <s v="infasco"/>
    <n v="106.94"/>
    <n v="106.94"/>
  </r>
  <r>
    <x v="26"/>
    <x v="3"/>
    <s v="11546368-MY-AK"/>
    <n v="716359"/>
    <n v="36"/>
    <n v="450"/>
    <n v="16200"/>
    <n v="292"/>
    <s v="Yes"/>
    <m/>
    <s v="Yes"/>
    <m/>
    <s v="Yes"/>
    <m/>
    <s v="Yes"/>
    <m/>
    <s v="N/A"/>
    <m/>
    <s v="Yes"/>
    <m/>
    <s v="Yes"/>
    <m/>
    <s v="New"/>
    <s v="infasco"/>
    <n v="106.94"/>
    <n v="106.94"/>
  </r>
  <r>
    <x v="26"/>
    <x v="3"/>
    <s v="11546368-MY-AK"/>
    <n v="716367"/>
    <n v="20"/>
    <n v="450"/>
    <n v="9000"/>
    <n v="292"/>
    <s v="Yes"/>
    <m/>
    <s v="Yes"/>
    <m/>
    <s v="Yes"/>
    <m/>
    <s v="Yes"/>
    <m/>
    <s v="N/A"/>
    <m/>
    <s v="Yes"/>
    <m/>
    <s v="Yes"/>
    <m/>
    <s v="Re-certified"/>
    <s v="infasco"/>
    <n v="0"/>
    <n v="0"/>
  </r>
  <r>
    <x v="26"/>
    <x v="4"/>
    <s v="11546377-PH-RO"/>
    <n v="718123"/>
    <n v="30"/>
    <n v="2150"/>
    <n v="64500"/>
    <n v="292"/>
    <s v="Yes"/>
    <m/>
    <s v="Yes"/>
    <m/>
    <s v="Yes"/>
    <m/>
    <s v="Yes"/>
    <m/>
    <s v="N/A"/>
    <m/>
    <s v="Yes"/>
    <m/>
    <s v="Yes"/>
    <m/>
    <s v="New"/>
    <s v="infasco"/>
    <n v="106.94"/>
    <n v="106.94"/>
  </r>
  <r>
    <x v="26"/>
    <x v="4"/>
    <n v="11546377"/>
    <n v="718137"/>
    <n v="15"/>
    <n v="2150"/>
    <n v="32250"/>
    <n v="292"/>
    <s v="Yes"/>
    <m/>
    <s v="Yes"/>
    <m/>
    <s v="Yes"/>
    <m/>
    <s v="Yes"/>
    <m/>
    <s v="N/A"/>
    <m/>
    <s v="Yes"/>
    <m/>
    <s v="Yes"/>
    <m/>
    <s v="Re-certified"/>
    <s v="infasco"/>
    <n v="0"/>
    <n v="0"/>
  </r>
  <r>
    <x v="26"/>
    <x v="22"/>
    <s v="11546377-PH-RO"/>
    <n v="718121"/>
    <n v="35"/>
    <n v="2150"/>
    <n v="75250"/>
    <n v="280"/>
    <s v="Yes"/>
    <m/>
    <s v="Yes"/>
    <m/>
    <s v="Yes"/>
    <m/>
    <s v="Yes"/>
    <m/>
    <s v="N/A"/>
    <m/>
    <s v="Yes"/>
    <m/>
    <s v="Yes"/>
    <m/>
    <s v="New"/>
    <s v="infasco"/>
    <n v="106.94"/>
    <n v="106.94"/>
  </r>
  <r>
    <x v="26"/>
    <x v="20"/>
    <s v="06511637AA"/>
    <n v="717532"/>
    <n v="27"/>
    <n v="1200"/>
    <n v="32400"/>
    <n v="280"/>
    <s v="Yes"/>
    <m/>
    <s v="Yes"/>
    <m/>
    <s v="Yes"/>
    <m/>
    <s v="Yes"/>
    <m/>
    <s v="N/A"/>
    <m/>
    <s v="Yes"/>
    <m/>
    <s v="Yes"/>
    <m/>
    <s v="Re-certified"/>
    <s v="infasco"/>
    <n v="0"/>
    <n v="0"/>
  </r>
  <r>
    <x v="26"/>
    <x v="25"/>
    <s v="11546389-PH-RO"/>
    <n v="717650"/>
    <n v="19"/>
    <n v="4500"/>
    <n v="85500"/>
    <n v="280"/>
    <s v="Yes"/>
    <m/>
    <s v="Yes"/>
    <m/>
    <s v="Yes"/>
    <m/>
    <s v="Yes"/>
    <m/>
    <s v="N/A"/>
    <m/>
    <s v="Yes"/>
    <m/>
    <s v="Yes"/>
    <m/>
    <s v="New"/>
    <s v="infasco"/>
    <n v="106.94"/>
    <n v="106.94"/>
  </r>
  <r>
    <x v="26"/>
    <x v="25"/>
    <s v="06101736-A"/>
    <n v="717764"/>
    <n v="16"/>
    <n v="3200"/>
    <n v="51200"/>
    <n v="280"/>
    <s v="Yes"/>
    <m/>
    <s v="Yes"/>
    <m/>
    <s v="Yes"/>
    <m/>
    <s v="Yes"/>
    <m/>
    <s v="N/A"/>
    <m/>
    <s v="Yes"/>
    <m/>
    <s v="Yes"/>
    <m/>
    <s v="Re-certified"/>
    <s v="infasco"/>
    <n v="0"/>
    <n v="0"/>
  </r>
  <r>
    <x v="26"/>
    <x v="21"/>
    <s v="W716298-S450"/>
    <n v="717537"/>
    <n v="36"/>
    <n v="3500"/>
    <n v="126000"/>
    <n v="280"/>
    <s v="Yes"/>
    <m/>
    <s v="Yes"/>
    <m/>
    <s v="Yes"/>
    <m/>
    <s v="Yes"/>
    <m/>
    <s v="N/A"/>
    <m/>
    <s v="Yes"/>
    <m/>
    <s v="Yes"/>
    <m/>
    <s v="New"/>
    <s v="infasco"/>
    <n v="106.94"/>
    <n v="106.94"/>
  </r>
  <r>
    <x v="26"/>
    <x v="21"/>
    <s v="W716298-S450"/>
    <n v="717538"/>
    <n v="23"/>
    <n v="3500"/>
    <n v="80500"/>
    <n v="280"/>
    <s v="Yes"/>
    <m/>
    <s v="Yes"/>
    <m/>
    <s v="Yes"/>
    <m/>
    <s v="Yes"/>
    <m/>
    <s v="N/A"/>
    <m/>
    <s v="Yes"/>
    <m/>
    <s v="Yes"/>
    <m/>
    <s v="New"/>
    <s v="infasco"/>
    <n v="106.94"/>
    <n v="106.94"/>
  </r>
  <r>
    <x v="26"/>
    <x v="24"/>
    <s v="06101736-A"/>
    <n v="717767"/>
    <n v="16"/>
    <n v="3200"/>
    <n v="51200"/>
    <n v="280"/>
    <s v="Yes"/>
    <m/>
    <s v="Yes"/>
    <m/>
    <s v="Yes"/>
    <m/>
    <s v="Yes"/>
    <m/>
    <s v="N/A"/>
    <m/>
    <s v="Yes"/>
    <m/>
    <s v="Yes"/>
    <m/>
    <s v="Re-certified"/>
    <s v="infasco"/>
    <n v="0"/>
    <n v="0"/>
  </r>
  <r>
    <x v="26"/>
    <x v="23"/>
    <s v="W520101-S450"/>
    <n v="716237"/>
    <n v="9"/>
    <n v="3000"/>
    <n v="27000"/>
    <n v="280"/>
    <s v="Yes"/>
    <m/>
    <s v="Yes"/>
    <m/>
    <s v="Yes"/>
    <m/>
    <s v="Yes"/>
    <m/>
    <s v="N/A"/>
    <m/>
    <s v="Yes"/>
    <m/>
    <s v="Yes"/>
    <m/>
    <s v="New"/>
    <s v="infasco"/>
    <n v="106.94"/>
    <n v="106.94"/>
  </r>
  <r>
    <x v="26"/>
    <x v="23"/>
    <n v="11546545"/>
    <n v="718231"/>
    <n v="24"/>
    <n v="2500"/>
    <n v="60000"/>
    <n v="280"/>
    <s v="Yes"/>
    <m/>
    <s v="Yes"/>
    <m/>
    <s v="Yes"/>
    <m/>
    <s v="Yes"/>
    <m/>
    <s v="N/A"/>
    <m/>
    <s v="Yes"/>
    <m/>
    <s v="Yes"/>
    <m/>
    <s v="Re-certified"/>
    <s v="infasco"/>
    <n v="0"/>
    <n v="0"/>
  </r>
  <r>
    <x v="26"/>
    <x v="14"/>
    <n v="11612078"/>
    <n v="710174"/>
    <n v="7"/>
    <n v="1850"/>
    <n v="12950"/>
    <n v="4"/>
    <s v="Yes"/>
    <m/>
    <s v="Yes"/>
    <m/>
    <s v="Yes"/>
    <m/>
    <s v="Yes"/>
    <m/>
    <s v="N/A"/>
    <m/>
    <s v="Yes"/>
    <m/>
    <s v="Yes"/>
    <m/>
    <s v="New"/>
    <s v="infasco"/>
    <n v="247.64"/>
    <n v="247.64"/>
  </r>
  <r>
    <x v="26"/>
    <x v="14"/>
    <n v="11612078"/>
    <n v="705988"/>
    <n v="9"/>
    <n v="1850"/>
    <n v="16650"/>
    <n v="4"/>
    <s v="Yes"/>
    <m/>
    <s v="Yes"/>
    <m/>
    <s v="Yes"/>
    <m/>
    <s v="Yes"/>
    <m/>
    <s v="N/A"/>
    <m/>
    <s v="Yes"/>
    <m/>
    <s v="Yes"/>
    <m/>
    <s v="Re-certified"/>
    <s v="infasco"/>
    <n v="0"/>
    <n v="0"/>
  </r>
  <r>
    <x v="26"/>
    <x v="15"/>
    <s v="W20-1028-010NA"/>
    <n v="710204"/>
    <n v="2"/>
    <n v="1450"/>
    <n v="2900"/>
    <s v="157+297"/>
    <s v="Yes"/>
    <m/>
    <s v="Yes"/>
    <m/>
    <s v="Yes"/>
    <m/>
    <s v="Yes"/>
    <m/>
    <s v="N/A"/>
    <m/>
    <s v="Yes"/>
    <m/>
    <s v="Yes"/>
    <m/>
    <s v="New"/>
    <s v="infasco"/>
    <n v="106.94"/>
    <n v="106.94"/>
  </r>
  <r>
    <x v="26"/>
    <x v="15"/>
    <n v="11611122"/>
    <n v="715994"/>
    <n v="26"/>
    <n v="1850"/>
    <n v="48100"/>
    <s v="157+297"/>
    <s v="Yes"/>
    <m/>
    <s v="Yes"/>
    <m/>
    <s v="Yes"/>
    <m/>
    <s v="Yes"/>
    <m/>
    <s v="N/A"/>
    <m/>
    <s v="Yes"/>
    <m/>
    <s v="Yes"/>
    <m/>
    <s v="New"/>
    <s v="infasco"/>
    <n v="135.07999999999998"/>
    <n v="135.07999999999998"/>
  </r>
  <r>
    <x v="26"/>
    <x v="15"/>
    <s v="06514720AA"/>
    <n v="717108"/>
    <n v="35"/>
    <n v="1250"/>
    <n v="43750"/>
    <s v="157+297"/>
    <s v="Yes"/>
    <m/>
    <s v="Yes"/>
    <m/>
    <s v="Yes"/>
    <m/>
    <s v="Yes"/>
    <m/>
    <s v="N/A"/>
    <m/>
    <s v="Yes"/>
    <m/>
    <s v="Yes"/>
    <m/>
    <s v="New"/>
    <s v="infasco"/>
    <n v="135.07999999999998"/>
    <n v="135.07999999999998"/>
  </r>
  <r>
    <x v="26"/>
    <x v="15"/>
    <s v="NU3019"/>
    <n v="717828"/>
    <n v="1"/>
    <n v="4700"/>
    <n v="4700"/>
    <s v="157+297"/>
    <s v="Yes"/>
    <m/>
    <s v="Yes"/>
    <m/>
    <s v="Yes"/>
    <m/>
    <s v="Yes"/>
    <m/>
    <s v="N/A"/>
    <m/>
    <s v="Yes"/>
    <m/>
    <s v="Yes"/>
    <m/>
    <s v="New"/>
    <s v="infasco"/>
    <n v="129.44999999999999"/>
    <n v="129.44999999999999"/>
  </r>
  <r>
    <x v="26"/>
    <x v="15"/>
    <s v="NU3019"/>
    <n v="717827"/>
    <n v="1"/>
    <n v="4700"/>
    <n v="4700"/>
    <s v="157+297"/>
    <s v="Yes"/>
    <m/>
    <s v="Yes"/>
    <m/>
    <s v="Yes"/>
    <m/>
    <s v="Yes"/>
    <m/>
    <s v="N/A"/>
    <m/>
    <s v="Yes"/>
    <m/>
    <s v="Yes"/>
    <m/>
    <s v="New"/>
    <s v="infasco"/>
    <n v="129.44999999999999"/>
    <n v="129.44999999999999"/>
  </r>
  <r>
    <x v="26"/>
    <x v="15"/>
    <s v="NU3019"/>
    <n v="717830"/>
    <n v="1"/>
    <n v="4700"/>
    <n v="4700"/>
    <s v="157+297"/>
    <s v="Yes"/>
    <m/>
    <s v="Yes"/>
    <m/>
    <s v="Yes"/>
    <m/>
    <s v="Yes"/>
    <m/>
    <s v="N/A"/>
    <m/>
    <s v="Yes"/>
    <m/>
    <s v="Yes"/>
    <m/>
    <s v="New"/>
    <s v="infasco"/>
    <n v="129.44999999999999"/>
    <n v="129.44999999999999"/>
  </r>
  <r>
    <x v="26"/>
    <x v="15"/>
    <s v="NU3019"/>
    <n v="717825"/>
    <n v="1"/>
    <n v="4700"/>
    <n v="4700"/>
    <s v="157+297"/>
    <s v="Yes"/>
    <m/>
    <s v="Yes"/>
    <m/>
    <s v="Yes"/>
    <m/>
    <s v="Yes"/>
    <m/>
    <s v="N/A"/>
    <m/>
    <s v="Yes"/>
    <m/>
    <s v="Yes"/>
    <m/>
    <s v="New"/>
    <s v="infasco"/>
    <n v="129.44999999999999"/>
    <n v="129.44999999999999"/>
  </r>
  <r>
    <x v="26"/>
    <x v="15"/>
    <s v="NU3019"/>
    <n v="717823"/>
    <n v="1"/>
    <n v="5522"/>
    <n v="5522"/>
    <s v="157+297"/>
    <s v="Yes"/>
    <m/>
    <s v="Yes"/>
    <m/>
    <s v="Yes"/>
    <m/>
    <s v="Yes"/>
    <m/>
    <s v="N/A"/>
    <m/>
    <s v="Yes"/>
    <m/>
    <s v="Yes"/>
    <m/>
    <s v="New"/>
    <s v="infasco"/>
    <n v="129.44999999999999"/>
    <n v="129.44999999999999"/>
  </r>
  <r>
    <x v="26"/>
    <x v="15"/>
    <n v="11549204"/>
    <n v="716940"/>
    <n v="38"/>
    <n v="210"/>
    <n v="7980"/>
    <s v="157+297"/>
    <s v="Yes"/>
    <m/>
    <s v="Yes"/>
    <m/>
    <s v="Yes"/>
    <m/>
    <s v="Yes"/>
    <m/>
    <s v="N/A"/>
    <m/>
    <s v="Yes"/>
    <m/>
    <s v="Yes"/>
    <m/>
    <s v="New"/>
    <s v="infasco"/>
    <n v="106.94"/>
    <n v="106.94"/>
  </r>
  <r>
    <x v="26"/>
    <x v="15"/>
    <s v="11546378-CA-IN-B"/>
    <n v="713803"/>
    <n v="1"/>
    <n v="1250"/>
    <n v="1250"/>
    <n v="297"/>
    <s v="Yes"/>
    <m/>
    <s v="Yes"/>
    <m/>
    <s v="Yes"/>
    <m/>
    <s v="Yes"/>
    <m/>
    <s v="N/A"/>
    <m/>
    <s v="Yes"/>
    <m/>
    <s v="Yes"/>
    <m/>
    <s v="Re-certified"/>
    <e v="#N/A"/>
    <n v="0"/>
    <n v="0"/>
  </r>
  <r>
    <x v="26"/>
    <x v="16"/>
    <s v="W20-1028-010NA"/>
    <n v="710203"/>
    <n v="2"/>
    <n v="1450"/>
    <n v="2900"/>
    <s v="279+391"/>
    <s v="Yes"/>
    <m/>
    <s v="Yes"/>
    <m/>
    <s v="Yes"/>
    <m/>
    <s v="Yes"/>
    <m/>
    <s v="N/A"/>
    <m/>
    <s v="Yes"/>
    <m/>
    <s v="Yes"/>
    <m/>
    <s v="Re-certified"/>
    <s v="infasco"/>
    <n v="0"/>
    <n v="0"/>
  </r>
  <r>
    <x v="26"/>
    <x v="16"/>
    <s v="06513554AA"/>
    <n v="717494"/>
    <n v="31"/>
    <n v="380"/>
    <n v="11780"/>
    <s v="279+391"/>
    <s v="Yes"/>
    <m/>
    <s v="Yes"/>
    <m/>
    <s v="Yes"/>
    <m/>
    <s v="Yes"/>
    <m/>
    <s v="N/A"/>
    <m/>
    <s v="Yes"/>
    <m/>
    <s v="Yes"/>
    <m/>
    <s v="New"/>
    <s v="infasco"/>
    <n v="135.07999999999998"/>
    <n v="135.07999999999998"/>
  </r>
  <r>
    <x v="26"/>
    <x v="16"/>
    <s v="P7241950-IN-PN"/>
    <n v="711388"/>
    <n v="14"/>
    <n v="180"/>
    <n v="2520"/>
    <s v="279+391"/>
    <s v="Yes"/>
    <m/>
    <s v="Yes"/>
    <m/>
    <s v="Yes"/>
    <m/>
    <s v="Yes"/>
    <m/>
    <s v="N/A"/>
    <m/>
    <s v="Yes"/>
    <m/>
    <s v="Yes"/>
    <m/>
    <s v="New"/>
    <s v="infasco"/>
    <n v="270.16000000000003"/>
    <n v="270.16000000000003"/>
  </r>
  <r>
    <x v="26"/>
    <x v="16"/>
    <s v="NU3516-00"/>
    <n v="713791"/>
    <n v="1"/>
    <n v="12336"/>
    <n v="12336"/>
    <s v="279+391"/>
    <s v="Yes"/>
    <m/>
    <s v="Yes"/>
    <m/>
    <s v="Yes"/>
    <m/>
    <s v="Yes"/>
    <m/>
    <s v="N/A"/>
    <m/>
    <s v="Yes"/>
    <m/>
    <s v="Yes"/>
    <m/>
    <s v="New"/>
    <s v="infasco"/>
    <n v="129.44999999999999"/>
    <n v="129.44999999999999"/>
  </r>
  <r>
    <x v="26"/>
    <x v="16"/>
    <n v="11549204"/>
    <n v="716942"/>
    <n v="40"/>
    <n v="210"/>
    <n v="8400"/>
    <s v="279+391"/>
    <s v="Yes"/>
    <m/>
    <s v="Yes"/>
    <m/>
    <s v="Yes"/>
    <m/>
    <s v="Yes"/>
    <m/>
    <s v="N/A"/>
    <m/>
    <s v="Yes"/>
    <m/>
    <s v="Yes"/>
    <m/>
    <s v="New"/>
    <s v="infasco"/>
    <n v="106.94"/>
    <n v="106.94"/>
  </r>
  <r>
    <x v="26"/>
    <x v="16"/>
    <s v="11546369-IN-PN"/>
    <n v="716953"/>
    <n v="36"/>
    <n v="300"/>
    <n v="10800"/>
    <s v="279+391"/>
    <s v="Yes"/>
    <m/>
    <s v="Yes"/>
    <m/>
    <s v="Yes"/>
    <m/>
    <s v="Yes"/>
    <m/>
    <s v="N/A"/>
    <m/>
    <s v="Yes"/>
    <m/>
    <s v="Yes"/>
    <m/>
    <s v="New"/>
    <s v="infasco"/>
    <n v="106.94"/>
    <n v="106.94"/>
  </r>
  <r>
    <x v="26"/>
    <x v="16"/>
    <s v="11546369-IN-PN"/>
    <n v="716979"/>
    <n v="16"/>
    <n v="300"/>
    <n v="4800"/>
    <s v="279+391"/>
    <s v="Yes"/>
    <m/>
    <s v="Yes"/>
    <m/>
    <s v="Yes"/>
    <m/>
    <s v="Yes"/>
    <m/>
    <s v="N/A"/>
    <m/>
    <s v="Yes"/>
    <m/>
    <s v="Yes"/>
    <m/>
    <s v="New"/>
    <s v="infasco"/>
    <n v="106.94"/>
    <n v="106.94"/>
  </r>
  <r>
    <x v="26"/>
    <x v="16"/>
    <n v="11549204"/>
    <n v="716395"/>
    <n v="33"/>
    <n v="210"/>
    <n v="6930"/>
    <s v="279+391"/>
    <s v="Yes"/>
    <m/>
    <s v="Yes"/>
    <m/>
    <s v="Yes"/>
    <m/>
    <s v="Yes"/>
    <m/>
    <s v="N/A"/>
    <m/>
    <s v="Yes"/>
    <m/>
    <s v="Yes"/>
    <m/>
    <s v="New"/>
    <s v="infasco"/>
    <n v="106.94"/>
    <n v="106.94"/>
  </r>
  <r>
    <x v="26"/>
    <x v="17"/>
    <s v="06511799AA"/>
    <n v="714569"/>
    <n v="24"/>
    <n v="1800"/>
    <n v="43200"/>
    <s v="190+268"/>
    <s v="Yes"/>
    <m/>
    <s v="Yes"/>
    <m/>
    <s v="Yes"/>
    <m/>
    <s v="Yes"/>
    <m/>
    <s v="N/A"/>
    <m/>
    <s v="Yes"/>
    <m/>
    <s v="Yes"/>
    <m/>
    <s v="New"/>
    <s v="infasco"/>
    <n v="106.94"/>
    <n v="106.94"/>
  </r>
  <r>
    <x v="26"/>
    <x v="17"/>
    <s v="NU3019"/>
    <n v="717829"/>
    <n v="1"/>
    <n v="5270"/>
    <n v="5270"/>
    <s v="190+268"/>
    <s v="Yes"/>
    <m/>
    <s v="Yes"/>
    <m/>
    <s v="Yes"/>
    <m/>
    <s v="Yes"/>
    <m/>
    <s v="N/A"/>
    <m/>
    <s v="Yes"/>
    <m/>
    <s v="Yes"/>
    <m/>
    <s v="New"/>
    <s v="infasco"/>
    <n v="129.44999999999999"/>
    <n v="129.44999999999999"/>
  </r>
  <r>
    <x v="26"/>
    <x v="17"/>
    <n v="11549204"/>
    <n v="716941"/>
    <n v="36"/>
    <n v="210"/>
    <n v="7560"/>
    <s v="190+268"/>
    <s v="Yes"/>
    <m/>
    <s v="Yes"/>
    <m/>
    <s v="Yes"/>
    <m/>
    <s v="Yes"/>
    <m/>
    <s v="N/A"/>
    <m/>
    <s v="Yes"/>
    <m/>
    <s v="Yes"/>
    <m/>
    <s v="New"/>
    <s v="infasco"/>
    <n v="106.94"/>
    <n v="106.94"/>
  </r>
  <r>
    <x v="26"/>
    <x v="17"/>
    <n v="11549204"/>
    <n v="717478"/>
    <n v="43"/>
    <n v="210"/>
    <n v="9030"/>
    <s v="190+268"/>
    <s v="Yes"/>
    <m/>
    <s v="Yes"/>
    <m/>
    <s v="Yes"/>
    <m/>
    <s v="Yes"/>
    <m/>
    <s v="N/A"/>
    <m/>
    <s v="Yes"/>
    <m/>
    <s v="Yes"/>
    <m/>
    <s v="New"/>
    <s v="infasco"/>
    <n v="106.94"/>
    <n v="106.94"/>
  </r>
  <r>
    <x v="26"/>
    <x v="17"/>
    <s v="11546369-IN-PN"/>
    <n v="716973"/>
    <n v="34"/>
    <n v="300"/>
    <n v="10200"/>
    <s v="190+268"/>
    <s v="Yes"/>
    <m/>
    <s v="Yes"/>
    <m/>
    <s v="Yes"/>
    <m/>
    <s v="Yes"/>
    <m/>
    <s v="N/A"/>
    <m/>
    <s v="Yes"/>
    <m/>
    <s v="Yes"/>
    <m/>
    <s v="New"/>
    <s v="infasco"/>
    <n v="106.94"/>
    <n v="106.94"/>
  </r>
  <r>
    <x v="26"/>
    <x v="17"/>
    <s v="11546378-CA-IN-B"/>
    <n v="716605"/>
    <n v="30"/>
    <n v="1250"/>
    <n v="37500"/>
    <s v="190+268"/>
    <s v="Yes"/>
    <m/>
    <s v="Yes"/>
    <m/>
    <s v="Yes"/>
    <m/>
    <s v="Yes"/>
    <m/>
    <s v="N/A"/>
    <m/>
    <s v="Yes"/>
    <m/>
    <s v="Yes"/>
    <m/>
    <s v="Re-certified"/>
    <e v="#N/A"/>
    <n v="0"/>
    <n v="0"/>
  </r>
  <r>
    <x v="26"/>
    <x v="32"/>
    <s v="06513554AA"/>
    <n v="717493"/>
    <n v="33"/>
    <n v="380"/>
    <n v="12540"/>
    <s v="252+11"/>
    <s v="Yes"/>
    <m/>
    <s v="Yes"/>
    <m/>
    <s v="Yes"/>
    <m/>
    <s v="Yes"/>
    <m/>
    <s v="N/A"/>
    <m/>
    <s v="Yes"/>
    <m/>
    <s v="Yes"/>
    <m/>
    <s v="New"/>
    <s v="infasco"/>
    <n v="135.07999999999998"/>
    <n v="135.07999999999998"/>
  </r>
  <r>
    <x v="26"/>
    <x v="32"/>
    <s v="P7241950-IN-PN"/>
    <n v="711387"/>
    <n v="6"/>
    <n v="180"/>
    <n v="1080"/>
    <s v="252+11"/>
    <s v="Yes"/>
    <m/>
    <s v="Yes"/>
    <m/>
    <s v="Yes"/>
    <m/>
    <s v="Yes"/>
    <m/>
    <s v="N/A"/>
    <m/>
    <s v="Yes"/>
    <m/>
    <s v="Yes"/>
    <m/>
    <s v="New"/>
    <s v="infasco"/>
    <n v="270.16000000000003"/>
    <n v="270.16000000000003"/>
  </r>
  <r>
    <x v="26"/>
    <x v="32"/>
    <s v="HL3W-4320-AA"/>
    <n v="713048"/>
    <n v="24"/>
    <n v="200"/>
    <n v="4800"/>
    <s v="252+11"/>
    <s v="Yes"/>
    <m/>
    <s v="Yes"/>
    <m/>
    <s v="Yes"/>
    <m/>
    <s v="Yes"/>
    <m/>
    <s v="N/A"/>
    <m/>
    <s v="Yes"/>
    <m/>
    <s v="Yes"/>
    <m/>
    <s v="New"/>
    <s v="infasco"/>
    <n v="129.44999999999999"/>
    <n v="129.44999999999999"/>
  </r>
  <r>
    <x v="26"/>
    <x v="32"/>
    <s v="HL3W-4320-AA"/>
    <n v="714252"/>
    <n v="24"/>
    <n v="200"/>
    <n v="4800"/>
    <s v="252+11"/>
    <s v="Yes"/>
    <m/>
    <s v="Yes"/>
    <m/>
    <s v="Yes"/>
    <m/>
    <s v="Yes"/>
    <m/>
    <s v="N/A"/>
    <m/>
    <s v="Yes"/>
    <m/>
    <s v="Yes"/>
    <m/>
    <s v="New"/>
    <s v="infasco"/>
    <n v="129.44999999999999"/>
    <n v="129.44999999999999"/>
  </r>
  <r>
    <x v="26"/>
    <x v="32"/>
    <s v="NU3019"/>
    <n v="717822"/>
    <n v="1"/>
    <n v="4700"/>
    <n v="4700"/>
    <s v="252+11"/>
    <s v="Yes"/>
    <m/>
    <s v="Yes"/>
    <m/>
    <s v="Yes"/>
    <m/>
    <s v="Yes"/>
    <m/>
    <s v="N/A"/>
    <m/>
    <s v="Yes"/>
    <m/>
    <s v="Yes"/>
    <m/>
    <s v="New"/>
    <s v="infasco"/>
    <n v="129.44999999999999"/>
    <n v="129.44999999999999"/>
  </r>
  <r>
    <x v="26"/>
    <x v="32"/>
    <s v="NU3019"/>
    <n v="717826"/>
    <n v="1"/>
    <n v="4700"/>
    <n v="4700"/>
    <s v="252+11"/>
    <s v="Yes"/>
    <m/>
    <s v="Yes"/>
    <m/>
    <s v="Yes"/>
    <m/>
    <s v="Yes"/>
    <m/>
    <s v="N/A"/>
    <m/>
    <s v="Yes"/>
    <m/>
    <s v="Yes"/>
    <m/>
    <s v="New"/>
    <s v="infasco"/>
    <n v="129.44999999999999"/>
    <n v="129.44999999999999"/>
  </r>
  <r>
    <x v="26"/>
    <x v="32"/>
    <s v="NU3019"/>
    <n v="717824"/>
    <n v="1"/>
    <n v="4700"/>
    <n v="4700"/>
    <s v="252+11"/>
    <s v="Yes"/>
    <m/>
    <s v="Yes"/>
    <m/>
    <s v="Yes"/>
    <m/>
    <s v="Yes"/>
    <m/>
    <s v="N/A"/>
    <m/>
    <s v="Yes"/>
    <m/>
    <s v="Yes"/>
    <m/>
    <s v="New"/>
    <s v="infasco"/>
    <n v="129.44999999999999"/>
    <n v="129.44999999999999"/>
  </r>
  <r>
    <x v="26"/>
    <x v="32"/>
    <s v="NU3019"/>
    <n v="717831"/>
    <n v="1"/>
    <n v="5900"/>
    <n v="5900"/>
    <s v="252+11"/>
    <s v="Yes"/>
    <m/>
    <s v="Yes"/>
    <m/>
    <s v="Yes"/>
    <m/>
    <s v="Yes"/>
    <m/>
    <s v="N/A"/>
    <m/>
    <s v="Yes"/>
    <m/>
    <s v="Yes"/>
    <m/>
    <s v="New"/>
    <s v="infasco"/>
    <n v="129.44999999999999"/>
    <n v="129.44999999999999"/>
  </r>
  <r>
    <x v="26"/>
    <x v="32"/>
    <n v="11549204"/>
    <n v="717552"/>
    <n v="36"/>
    <n v="210"/>
    <n v="7560"/>
    <s v="252+11"/>
    <s v="Yes"/>
    <m/>
    <s v="Yes"/>
    <m/>
    <s v="Yes"/>
    <m/>
    <s v="Yes"/>
    <m/>
    <s v="N/A"/>
    <m/>
    <s v="Yes"/>
    <m/>
    <s v="Yes"/>
    <m/>
    <s v="New"/>
    <s v="infasco"/>
    <n v="106.94"/>
    <n v="106.94"/>
  </r>
  <r>
    <x v="26"/>
    <x v="32"/>
    <n v="11549204"/>
    <n v="716944"/>
    <n v="32"/>
    <n v="210"/>
    <n v="6720"/>
    <s v="252+11"/>
    <s v="Yes"/>
    <m/>
    <s v="Yes"/>
    <m/>
    <s v="Yes"/>
    <m/>
    <s v="Yes"/>
    <m/>
    <s v="N/A"/>
    <m/>
    <s v="Yes"/>
    <m/>
    <s v="Yes"/>
    <m/>
    <s v="New"/>
    <s v="infasco"/>
    <n v="106.94"/>
    <n v="106.94"/>
  </r>
  <r>
    <x v="26"/>
    <x v="32"/>
    <s v="11546369-IN-PN"/>
    <n v="716981"/>
    <n v="38"/>
    <n v="300"/>
    <n v="11400"/>
    <s v="252+11"/>
    <s v="Yes"/>
    <m/>
    <s v="Yes"/>
    <m/>
    <s v="Yes"/>
    <m/>
    <s v="Yes"/>
    <m/>
    <s v="N/A"/>
    <m/>
    <s v="Yes"/>
    <m/>
    <s v="Yes"/>
    <m/>
    <s v="New"/>
    <s v="infasco"/>
    <n v="106.94"/>
    <n v="106.94"/>
  </r>
  <r>
    <x v="26"/>
    <x v="32"/>
    <s v="11546369-IN-PN"/>
    <n v="716975"/>
    <n v="34"/>
    <n v="300"/>
    <n v="10200"/>
    <s v="252+11"/>
    <s v="Yes"/>
    <m/>
    <s v="Yes"/>
    <m/>
    <s v="Yes"/>
    <m/>
    <s v="Yes"/>
    <m/>
    <s v="N/A"/>
    <m/>
    <s v="Yes"/>
    <m/>
    <s v="Yes"/>
    <m/>
    <s v="New"/>
    <s v="infasco"/>
    <n v="106.94"/>
    <n v="106.94"/>
  </r>
  <r>
    <x v="26"/>
    <x v="32"/>
    <s v="HL3W-4320-AA"/>
    <n v="714607"/>
    <n v="24"/>
    <n v="200"/>
    <n v="4800"/>
    <s v="252+11"/>
    <s v="Yes"/>
    <m/>
    <s v="Yes"/>
    <m/>
    <s v="Yes"/>
    <m/>
    <s v="Yes"/>
    <m/>
    <s v="N/A"/>
    <m/>
    <s v="Yes"/>
    <m/>
    <s v="Yes"/>
    <m/>
    <s v="New"/>
    <s v="infasco"/>
    <n v="129.44999999999999"/>
    <n v="129.44999999999999"/>
  </r>
  <r>
    <x v="26"/>
    <x v="13"/>
    <s v="PZ18-7P483-AA"/>
    <n v="715832"/>
    <n v="11"/>
    <n v="195"/>
    <n v="2145"/>
    <n v="285"/>
    <s v="Yes"/>
    <m/>
    <s v="Yes"/>
    <m/>
    <s v="Yes"/>
    <m/>
    <s v="Yes"/>
    <m/>
    <s v="N/A"/>
    <m/>
    <s v="Yes"/>
    <m/>
    <s v="Yes"/>
    <m/>
    <s v="New"/>
    <s v="infasco"/>
    <n v="51.78"/>
    <n v="51.78"/>
  </r>
  <r>
    <x v="26"/>
    <x v="13"/>
    <s v="PZ18-7P483-AA"/>
    <n v="716406"/>
    <n v="5"/>
    <n v="195"/>
    <n v="975"/>
    <n v="285"/>
    <s v="Yes"/>
    <m/>
    <s v="Yes"/>
    <m/>
    <s v="Yes"/>
    <m/>
    <s v="Yes"/>
    <m/>
    <s v="N/A"/>
    <m/>
    <s v="Yes"/>
    <m/>
    <s v="Yes"/>
    <m/>
    <s v="Re-certified"/>
    <s v="infasco"/>
    <n v="0"/>
    <n v="0"/>
  </r>
  <r>
    <x v="27"/>
    <x v="14"/>
    <n v="11612078"/>
    <n v="705988"/>
    <n v="12"/>
    <n v="1850"/>
    <n v="22200"/>
    <n v="4"/>
    <s v="Yes"/>
    <m/>
    <s v="Yes"/>
    <m/>
    <s v="Yes"/>
    <m/>
    <s v="Yes"/>
    <m/>
    <s v="N/A"/>
    <m/>
    <s v="Yes"/>
    <m/>
    <s v="Yes"/>
    <m/>
    <s v="Re-certified"/>
    <s v="infasco"/>
    <n v="247.64"/>
    <n v="0"/>
  </r>
  <r>
    <x v="27"/>
    <x v="8"/>
    <s v="11546368-MY-AK"/>
    <n v="717522"/>
    <n v="20"/>
    <n v="450"/>
    <n v="9000"/>
    <n v="275"/>
    <s v="Yes"/>
    <m/>
    <s v="Yes"/>
    <m/>
    <s v="Yes"/>
    <m/>
    <s v="Yes"/>
    <m/>
    <s v="N/A"/>
    <m/>
    <s v="Yes"/>
    <m/>
    <s v="Yes"/>
    <m/>
    <s v="New"/>
    <s v="infasco"/>
    <n v="106.94"/>
    <n v="106.94"/>
  </r>
  <r>
    <x v="27"/>
    <x v="8"/>
    <s v="11546368-MY-AK"/>
    <n v="717521"/>
    <n v="35"/>
    <n v="450"/>
    <n v="15750"/>
    <n v="275"/>
    <s v="Yes"/>
    <m/>
    <s v="Yes"/>
    <m/>
    <s v="Yes"/>
    <m/>
    <s v="Yes"/>
    <m/>
    <s v="N/A"/>
    <m/>
    <s v="Yes"/>
    <m/>
    <s v="Yes"/>
    <m/>
    <s v="New"/>
    <s v="infasco"/>
    <n v="106.94"/>
    <n v="106.94"/>
  </r>
  <r>
    <x v="27"/>
    <x v="8"/>
    <s v="11546368-MY-AK"/>
    <n v="717516"/>
    <n v="6"/>
    <n v="450"/>
    <n v="2700"/>
    <n v="275"/>
    <s v="Yes"/>
    <m/>
    <s v="Yes"/>
    <m/>
    <s v="Yes"/>
    <m/>
    <s v="Yes"/>
    <m/>
    <s v="N/A"/>
    <m/>
    <s v="Yes"/>
    <m/>
    <s v="Yes"/>
    <m/>
    <s v="Re-certified"/>
    <s v="infasco"/>
    <n v="0"/>
    <n v="0"/>
  </r>
  <r>
    <x v="27"/>
    <x v="9"/>
    <n v="11546545"/>
    <n v="718233"/>
    <n v="29"/>
    <n v="2500"/>
    <n v="72500"/>
    <n v="275"/>
    <s v="Yes"/>
    <m/>
    <s v="Yes"/>
    <m/>
    <s v="Yes"/>
    <m/>
    <s v="Yes"/>
    <m/>
    <s v="N/A"/>
    <m/>
    <s v="Yes"/>
    <m/>
    <s v="Yes"/>
    <m/>
    <s v="New"/>
    <s v="infasco"/>
    <n v="106.94"/>
    <n v="106.94"/>
  </r>
  <r>
    <x v="27"/>
    <x v="9"/>
    <n v="11546545"/>
    <n v="717757"/>
    <n v="9"/>
    <n v="2500"/>
    <n v="22500"/>
    <n v="275"/>
    <s v="Yes"/>
    <m/>
    <s v="Yes"/>
    <m/>
    <s v="Yes"/>
    <m/>
    <s v="Yes"/>
    <m/>
    <s v="N/A"/>
    <m/>
    <s v="Yes"/>
    <m/>
    <s v="Yes"/>
    <m/>
    <s v="Re-certified"/>
    <s v="infasco"/>
    <n v="0"/>
    <n v="0"/>
  </r>
  <r>
    <x v="27"/>
    <x v="11"/>
    <n v="11546545"/>
    <n v="718230"/>
    <n v="9"/>
    <n v="2500"/>
    <n v="22500"/>
    <n v="275"/>
    <s v="Yes"/>
    <m/>
    <s v="Yes"/>
    <m/>
    <s v="Yes"/>
    <m/>
    <s v="Yes"/>
    <m/>
    <s v="N/A"/>
    <m/>
    <s v="Yes"/>
    <m/>
    <s v="Yes"/>
    <m/>
    <s v="New"/>
    <s v="infasco"/>
    <n v="106.94"/>
    <n v="106.94"/>
  </r>
  <r>
    <x v="27"/>
    <x v="11"/>
    <n v="11546545"/>
    <n v="718238"/>
    <n v="29"/>
    <n v="2500"/>
    <n v="72500"/>
    <n v="275"/>
    <s v="Yes"/>
    <m/>
    <s v="Yes"/>
    <m/>
    <s v="Yes"/>
    <m/>
    <s v="Yes"/>
    <m/>
    <s v="N/A"/>
    <m/>
    <s v="Yes"/>
    <m/>
    <s v="Yes"/>
    <m/>
    <s v="Re-certified"/>
    <s v="infasco"/>
    <n v="0"/>
    <n v="0"/>
  </r>
  <r>
    <x v="27"/>
    <x v="10"/>
    <n v="11546545"/>
    <n v="718235"/>
    <n v="21"/>
    <n v="2500"/>
    <n v="52500"/>
    <n v="275"/>
    <s v="Yes"/>
    <m/>
    <s v="Yes"/>
    <m/>
    <s v="Yes"/>
    <m/>
    <s v="Yes"/>
    <m/>
    <s v="N/A"/>
    <m/>
    <s v="Yes"/>
    <m/>
    <s v="Yes"/>
    <m/>
    <s v="New"/>
    <s v="infasco"/>
    <n v="106.94"/>
    <n v="106.94"/>
  </r>
  <r>
    <x v="27"/>
    <x v="10"/>
    <n v="11546545"/>
    <n v="717758"/>
    <n v="15"/>
    <n v="2500"/>
    <n v="37500"/>
    <n v="275"/>
    <s v="Yes"/>
    <m/>
    <s v="Yes"/>
    <m/>
    <s v="Yes"/>
    <m/>
    <s v="Yes"/>
    <m/>
    <s v="N/A"/>
    <m/>
    <s v="Yes"/>
    <m/>
    <s v="Yes"/>
    <m/>
    <s v="Re-certified"/>
    <s v="infasco"/>
    <n v="0"/>
    <n v="0"/>
  </r>
  <r>
    <x v="27"/>
    <x v="6"/>
    <n v="11546545"/>
    <n v="718234"/>
    <n v="31"/>
    <n v="2500"/>
    <n v="77500"/>
    <n v="275"/>
    <s v="Yes"/>
    <m/>
    <s v="Yes"/>
    <m/>
    <s v="Yes"/>
    <m/>
    <s v="Yes"/>
    <m/>
    <s v="N/A"/>
    <m/>
    <s v="Yes"/>
    <m/>
    <s v="Yes"/>
    <m/>
    <s v="New"/>
    <s v="infasco"/>
    <n v="106.94"/>
    <n v="106.94"/>
  </r>
  <r>
    <x v="27"/>
    <x v="6"/>
    <n v="11546545"/>
    <n v="717756"/>
    <n v="5"/>
    <n v="2500"/>
    <n v="12500"/>
    <n v="275"/>
    <s v="Yes"/>
    <m/>
    <s v="Yes"/>
    <m/>
    <s v="Yes"/>
    <m/>
    <s v="Yes"/>
    <m/>
    <s v="N/A"/>
    <m/>
    <s v="Yes"/>
    <m/>
    <s v="Yes"/>
    <m/>
    <s v="Re-certified"/>
    <s v="infasco"/>
    <n v="0"/>
    <n v="0"/>
  </r>
  <r>
    <x v="27"/>
    <x v="12"/>
    <s v="11546368-MY-AK"/>
    <n v="717015"/>
    <n v="36"/>
    <n v="450"/>
    <n v="16200"/>
    <n v="275"/>
    <s v="Yes"/>
    <m/>
    <s v="Yes"/>
    <m/>
    <s v="Yes"/>
    <m/>
    <s v="Yes"/>
    <m/>
    <s v="N/A"/>
    <m/>
    <s v="Yes"/>
    <m/>
    <s v="Yes"/>
    <m/>
    <s v="New"/>
    <s v="infasco"/>
    <n v="106.94"/>
    <n v="106.94"/>
  </r>
  <r>
    <x v="27"/>
    <x v="12"/>
    <s v="11546368-MY-AK"/>
    <n v="717018"/>
    <n v="12"/>
    <n v="450"/>
    <n v="5400"/>
    <n v="275"/>
    <s v="Yes"/>
    <m/>
    <s v="Yes"/>
    <m/>
    <s v="Yes"/>
    <m/>
    <s v="Yes"/>
    <m/>
    <s v="N/A"/>
    <m/>
    <s v="Yes"/>
    <m/>
    <s v="Yes"/>
    <m/>
    <s v="Re-certified"/>
    <s v="infasco"/>
    <n v="0"/>
    <n v="0"/>
  </r>
  <r>
    <x v="27"/>
    <x v="27"/>
    <n v="11549170"/>
    <n v="716937"/>
    <n v="18"/>
    <n v="400"/>
    <n v="7200"/>
    <n v="290"/>
    <s v="Yes"/>
    <m/>
    <s v="Yes"/>
    <m/>
    <s v="Yes"/>
    <m/>
    <s v="Yes"/>
    <m/>
    <s v="N/A"/>
    <m/>
    <s v="Yes"/>
    <m/>
    <s v="Yes"/>
    <m/>
    <s v="New"/>
    <s v="infasco"/>
    <n v="106.94"/>
    <n v="106.94"/>
  </r>
  <r>
    <x v="27"/>
    <x v="27"/>
    <n v="11549170"/>
    <n v="717366"/>
    <n v="39"/>
    <n v="400"/>
    <n v="15600"/>
    <n v="290"/>
    <s v="Yes"/>
    <m/>
    <s v="Yes"/>
    <m/>
    <s v="Yes"/>
    <m/>
    <s v="Yes"/>
    <m/>
    <s v="N/A"/>
    <m/>
    <s v="Yes"/>
    <m/>
    <s v="Yes"/>
    <m/>
    <s v="New"/>
    <s v="infasco"/>
    <n v="106.94"/>
    <n v="106.94"/>
  </r>
  <r>
    <x v="27"/>
    <x v="27"/>
    <s v="11546368-MY-AK"/>
    <n v="717515"/>
    <n v="3"/>
    <n v="450"/>
    <n v="1350"/>
    <n v="290"/>
    <s v="Yes"/>
    <m/>
    <s v="Yes"/>
    <m/>
    <s v="Yes"/>
    <m/>
    <s v="Yes"/>
    <m/>
    <s v="N/A"/>
    <m/>
    <s v="Yes"/>
    <m/>
    <s v="Yes"/>
    <m/>
    <s v="Re-certified"/>
    <s v="infasco"/>
    <n v="0"/>
    <n v="0"/>
  </r>
  <r>
    <x v="27"/>
    <x v="26"/>
    <n v="11549168"/>
    <n v="717371"/>
    <n v="36"/>
    <n v="1000"/>
    <n v="36000"/>
    <n v="290"/>
    <s v="Yes"/>
    <m/>
    <s v="Yes"/>
    <m/>
    <s v="Yes"/>
    <m/>
    <s v="Yes"/>
    <m/>
    <s v="N/A"/>
    <m/>
    <s v="Yes"/>
    <m/>
    <s v="Yes"/>
    <m/>
    <s v="New"/>
    <s v="infasco"/>
    <n v="106.94"/>
    <n v="106.94"/>
  </r>
  <r>
    <x v="27"/>
    <x v="26"/>
    <n v="11549168"/>
    <n v="717372"/>
    <n v="13"/>
    <n v="1000"/>
    <n v="13000"/>
    <n v="290"/>
    <s v="Yes"/>
    <m/>
    <s v="Yes"/>
    <m/>
    <s v="Yes"/>
    <m/>
    <s v="Yes"/>
    <m/>
    <s v="N/A"/>
    <m/>
    <s v="Yes"/>
    <m/>
    <s v="Yes"/>
    <m/>
    <s v="Re-certified"/>
    <s v="infasco"/>
    <n v="0"/>
    <n v="0"/>
  </r>
  <r>
    <x v="27"/>
    <x v="31"/>
    <s v="06511637AA"/>
    <n v="717529"/>
    <n v="34"/>
    <n v="1200"/>
    <n v="40800"/>
    <n v="290"/>
    <s v="Yes"/>
    <m/>
    <s v="Yes"/>
    <m/>
    <s v="Yes"/>
    <m/>
    <s v="Yes"/>
    <m/>
    <s v="N/A"/>
    <m/>
    <s v="Yes"/>
    <m/>
    <s v="Yes"/>
    <m/>
    <s v="New"/>
    <s v="infasco"/>
    <n v="106.94"/>
    <n v="106.94"/>
  </r>
  <r>
    <x v="27"/>
    <x v="31"/>
    <n v="11549168"/>
    <n v="717369"/>
    <n v="36"/>
    <n v="1000"/>
    <n v="36000"/>
    <n v="290"/>
    <s v="Yes"/>
    <m/>
    <s v="Yes"/>
    <m/>
    <s v="Yes"/>
    <m/>
    <s v="Yes"/>
    <m/>
    <s v="N/A"/>
    <m/>
    <s v="Yes"/>
    <m/>
    <s v="Yes"/>
    <m/>
    <s v="New"/>
    <s v="infasco"/>
    <n v="106.94"/>
    <n v="106.94"/>
  </r>
  <r>
    <x v="27"/>
    <x v="31"/>
    <n v="11549168"/>
    <n v="717377"/>
    <n v="12"/>
    <n v="1000"/>
    <n v="12000"/>
    <n v="290"/>
    <s v="Yes"/>
    <m/>
    <s v="Yes"/>
    <m/>
    <s v="Yes"/>
    <m/>
    <s v="Yes"/>
    <m/>
    <s v="N/A"/>
    <m/>
    <s v="Yes"/>
    <m/>
    <s v="Yes"/>
    <m/>
    <s v="Re-certified"/>
    <s v="infasco"/>
    <n v="0"/>
    <n v="0"/>
  </r>
  <r>
    <x v="27"/>
    <x v="28"/>
    <n v="11546571"/>
    <n v="717161"/>
    <n v="6"/>
    <n v="1550"/>
    <n v="9300"/>
    <n v="290"/>
    <s v="Yes"/>
    <m/>
    <s v="Yes"/>
    <m/>
    <s v="Yes"/>
    <m/>
    <s v="Yes"/>
    <m/>
    <s v="N/A"/>
    <m/>
    <s v="Yes"/>
    <m/>
    <s v="Yes"/>
    <m/>
    <s v="New"/>
    <s v="infasco"/>
    <n v="135.07999999999998"/>
    <n v="135.07999999999998"/>
  </r>
  <r>
    <x v="27"/>
    <x v="30"/>
    <s v="11546368-MY-AK"/>
    <n v="717523"/>
    <n v="35"/>
    <n v="450"/>
    <n v="15750"/>
    <n v="290"/>
    <s v="Yes"/>
    <m/>
    <s v="Yes"/>
    <m/>
    <s v="Yes"/>
    <m/>
    <s v="Yes"/>
    <m/>
    <s v="N/A"/>
    <m/>
    <s v="Yes"/>
    <m/>
    <s v="Yes"/>
    <m/>
    <s v="New"/>
    <s v="infasco"/>
    <n v="106.94"/>
    <n v="106.94"/>
  </r>
  <r>
    <x v="27"/>
    <x v="30"/>
    <s v="11546368-MY-AK"/>
    <n v="717511"/>
    <n v="36"/>
    <n v="450"/>
    <n v="16200"/>
    <n v="290"/>
    <s v="Yes"/>
    <m/>
    <s v="Yes"/>
    <m/>
    <s v="Yes"/>
    <m/>
    <s v="Yes"/>
    <m/>
    <s v="N/A"/>
    <m/>
    <s v="Yes"/>
    <m/>
    <s v="Yes"/>
    <m/>
    <s v="New"/>
    <s v="infasco"/>
    <n v="106.94"/>
    <n v="106.94"/>
  </r>
  <r>
    <x v="27"/>
    <x v="30"/>
    <s v="11546368-MY-AK"/>
    <n v="717526"/>
    <n v="36"/>
    <n v="450"/>
    <n v="16200"/>
    <n v="290"/>
    <s v="Yes"/>
    <m/>
    <s v="Yes"/>
    <m/>
    <s v="Yes"/>
    <m/>
    <s v="Yes"/>
    <m/>
    <s v="N/A"/>
    <m/>
    <s v="Yes"/>
    <m/>
    <s v="Yes"/>
    <m/>
    <s v="New"/>
    <s v="infasco"/>
    <n v="106.94"/>
    <n v="106.94"/>
  </r>
  <r>
    <x v="27"/>
    <x v="30"/>
    <s v="11546368-MY-AK"/>
    <n v="717519"/>
    <n v="10"/>
    <n v="450"/>
    <n v="4500"/>
    <n v="290"/>
    <s v="Yes"/>
    <m/>
    <s v="Yes"/>
    <m/>
    <s v="Yes"/>
    <m/>
    <s v="Yes"/>
    <m/>
    <s v="N/A"/>
    <m/>
    <s v="Yes"/>
    <m/>
    <s v="Yes"/>
    <m/>
    <s v="Re-certified"/>
    <s v="infasco"/>
    <n v="0"/>
    <n v="0"/>
  </r>
  <r>
    <x v="27"/>
    <x v="29"/>
    <s v="06101736-A"/>
    <n v="717766"/>
    <n v="8"/>
    <n v="3200"/>
    <n v="25600"/>
    <n v="290"/>
    <s v="Yes"/>
    <m/>
    <s v="Yes"/>
    <m/>
    <s v="Yes"/>
    <m/>
    <s v="Yes"/>
    <m/>
    <s v="N/A"/>
    <m/>
    <s v="Yes"/>
    <m/>
    <s v="Yes"/>
    <m/>
    <s v="New"/>
    <s v="infasco"/>
    <n v="106.94"/>
    <n v="106.94"/>
  </r>
  <r>
    <x v="27"/>
    <x v="29"/>
    <n v="11546545"/>
    <n v="717759"/>
    <n v="13"/>
    <n v="2500"/>
    <n v="32500"/>
    <n v="290"/>
    <s v="Yes"/>
    <m/>
    <s v="Yes"/>
    <m/>
    <s v="Yes"/>
    <m/>
    <s v="Yes"/>
    <m/>
    <s v="N/A"/>
    <m/>
    <s v="Yes"/>
    <m/>
    <s v="Yes"/>
    <m/>
    <s v="Re-certified"/>
    <s v="infasco"/>
    <n v="0"/>
    <n v="0"/>
  </r>
  <r>
    <x v="27"/>
    <x v="0"/>
    <n v="11546377"/>
    <n v="718138"/>
    <n v="16"/>
    <n v="2150"/>
    <n v="34400"/>
    <n v="292"/>
    <s v="Yes"/>
    <m/>
    <s v="Yes"/>
    <m/>
    <s v="Yes"/>
    <m/>
    <s v="Yes"/>
    <m/>
    <s v="N/A"/>
    <m/>
    <s v="Yes"/>
    <m/>
    <s v="Yes"/>
    <m/>
    <s v="New"/>
    <s v="infasco"/>
    <n v="106.94"/>
    <n v="106.94"/>
  </r>
  <r>
    <x v="27"/>
    <x v="1"/>
    <n v="11546545"/>
    <n v="718232"/>
    <n v="18"/>
    <n v="2500"/>
    <n v="45000"/>
    <n v="292"/>
    <s v="Yes"/>
    <m/>
    <s v="Yes"/>
    <m/>
    <s v="Yes"/>
    <m/>
    <s v="Yes"/>
    <m/>
    <s v="N/A"/>
    <m/>
    <s v="Yes"/>
    <m/>
    <s v="Yes"/>
    <m/>
    <s v="Re-certified"/>
    <s v="infasco"/>
    <n v="0"/>
    <n v="0"/>
  </r>
  <r>
    <x v="27"/>
    <x v="2"/>
    <n v="11546462"/>
    <n v="718222"/>
    <n v="10"/>
    <n v="650"/>
    <n v="6500"/>
    <n v="292"/>
    <s v="Yes"/>
    <m/>
    <s v="Yes"/>
    <m/>
    <s v="Yes"/>
    <m/>
    <s v="Yes"/>
    <m/>
    <s v="N/A"/>
    <m/>
    <s v="Yes"/>
    <m/>
    <s v="Yes"/>
    <m/>
    <s v="New"/>
    <s v="infasco"/>
    <n v="106.94"/>
    <n v="106.94"/>
  </r>
  <r>
    <x v="27"/>
    <x v="2"/>
    <n v="11546462"/>
    <n v="718224"/>
    <n v="44"/>
    <n v="650"/>
    <n v="28600"/>
    <n v="292"/>
    <s v="Yes"/>
    <m/>
    <s v="Yes"/>
    <m/>
    <s v="Yes"/>
    <m/>
    <s v="Yes"/>
    <m/>
    <s v="N/A"/>
    <m/>
    <s v="Yes"/>
    <m/>
    <s v="Yes"/>
    <m/>
    <s v="New"/>
    <s v="infasco"/>
    <n v="106.94"/>
    <n v="106.94"/>
  </r>
  <r>
    <x v="27"/>
    <x v="2"/>
    <n v="11546462"/>
    <n v="718227"/>
    <n v="3"/>
    <n v="650"/>
    <n v="1950"/>
    <n v="292"/>
    <s v="Yes"/>
    <m/>
    <s v="Yes"/>
    <m/>
    <s v="Yes"/>
    <m/>
    <s v="Yes"/>
    <m/>
    <s v="N/A"/>
    <m/>
    <s v="Yes"/>
    <m/>
    <s v="Yes"/>
    <m/>
    <s v="Re-certified"/>
    <s v="infasco"/>
    <n v="0"/>
    <n v="0"/>
  </r>
  <r>
    <x v="27"/>
    <x v="4"/>
    <n v="11546377"/>
    <n v="718137"/>
    <n v="19"/>
    <n v="2150"/>
    <n v="40850"/>
    <n v="292"/>
    <s v="Yes"/>
    <m/>
    <s v="Yes"/>
    <m/>
    <s v="Yes"/>
    <m/>
    <s v="Yes"/>
    <m/>
    <s v="N/A"/>
    <m/>
    <s v="Yes"/>
    <m/>
    <s v="Yes"/>
    <m/>
    <s v="New"/>
    <s v="infasco"/>
    <n v="106.94"/>
    <n v="106.94"/>
  </r>
  <r>
    <x v="27"/>
    <x v="5"/>
    <s v="11610091-MY-AK"/>
    <n v="717560"/>
    <n v="8"/>
    <n v="2500"/>
    <n v="20000"/>
    <n v="292"/>
    <s v="Yes"/>
    <m/>
    <s v="Yes"/>
    <m/>
    <s v="Yes"/>
    <m/>
    <s v="Yes"/>
    <m/>
    <s v="N/A"/>
    <m/>
    <s v="Yes"/>
    <m/>
    <s v="Yes"/>
    <m/>
    <s v="New"/>
    <s v="infasco"/>
    <n v="106.94"/>
    <n v="106.94"/>
  </r>
  <r>
    <x v="27"/>
    <x v="5"/>
    <s v="11546368-MY-AK"/>
    <n v="717019"/>
    <n v="36"/>
    <n v="450"/>
    <n v="16200"/>
    <n v="292"/>
    <s v="Yes"/>
    <m/>
    <s v="Yes"/>
    <m/>
    <s v="Yes"/>
    <m/>
    <s v="Yes"/>
    <m/>
    <s v="N/A"/>
    <m/>
    <s v="Yes"/>
    <m/>
    <s v="Yes"/>
    <m/>
    <s v="New"/>
    <s v="infasco"/>
    <n v="106.94"/>
    <n v="106.94"/>
  </r>
  <r>
    <x v="27"/>
    <x v="5"/>
    <s v="11546368-MY-AK"/>
    <n v="717023"/>
    <n v="3"/>
    <n v="450"/>
    <n v="1350"/>
    <n v="292"/>
    <s v="Yes"/>
    <m/>
    <s v="Yes"/>
    <m/>
    <s v="Yes"/>
    <m/>
    <s v="Yes"/>
    <m/>
    <s v="N/A"/>
    <m/>
    <s v="Yes"/>
    <m/>
    <s v="Yes"/>
    <m/>
    <s v="Re-certified"/>
    <s v="infasco"/>
    <n v="0"/>
    <n v="0"/>
  </r>
  <r>
    <x v="27"/>
    <x v="3"/>
    <s v="11546368-MY-AK"/>
    <n v="716367"/>
    <n v="16"/>
    <n v="450"/>
    <n v="7200"/>
    <n v="292"/>
    <s v="Yes"/>
    <m/>
    <s v="Yes"/>
    <m/>
    <s v="Yes"/>
    <m/>
    <s v="Yes"/>
    <m/>
    <s v="N/A"/>
    <m/>
    <s v="Yes"/>
    <m/>
    <s v="Yes"/>
    <m/>
    <s v="New"/>
    <s v="infasco"/>
    <n v="106.94"/>
    <n v="106.94"/>
  </r>
  <r>
    <x v="27"/>
    <x v="3"/>
    <s v="11546368-MY-AK"/>
    <n v="717026"/>
    <n v="39"/>
    <n v="450"/>
    <n v="17550"/>
    <n v="292"/>
    <s v="Yes"/>
    <m/>
    <s v="Yes"/>
    <m/>
    <s v="Yes"/>
    <m/>
    <s v="Yes"/>
    <m/>
    <s v="N/A"/>
    <m/>
    <s v="Yes"/>
    <m/>
    <s v="Yes"/>
    <m/>
    <s v="New"/>
    <s v="infasco"/>
    <n v="106.94"/>
    <n v="106.94"/>
  </r>
  <r>
    <x v="27"/>
    <x v="3"/>
    <s v="11546368-MY-AK"/>
    <n v="717017"/>
    <n v="36"/>
    <n v="450"/>
    <n v="16200"/>
    <n v="292"/>
    <s v="Yes"/>
    <m/>
    <s v="Yes"/>
    <m/>
    <s v="Yes"/>
    <m/>
    <s v="Yes"/>
    <m/>
    <s v="N/A"/>
    <m/>
    <s v="Yes"/>
    <m/>
    <s v="Yes"/>
    <m/>
    <s v="New"/>
    <s v="infasco"/>
    <n v="106.94"/>
    <n v="106.94"/>
  </r>
  <r>
    <x v="27"/>
    <x v="19"/>
    <n v="11546462"/>
    <n v="718225"/>
    <n v="36"/>
    <n v="650"/>
    <n v="23400"/>
    <n v="292"/>
    <s v="Yes"/>
    <m/>
    <s v="Yes"/>
    <m/>
    <s v="Yes"/>
    <m/>
    <s v="Yes"/>
    <m/>
    <s v="N/A"/>
    <m/>
    <s v="Yes"/>
    <m/>
    <s v="Yes"/>
    <m/>
    <s v="New"/>
    <s v="infasco"/>
    <n v="106.94"/>
    <n v="106.94"/>
  </r>
  <r>
    <x v="27"/>
    <x v="19"/>
    <s v="11549168-CA-IN"/>
    <n v="710828"/>
    <n v="9"/>
    <n v="1000"/>
    <n v="9000"/>
    <n v="240"/>
    <s v="Yes"/>
    <m/>
    <s v="Yes"/>
    <m/>
    <s v="Yes"/>
    <m/>
    <s v="Yes"/>
    <m/>
    <s v="N/A"/>
    <m/>
    <s v="Yes"/>
    <m/>
    <s v="Yes"/>
    <m/>
    <s v="Re-certified"/>
    <s v="infasco"/>
    <n v="0"/>
    <n v="0"/>
  </r>
  <r>
    <x v="27"/>
    <x v="23"/>
    <n v="11546545"/>
    <n v="718231"/>
    <n v="12"/>
    <n v="2500"/>
    <n v="30000"/>
    <n v="280"/>
    <s v="Yes"/>
    <m/>
    <s v="Yes"/>
    <m/>
    <s v="Yes"/>
    <m/>
    <s v="Yes"/>
    <m/>
    <s v="N/A"/>
    <m/>
    <s v="Yes"/>
    <m/>
    <s v="Yes"/>
    <m/>
    <s v="New"/>
    <s v="infasco"/>
    <n v="106.94"/>
    <n v="106.94"/>
  </r>
  <r>
    <x v="27"/>
    <x v="23"/>
    <n v="11546545"/>
    <n v="718237"/>
    <n v="37"/>
    <n v="2500"/>
    <n v="92500"/>
    <n v="280"/>
    <s v="Yes"/>
    <m/>
    <s v="Yes"/>
    <m/>
    <s v="Yes"/>
    <m/>
    <s v="Yes"/>
    <m/>
    <s v="N/A"/>
    <m/>
    <s v="Yes"/>
    <m/>
    <s v="Yes"/>
    <m/>
    <s v="New"/>
    <s v="infasco"/>
    <n v="106.94"/>
    <n v="106.94"/>
  </r>
  <r>
    <x v="27"/>
    <x v="25"/>
    <s v="06101736-A"/>
    <n v="717764"/>
    <n v="13"/>
    <n v="3200"/>
    <n v="41600"/>
    <n v="280"/>
    <s v="Yes"/>
    <m/>
    <s v="Yes"/>
    <m/>
    <s v="Yes"/>
    <m/>
    <s v="Yes"/>
    <m/>
    <s v="N/A"/>
    <m/>
    <s v="Yes"/>
    <m/>
    <s v="Yes"/>
    <m/>
    <s v="Re-certified"/>
    <s v="infasco"/>
    <n v="0"/>
    <n v="0"/>
  </r>
  <r>
    <x v="27"/>
    <x v="24"/>
    <s v="06101736-A"/>
    <n v="717767"/>
    <n v="15"/>
    <n v="3200"/>
    <n v="48000"/>
    <n v="280"/>
    <s v="Yes"/>
    <m/>
    <s v="Yes"/>
    <m/>
    <s v="Yes"/>
    <m/>
    <s v="Yes"/>
    <m/>
    <s v="N/A"/>
    <m/>
    <s v="Yes"/>
    <m/>
    <s v="Yes"/>
    <m/>
    <s v="Re-certified"/>
    <s v="infasco"/>
    <n v="0"/>
    <n v="0"/>
  </r>
  <r>
    <x v="27"/>
    <x v="21"/>
    <n v="11546545"/>
    <n v="718239"/>
    <n v="36"/>
    <n v="2500"/>
    <n v="90000"/>
    <n v="280"/>
    <s v="Yes"/>
    <m/>
    <s v="Yes"/>
    <m/>
    <s v="Yes"/>
    <m/>
    <s v="Yes"/>
    <m/>
    <s v="N/A"/>
    <m/>
    <s v="Yes"/>
    <m/>
    <s v="Yes"/>
    <m/>
    <s v="New"/>
    <s v="infasco"/>
    <n v="106.94"/>
    <n v="106.94"/>
  </r>
  <r>
    <x v="27"/>
    <x v="21"/>
    <n v="11546545"/>
    <n v="718236"/>
    <n v="34"/>
    <n v="2500"/>
    <n v="85000"/>
    <n v="280"/>
    <s v="Yes"/>
    <m/>
    <s v="Yes"/>
    <m/>
    <s v="Yes"/>
    <m/>
    <s v="Yes"/>
    <m/>
    <s v="N/A"/>
    <m/>
    <s v="Yes"/>
    <m/>
    <s v="Yes"/>
    <m/>
    <s v="New"/>
    <s v="infasco"/>
    <n v="106.94"/>
    <n v="106.94"/>
  </r>
  <r>
    <x v="27"/>
    <x v="20"/>
    <s v="06511637AA"/>
    <n v="717532"/>
    <n v="4"/>
    <n v="1200"/>
    <n v="4800"/>
    <n v="280"/>
    <s v="Yes"/>
    <m/>
    <s v="Yes"/>
    <m/>
    <s v="Yes"/>
    <m/>
    <s v="Yes"/>
    <m/>
    <s v="N/A"/>
    <m/>
    <s v="Yes"/>
    <m/>
    <s v="Yes"/>
    <m/>
    <s v="New"/>
    <s v="infasco"/>
    <n v="106.94"/>
    <n v="106.94"/>
  </r>
  <r>
    <x v="27"/>
    <x v="20"/>
    <s v="11546367-MY-AK"/>
    <n v="716373"/>
    <n v="22"/>
    <n v="700"/>
    <n v="15400"/>
    <n v="280"/>
    <s v="Yes"/>
    <m/>
    <s v="Yes"/>
    <m/>
    <s v="Yes"/>
    <m/>
    <s v="Yes"/>
    <m/>
    <s v="N/A"/>
    <m/>
    <s v="Yes"/>
    <m/>
    <s v="Yes"/>
    <m/>
    <s v="Re-certified"/>
    <s v="infasco"/>
    <n v="0"/>
    <n v="0"/>
  </r>
  <r>
    <x v="27"/>
    <x v="15"/>
    <s v="11546378-CA-IN"/>
    <n v="713803"/>
    <n v="35"/>
    <n v="1250"/>
    <n v="43750"/>
    <s v="157+297"/>
    <s v="Yes"/>
    <m/>
    <s v="Yes"/>
    <m/>
    <s v="Yes"/>
    <m/>
    <s v="Yes"/>
    <m/>
    <s v="N/A"/>
    <m/>
    <s v="Yes"/>
    <m/>
    <s v="Yes"/>
    <m/>
    <s v="New"/>
    <s v="infasco"/>
    <n v="106.94"/>
    <n v="106.94"/>
  </r>
  <r>
    <x v="27"/>
    <x v="15"/>
    <s v="11546378-CA-IN"/>
    <n v="713804"/>
    <n v="36"/>
    <n v="1250"/>
    <n v="45000"/>
    <s v="157+297"/>
    <s v="Yes"/>
    <m/>
    <s v="Yes"/>
    <m/>
    <s v="Yes"/>
    <m/>
    <s v="Yes"/>
    <m/>
    <s v="N/A"/>
    <m/>
    <s v="Yes"/>
    <m/>
    <s v="Yes"/>
    <m/>
    <s v="New"/>
    <s v="infasco"/>
    <n v="106.94"/>
    <n v="106.94"/>
  </r>
  <r>
    <x v="27"/>
    <x v="15"/>
    <s v="11546378-CA-IN"/>
    <n v="713802"/>
    <n v="36"/>
    <n v="1250"/>
    <n v="45000"/>
    <s v="157+297"/>
    <s v="Yes"/>
    <m/>
    <s v="Yes"/>
    <m/>
    <s v="Yes"/>
    <m/>
    <s v="Yes"/>
    <m/>
    <s v="N/A"/>
    <m/>
    <s v="Yes"/>
    <m/>
    <s v="Yes"/>
    <m/>
    <s v="New"/>
    <s v="infasco"/>
    <n v="106.94"/>
    <n v="106.94"/>
  </r>
  <r>
    <x v="27"/>
    <x v="16"/>
    <s v="11546774-MY-AK"/>
    <n v="716174"/>
    <n v="27"/>
    <n v="450"/>
    <n v="12150"/>
    <s v="391+297"/>
    <s v="Yes"/>
    <m/>
    <s v="Yes"/>
    <m/>
    <s v="Yes"/>
    <m/>
    <s v="Yes"/>
    <m/>
    <s v="N/A"/>
    <m/>
    <s v="Yes"/>
    <m/>
    <s v="Yes"/>
    <m/>
    <s v="New"/>
    <s v="infasco"/>
    <n v="106.94"/>
    <n v="106.94"/>
  </r>
  <r>
    <x v="27"/>
    <x v="16"/>
    <s v="W705606-S440"/>
    <n v="718794"/>
    <n v="36"/>
    <n v="580"/>
    <n v="20880"/>
    <s v="391+297"/>
    <s v="Yes"/>
    <m/>
    <s v="Yes"/>
    <m/>
    <s v="Yes"/>
    <m/>
    <s v="Yes"/>
    <m/>
    <s v="N/A"/>
    <m/>
    <s v="Yes"/>
    <m/>
    <s v="Yes"/>
    <m/>
    <s v="New"/>
    <s v="infasco"/>
    <n v="280.15999999999997"/>
    <n v="280.15999999999997"/>
  </r>
  <r>
    <x v="27"/>
    <x v="16"/>
    <s v="W705606-S440"/>
    <n v="718795"/>
    <n v="18"/>
    <n v="580"/>
    <n v="10440"/>
    <s v="391+297"/>
    <s v="Yes"/>
    <m/>
    <s v="Yes"/>
    <m/>
    <s v="Yes"/>
    <m/>
    <s v="Yes"/>
    <m/>
    <s v="N/A"/>
    <m/>
    <s v="Yes"/>
    <m/>
    <s v="Yes"/>
    <m/>
    <s v="Re-certified"/>
    <s v="infasco"/>
    <n v="0"/>
    <n v="0"/>
  </r>
  <r>
    <x v="27"/>
    <x v="16"/>
    <n v="11549204"/>
    <n v="716398"/>
    <n v="35"/>
    <n v="210"/>
    <n v="7350"/>
    <s v="391+297"/>
    <s v="Yes"/>
    <m/>
    <s v="Yes"/>
    <m/>
    <s v="Yes"/>
    <m/>
    <s v="Yes"/>
    <m/>
    <s v="N/A"/>
    <m/>
    <s v="Yes"/>
    <m/>
    <s v="Yes"/>
    <m/>
    <s v="New"/>
    <s v="infasco"/>
    <n v="106.94"/>
    <n v="106.94"/>
  </r>
  <r>
    <x v="27"/>
    <x v="16"/>
    <n v="11549204"/>
    <n v="717477"/>
    <n v="36"/>
    <n v="210"/>
    <n v="7560"/>
    <s v="391+297"/>
    <s v="Yes"/>
    <m/>
    <s v="Yes"/>
    <m/>
    <s v="Yes"/>
    <m/>
    <s v="Yes"/>
    <m/>
    <s v="N/A"/>
    <m/>
    <s v="Yes"/>
    <m/>
    <s v="Yes"/>
    <m/>
    <s v="New"/>
    <s v="infasco"/>
    <n v="106.94"/>
    <n v="106.94"/>
  </r>
  <r>
    <x v="27"/>
    <x v="16"/>
    <n v="11549204"/>
    <n v="716943"/>
    <n v="36"/>
    <n v="210"/>
    <n v="7560"/>
    <s v="391+297"/>
    <s v="Yes"/>
    <m/>
    <s v="Yes"/>
    <m/>
    <s v="Yes"/>
    <m/>
    <s v="Yes"/>
    <m/>
    <s v="N/A"/>
    <m/>
    <s v="Yes"/>
    <m/>
    <s v="Yes"/>
    <m/>
    <s v="New"/>
    <s v="infasco"/>
    <n v="106.94"/>
    <n v="106.94"/>
  </r>
  <r>
    <x v="27"/>
    <x v="16"/>
    <n v="11549204"/>
    <n v="716394"/>
    <n v="36"/>
    <n v="210"/>
    <n v="7560"/>
    <s v="391+297"/>
    <s v="Yes"/>
    <m/>
    <s v="Yes"/>
    <m/>
    <s v="Yes"/>
    <m/>
    <s v="Yes"/>
    <m/>
    <s v="N/A"/>
    <m/>
    <s v="Yes"/>
    <m/>
    <s v="Yes"/>
    <m/>
    <s v="New"/>
    <s v="infasco"/>
    <n v="106.94"/>
    <n v="106.94"/>
  </r>
  <r>
    <x v="27"/>
    <x v="16"/>
    <n v="11549204"/>
    <n v="716397"/>
    <n v="48"/>
    <n v="210"/>
    <n v="10080"/>
    <s v="391+297"/>
    <s v="Yes"/>
    <m/>
    <s v="Yes"/>
    <m/>
    <s v="Yes"/>
    <m/>
    <s v="Yes"/>
    <m/>
    <s v="N/A"/>
    <m/>
    <s v="Yes"/>
    <m/>
    <s v="Yes"/>
    <m/>
    <s v="New"/>
    <s v="infasco"/>
    <n v="106.94"/>
    <n v="106.94"/>
  </r>
  <r>
    <x v="27"/>
    <x v="17"/>
    <s v="11546378-CA-IN"/>
    <n v="716605"/>
    <n v="3"/>
    <n v="1250"/>
    <n v="3750"/>
    <s v="190+268"/>
    <s v="Yes"/>
    <m/>
    <s v="Yes"/>
    <m/>
    <s v="Yes"/>
    <m/>
    <s v="Yes"/>
    <m/>
    <s v="N/A"/>
    <m/>
    <s v="Yes"/>
    <m/>
    <s v="Yes"/>
    <m/>
    <s v="New"/>
    <s v="infasco"/>
    <n v="106.94"/>
    <n v="106.94"/>
  </r>
  <r>
    <x v="27"/>
    <x v="17"/>
    <n v="11549204"/>
    <n v="716946"/>
    <n v="40"/>
    <n v="210"/>
    <n v="8400"/>
    <s v="190+268"/>
    <s v="Yes"/>
    <m/>
    <s v="Yes"/>
    <m/>
    <s v="Yes"/>
    <m/>
    <s v="Yes"/>
    <m/>
    <s v="N/A"/>
    <m/>
    <s v="Yes"/>
    <m/>
    <s v="Yes"/>
    <m/>
    <s v="New"/>
    <s v="infasco"/>
    <n v="106.94"/>
    <n v="106.94"/>
  </r>
  <r>
    <x v="27"/>
    <x v="17"/>
    <s v="11546378-CA-IN"/>
    <n v="713805"/>
    <n v="32"/>
    <n v="1250"/>
    <n v="40000"/>
    <s v="190+268"/>
    <s v="Yes"/>
    <m/>
    <s v="Yes"/>
    <m/>
    <s v="Yes"/>
    <m/>
    <s v="Yes"/>
    <m/>
    <s v="N/A"/>
    <m/>
    <s v="Yes"/>
    <m/>
    <s v="Yes"/>
    <m/>
    <s v="New"/>
    <s v="infasco"/>
    <n v="106.94"/>
    <n v="106.94"/>
  </r>
  <r>
    <x v="27"/>
    <x v="17"/>
    <s v="11546378-CA-IN"/>
    <n v="716603"/>
    <n v="39"/>
    <n v="1250"/>
    <n v="48750"/>
    <s v="190+268"/>
    <s v="Yes"/>
    <m/>
    <s v="Yes"/>
    <m/>
    <s v="Yes"/>
    <m/>
    <s v="Yes"/>
    <m/>
    <s v="N/A"/>
    <m/>
    <s v="Yes"/>
    <m/>
    <s v="Yes"/>
    <m/>
    <s v="New"/>
    <s v="infasco"/>
    <n v="106.94"/>
    <n v="106.94"/>
  </r>
  <r>
    <x v="27"/>
    <x v="32"/>
    <s v="HL3W-4320-AA"/>
    <n v="714607"/>
    <n v="9"/>
    <n v="200"/>
    <n v="1800"/>
    <s v="252+011"/>
    <s v="Yes"/>
    <m/>
    <s v="Yes"/>
    <m/>
    <s v="Yes"/>
    <m/>
    <s v="Yes"/>
    <m/>
    <s v="N/A"/>
    <m/>
    <s v="Yes"/>
    <m/>
    <s v="Yes"/>
    <m/>
    <s v="Re-certified"/>
    <s v="infasco"/>
    <n v="0"/>
    <n v="0"/>
  </r>
  <r>
    <x v="27"/>
    <x v="32"/>
    <s v="W20-1028-010NA"/>
    <n v="710209"/>
    <n v="1"/>
    <n v="55000"/>
    <n v="55000"/>
    <s v="252+011"/>
    <s v="Yes"/>
    <m/>
    <s v="Yes"/>
    <m/>
    <s v="Yes"/>
    <m/>
    <s v="Yes"/>
    <m/>
    <s v="N/A"/>
    <m/>
    <s v="Yes"/>
    <m/>
    <s v="Yes"/>
    <m/>
    <s v="New"/>
    <s v="infasco"/>
    <n v="77.67"/>
    <n v="77.67"/>
  </r>
  <r>
    <x v="27"/>
    <x v="13"/>
    <s v="PZ18-7P483-AA"/>
    <n v="716406"/>
    <n v="16"/>
    <n v="195"/>
    <n v="3120"/>
    <n v="285"/>
    <s v="Yes"/>
    <m/>
    <s v="Yes"/>
    <m/>
    <s v="Yes"/>
    <m/>
    <s v="Yes"/>
    <m/>
    <s v="N/A"/>
    <m/>
    <s v="Yes"/>
    <m/>
    <s v="Yes"/>
    <m/>
    <s v="New"/>
    <s v="infasco"/>
    <n v="320.82"/>
    <n v="320.82"/>
  </r>
  <r>
    <x v="27"/>
    <x v="33"/>
    <s v="SL2404-00"/>
    <n v="718803"/>
    <n v="28"/>
    <n v="100"/>
    <n v="2800"/>
    <s v="240+BAO"/>
    <s v="Yes"/>
    <m/>
    <s v="Yes"/>
    <m/>
    <s v="Yes"/>
    <m/>
    <s v="Yes"/>
    <m/>
    <s v="N/A"/>
    <m/>
    <s v="Yes"/>
    <m/>
    <s v="Yes"/>
    <m/>
    <s v="New"/>
    <s v="infasco"/>
    <n v="320.82"/>
    <n v="313.92"/>
  </r>
  <r>
    <x v="27"/>
    <x v="33"/>
    <s v="SL2404-00"/>
    <n v="718804"/>
    <n v="28"/>
    <n v="100"/>
    <n v="2800"/>
    <s v="240+BAO"/>
    <s v="Yes"/>
    <m/>
    <s v="Yes"/>
    <m/>
    <s v="Yes"/>
    <m/>
    <s v="Yes"/>
    <m/>
    <s v="N/A"/>
    <m/>
    <s v="Yes"/>
    <m/>
    <s v="Yes"/>
    <m/>
    <s v="New"/>
    <s v="infasco"/>
    <n v="320.82"/>
    <n v="313.92"/>
  </r>
  <r>
    <x v="27"/>
    <x v="33"/>
    <s v="SL2404-00"/>
    <n v="718805"/>
    <n v="28"/>
    <n v="100"/>
    <n v="2800"/>
    <s v="240+BAO"/>
    <s v="Yes"/>
    <m/>
    <s v="Yes"/>
    <m/>
    <s v="Yes"/>
    <m/>
    <s v="Yes"/>
    <m/>
    <s v="N/A"/>
    <m/>
    <s v="Yes"/>
    <m/>
    <s v="Yes"/>
    <m/>
    <s v="New"/>
    <s v="infasco"/>
    <n v="320.82"/>
    <n v="313.92"/>
  </r>
  <r>
    <x v="27"/>
    <x v="33"/>
    <s v="SL2404-00"/>
    <n v="718806"/>
    <n v="28"/>
    <n v="100"/>
    <n v="2800"/>
    <s v="240+BAO"/>
    <s v="Yes"/>
    <m/>
    <s v="Yes"/>
    <m/>
    <s v="Yes"/>
    <m/>
    <s v="Yes"/>
    <m/>
    <s v="N/A"/>
    <m/>
    <s v="Yes"/>
    <m/>
    <s v="Yes"/>
    <m/>
    <s v="New"/>
    <s v="infasco"/>
    <n v="320.82"/>
    <n v="313.92"/>
  </r>
  <r>
    <x v="27"/>
    <x v="33"/>
    <s v="SL2404-00"/>
    <n v="718807"/>
    <n v="28"/>
    <n v="100"/>
    <n v="2800"/>
    <s v="240+BAO"/>
    <s v="Yes"/>
    <m/>
    <s v="Yes"/>
    <m/>
    <s v="Yes"/>
    <m/>
    <s v="Yes"/>
    <m/>
    <s v="N/A"/>
    <m/>
    <s v="Yes"/>
    <m/>
    <s v="Yes"/>
    <m/>
    <s v="Re-certified"/>
    <s v="infasco"/>
    <n v="320.82"/>
    <n v="0"/>
  </r>
  <r>
    <x v="27"/>
    <x v="33"/>
    <s v="SL2404-00"/>
    <n v="718808"/>
    <n v="28"/>
    <n v="100"/>
    <n v="2800"/>
    <s v="BAO"/>
    <s v="Yes"/>
    <m/>
    <s v="Yes"/>
    <m/>
    <s v="Yes"/>
    <m/>
    <s v="Yes"/>
    <m/>
    <s v="N/A"/>
    <m/>
    <s v="Yes"/>
    <m/>
    <s v="Yes"/>
    <m/>
    <s v="New"/>
    <s v="infasco"/>
    <n v="320.82"/>
    <n v="313.92"/>
  </r>
  <r>
    <x v="27"/>
    <x v="33"/>
    <s v="SL2404-00"/>
    <n v="718809"/>
    <n v="28"/>
    <n v="100"/>
    <n v="2800"/>
    <s v="BAO"/>
    <s v="Yes"/>
    <m/>
    <s v="Yes"/>
    <m/>
    <s v="Yes"/>
    <m/>
    <s v="Yes"/>
    <m/>
    <s v="N/A"/>
    <m/>
    <s v="Yes"/>
    <m/>
    <s v="Yes"/>
    <m/>
    <s v="New"/>
    <s v="infasco"/>
    <n v="320.82"/>
    <n v="313.92"/>
  </r>
  <r>
    <x v="27"/>
    <x v="33"/>
    <s v="SL2404-00"/>
    <n v="718800"/>
    <n v="28"/>
    <n v="100"/>
    <n v="2800"/>
    <s v="BAO"/>
    <s v="Yes"/>
    <m/>
    <s v="Yes"/>
    <m/>
    <s v="Yes"/>
    <m/>
    <s v="Yes"/>
    <m/>
    <s v="N/A"/>
    <m/>
    <s v="Yes"/>
    <m/>
    <s v="Yes"/>
    <m/>
    <s v="New"/>
    <s v="infasco"/>
    <n v="320.82"/>
    <n v="313.92"/>
  </r>
  <r>
    <x v="27"/>
    <x v="33"/>
    <s v="SL2404-00"/>
    <n v="718801"/>
    <n v="28"/>
    <n v="100"/>
    <n v="2800"/>
    <s v="BAO"/>
    <s v="Yes"/>
    <m/>
    <s v="Yes"/>
    <m/>
    <s v="Yes"/>
    <m/>
    <s v="Yes"/>
    <m/>
    <s v="N/A"/>
    <m/>
    <s v="Yes"/>
    <m/>
    <s v="Yes"/>
    <m/>
    <s v="New"/>
    <s v="infasco"/>
    <n v="320.82"/>
    <n v="313.92"/>
  </r>
  <r>
    <x v="27"/>
    <x v="33"/>
    <s v="SL2404-00"/>
    <n v="718802"/>
    <n v="28"/>
    <n v="100"/>
    <n v="2800"/>
    <s v="BAO"/>
    <s v="Yes"/>
    <m/>
    <s v="Yes"/>
    <m/>
    <s v="Yes"/>
    <m/>
    <s v="Yes"/>
    <m/>
    <s v="N/A"/>
    <m/>
    <s v="Yes"/>
    <m/>
    <s v="Yes"/>
    <m/>
    <s v="New"/>
    <s v="infasco"/>
    <n v="320.82"/>
    <n v="313.92"/>
  </r>
  <r>
    <x v="28"/>
    <x v="3"/>
    <s v="11546368-MY-AK"/>
    <n v="717024"/>
    <n v="36"/>
    <n v="450"/>
    <n v="16200"/>
    <n v="292"/>
    <s v="Yes"/>
    <m/>
    <s v="Yes"/>
    <m/>
    <s v="Yes"/>
    <m/>
    <s v="Yes"/>
    <m/>
    <s v="N/A"/>
    <m/>
    <s v="Yes"/>
    <m/>
    <s v="Yes"/>
    <m/>
    <s v="New"/>
    <s v="infasco"/>
    <n v="106.94"/>
    <n v="106.94"/>
  </r>
  <r>
    <x v="28"/>
    <x v="3"/>
    <s v="11546368-MY-AK"/>
    <n v="717020"/>
    <n v="36"/>
    <n v="450"/>
    <n v="16200"/>
    <n v="292"/>
    <s v="Yes"/>
    <m/>
    <s v="Yes"/>
    <m/>
    <s v="Yes"/>
    <m/>
    <s v="Yes"/>
    <m/>
    <s v="N/A"/>
    <m/>
    <s v="Yes"/>
    <m/>
    <s v="Yes"/>
    <m/>
    <s v="New"/>
    <s v="infasco"/>
    <n v="106.94"/>
    <n v="106.94"/>
  </r>
  <r>
    <x v="28"/>
    <x v="3"/>
    <s v="11546368-MY-AK"/>
    <n v="717027"/>
    <n v="36"/>
    <n v="450"/>
    <n v="16200"/>
    <n v="292"/>
    <s v="Yes"/>
    <m/>
    <s v="Yes"/>
    <m/>
    <s v="Yes"/>
    <m/>
    <s v="Yes"/>
    <m/>
    <s v="N/A"/>
    <m/>
    <s v="Yes"/>
    <m/>
    <s v="Yes"/>
    <m/>
    <s v="New"/>
    <s v="infasco"/>
    <n v="106.94"/>
    <n v="106.94"/>
  </r>
  <r>
    <x v="28"/>
    <x v="3"/>
    <s v="11546368-MY-AK"/>
    <n v="717022"/>
    <n v="30"/>
    <n v="450"/>
    <n v="13500"/>
    <n v="292"/>
    <s v="Yes"/>
    <m/>
    <s v="Yes"/>
    <m/>
    <s v="Yes"/>
    <m/>
    <s v="Yes"/>
    <m/>
    <s v="N/A"/>
    <m/>
    <s v="Yes"/>
    <m/>
    <s v="Yes"/>
    <m/>
    <s v="New"/>
    <s v="infasco"/>
    <n v="106.94"/>
    <n v="106.94"/>
  </r>
  <r>
    <x v="28"/>
    <x v="0"/>
    <s v="11549168-VN-VT"/>
    <n v="717433"/>
    <n v="25"/>
    <n v="1000"/>
    <n v="25000"/>
    <n v="292"/>
    <s v="Yes"/>
    <m/>
    <s v="Yes"/>
    <m/>
    <s v="Yes"/>
    <m/>
    <s v="Yes"/>
    <m/>
    <s v="N/A"/>
    <m/>
    <s v="Yes"/>
    <m/>
    <s v="Yes"/>
    <m/>
    <s v="Re-certified"/>
    <s v="infasco"/>
    <n v="0"/>
    <n v="0"/>
  </r>
  <r>
    <x v="28"/>
    <x v="2"/>
    <n v="11546462"/>
    <n v="718227"/>
    <n v="25"/>
    <n v="650"/>
    <n v="16250"/>
    <n v="292"/>
    <s v="Yes"/>
    <m/>
    <s v="Yes"/>
    <m/>
    <s v="Yes"/>
    <m/>
    <s v="Yes"/>
    <m/>
    <s v="N/A"/>
    <m/>
    <s v="Yes"/>
    <m/>
    <s v="Yes"/>
    <m/>
    <s v="New"/>
    <s v="infasco"/>
    <n v="106.94"/>
    <n v="106.94"/>
  </r>
  <r>
    <x v="28"/>
    <x v="2"/>
    <n v="11546462"/>
    <n v="718228"/>
    <n v="34"/>
    <n v="650"/>
    <n v="22100"/>
    <n v="292"/>
    <s v="Yes"/>
    <m/>
    <s v="Yes"/>
    <m/>
    <s v="Yes"/>
    <m/>
    <s v="Yes"/>
    <m/>
    <s v="N/A"/>
    <m/>
    <s v="Yes"/>
    <m/>
    <s v="Yes"/>
    <m/>
    <s v="New"/>
    <s v="infasco"/>
    <n v="106.94"/>
    <n v="106.94"/>
  </r>
  <r>
    <x v="28"/>
    <x v="2"/>
    <n v="11546462"/>
    <n v="718229"/>
    <n v="25"/>
    <n v="650"/>
    <n v="16250"/>
    <n v="292"/>
    <s v="Yes"/>
    <m/>
    <s v="Yes"/>
    <m/>
    <s v="Yes"/>
    <m/>
    <s v="Yes"/>
    <m/>
    <s v="N/A"/>
    <m/>
    <s v="Yes"/>
    <m/>
    <s v="Yes"/>
    <m/>
    <s v="Re-certified"/>
    <s v="infasco"/>
    <n v="0"/>
    <n v="0"/>
  </r>
  <r>
    <x v="28"/>
    <x v="1"/>
    <n v="11546545"/>
    <n v="718232"/>
    <n v="4"/>
    <n v="2500"/>
    <n v="10000"/>
    <n v="292"/>
    <s v="Yes"/>
    <m/>
    <s v="Yes"/>
    <m/>
    <s v="Yes"/>
    <m/>
    <s v="Yes"/>
    <m/>
    <s v="N/A"/>
    <m/>
    <s v="Yes"/>
    <m/>
    <s v="Yes"/>
    <m/>
    <s v="New"/>
    <s v="infasco"/>
    <n v="106.94"/>
    <n v="106.94"/>
  </r>
  <r>
    <x v="28"/>
    <x v="1"/>
    <n v="11546545"/>
    <n v="717762"/>
    <n v="27"/>
    <n v="2500"/>
    <n v="67500"/>
    <n v="292"/>
    <s v="Yes"/>
    <m/>
    <s v="Yes"/>
    <m/>
    <s v="Yes"/>
    <m/>
    <s v="Yes"/>
    <m/>
    <s v="N/A"/>
    <m/>
    <s v="Yes"/>
    <m/>
    <s v="Yes"/>
    <m/>
    <s v="Re-certified"/>
    <s v="infasco"/>
    <n v="0"/>
    <n v="0"/>
  </r>
  <r>
    <x v="28"/>
    <x v="5"/>
    <s v="11546368-MY-AK"/>
    <n v="717023"/>
    <n v="33"/>
    <n v="450"/>
    <n v="14850"/>
    <n v="292"/>
    <s v="Yes"/>
    <m/>
    <s v="Yes"/>
    <m/>
    <s v="Yes"/>
    <m/>
    <s v="Yes"/>
    <m/>
    <s v="N/A"/>
    <m/>
    <s v="Yes"/>
    <m/>
    <s v="Yes"/>
    <m/>
    <s v="New"/>
    <s v="infasco"/>
    <n v="106.94"/>
    <n v="106.94"/>
  </r>
  <r>
    <x v="28"/>
    <x v="5"/>
    <s v="11546368-MY-AK"/>
    <n v="717028"/>
    <n v="25"/>
    <n v="450"/>
    <n v="11250"/>
    <n v="292"/>
    <s v="Yes"/>
    <m/>
    <s v="Yes"/>
    <m/>
    <s v="Yes"/>
    <m/>
    <s v="Yes"/>
    <m/>
    <s v="N/A"/>
    <m/>
    <s v="Yes"/>
    <m/>
    <s v="Yes"/>
    <m/>
    <s v="New"/>
    <s v="infasco"/>
    <n v="106.94"/>
    <n v="106.94"/>
  </r>
  <r>
    <x v="28"/>
    <x v="5"/>
    <s v="11546368-MY-AK"/>
    <n v="717014"/>
    <n v="29"/>
    <n v="450"/>
    <n v="13050"/>
    <n v="292"/>
    <s v="Yes"/>
    <m/>
    <s v="Yes"/>
    <m/>
    <s v="Yes"/>
    <m/>
    <s v="Yes"/>
    <m/>
    <s v="N/A"/>
    <m/>
    <s v="Yes"/>
    <m/>
    <s v="Yes"/>
    <m/>
    <s v="New"/>
    <s v="infasco"/>
    <n v="106.94"/>
    <n v="106.94"/>
  </r>
  <r>
    <x v="28"/>
    <x v="5"/>
    <s v="11546368-MY-AK"/>
    <n v="717016"/>
    <n v="18"/>
    <n v="450"/>
    <n v="8100"/>
    <n v="292"/>
    <s v="Yes"/>
    <m/>
    <s v="Yes"/>
    <m/>
    <s v="Yes"/>
    <m/>
    <s v="Yes"/>
    <m/>
    <s v="N/A"/>
    <m/>
    <s v="Yes"/>
    <m/>
    <s v="Yes"/>
    <m/>
    <s v="Re-certified"/>
    <s v="infasco"/>
    <n v="0"/>
    <n v="0"/>
  </r>
  <r>
    <x v="28"/>
    <x v="27"/>
    <s v="11546368-MY-AK"/>
    <n v="717515"/>
    <n v="33"/>
    <n v="450"/>
    <n v="14850"/>
    <n v="290"/>
    <s v="Yes"/>
    <m/>
    <s v="Yes"/>
    <m/>
    <s v="Yes"/>
    <m/>
    <s v="Yes"/>
    <m/>
    <s v="N/A"/>
    <m/>
    <s v="Yes"/>
    <m/>
    <s v="Yes"/>
    <m/>
    <s v="New"/>
    <s v="infasco"/>
    <n v="106.94"/>
    <n v="106.94"/>
  </r>
  <r>
    <x v="28"/>
    <x v="27"/>
    <s v="11546368-MY-AK"/>
    <n v="717518"/>
    <n v="36"/>
    <n v="450"/>
    <n v="16200"/>
    <n v="290"/>
    <s v="Yes"/>
    <m/>
    <s v="Yes"/>
    <m/>
    <s v="Yes"/>
    <m/>
    <s v="Yes"/>
    <m/>
    <s v="N/A"/>
    <m/>
    <s v="Yes"/>
    <m/>
    <s v="Yes"/>
    <m/>
    <s v="New"/>
    <s v="infasco"/>
    <n v="106.94"/>
    <n v="106.94"/>
  </r>
  <r>
    <x v="28"/>
    <x v="27"/>
    <s v="11546368-MY-AK"/>
    <n v="717512"/>
    <n v="2"/>
    <n v="450"/>
    <n v="900"/>
    <n v="290"/>
    <s v="Yes"/>
    <m/>
    <s v="Yes"/>
    <m/>
    <s v="Yes"/>
    <m/>
    <s v="Yes"/>
    <m/>
    <s v="N/A"/>
    <m/>
    <s v="Yes"/>
    <m/>
    <s v="Yes"/>
    <m/>
    <s v="Re-certified"/>
    <s v="infasco"/>
    <n v="0"/>
    <n v="0"/>
  </r>
  <r>
    <x v="28"/>
    <x v="31"/>
    <n v="11549168"/>
    <n v="717377"/>
    <n v="42"/>
    <n v="1000"/>
    <n v="42000"/>
    <n v="290"/>
    <s v="Yes"/>
    <m/>
    <s v="Yes"/>
    <m/>
    <s v="Yes"/>
    <m/>
    <s v="Yes"/>
    <m/>
    <s v="N/A"/>
    <m/>
    <s v="Yes"/>
    <m/>
    <s v="Yes"/>
    <m/>
    <s v="New"/>
    <s v="infasco"/>
    <n v="106.94"/>
    <n v="106.94"/>
  </r>
  <r>
    <x v="28"/>
    <x v="31"/>
    <s v="06101831-A"/>
    <n v="717399"/>
    <n v="39"/>
    <n v="1000"/>
    <n v="39000"/>
    <n v="290"/>
    <s v="Yes"/>
    <m/>
    <s v="Yes"/>
    <m/>
    <s v="Yes"/>
    <m/>
    <s v="Yes"/>
    <m/>
    <s v="N/A"/>
    <m/>
    <s v="Yes"/>
    <m/>
    <s v="Yes"/>
    <m/>
    <s v="New"/>
    <s v="infasco"/>
    <n v="106.94"/>
    <n v="106.94"/>
  </r>
  <r>
    <x v="28"/>
    <x v="31"/>
    <s v="06101831-A"/>
    <n v="717400"/>
    <n v="17"/>
    <n v="1000"/>
    <n v="17000"/>
    <n v="290"/>
    <s v="Yes"/>
    <m/>
    <s v="Yes"/>
    <m/>
    <s v="Yes"/>
    <m/>
    <s v="Yes"/>
    <m/>
    <s v="N/A"/>
    <m/>
    <s v="Yes"/>
    <m/>
    <s v="Yes"/>
    <m/>
    <s v="Re-certified"/>
    <s v="infasco"/>
    <n v="0"/>
    <n v="0"/>
  </r>
  <r>
    <x v="28"/>
    <x v="26"/>
    <n v="11549168"/>
    <n v="717372"/>
    <n v="23"/>
    <n v="1000"/>
    <n v="23000"/>
    <n v="290"/>
    <s v="Yes"/>
    <m/>
    <s v="Yes"/>
    <m/>
    <s v="Yes"/>
    <m/>
    <s v="Yes"/>
    <m/>
    <s v="N/A"/>
    <m/>
    <s v="Yes"/>
    <m/>
    <s v="Yes"/>
    <m/>
    <s v="New"/>
    <s v="infasco"/>
    <n v="106.94"/>
    <n v="106.94"/>
  </r>
  <r>
    <x v="28"/>
    <x v="26"/>
    <n v="11549168"/>
    <n v="717378"/>
    <n v="57"/>
    <n v="1000"/>
    <n v="57000"/>
    <n v="290"/>
    <s v="Yes"/>
    <m/>
    <s v="Yes"/>
    <m/>
    <s v="Yes"/>
    <m/>
    <s v="Yes"/>
    <m/>
    <s v="N/A"/>
    <m/>
    <s v="Yes"/>
    <m/>
    <s v="Yes"/>
    <m/>
    <s v="New"/>
    <s v="infasco"/>
    <n v="106.94"/>
    <n v="106.94"/>
  </r>
  <r>
    <x v="28"/>
    <x v="26"/>
    <s v="E6267AB"/>
    <n v="717247"/>
    <n v="1"/>
    <n v="20000"/>
    <n v="20000"/>
    <n v="290"/>
    <s v="Yes"/>
    <m/>
    <s v="Yes"/>
    <m/>
    <s v="Yes"/>
    <m/>
    <s v="Yes"/>
    <m/>
    <s v="N/A"/>
    <m/>
    <s v="Yes"/>
    <m/>
    <s v="Yes"/>
    <m/>
    <s v="New"/>
    <s v="infasco"/>
    <n v="106.94"/>
    <n v="106.94"/>
  </r>
  <r>
    <x v="28"/>
    <x v="26"/>
    <s v="E6267AB"/>
    <n v="717246"/>
    <n v="1"/>
    <n v="2625"/>
    <n v="2625"/>
    <n v="290"/>
    <s v="Yes"/>
    <m/>
    <s v="Yes"/>
    <m/>
    <s v="Yes"/>
    <m/>
    <s v="Yes"/>
    <m/>
    <s v="N/A"/>
    <m/>
    <s v="Yes"/>
    <m/>
    <s v="Yes"/>
    <m/>
    <s v="Re-certified"/>
    <s v="infasco"/>
    <n v="0"/>
    <n v="0"/>
  </r>
  <r>
    <x v="28"/>
    <x v="30"/>
    <s v="11546368-MY-AK"/>
    <n v="717519"/>
    <n v="26"/>
    <n v="450"/>
    <n v="11700"/>
    <n v="290"/>
    <s v="Yes"/>
    <m/>
    <s v="Yes"/>
    <m/>
    <s v="Yes"/>
    <m/>
    <s v="Yes"/>
    <m/>
    <s v="N/A"/>
    <m/>
    <s v="Yes"/>
    <m/>
    <s v="Yes"/>
    <m/>
    <s v="New"/>
    <s v="infasco"/>
    <n v="106.94"/>
    <n v="106.94"/>
  </r>
  <r>
    <x v="28"/>
    <x v="30"/>
    <s v="11546368-MY-AK"/>
    <n v="717517"/>
    <n v="18"/>
    <n v="450"/>
    <n v="8100"/>
    <n v="290"/>
    <s v="Yes"/>
    <m/>
    <s v="Yes"/>
    <m/>
    <s v="Yes"/>
    <m/>
    <s v="Yes"/>
    <m/>
    <s v="N/A"/>
    <m/>
    <s v="Yes"/>
    <m/>
    <s v="Yes"/>
    <m/>
    <s v="New"/>
    <s v="infasco"/>
    <n v="106.94"/>
    <n v="106.94"/>
  </r>
  <r>
    <x v="28"/>
    <x v="30"/>
    <s v="11546368-MY-AK"/>
    <n v="717525"/>
    <n v="34"/>
    <n v="450"/>
    <n v="15300"/>
    <n v="290"/>
    <s v="Yes"/>
    <m/>
    <s v="Yes"/>
    <m/>
    <s v="Yes"/>
    <m/>
    <s v="Yes"/>
    <m/>
    <s v="N/A"/>
    <m/>
    <s v="Yes"/>
    <m/>
    <s v="Yes"/>
    <m/>
    <s v="New"/>
    <s v="infasco"/>
    <n v="106.94"/>
    <n v="106.94"/>
  </r>
  <r>
    <x v="28"/>
    <x v="30"/>
    <s v="11546368-MY-AK"/>
    <n v="717514"/>
    <n v="20"/>
    <n v="450"/>
    <n v="9000"/>
    <n v="290"/>
    <s v="Yes"/>
    <m/>
    <s v="Yes"/>
    <m/>
    <s v="Yes"/>
    <m/>
    <s v="Yes"/>
    <m/>
    <s v="N/A"/>
    <m/>
    <s v="Yes"/>
    <m/>
    <s v="Yes"/>
    <m/>
    <s v="Re-certified"/>
    <s v="infasco"/>
    <n v="0"/>
    <n v="0"/>
  </r>
  <r>
    <x v="28"/>
    <x v="29"/>
    <n v="11546545"/>
    <n v="717759"/>
    <n v="22"/>
    <n v="2500"/>
    <n v="55000"/>
    <n v="290"/>
    <s v="Yes"/>
    <m/>
    <s v="Yes"/>
    <m/>
    <s v="Yes"/>
    <m/>
    <s v="Yes"/>
    <m/>
    <s v="N/A"/>
    <m/>
    <s v="Yes"/>
    <m/>
    <s v="Yes"/>
    <m/>
    <s v="New"/>
    <s v="infasco"/>
    <n v="106.94"/>
    <n v="106.94"/>
  </r>
  <r>
    <x v="28"/>
    <x v="29"/>
    <s v="11514596-CA-IN"/>
    <n v="716782"/>
    <n v="28"/>
    <n v="2500"/>
    <n v="70000"/>
    <n v="290"/>
    <s v="Yes"/>
    <m/>
    <s v="Yes"/>
    <m/>
    <s v="Yes"/>
    <m/>
    <s v="Yes"/>
    <m/>
    <s v="N/A"/>
    <m/>
    <s v="Yes"/>
    <m/>
    <s v="Yes"/>
    <m/>
    <s v="Re-certified"/>
    <s v="infasco"/>
    <n v="0"/>
    <n v="0"/>
  </r>
  <r>
    <x v="28"/>
    <x v="20"/>
    <s v="11546367-MY-AK"/>
    <n v="716373"/>
    <n v="14"/>
    <n v="700"/>
    <n v="9800"/>
    <n v="280"/>
    <s v="Yes"/>
    <m/>
    <s v="Yes"/>
    <m/>
    <s v="Yes"/>
    <m/>
    <s v="Yes"/>
    <m/>
    <s v="N/A"/>
    <m/>
    <s v="Yes"/>
    <m/>
    <s v="Yes"/>
    <m/>
    <s v="New"/>
    <s v="infasco"/>
    <n v="106.94"/>
    <n v="106.94"/>
  </r>
  <r>
    <x v="28"/>
    <x v="20"/>
    <s v="11546367-MY-AK"/>
    <n v="716374"/>
    <n v="34"/>
    <n v="700"/>
    <n v="23800"/>
    <n v="280"/>
    <s v="Yes"/>
    <m/>
    <s v="Yes"/>
    <m/>
    <s v="Yes"/>
    <m/>
    <s v="Yes"/>
    <m/>
    <s v="N/A"/>
    <m/>
    <s v="Yes"/>
    <m/>
    <s v="Yes"/>
    <m/>
    <s v="New"/>
    <s v="infasco"/>
    <n v="106.94"/>
    <n v="106.94"/>
  </r>
  <r>
    <x v="28"/>
    <x v="21"/>
    <n v="11546545"/>
    <n v="717763"/>
    <n v="36"/>
    <n v="2500"/>
    <n v="90000"/>
    <n v="280"/>
    <s v="Yes"/>
    <m/>
    <s v="Yes"/>
    <m/>
    <s v="Yes"/>
    <m/>
    <s v="Yes"/>
    <m/>
    <s v="N/A"/>
    <m/>
    <s v="Yes"/>
    <m/>
    <s v="Yes"/>
    <m/>
    <s v="New"/>
    <s v="infasco"/>
    <n v="106.94"/>
    <n v="106.94"/>
  </r>
  <r>
    <x v="28"/>
    <x v="21"/>
    <s v="11546437-MY-AK"/>
    <n v="717772"/>
    <n v="57"/>
    <n v="1500"/>
    <n v="85500"/>
    <n v="280"/>
    <s v="Yes"/>
    <m/>
    <s v="Yes"/>
    <m/>
    <s v="Yes"/>
    <m/>
    <s v="Yes"/>
    <m/>
    <s v="N/A"/>
    <m/>
    <s v="Yes"/>
    <m/>
    <s v="Yes"/>
    <m/>
    <s v="New"/>
    <s v="infasco"/>
    <n v="106.94"/>
    <n v="106.94"/>
  </r>
  <r>
    <x v="28"/>
    <x v="25"/>
    <s v="06101736-A"/>
    <n v="717764"/>
    <n v="12"/>
    <n v="3200"/>
    <n v="38400"/>
    <n v="280"/>
    <s v="Yes"/>
    <m/>
    <s v="Yes"/>
    <m/>
    <s v="Yes"/>
    <m/>
    <s v="Yes"/>
    <m/>
    <s v="N/A"/>
    <m/>
    <s v="Yes"/>
    <m/>
    <s v="Yes"/>
    <m/>
    <s v="New"/>
    <s v="infasco"/>
    <n v="106.94"/>
    <n v="106.94"/>
  </r>
  <r>
    <x v="28"/>
    <x v="25"/>
    <s v="W520113-S441"/>
    <n v="717235"/>
    <n v="6"/>
    <n v="1050"/>
    <n v="6300"/>
    <n v="280"/>
    <s v="Yes"/>
    <m/>
    <s v="Yes"/>
    <m/>
    <s v="Yes"/>
    <m/>
    <s v="Yes"/>
    <m/>
    <s v="N/A"/>
    <m/>
    <s v="Yes"/>
    <m/>
    <s v="Yes"/>
    <m/>
    <s v="Re-certified"/>
    <s v="infasco"/>
    <n v="0"/>
    <n v="0"/>
  </r>
  <r>
    <x v="28"/>
    <x v="24"/>
    <s v="06101736-A"/>
    <n v="717767"/>
    <n v="1"/>
    <n v="3200"/>
    <n v="3200"/>
    <n v="280"/>
    <s v="Yes"/>
    <m/>
    <s v="Yes"/>
    <m/>
    <s v="Yes"/>
    <m/>
    <s v="Yes"/>
    <m/>
    <s v="N/A"/>
    <m/>
    <s v="Yes"/>
    <m/>
    <s v="Yes"/>
    <m/>
    <s v="New"/>
    <s v="infasco"/>
    <n v="106.94"/>
    <n v="106.94"/>
  </r>
  <r>
    <x v="28"/>
    <x v="24"/>
    <s v="06101736-A"/>
    <n v="717765"/>
    <n v="15"/>
    <n v="3200"/>
    <n v="48000"/>
    <n v="280"/>
    <s v="Yes"/>
    <m/>
    <s v="Yes"/>
    <m/>
    <s v="Yes"/>
    <m/>
    <s v="Yes"/>
    <m/>
    <s v="N/A"/>
    <m/>
    <s v="Yes"/>
    <m/>
    <s v="Yes"/>
    <m/>
    <s v="Re-certified"/>
    <s v="infasco"/>
    <n v="0"/>
    <n v="0"/>
  </r>
  <r>
    <x v="28"/>
    <x v="23"/>
    <n v="11546545"/>
    <n v="717760"/>
    <n v="35"/>
    <n v="2500"/>
    <n v="87500"/>
    <n v="280"/>
    <s v="Yes"/>
    <m/>
    <s v="Yes"/>
    <m/>
    <s v="Yes"/>
    <m/>
    <s v="Yes"/>
    <m/>
    <s v="N/A"/>
    <m/>
    <s v="Yes"/>
    <m/>
    <s v="Yes"/>
    <m/>
    <s v="New"/>
    <s v="infasco"/>
    <n v="106.94"/>
    <n v="106.94"/>
  </r>
  <r>
    <x v="28"/>
    <x v="23"/>
    <s v="11546437-MY-AK"/>
    <n v="717781"/>
    <n v="54"/>
    <n v="1500"/>
    <n v="81000"/>
    <n v="280"/>
    <s v="Yes"/>
    <m/>
    <s v="Yes"/>
    <m/>
    <s v="Yes"/>
    <m/>
    <s v="Yes"/>
    <m/>
    <s v="N/A"/>
    <m/>
    <s v="Yes"/>
    <m/>
    <s v="Yes"/>
    <m/>
    <s v="New"/>
    <s v="infasco"/>
    <n v="106.94"/>
    <n v="106.94"/>
  </r>
  <r>
    <x v="28"/>
    <x v="19"/>
    <s v="11549168-CA-IN"/>
    <n v="710828"/>
    <n v="27"/>
    <n v="1000"/>
    <n v="27000"/>
    <n v="285"/>
    <s v="Yes"/>
    <m/>
    <s v="Yes"/>
    <m/>
    <s v="Yes"/>
    <m/>
    <s v="Yes"/>
    <m/>
    <s v="N/A"/>
    <m/>
    <s v="Yes"/>
    <m/>
    <s v="Yes"/>
    <m/>
    <s v="New"/>
    <s v="infasco"/>
    <n v="213.88"/>
    <n v="213.88"/>
  </r>
  <r>
    <x v="28"/>
    <x v="19"/>
    <s v="11549168-CA-IN"/>
    <n v="711867"/>
    <n v="13"/>
    <n v="1000"/>
    <n v="13000"/>
    <n v="285"/>
    <s v="Yes"/>
    <m/>
    <s v="Yes"/>
    <m/>
    <s v="Yes"/>
    <m/>
    <s v="Yes"/>
    <m/>
    <s v="N/A"/>
    <m/>
    <s v="Yes"/>
    <m/>
    <s v="Yes"/>
    <m/>
    <s v="Re-certified"/>
    <s v="infasco"/>
    <n v="0"/>
    <n v="0"/>
  </r>
  <r>
    <x v="28"/>
    <x v="14"/>
    <n v="11612078"/>
    <n v="705988"/>
    <n v="13"/>
    <n v="1850"/>
    <n v="24050"/>
    <n v="4"/>
    <s v="Yes"/>
    <m/>
    <s v="Yes"/>
    <m/>
    <s v="Yes"/>
    <m/>
    <s v="Yes"/>
    <m/>
    <s v="N/A"/>
    <m/>
    <s v="Yes"/>
    <m/>
    <s v="Yes"/>
    <m/>
    <s v="New"/>
    <s v="infasco"/>
    <n v="247.64"/>
    <n v="247.64"/>
  </r>
  <r>
    <x v="28"/>
    <x v="14"/>
    <n v="11612078"/>
    <n v="710153"/>
    <n v="10"/>
    <n v="1850"/>
    <n v="18500"/>
    <s v="297+157"/>
    <s v="Yes"/>
    <m/>
    <s v="Yes"/>
    <m/>
    <s v="Yes"/>
    <m/>
    <s v="Yes"/>
    <m/>
    <s v="N/A"/>
    <m/>
    <s v="Yes"/>
    <m/>
    <s v="Yes"/>
    <m/>
    <s v="Re-certified"/>
    <s v="infasco"/>
    <n v="0"/>
    <n v="0"/>
  </r>
  <r>
    <x v="28"/>
    <x v="15"/>
    <s v="11546378-CA-IN"/>
    <n v="716604"/>
    <n v="27"/>
    <n v="1250"/>
    <n v="33750"/>
    <s v="297+157"/>
    <s v="Yes"/>
    <m/>
    <s v="Yes"/>
    <m/>
    <s v="Yes"/>
    <m/>
    <s v="Yes"/>
    <m/>
    <s v="N/A"/>
    <m/>
    <s v="Yes"/>
    <m/>
    <s v="Yes"/>
    <m/>
    <s v="New"/>
    <s v="infasco"/>
    <n v="106.94"/>
    <n v="106.94"/>
  </r>
  <r>
    <x v="28"/>
    <x v="15"/>
    <s v="K1046AB"/>
    <n v="718797"/>
    <n v="37"/>
    <n v="1600"/>
    <n v="59200"/>
    <s v="297+157"/>
    <s v="Yes"/>
    <m/>
    <s v="Yes"/>
    <m/>
    <s v="Yes"/>
    <m/>
    <s v="Yes"/>
    <m/>
    <s v="N/A"/>
    <m/>
    <s v="Yes"/>
    <m/>
    <s v="Yes"/>
    <m/>
    <s v="New"/>
    <s v="infasco"/>
    <n v="257.95319999999998"/>
    <n v="257.95319999999998"/>
  </r>
  <r>
    <x v="28"/>
    <x v="15"/>
    <s v="06104388AA"/>
    <n v="717675"/>
    <n v="42"/>
    <n v="660"/>
    <n v="27720"/>
    <s v="297+157"/>
    <s v="Yes"/>
    <m/>
    <s v="Yes"/>
    <m/>
    <s v="Yes"/>
    <m/>
    <s v="Yes"/>
    <m/>
    <s v="N/A"/>
    <m/>
    <s v="Yes"/>
    <m/>
    <s v="Yes"/>
    <m/>
    <s v="New"/>
    <s v="infasco"/>
    <n v="135.08000000000001"/>
    <n v="135.08000000000001"/>
  </r>
  <r>
    <x v="28"/>
    <x v="15"/>
    <n v="40161567"/>
    <n v="717897"/>
    <n v="36"/>
    <n v="175"/>
    <n v="6300"/>
    <s v="297+157"/>
    <s v="Yes"/>
    <m/>
    <s v="Yes"/>
    <m/>
    <s v="Yes"/>
    <m/>
    <s v="Yes"/>
    <m/>
    <s v="N/A"/>
    <m/>
    <s v="Yes"/>
    <m/>
    <s v="Yes"/>
    <m/>
    <s v="New"/>
    <s v="infasco"/>
    <n v="106.94"/>
    <n v="106.94"/>
  </r>
  <r>
    <x v="28"/>
    <x v="15"/>
    <n v="40161567"/>
    <n v="717893"/>
    <n v="36"/>
    <n v="175"/>
    <n v="6300"/>
    <s v="297+157"/>
    <s v="Yes"/>
    <m/>
    <s v="Yes"/>
    <m/>
    <s v="Yes"/>
    <m/>
    <s v="Yes"/>
    <m/>
    <s v="N/A"/>
    <m/>
    <s v="Yes"/>
    <m/>
    <s v="Yes"/>
    <m/>
    <s v="New"/>
    <s v="infasco"/>
    <n v="106.94"/>
    <n v="106.94"/>
  </r>
  <r>
    <x v="28"/>
    <x v="15"/>
    <n v="40161567"/>
    <n v="717707"/>
    <n v="15"/>
    <n v="175"/>
    <n v="2625"/>
    <s v="297+157"/>
    <s v="Yes"/>
    <m/>
    <s v="Yes"/>
    <m/>
    <s v="Yes"/>
    <m/>
    <s v="Yes"/>
    <m/>
    <s v="N/A"/>
    <m/>
    <s v="Yes"/>
    <m/>
    <s v="Yes"/>
    <m/>
    <s v="New"/>
    <s v="infasco"/>
    <n v="106.94"/>
    <n v="106.94"/>
  </r>
  <r>
    <x v="28"/>
    <x v="15"/>
    <s v="06509967AA"/>
    <n v="718511"/>
    <n v="30"/>
    <n v="825"/>
    <n v="24750"/>
    <s v="297+157"/>
    <s v="Yes"/>
    <m/>
    <s v="Yes"/>
    <m/>
    <s v="Yes"/>
    <m/>
    <s v="Yes"/>
    <m/>
    <s v="N/A"/>
    <m/>
    <s v="Yes"/>
    <m/>
    <s v="Yes"/>
    <m/>
    <s v="New"/>
    <s v="infasco"/>
    <n v="280.16000000000003"/>
    <n v="280.16000000000003"/>
  </r>
  <r>
    <x v="28"/>
    <x v="15"/>
    <s v="06509967AA"/>
    <n v="717787"/>
    <n v="12"/>
    <n v="825"/>
    <n v="9900"/>
    <s v="297+157"/>
    <s v="Yes"/>
    <m/>
    <s v="Yes"/>
    <m/>
    <s v="Yes"/>
    <m/>
    <s v="Yes"/>
    <m/>
    <s v="N/A"/>
    <m/>
    <s v="Yes"/>
    <m/>
    <s v="Yes"/>
    <m/>
    <s v="New"/>
    <s v="infasco"/>
    <n v="280.16000000000003"/>
    <n v="280.16000000000003"/>
  </r>
  <r>
    <x v="28"/>
    <x v="15"/>
    <s v="W20-1028-010NA"/>
    <n v="710203"/>
    <n v="9"/>
    <n v="1450"/>
    <n v="13050"/>
    <s v="297+157"/>
    <s v="Yes"/>
    <m/>
    <s v="Yes"/>
    <m/>
    <s v="Yes"/>
    <m/>
    <s v="Yes"/>
    <m/>
    <s v="N/A"/>
    <m/>
    <s v="Yes"/>
    <m/>
    <s v="Yes"/>
    <m/>
    <s v="Re-certified"/>
    <s v="infasco"/>
    <n v="0"/>
    <n v="0"/>
  </r>
  <r>
    <x v="28"/>
    <x v="16"/>
    <s v="W705606-S440"/>
    <n v="718795"/>
    <n v="15"/>
    <n v="580"/>
    <n v="8700"/>
    <s v="279+391"/>
    <s v="Yes"/>
    <m/>
    <s v="Yes"/>
    <m/>
    <s v="Yes"/>
    <m/>
    <s v="Yes"/>
    <m/>
    <s v="N/A"/>
    <m/>
    <s v="Yes"/>
    <m/>
    <s v="Yes"/>
    <m/>
    <s v="New"/>
    <s v="infasco"/>
    <n v="280.15999999999997"/>
    <n v="280.15999999999997"/>
  </r>
  <r>
    <x v="28"/>
    <x v="16"/>
    <n v="82250"/>
    <n v="718799"/>
    <n v="36"/>
    <n v="625"/>
    <n v="22500"/>
    <s v="279+391"/>
    <s v="Yes"/>
    <m/>
    <s v="Yes"/>
    <m/>
    <s v="Yes"/>
    <m/>
    <s v="Yes"/>
    <m/>
    <s v="N/A"/>
    <m/>
    <s v="Yes"/>
    <m/>
    <s v="Yes"/>
    <m/>
    <s v="New"/>
    <s v="infasco"/>
    <n v="223.88"/>
    <n v="223.88"/>
  </r>
  <r>
    <x v="28"/>
    <x v="16"/>
    <s v="K1046AB"/>
    <n v="718796"/>
    <n v="41"/>
    <n v="1600"/>
    <n v="65600"/>
    <s v="279+391"/>
    <s v="Yes"/>
    <m/>
    <s v="Yes"/>
    <m/>
    <s v="Yes"/>
    <m/>
    <s v="Yes"/>
    <m/>
    <s v="N/A"/>
    <m/>
    <s v="Yes"/>
    <m/>
    <s v="Yes"/>
    <m/>
    <s v="New"/>
    <s v="infasco"/>
    <n v="257.95319999999998"/>
    <n v="257.95319999999998"/>
  </r>
  <r>
    <x v="28"/>
    <x v="16"/>
    <s v="06104388AA"/>
    <n v="717677"/>
    <n v="40"/>
    <n v="660"/>
    <n v="26400"/>
    <s v="279+391"/>
    <s v="Yes"/>
    <m/>
    <s v="Yes"/>
    <m/>
    <s v="Yes"/>
    <m/>
    <s v="Yes"/>
    <m/>
    <s v="N/A"/>
    <m/>
    <s v="Yes"/>
    <m/>
    <s v="Yes"/>
    <m/>
    <s v="New"/>
    <s v="infasco"/>
    <n v="135.08000000000001"/>
    <n v="135.08000000000001"/>
  </r>
  <r>
    <x v="28"/>
    <x v="16"/>
    <n v="40161567"/>
    <n v="717896"/>
    <n v="36"/>
    <n v="175"/>
    <n v="6300"/>
    <s v="279+391"/>
    <s v="Yes"/>
    <m/>
    <s v="Yes"/>
    <m/>
    <s v="Yes"/>
    <m/>
    <s v="Yes"/>
    <m/>
    <s v="N/A"/>
    <m/>
    <s v="Yes"/>
    <m/>
    <s v="Yes"/>
    <m/>
    <s v="New"/>
    <s v="infasco"/>
    <n v="106.94"/>
    <n v="106.94"/>
  </r>
  <r>
    <x v="28"/>
    <x v="16"/>
    <n v="40161567"/>
    <n v="717894"/>
    <n v="36"/>
    <n v="175"/>
    <n v="6300"/>
    <s v="279+391"/>
    <s v="Yes"/>
    <m/>
    <s v="Yes"/>
    <m/>
    <s v="Yes"/>
    <m/>
    <s v="Yes"/>
    <m/>
    <s v="N/A"/>
    <m/>
    <s v="Yes"/>
    <m/>
    <s v="Yes"/>
    <m/>
    <s v="New"/>
    <s v="infasco"/>
    <n v="106.94"/>
    <n v="106.94"/>
  </r>
  <r>
    <x v="28"/>
    <x v="16"/>
    <n v="40161567"/>
    <n v="717895"/>
    <n v="14"/>
    <n v="175"/>
    <n v="2450"/>
    <s v="279+391"/>
    <s v="Yes"/>
    <m/>
    <s v="Yes"/>
    <m/>
    <s v="Yes"/>
    <m/>
    <s v="Yes"/>
    <m/>
    <s v="N/A"/>
    <m/>
    <s v="Yes"/>
    <m/>
    <s v="Yes"/>
    <m/>
    <s v="New"/>
    <s v="infasco"/>
    <n v="106.94"/>
    <n v="106.94"/>
  </r>
  <r>
    <x v="28"/>
    <x v="16"/>
    <s v="06509967AA"/>
    <n v="718520"/>
    <n v="36"/>
    <n v="825"/>
    <n v="29700"/>
    <s v="279+391"/>
    <s v="Yes"/>
    <m/>
    <s v="Yes"/>
    <m/>
    <s v="Yes"/>
    <m/>
    <s v="Yes"/>
    <m/>
    <s v="N/A"/>
    <m/>
    <s v="Yes"/>
    <m/>
    <s v="Yes"/>
    <m/>
    <s v="New"/>
    <s v="infasco"/>
    <n v="280.16000000000003"/>
    <n v="280.16000000000003"/>
  </r>
  <r>
    <x v="28"/>
    <x v="16"/>
    <s v="06509967AA"/>
    <n v="718512"/>
    <n v="15"/>
    <n v="825"/>
    <n v="12375"/>
    <s v="279+391"/>
    <s v="Yes"/>
    <m/>
    <s v="Yes"/>
    <m/>
    <s v="Yes"/>
    <m/>
    <s v="Yes"/>
    <m/>
    <s v="N/A"/>
    <m/>
    <s v="Yes"/>
    <m/>
    <s v="Yes"/>
    <m/>
    <s v="New"/>
    <s v="infasco"/>
    <n v="280.16000000000003"/>
    <n v="280.16000000000003"/>
  </r>
  <r>
    <x v="28"/>
    <x v="16"/>
    <s v="06509967AA"/>
    <n v="717788"/>
    <n v="36"/>
    <n v="825"/>
    <n v="29700"/>
    <s v="279+391"/>
    <s v="Yes"/>
    <m/>
    <s v="Yes"/>
    <m/>
    <s v="Yes"/>
    <m/>
    <s v="Yes"/>
    <m/>
    <s v="N/A"/>
    <m/>
    <s v="Yes"/>
    <m/>
    <s v="Yes"/>
    <m/>
    <s v="New"/>
    <s v="infasco"/>
    <n v="280.16000000000003"/>
    <n v="280.16000000000003"/>
  </r>
  <r>
    <x v="28"/>
    <x v="16"/>
    <s v="06509967AA"/>
    <n v="717790"/>
    <n v="36"/>
    <n v="825"/>
    <n v="29700"/>
    <s v="279+391"/>
    <s v="Yes"/>
    <m/>
    <s v="Yes"/>
    <m/>
    <s v="Yes"/>
    <m/>
    <s v="Yes"/>
    <m/>
    <s v="N/A"/>
    <m/>
    <s v="Yes"/>
    <m/>
    <s v="Yes"/>
    <m/>
    <s v="New"/>
    <s v="infasco"/>
    <n v="280.16000000000003"/>
    <n v="280.16000000000003"/>
  </r>
  <r>
    <x v="28"/>
    <x v="17"/>
    <n v="82250"/>
    <n v="718798"/>
    <n v="36"/>
    <n v="625"/>
    <n v="22500"/>
    <s v="190+268"/>
    <s v="Yes"/>
    <m/>
    <s v="Yes"/>
    <m/>
    <s v="Yes"/>
    <m/>
    <s v="Yes"/>
    <m/>
    <s v="N/A"/>
    <m/>
    <s v="Yes"/>
    <m/>
    <s v="Yes"/>
    <m/>
    <s v="New"/>
    <s v="infasco"/>
    <n v="223.88"/>
    <n v="223.88"/>
  </r>
  <r>
    <x v="28"/>
    <x v="17"/>
    <s v="11546378-CA-IN"/>
    <n v="716606"/>
    <n v="33"/>
    <n v="1250"/>
    <n v="41250"/>
    <s v="190+268"/>
    <s v="Yes"/>
    <m/>
    <s v="Yes"/>
    <m/>
    <s v="Yes"/>
    <m/>
    <s v="Yes"/>
    <m/>
    <s v="N/A"/>
    <m/>
    <s v="Yes"/>
    <m/>
    <s v="Yes"/>
    <m/>
    <s v="New"/>
    <s v="infasco"/>
    <n v="106.94"/>
    <n v="106.94"/>
  </r>
  <r>
    <x v="28"/>
    <x v="17"/>
    <s v="06104388AA"/>
    <n v="717678"/>
    <n v="20"/>
    <n v="660"/>
    <n v="13200"/>
    <s v="190+268"/>
    <s v="Yes"/>
    <m/>
    <s v="Yes"/>
    <m/>
    <s v="Yes"/>
    <m/>
    <s v="Yes"/>
    <m/>
    <s v="N/A"/>
    <m/>
    <s v="Yes"/>
    <m/>
    <s v="Yes"/>
    <m/>
    <s v="New"/>
    <s v="infasco"/>
    <n v="135.08000000000001"/>
    <n v="135.08000000000001"/>
  </r>
  <r>
    <x v="28"/>
    <x v="17"/>
    <s v="06104388AA"/>
    <n v="717676"/>
    <n v="17"/>
    <n v="660"/>
    <n v="11220"/>
    <s v="190+268"/>
    <s v="Yes"/>
    <m/>
    <s v="Yes"/>
    <m/>
    <s v="Yes"/>
    <m/>
    <s v="Yes"/>
    <m/>
    <s v="N/A"/>
    <m/>
    <s v="Yes"/>
    <m/>
    <s v="Yes"/>
    <m/>
    <s v="New"/>
    <s v="infasco"/>
    <n v="135.08000000000001"/>
    <n v="135.08000000000001"/>
  </r>
  <r>
    <x v="28"/>
    <x v="17"/>
    <n v="40161567"/>
    <n v="717892"/>
    <n v="36"/>
    <n v="175"/>
    <n v="6300"/>
    <s v="190+268"/>
    <s v="Yes"/>
    <m/>
    <s v="Yes"/>
    <m/>
    <s v="Yes"/>
    <m/>
    <s v="Yes"/>
    <m/>
    <s v="N/A"/>
    <m/>
    <s v="Yes"/>
    <m/>
    <s v="Yes"/>
    <m/>
    <s v="New"/>
    <s v="infasco"/>
    <n v="106.94"/>
    <n v="106.94"/>
  </r>
  <r>
    <x v="28"/>
    <x v="17"/>
    <n v="40161567"/>
    <n v="717708"/>
    <n v="19"/>
    <n v="175"/>
    <n v="3325"/>
    <s v="190+268"/>
    <s v="Yes"/>
    <m/>
    <s v="Yes"/>
    <m/>
    <s v="Yes"/>
    <m/>
    <s v="Yes"/>
    <m/>
    <s v="N/A"/>
    <m/>
    <s v="Yes"/>
    <m/>
    <s v="Yes"/>
    <m/>
    <s v="New"/>
    <s v="infasco"/>
    <n v="106.94"/>
    <n v="106.94"/>
  </r>
  <r>
    <x v="28"/>
    <x v="17"/>
    <s v="06509967AA"/>
    <n v="718519"/>
    <n v="20"/>
    <n v="825"/>
    <n v="16500"/>
    <s v="190+268"/>
    <s v="Yes"/>
    <m/>
    <s v="Yes"/>
    <m/>
    <s v="Yes"/>
    <m/>
    <s v="Yes"/>
    <m/>
    <s v="N/A"/>
    <m/>
    <s v="Yes"/>
    <m/>
    <s v="Yes"/>
    <m/>
    <s v="New"/>
    <s v="infasco"/>
    <n v="280.16000000000003"/>
    <n v="280.16000000000003"/>
  </r>
  <r>
    <x v="28"/>
    <x v="17"/>
    <s v="06509967AA"/>
    <n v="717786"/>
    <n v="11"/>
    <n v="825"/>
    <n v="9075"/>
    <s v="190+268"/>
    <s v="Yes"/>
    <m/>
    <s v="Yes"/>
    <m/>
    <s v="Yes"/>
    <m/>
    <s v="Yes"/>
    <m/>
    <s v="N/A"/>
    <m/>
    <s v="Yes"/>
    <m/>
    <s v="Yes"/>
    <m/>
    <s v="New"/>
    <s v="infasco"/>
    <n v="280.16000000000003"/>
    <n v="280.16000000000003"/>
  </r>
  <r>
    <x v="28"/>
    <x v="32"/>
    <s v="W20-1028-010NA"/>
    <n v="710209"/>
    <n v="1"/>
    <n v="30000"/>
    <n v="30000"/>
    <s v="252+11"/>
    <s v="Yes"/>
    <m/>
    <s v="Yes"/>
    <m/>
    <s v="Yes"/>
    <m/>
    <s v="Yes"/>
    <m/>
    <s v="N/A"/>
    <m/>
    <s v="Yes"/>
    <m/>
    <s v="Yes"/>
    <m/>
    <s v="New"/>
    <s v="infasco"/>
    <n v="57.41"/>
    <n v="57.41"/>
  </r>
  <r>
    <x v="28"/>
    <x v="32"/>
    <s v="06509967AA"/>
    <m/>
    <n v="27"/>
    <n v="825"/>
    <n v="22275"/>
    <s v="252+11"/>
    <s v="Yes"/>
    <m/>
    <s v="Yes"/>
    <m/>
    <s v="Yes"/>
    <m/>
    <s v="Yes"/>
    <m/>
    <s v="N/A"/>
    <m/>
    <s v="Yes"/>
    <m/>
    <s v="Yes"/>
    <m/>
    <s v="New"/>
    <s v="infasco"/>
    <n v="280.16000000000003"/>
    <n v="280.16000000000003"/>
  </r>
  <r>
    <x v="28"/>
    <x v="13"/>
    <s v="11546369-IN-PN"/>
    <n v="716950"/>
    <n v="38"/>
    <n v="300"/>
    <n v="11400"/>
    <n v="285"/>
    <s v="Yes"/>
    <m/>
    <s v="Yes"/>
    <m/>
    <s v="Yes"/>
    <m/>
    <s v="Yes"/>
    <m/>
    <s v="N/A"/>
    <m/>
    <s v="Yes"/>
    <m/>
    <s v="Yes"/>
    <m/>
    <s v="New"/>
    <s v="infasco"/>
    <n v="106.94"/>
    <n v="106.94"/>
  </r>
  <r>
    <x v="28"/>
    <x v="10"/>
    <n v="11546545"/>
    <n v="717758"/>
    <n v="21"/>
    <n v="2500"/>
    <n v="52500"/>
    <n v="275"/>
    <s v="Yes"/>
    <m/>
    <s v="Yes"/>
    <m/>
    <s v="Yes"/>
    <m/>
    <s v="Yes"/>
    <m/>
    <s v="N/A"/>
    <m/>
    <s v="Yes"/>
    <m/>
    <s v="Yes"/>
    <m/>
    <s v="New"/>
    <s v="infasco"/>
    <n v="106.94"/>
    <n v="106.94"/>
  </r>
  <r>
    <x v="28"/>
    <x v="10"/>
    <s v="11514596-CA-IN"/>
    <n v="716783"/>
    <n v="19"/>
    <n v="2500"/>
    <n v="47500"/>
    <n v="275"/>
    <s v="Yes"/>
    <m/>
    <s v="Yes"/>
    <m/>
    <s v="Yes"/>
    <m/>
    <s v="Yes"/>
    <m/>
    <s v="N/A"/>
    <m/>
    <s v="Yes"/>
    <m/>
    <s v="Yes"/>
    <m/>
    <s v="Re-certified"/>
    <s v="infasco"/>
    <n v="0"/>
    <n v="0"/>
  </r>
  <r>
    <x v="28"/>
    <x v="8"/>
    <s v="11546368-MY-AK"/>
    <n v="717516"/>
    <n v="30"/>
    <n v="450"/>
    <n v="13500"/>
    <n v="275"/>
    <s v="Yes"/>
    <m/>
    <s v="Yes"/>
    <m/>
    <s v="Yes"/>
    <m/>
    <s v="Yes"/>
    <m/>
    <s v="N/A"/>
    <m/>
    <s v="Yes"/>
    <m/>
    <s v="Yes"/>
    <m/>
    <s v="New"/>
    <s v="infasco"/>
    <n v="106.94"/>
    <n v="106.94"/>
  </r>
  <r>
    <x v="28"/>
    <x v="8"/>
    <s v="11546368-MY-AK"/>
    <n v="717520"/>
    <n v="36"/>
    <n v="450"/>
    <n v="16200"/>
    <n v="275"/>
    <s v="Yes"/>
    <m/>
    <s v="Yes"/>
    <m/>
    <s v="Yes"/>
    <m/>
    <s v="Yes"/>
    <m/>
    <s v="N/A"/>
    <m/>
    <s v="Yes"/>
    <m/>
    <s v="Yes"/>
    <m/>
    <s v="New"/>
    <s v="infasco"/>
    <n v="106.94"/>
    <n v="106.94"/>
  </r>
  <r>
    <x v="28"/>
    <x v="8"/>
    <s v="11546368-MY-AK"/>
    <n v="717513"/>
    <n v="16"/>
    <n v="450"/>
    <n v="7200"/>
    <n v="275"/>
    <s v="Yes"/>
    <m/>
    <s v="Yes"/>
    <m/>
    <s v="Yes"/>
    <m/>
    <s v="Yes"/>
    <m/>
    <s v="N/A"/>
    <m/>
    <s v="Yes"/>
    <m/>
    <s v="Yes"/>
    <m/>
    <s v="Re-certified"/>
    <s v="infasco"/>
    <n v="0"/>
    <n v="0"/>
  </r>
  <r>
    <x v="28"/>
    <x v="11"/>
    <n v="11546545"/>
    <n v="718238"/>
    <n v="7"/>
    <n v="2500"/>
    <n v="17500"/>
    <n v="275"/>
    <s v="Yes"/>
    <m/>
    <s v="Yes"/>
    <m/>
    <s v="Yes"/>
    <m/>
    <s v="Yes"/>
    <m/>
    <s v="N/A"/>
    <m/>
    <s v="Yes"/>
    <m/>
    <s v="Yes"/>
    <m/>
    <s v="New"/>
    <s v="infasco"/>
    <n v="106.94"/>
    <n v="106.94"/>
  </r>
  <r>
    <x v="28"/>
    <x v="11"/>
    <n v="11546545"/>
    <n v="717761"/>
    <n v="35"/>
    <n v="2500"/>
    <n v="87500"/>
    <n v="275"/>
    <s v="Yes"/>
    <m/>
    <s v="Yes"/>
    <m/>
    <s v="Yes"/>
    <m/>
    <s v="Yes"/>
    <m/>
    <s v="N/A"/>
    <m/>
    <s v="Yes"/>
    <m/>
    <s v="Yes"/>
    <m/>
    <s v="New"/>
    <s v="infasco"/>
    <n v="106.94"/>
    <n v="106.94"/>
  </r>
  <r>
    <x v="28"/>
    <x v="11"/>
    <s v="11546437-MY-AK"/>
    <n v="717780"/>
    <n v="8"/>
    <n v="1500"/>
    <n v="12000"/>
    <n v="275"/>
    <s v="Yes"/>
    <m/>
    <s v="Yes"/>
    <m/>
    <s v="Yes"/>
    <m/>
    <s v="Yes"/>
    <m/>
    <s v="N/A"/>
    <m/>
    <s v="Yes"/>
    <m/>
    <s v="Yes"/>
    <m/>
    <s v="Re-certified"/>
    <s v="infasco"/>
    <n v="0"/>
    <n v="0"/>
  </r>
  <r>
    <x v="28"/>
    <x v="9"/>
    <n v="11546545"/>
    <n v="717757"/>
    <n v="27"/>
    <n v="2500"/>
    <n v="67500"/>
    <n v="275"/>
    <s v="Yes"/>
    <m/>
    <s v="Yes"/>
    <m/>
    <s v="Yes"/>
    <m/>
    <s v="Yes"/>
    <m/>
    <s v="N/A"/>
    <m/>
    <s v="Yes"/>
    <m/>
    <s v="Yes"/>
    <m/>
    <s v="New"/>
    <s v="infasco"/>
    <n v="106.94"/>
    <n v="106.94"/>
  </r>
  <r>
    <x v="28"/>
    <x v="6"/>
    <n v="11546545"/>
    <n v="717756"/>
    <n v="31"/>
    <n v="2500"/>
    <n v="77500"/>
    <n v="275"/>
    <s v="Yes"/>
    <m/>
    <s v="Yes"/>
    <m/>
    <s v="Yes"/>
    <m/>
    <s v="Yes"/>
    <m/>
    <s v="N/A"/>
    <m/>
    <s v="Yes"/>
    <m/>
    <s v="Yes"/>
    <m/>
    <s v="New"/>
    <s v="infasco"/>
    <n v="106.94"/>
    <n v="106.94"/>
  </r>
  <r>
    <x v="28"/>
    <x v="6"/>
    <s v="W520113-S441"/>
    <n v="717234"/>
    <n v="9"/>
    <n v="1050"/>
    <n v="9450"/>
    <n v="275"/>
    <s v="Yes"/>
    <m/>
    <s v="Yes"/>
    <m/>
    <s v="Yes"/>
    <m/>
    <s v="Yes"/>
    <m/>
    <s v="N/A"/>
    <m/>
    <s v="Yes"/>
    <m/>
    <s v="Yes"/>
    <m/>
    <s v="Re-certified"/>
    <s v="infasco"/>
    <n v="0"/>
    <n v="0"/>
  </r>
  <r>
    <x v="28"/>
    <x v="12"/>
    <s v="11546368-MY-AK"/>
    <n v="717018"/>
    <n v="24"/>
    <n v="450"/>
    <n v="10800"/>
    <n v="275"/>
    <s v="Yes"/>
    <m/>
    <s v="Yes"/>
    <m/>
    <s v="Yes"/>
    <m/>
    <s v="Yes"/>
    <m/>
    <s v="N/A"/>
    <m/>
    <s v="Yes"/>
    <m/>
    <s v="Yes"/>
    <m/>
    <s v="New"/>
    <s v="infasco"/>
    <n v="106.94"/>
    <n v="106.94"/>
  </r>
  <r>
    <x v="28"/>
    <x v="12"/>
    <s v="11546368-MY-AK"/>
    <n v="717021"/>
    <n v="36"/>
    <n v="450"/>
    <n v="16200"/>
    <n v="275"/>
    <s v="Yes"/>
    <m/>
    <s v="Yes"/>
    <m/>
    <s v="Yes"/>
    <m/>
    <s v="Yes"/>
    <m/>
    <s v="N/A"/>
    <m/>
    <s v="Yes"/>
    <m/>
    <s v="Yes"/>
    <m/>
    <s v="New"/>
    <s v="infasco"/>
    <n v="106.94"/>
    <n v="106.94"/>
  </r>
  <r>
    <x v="28"/>
    <x v="12"/>
    <s v="11546368-MY-AK"/>
    <n v="717025"/>
    <n v="16"/>
    <n v="450"/>
    <n v="7200"/>
    <n v="275"/>
    <s v="Yes"/>
    <m/>
    <s v="Yes"/>
    <m/>
    <s v="Yes"/>
    <m/>
    <s v="Yes"/>
    <m/>
    <s v="N/A"/>
    <m/>
    <s v="Yes"/>
    <m/>
    <s v="Yes"/>
    <m/>
    <s v="Re-certified"/>
    <s v="infasco"/>
    <n v="0"/>
    <n v="0"/>
  </r>
  <r>
    <x v="29"/>
    <x v="14"/>
    <n v="11612078"/>
    <n v="710153"/>
    <n v="20"/>
    <n v="1850"/>
    <n v="37000"/>
    <n v="4"/>
    <s v="Yes"/>
    <m/>
    <s v="Yes"/>
    <m/>
    <s v="Yes"/>
    <m/>
    <s v="Yes"/>
    <m/>
    <s v="N/A"/>
    <m/>
    <s v="Yes"/>
    <m/>
    <s v="Yes"/>
    <m/>
    <s v="New"/>
    <s v="infasco"/>
    <n v="247.64"/>
    <n v="247.64"/>
  </r>
  <r>
    <x v="29"/>
    <x v="14"/>
    <n v="11612078"/>
    <n v="707325"/>
    <n v="3"/>
    <n v="1850"/>
    <n v="5550"/>
    <n v="4"/>
    <s v="Yes"/>
    <m/>
    <s v="Yes"/>
    <m/>
    <s v="Yes"/>
    <m/>
    <s v="Yes"/>
    <m/>
    <s v="N/A"/>
    <m/>
    <s v="Yes"/>
    <m/>
    <s v="Yes"/>
    <m/>
    <s v="Re-certified"/>
    <s v="infasco"/>
    <n v="0"/>
    <n v="0"/>
  </r>
  <r>
    <x v="29"/>
    <x v="26"/>
    <s v="E6267AB"/>
    <n v="717246"/>
    <n v="1"/>
    <n v="17375"/>
    <n v="17375"/>
    <n v="290"/>
    <s v="Yes"/>
    <m/>
    <s v="Yes"/>
    <m/>
    <s v="Yes"/>
    <m/>
    <s v="Yes"/>
    <m/>
    <s v="N/A"/>
    <m/>
    <s v="Yes"/>
    <m/>
    <s v="Yes"/>
    <m/>
    <s v="New"/>
    <s v="infasco"/>
    <n v="106.94"/>
    <n v="106.94"/>
  </r>
  <r>
    <x v="29"/>
    <x v="26"/>
    <s v="E6267AB"/>
    <n v="717244"/>
    <n v="1"/>
    <n v="20000"/>
    <n v="20000"/>
    <n v="290"/>
    <s v="Yes"/>
    <m/>
    <s v="Yes"/>
    <m/>
    <s v="Yes"/>
    <m/>
    <s v="Yes"/>
    <m/>
    <s v="N/A"/>
    <m/>
    <s v="Yes"/>
    <m/>
    <s v="Yes"/>
    <m/>
    <s v="New"/>
    <s v="infasco"/>
    <n v="106.94"/>
    <n v="106.94"/>
  </r>
  <r>
    <x v="29"/>
    <x v="26"/>
    <s v="E6267AB"/>
    <n v="717245"/>
    <n v="1"/>
    <n v="13125"/>
    <n v="13125"/>
    <n v="290"/>
    <s v="Yes"/>
    <m/>
    <s v="Yes"/>
    <m/>
    <s v="Yes"/>
    <m/>
    <s v="Yes"/>
    <m/>
    <s v="N/A"/>
    <m/>
    <s v="Yes"/>
    <m/>
    <s v="Yes"/>
    <m/>
    <s v="Re-certified"/>
    <s v="infasco"/>
    <n v="0"/>
    <n v="0"/>
  </r>
  <r>
    <x v="29"/>
    <x v="29"/>
    <s v="11514596-CA-IN"/>
    <n v="716782"/>
    <n v="3"/>
    <n v="2500"/>
    <n v="7500"/>
    <n v="290"/>
    <s v="Yes"/>
    <m/>
    <s v="Yes"/>
    <m/>
    <s v="Yes"/>
    <m/>
    <s v="Yes"/>
    <m/>
    <s v="N/A"/>
    <m/>
    <s v="Yes"/>
    <m/>
    <s v="Yes"/>
    <m/>
    <s v="New"/>
    <s v="infasco"/>
    <n v="213.88"/>
    <n v="213.88"/>
  </r>
  <r>
    <x v="29"/>
    <x v="29"/>
    <s v="11546437-MY-AK"/>
    <n v="717769"/>
    <n v="58"/>
    <n v="1500"/>
    <n v="87000"/>
    <n v="290"/>
    <s v="Yes"/>
    <m/>
    <s v="Yes"/>
    <m/>
    <s v="Yes"/>
    <m/>
    <s v="Yes"/>
    <m/>
    <s v="N/A"/>
    <m/>
    <s v="Yes"/>
    <m/>
    <s v="Yes"/>
    <m/>
    <s v="New"/>
    <s v="infasco"/>
    <n v="106.94"/>
    <n v="106.94"/>
  </r>
  <r>
    <x v="29"/>
    <x v="29"/>
    <s v="11546437-MY-AK"/>
    <n v="718011"/>
    <n v="1"/>
    <n v="1500"/>
    <n v="1500"/>
    <n v="290"/>
    <s v="Yes"/>
    <m/>
    <s v="Yes"/>
    <m/>
    <s v="Yes"/>
    <m/>
    <s v="Yes"/>
    <m/>
    <s v="N/A"/>
    <m/>
    <s v="Yes"/>
    <m/>
    <s v="Yes"/>
    <m/>
    <s v="Re-certified"/>
    <s v="infasco"/>
    <n v="0"/>
    <n v="0"/>
  </r>
  <r>
    <x v="29"/>
    <x v="30"/>
    <s v="11546368-MY-AK"/>
    <n v="717514"/>
    <n v="18"/>
    <n v="450"/>
    <n v="8100"/>
    <n v="290"/>
    <s v="Yes"/>
    <m/>
    <s v="Yes"/>
    <m/>
    <s v="Yes"/>
    <m/>
    <s v="Yes"/>
    <m/>
    <s v="N/A"/>
    <m/>
    <s v="Yes"/>
    <m/>
    <s v="Yes"/>
    <m/>
    <s v="New"/>
    <s v="infasco"/>
    <n v="106.94"/>
    <n v="106.94"/>
  </r>
  <r>
    <x v="29"/>
    <x v="30"/>
    <n v="11549170"/>
    <n v="717360"/>
    <n v="36"/>
    <n v="400"/>
    <n v="14400"/>
    <n v="290"/>
    <s v="Yes"/>
    <m/>
    <s v="Yes"/>
    <m/>
    <s v="Yes"/>
    <m/>
    <s v="Yes"/>
    <m/>
    <s v="N/A"/>
    <m/>
    <s v="Yes"/>
    <m/>
    <s v="Yes"/>
    <m/>
    <s v="New"/>
    <s v="infasco"/>
    <n v="106.94"/>
    <n v="106.94"/>
  </r>
  <r>
    <x v="29"/>
    <x v="30"/>
    <n v="11549170"/>
    <n v="717348"/>
    <n v="36"/>
    <n v="400"/>
    <n v="14400"/>
    <n v="290"/>
    <s v="Yes"/>
    <m/>
    <s v="Yes"/>
    <m/>
    <s v="Yes"/>
    <m/>
    <s v="Yes"/>
    <m/>
    <s v="N/A"/>
    <m/>
    <s v="Yes"/>
    <m/>
    <s v="Yes"/>
    <m/>
    <s v="New"/>
    <s v="infasco"/>
    <n v="106.94"/>
    <n v="106.94"/>
  </r>
  <r>
    <x v="29"/>
    <x v="30"/>
    <n v="11549170"/>
    <n v="716920"/>
    <n v="4"/>
    <n v="400"/>
    <n v="1600"/>
    <n v="290"/>
    <s v="Yes"/>
    <m/>
    <s v="Yes"/>
    <m/>
    <s v="Yes"/>
    <m/>
    <s v="Yes"/>
    <m/>
    <s v="N/A"/>
    <m/>
    <s v="Yes"/>
    <m/>
    <s v="Yes"/>
    <m/>
    <s v="Re-certified"/>
    <s v="infasco"/>
    <n v="0"/>
    <n v="0"/>
  </r>
  <r>
    <x v="29"/>
    <x v="27"/>
    <s v="11546368-MY-AK"/>
    <n v="717512"/>
    <n v="34"/>
    <n v="450"/>
    <n v="15300"/>
    <n v="290"/>
    <s v="Yes"/>
    <m/>
    <s v="Yes"/>
    <m/>
    <s v="Yes"/>
    <m/>
    <s v="Yes"/>
    <m/>
    <s v="N/A"/>
    <m/>
    <s v="Yes"/>
    <m/>
    <s v="Yes"/>
    <m/>
    <s v="New"/>
    <s v="infasco"/>
    <n v="106.94"/>
    <n v="106.94"/>
  </r>
  <r>
    <x v="29"/>
    <x v="27"/>
    <n v="11549170"/>
    <n v="717353"/>
    <n v="36"/>
    <n v="400"/>
    <n v="14400"/>
    <n v="290"/>
    <s v="Yes"/>
    <m/>
    <s v="Yes"/>
    <m/>
    <s v="Yes"/>
    <m/>
    <s v="Yes"/>
    <m/>
    <s v="N/A"/>
    <m/>
    <s v="Yes"/>
    <m/>
    <s v="Yes"/>
    <m/>
    <s v="New"/>
    <s v="infasco"/>
    <n v="106.94"/>
    <n v="106.94"/>
  </r>
  <r>
    <x v="29"/>
    <x v="31"/>
    <s v="06101831-A"/>
    <n v="717400"/>
    <n v="22"/>
    <n v="1000"/>
    <n v="22000"/>
    <n v="290"/>
    <s v="Yes"/>
    <m/>
    <s v="Yes"/>
    <m/>
    <s v="Yes"/>
    <m/>
    <s v="Yes"/>
    <m/>
    <s v="N/A"/>
    <m/>
    <s v="Yes"/>
    <m/>
    <s v="Yes"/>
    <m/>
    <s v="New"/>
    <s v="infasco"/>
    <n v="106.94"/>
    <n v="106.94"/>
  </r>
  <r>
    <x v="29"/>
    <x v="31"/>
    <s v="06101831-A"/>
    <n v="717397"/>
    <n v="36"/>
    <n v="1000"/>
    <n v="36000"/>
    <n v="290"/>
    <s v="Yes"/>
    <m/>
    <s v="Yes"/>
    <m/>
    <s v="Yes"/>
    <m/>
    <s v="Yes"/>
    <m/>
    <s v="N/A"/>
    <m/>
    <s v="Yes"/>
    <m/>
    <s v="Yes"/>
    <m/>
    <s v="New"/>
    <s v="infasco"/>
    <n v="106.94"/>
    <n v="106.94"/>
  </r>
  <r>
    <x v="29"/>
    <x v="31"/>
    <s v="06101831-A"/>
    <n v="717401"/>
    <n v="36"/>
    <n v="1000"/>
    <n v="36000"/>
    <n v="290"/>
    <s v="Yes"/>
    <m/>
    <s v="Yes"/>
    <m/>
    <s v="Yes"/>
    <m/>
    <s v="Yes"/>
    <m/>
    <s v="N/A"/>
    <m/>
    <s v="Yes"/>
    <m/>
    <s v="Yes"/>
    <m/>
    <s v="New"/>
    <s v="infasco"/>
    <n v="106.94"/>
    <n v="106.94"/>
  </r>
  <r>
    <x v="29"/>
    <x v="31"/>
    <n v="11549168"/>
    <n v="717373"/>
    <n v="18"/>
    <n v="1000"/>
    <n v="18000"/>
    <n v="290"/>
    <s v="Yes"/>
    <m/>
    <s v="Yes"/>
    <m/>
    <s v="Yes"/>
    <m/>
    <s v="Yes"/>
    <m/>
    <s v="N/A"/>
    <m/>
    <s v="Yes"/>
    <m/>
    <s v="Yes"/>
    <m/>
    <s v="Re-certified"/>
    <s v="infasco"/>
    <n v="0"/>
    <n v="0"/>
  </r>
  <r>
    <x v="29"/>
    <x v="28"/>
    <s v="06509967AA"/>
    <n v="718156"/>
    <n v="19"/>
    <n v="825"/>
    <n v="15675"/>
    <n v="290"/>
    <s v="Yes"/>
    <m/>
    <s v="Yes"/>
    <m/>
    <s v="Yes"/>
    <m/>
    <s v="Yes"/>
    <m/>
    <s v="N/A"/>
    <m/>
    <s v="Yes"/>
    <m/>
    <s v="Yes"/>
    <m/>
    <s v="Re-certified"/>
    <s v="infasco"/>
    <n v="0"/>
    <n v="0"/>
  </r>
  <r>
    <x v="29"/>
    <x v="2"/>
    <n v="11546462"/>
    <n v="718229"/>
    <n v="5"/>
    <n v="650"/>
    <n v="3250"/>
    <n v="292"/>
    <s v="Yes"/>
    <m/>
    <s v="Yes"/>
    <m/>
    <s v="Yes"/>
    <m/>
    <s v="Yes"/>
    <m/>
    <s v="N/A"/>
    <m/>
    <s v="Yes"/>
    <m/>
    <s v="Yes"/>
    <m/>
    <s v="New"/>
    <s v="infasco"/>
    <n v="106.94"/>
    <n v="106.94"/>
  </r>
  <r>
    <x v="29"/>
    <x v="2"/>
    <n v="11549168"/>
    <n v="717370"/>
    <n v="36"/>
    <n v="1000"/>
    <n v="36000"/>
    <n v="292"/>
    <s v="Yes"/>
    <m/>
    <s v="Yes"/>
    <m/>
    <s v="Yes"/>
    <m/>
    <s v="Yes"/>
    <m/>
    <s v="N/A"/>
    <m/>
    <s v="Yes"/>
    <m/>
    <s v="Yes"/>
    <m/>
    <s v="Re-certified"/>
    <s v="infasco"/>
    <n v="0"/>
    <n v="0"/>
  </r>
  <r>
    <x v="29"/>
    <x v="1"/>
    <n v="11546545"/>
    <n v="717762"/>
    <n v="9"/>
    <n v="2500"/>
    <n v="22500"/>
    <n v="292"/>
    <s v="Yes"/>
    <m/>
    <s v="Yes"/>
    <m/>
    <s v="Yes"/>
    <m/>
    <s v="Yes"/>
    <m/>
    <s v="N/A"/>
    <m/>
    <s v="Yes"/>
    <m/>
    <s v="Yes"/>
    <m/>
    <s v="New"/>
    <s v="infasco"/>
    <n v="106.94"/>
    <n v="106.94"/>
  </r>
  <r>
    <x v="29"/>
    <x v="1"/>
    <s v="11546437-MY-AK"/>
    <n v="718014"/>
    <n v="27"/>
    <n v="1500"/>
    <n v="40500"/>
    <n v="292"/>
    <s v="Yes"/>
    <m/>
    <s v="Yes"/>
    <m/>
    <s v="Yes"/>
    <m/>
    <s v="Yes"/>
    <m/>
    <s v="N/A"/>
    <m/>
    <s v="Yes"/>
    <m/>
    <s v="Yes"/>
    <m/>
    <s v="Re-certified"/>
    <s v="infasco"/>
    <n v="0"/>
    <n v="0"/>
  </r>
  <r>
    <x v="29"/>
    <x v="0"/>
    <s v="11549168-VN-VT"/>
    <n v="717433"/>
    <n v="21"/>
    <n v="1000"/>
    <n v="21000"/>
    <n v="292"/>
    <s v="Yes"/>
    <m/>
    <s v="Yes"/>
    <m/>
    <s v="Yes"/>
    <m/>
    <s v="Yes"/>
    <m/>
    <s v="N/A"/>
    <m/>
    <s v="Yes"/>
    <m/>
    <s v="Yes"/>
    <m/>
    <s v="New"/>
    <s v="infasco"/>
    <n v="106.94"/>
    <n v="106.94"/>
  </r>
  <r>
    <x v="29"/>
    <x v="0"/>
    <s v="11549168-VN-VT"/>
    <n v="717431"/>
    <n v="10"/>
    <n v="1000"/>
    <n v="10000"/>
    <n v="292"/>
    <s v="Yes"/>
    <m/>
    <s v="Yes"/>
    <m/>
    <s v="Yes"/>
    <m/>
    <s v="Yes"/>
    <m/>
    <s v="N/A"/>
    <m/>
    <s v="Yes"/>
    <m/>
    <s v="Yes"/>
    <m/>
    <s v="Re-certified"/>
    <s v="infasco"/>
    <n v="0"/>
    <n v="0"/>
  </r>
  <r>
    <x v="29"/>
    <x v="3"/>
    <s v="11546368-MY-AK"/>
    <n v="717013"/>
    <n v="38"/>
    <n v="450"/>
    <n v="17100"/>
    <n v="292"/>
    <s v="Yes"/>
    <m/>
    <s v="Yes"/>
    <m/>
    <s v="Yes"/>
    <m/>
    <s v="Yes"/>
    <m/>
    <s v="N/A"/>
    <m/>
    <s v="Yes"/>
    <m/>
    <s v="Yes"/>
    <m/>
    <s v="New"/>
    <s v="infasco"/>
    <n v="106.94"/>
    <n v="106.94"/>
  </r>
  <r>
    <x v="29"/>
    <x v="3"/>
    <n v="11549170"/>
    <n v="717359"/>
    <n v="36"/>
    <n v="400"/>
    <n v="14400"/>
    <n v="292"/>
    <s v="Yes"/>
    <m/>
    <s v="Yes"/>
    <m/>
    <s v="Yes"/>
    <m/>
    <s v="Yes"/>
    <m/>
    <s v="N/A"/>
    <m/>
    <s v="Yes"/>
    <m/>
    <s v="Yes"/>
    <m/>
    <s v="New"/>
    <s v="infasco"/>
    <n v="106.94"/>
    <n v="106.94"/>
  </r>
  <r>
    <x v="29"/>
    <x v="3"/>
    <n v="11549170"/>
    <n v="717356"/>
    <n v="36"/>
    <n v="400"/>
    <n v="14400"/>
    <n v="292"/>
    <s v="Yes"/>
    <m/>
    <s v="Yes"/>
    <m/>
    <s v="Yes"/>
    <m/>
    <s v="Yes"/>
    <m/>
    <s v="N/A"/>
    <m/>
    <s v="Yes"/>
    <m/>
    <s v="Yes"/>
    <m/>
    <s v="New"/>
    <s v="infasco"/>
    <n v="106.94"/>
    <n v="106.94"/>
  </r>
  <r>
    <x v="29"/>
    <x v="3"/>
    <n v="11549170"/>
    <n v="717363"/>
    <n v="15"/>
    <n v="400"/>
    <n v="6000"/>
    <n v="292"/>
    <s v="Yes"/>
    <m/>
    <s v="Yes"/>
    <m/>
    <s v="Yes"/>
    <m/>
    <s v="Yes"/>
    <m/>
    <s v="N/A"/>
    <m/>
    <s v="Yes"/>
    <m/>
    <s v="Yes"/>
    <m/>
    <s v="Re-certified"/>
    <s v="infasco"/>
    <n v="0"/>
    <n v="0"/>
  </r>
  <r>
    <x v="29"/>
    <x v="4"/>
    <s v="1K2GZ0-00"/>
    <n v="718067"/>
    <n v="23"/>
    <n v="4500"/>
    <n v="103500"/>
    <n v="292"/>
    <s v="Yes"/>
    <m/>
    <s v="Yes"/>
    <m/>
    <s v="Yes"/>
    <m/>
    <s v="Yes"/>
    <m/>
    <s v="N/A"/>
    <m/>
    <s v="Yes"/>
    <m/>
    <s v="Yes"/>
    <m/>
    <s v="Re-certified"/>
    <s v="infasco"/>
    <n v="0"/>
    <n v="0"/>
  </r>
  <r>
    <x v="29"/>
    <x v="5"/>
    <s v="11546368-MY-AK"/>
    <n v="717016"/>
    <n v="2"/>
    <n v="450"/>
    <n v="900"/>
    <n v="292"/>
    <s v="Yes"/>
    <m/>
    <s v="Yes"/>
    <m/>
    <s v="Yes"/>
    <m/>
    <s v="Yes"/>
    <m/>
    <s v="N/A"/>
    <m/>
    <s v="Yes"/>
    <m/>
    <s v="Yes"/>
    <m/>
    <s v="New"/>
    <s v="infasco"/>
    <n v="106.94"/>
    <n v="106.94"/>
  </r>
  <r>
    <x v="29"/>
    <x v="5"/>
    <n v="11549170"/>
    <n v="717349"/>
    <n v="36"/>
    <n v="400"/>
    <n v="14400"/>
    <n v="292"/>
    <s v="Yes"/>
    <m/>
    <s v="Yes"/>
    <m/>
    <s v="Yes"/>
    <m/>
    <s v="Yes"/>
    <m/>
    <s v="N/A"/>
    <m/>
    <s v="Yes"/>
    <m/>
    <s v="Yes"/>
    <m/>
    <s v="New"/>
    <s v="infasco"/>
    <n v="106.94"/>
    <n v="106.94"/>
  </r>
  <r>
    <x v="29"/>
    <x v="5"/>
    <n v="11549170"/>
    <n v="717347"/>
    <n v="36"/>
    <n v="400"/>
    <n v="14400"/>
    <n v="292"/>
    <s v="Yes"/>
    <m/>
    <s v="Yes"/>
    <m/>
    <s v="Yes"/>
    <m/>
    <s v="Yes"/>
    <m/>
    <s v="N/A"/>
    <m/>
    <s v="Yes"/>
    <m/>
    <s v="Yes"/>
    <m/>
    <s v="New"/>
    <s v="infasco"/>
    <n v="106.94"/>
    <n v="106.94"/>
  </r>
  <r>
    <x v="29"/>
    <x v="5"/>
    <n v="11549170"/>
    <n v="717354"/>
    <n v="36"/>
    <n v="400"/>
    <n v="14400"/>
    <n v="292"/>
    <s v="Yes"/>
    <m/>
    <s v="Yes"/>
    <m/>
    <s v="Yes"/>
    <m/>
    <s v="Yes"/>
    <m/>
    <s v="N/A"/>
    <m/>
    <s v="Yes"/>
    <m/>
    <s v="Yes"/>
    <m/>
    <s v="New"/>
    <s v="infasco"/>
    <n v="106.94"/>
    <n v="106.94"/>
  </r>
  <r>
    <x v="29"/>
    <x v="11"/>
    <s v="11546437-MY-AK"/>
    <n v="717780"/>
    <n v="64"/>
    <n v="1500"/>
    <n v="96000"/>
    <n v="275"/>
    <s v="Yes"/>
    <m/>
    <s v="Yes"/>
    <m/>
    <s v="Yes"/>
    <m/>
    <s v="Yes"/>
    <m/>
    <s v="N/A"/>
    <m/>
    <s v="Yes"/>
    <m/>
    <s v="Yes"/>
    <m/>
    <s v="New"/>
    <s v="infasco"/>
    <n v="106.94"/>
    <n v="106.94"/>
  </r>
  <r>
    <x v="29"/>
    <x v="11"/>
    <s v="11546437-MY-AK"/>
    <n v="718010"/>
    <n v="10"/>
    <n v="1500"/>
    <n v="15000"/>
    <n v="275"/>
    <s v="Yes"/>
    <m/>
    <s v="Yes"/>
    <m/>
    <s v="Yes"/>
    <m/>
    <s v="Yes"/>
    <m/>
    <s v="N/A"/>
    <m/>
    <s v="Yes"/>
    <m/>
    <s v="Yes"/>
    <m/>
    <s v="Re-certified"/>
    <s v="infasco"/>
    <n v="0"/>
    <n v="0"/>
  </r>
  <r>
    <x v="29"/>
    <x v="8"/>
    <s v="11546368-MY-AK"/>
    <n v="717513"/>
    <n v="20"/>
    <n v="450"/>
    <n v="9000"/>
    <n v="275"/>
    <s v="Yes"/>
    <m/>
    <s v="Yes"/>
    <m/>
    <s v="Yes"/>
    <m/>
    <s v="Yes"/>
    <m/>
    <s v="N/A"/>
    <m/>
    <s v="Yes"/>
    <m/>
    <s v="Yes"/>
    <m/>
    <s v="New"/>
    <s v="infasco"/>
    <n v="106.94"/>
    <n v="106.94"/>
  </r>
  <r>
    <x v="29"/>
    <x v="8"/>
    <n v="11549170"/>
    <n v="717368"/>
    <n v="36"/>
    <n v="400"/>
    <n v="14400"/>
    <n v="275"/>
    <s v="Yes"/>
    <m/>
    <s v="Yes"/>
    <m/>
    <s v="Yes"/>
    <m/>
    <s v="Yes"/>
    <m/>
    <s v="N/A"/>
    <m/>
    <s v="Yes"/>
    <m/>
    <s v="Yes"/>
    <m/>
    <s v="New"/>
    <s v="infasco"/>
    <n v="106.94"/>
    <n v="106.94"/>
  </r>
  <r>
    <x v="29"/>
    <x v="8"/>
    <n v="11549170"/>
    <n v="717355"/>
    <n v="30"/>
    <n v="400"/>
    <n v="12000"/>
    <n v="275"/>
    <s v="Yes"/>
    <m/>
    <s v="Yes"/>
    <m/>
    <s v="Yes"/>
    <m/>
    <s v="Yes"/>
    <m/>
    <s v="N/A"/>
    <m/>
    <s v="Yes"/>
    <m/>
    <s v="Yes"/>
    <m/>
    <s v="Re-certified"/>
    <s v="infasco"/>
    <n v="0"/>
    <n v="0"/>
  </r>
  <r>
    <x v="29"/>
    <x v="6"/>
    <s v="W520113-S441"/>
    <n v="717234"/>
    <n v="34"/>
    <n v="1050"/>
    <n v="35700"/>
    <n v="275"/>
    <s v="Yes"/>
    <m/>
    <s v="Yes"/>
    <m/>
    <s v="Yes"/>
    <m/>
    <s v="Yes"/>
    <m/>
    <s v="N/A"/>
    <m/>
    <s v="Yes"/>
    <m/>
    <s v="Yes"/>
    <m/>
    <s v="New"/>
    <s v="infasco"/>
    <n v="106.94"/>
    <n v="106.94"/>
  </r>
  <r>
    <x v="29"/>
    <x v="6"/>
    <s v="11546437-MY-AK"/>
    <n v="718008"/>
    <n v="12"/>
    <n v="1500"/>
    <n v="18000"/>
    <n v="275"/>
    <s v="Yes"/>
    <m/>
    <s v="Yes"/>
    <m/>
    <s v="Yes"/>
    <m/>
    <s v="Yes"/>
    <m/>
    <s v="N/A"/>
    <m/>
    <s v="Yes"/>
    <m/>
    <s v="Yes"/>
    <m/>
    <s v="Re-certified"/>
    <s v="infasco"/>
    <n v="0"/>
    <n v="0"/>
  </r>
  <r>
    <x v="29"/>
    <x v="12"/>
    <s v="11546368-MY-AK"/>
    <n v="717025"/>
    <n v="15"/>
    <n v="450"/>
    <n v="6750"/>
    <n v="275"/>
    <s v="Yes"/>
    <m/>
    <s v="Yes"/>
    <m/>
    <s v="Yes"/>
    <m/>
    <s v="Yes"/>
    <m/>
    <s v="N/A"/>
    <m/>
    <s v="Yes"/>
    <m/>
    <s v="Yes"/>
    <m/>
    <s v="New"/>
    <s v="infasco"/>
    <n v="106.94"/>
    <n v="106.94"/>
  </r>
  <r>
    <x v="29"/>
    <x v="12"/>
    <n v="11549170"/>
    <n v="717350"/>
    <n v="36"/>
    <n v="400"/>
    <n v="14400"/>
    <n v="275"/>
    <s v="Yes"/>
    <m/>
    <s v="Yes"/>
    <m/>
    <s v="Yes"/>
    <m/>
    <s v="Yes"/>
    <m/>
    <s v="N/A"/>
    <m/>
    <s v="Yes"/>
    <m/>
    <s v="Yes"/>
    <m/>
    <s v="New"/>
    <s v="infasco"/>
    <n v="106.94"/>
    <n v="106.94"/>
  </r>
  <r>
    <x v="29"/>
    <x v="12"/>
    <n v="11549170"/>
    <n v="717367"/>
    <n v="36"/>
    <n v="400"/>
    <n v="14400"/>
    <n v="275"/>
    <s v="Yes"/>
    <m/>
    <s v="Yes"/>
    <m/>
    <s v="Yes"/>
    <m/>
    <s v="Yes"/>
    <m/>
    <s v="N/A"/>
    <m/>
    <s v="Yes"/>
    <m/>
    <s v="Yes"/>
    <m/>
    <s v="New"/>
    <s v="infasco"/>
    <n v="106.94"/>
    <n v="106.94"/>
  </r>
  <r>
    <x v="29"/>
    <x v="10"/>
    <s v="11514596-CA-IN"/>
    <n v="716783"/>
    <n v="10"/>
    <n v="2500"/>
    <n v="25000"/>
    <n v="275"/>
    <s v="Yes"/>
    <m/>
    <s v="Yes"/>
    <m/>
    <s v="Yes"/>
    <m/>
    <s v="Yes"/>
    <m/>
    <s v="N/A"/>
    <m/>
    <s v="Yes"/>
    <m/>
    <s v="Yes"/>
    <m/>
    <s v="New"/>
    <s v="infasco"/>
    <n v="213.88"/>
    <n v="213.88"/>
  </r>
  <r>
    <x v="29"/>
    <x v="10"/>
    <s v="11546437-MY-AK"/>
    <n v="717770"/>
    <n v="46"/>
    <n v="1500"/>
    <n v="69000"/>
    <n v="275"/>
    <s v="Yes"/>
    <m/>
    <s v="Yes"/>
    <m/>
    <s v="Yes"/>
    <m/>
    <s v="Yes"/>
    <m/>
    <s v="N/A"/>
    <m/>
    <s v="Yes"/>
    <m/>
    <s v="Yes"/>
    <m/>
    <s v="Re-certified"/>
    <s v="infasco"/>
    <n v="0"/>
    <n v="0"/>
  </r>
  <r>
    <x v="29"/>
    <x v="20"/>
    <s v="06101831-A"/>
    <n v="717393"/>
    <n v="38"/>
    <n v="1000"/>
    <n v="38000"/>
    <n v="280"/>
    <s v="Yes"/>
    <m/>
    <s v="Yes"/>
    <m/>
    <s v="Yes"/>
    <m/>
    <s v="Yes"/>
    <m/>
    <s v="N/A"/>
    <m/>
    <s v="Yes"/>
    <m/>
    <s v="Yes"/>
    <m/>
    <s v="New"/>
    <s v="infasco"/>
    <n v="106.94"/>
    <n v="106.94"/>
  </r>
  <r>
    <x v="29"/>
    <x v="23"/>
    <s v="11546437-MY-AK"/>
    <n v="717771"/>
    <n v="60"/>
    <n v="1500"/>
    <n v="90000"/>
    <n v="280"/>
    <s v="Yes"/>
    <m/>
    <s v="Yes"/>
    <m/>
    <s v="Yes"/>
    <m/>
    <s v="Yes"/>
    <m/>
    <s v="N/A"/>
    <m/>
    <s v="Yes"/>
    <m/>
    <s v="Yes"/>
    <m/>
    <s v="New"/>
    <s v="infasco"/>
    <n v="106.94"/>
    <n v="106.94"/>
  </r>
  <r>
    <x v="29"/>
    <x v="23"/>
    <s v="11546437-MY-AK"/>
    <n v="718009"/>
    <n v="36"/>
    <n v="1500"/>
    <n v="54000"/>
    <n v="280"/>
    <s v="Yes"/>
    <m/>
    <s v="Yes"/>
    <m/>
    <s v="Yes"/>
    <m/>
    <s v="Yes"/>
    <m/>
    <s v="N/A"/>
    <m/>
    <s v="Yes"/>
    <m/>
    <s v="Yes"/>
    <m/>
    <s v="Re-certified"/>
    <s v="infasco"/>
    <n v="0"/>
    <n v="0"/>
  </r>
  <r>
    <x v="29"/>
    <x v="21"/>
    <s v="11546437-MY-AK"/>
    <n v="717773"/>
    <n v="64"/>
    <n v="1500"/>
    <n v="96000"/>
    <n v="280"/>
    <s v="Yes"/>
    <m/>
    <s v="Yes"/>
    <m/>
    <s v="Yes"/>
    <m/>
    <s v="Yes"/>
    <m/>
    <s v="N/A"/>
    <m/>
    <s v="Yes"/>
    <m/>
    <s v="Yes"/>
    <m/>
    <s v="New"/>
    <s v="infasco"/>
    <n v="106.94"/>
    <n v="106.94"/>
  </r>
  <r>
    <x v="29"/>
    <x v="21"/>
    <s v="11546437-MY-AK"/>
    <n v="717768"/>
    <n v="57"/>
    <n v="1500"/>
    <n v="85500"/>
    <n v="280"/>
    <s v="Yes"/>
    <m/>
    <s v="Yes"/>
    <m/>
    <s v="Yes"/>
    <m/>
    <s v="Yes"/>
    <m/>
    <s v="N/A"/>
    <m/>
    <s v="Yes"/>
    <m/>
    <s v="Yes"/>
    <m/>
    <s v="New"/>
    <s v="infasco"/>
    <n v="106.94"/>
    <n v="106.94"/>
  </r>
  <r>
    <x v="29"/>
    <x v="21"/>
    <s v="11546437-MY-AK"/>
    <n v="718007"/>
    <n v="12"/>
    <n v="1500"/>
    <n v="18000"/>
    <n v="280"/>
    <s v="Yes"/>
    <m/>
    <s v="Yes"/>
    <m/>
    <s v="Yes"/>
    <m/>
    <s v="Yes"/>
    <m/>
    <s v="N/A"/>
    <m/>
    <s v="Yes"/>
    <m/>
    <s v="Yes"/>
    <m/>
    <s v="Re-certified"/>
    <s v="infasco"/>
    <n v="0"/>
    <n v="0"/>
  </r>
  <r>
    <x v="29"/>
    <x v="24"/>
    <s v="06101736-A"/>
    <n v="717765"/>
    <n v="19"/>
    <n v="3200"/>
    <n v="60800"/>
    <n v="280"/>
    <s v="Yes"/>
    <m/>
    <s v="Yes"/>
    <m/>
    <s v="Yes"/>
    <m/>
    <s v="Yes"/>
    <m/>
    <s v="N/A"/>
    <m/>
    <s v="Yes"/>
    <m/>
    <s v="Yes"/>
    <m/>
    <s v="Re-certified"/>
    <s v="infasco"/>
    <n v="0"/>
    <n v="0"/>
  </r>
  <r>
    <x v="29"/>
    <x v="25"/>
    <s v="W520113-S441"/>
    <n v="717235"/>
    <n v="30"/>
    <n v="1050"/>
    <n v="31500"/>
    <n v="280"/>
    <s v="Yes"/>
    <m/>
    <s v="Yes"/>
    <m/>
    <s v="Yes"/>
    <m/>
    <s v="Yes"/>
    <m/>
    <s v="N/A"/>
    <m/>
    <s v="Yes"/>
    <m/>
    <s v="Yes"/>
    <m/>
    <s v="New"/>
    <s v="infasco"/>
    <n v="106.94"/>
    <n v="106.94"/>
  </r>
  <r>
    <x v="29"/>
    <x v="9"/>
    <n v="11546389"/>
    <n v="718040"/>
    <n v="36"/>
    <n v="4500"/>
    <n v="162000"/>
    <n v="275"/>
    <s v="Yes"/>
    <m/>
    <s v="Yes"/>
    <m/>
    <s v="Yes"/>
    <m/>
    <s v="Yes"/>
    <m/>
    <s v="N/A"/>
    <m/>
    <s v="Yes"/>
    <m/>
    <s v="Yes"/>
    <m/>
    <s v="New"/>
    <s v="infasco"/>
    <n v="106.94"/>
    <n v="106.94"/>
  </r>
  <r>
    <x v="29"/>
    <x v="19"/>
    <s v="11549168-CA-IN"/>
    <n v="711867"/>
    <n v="23"/>
    <n v="1000"/>
    <n v="23000"/>
    <n v="285"/>
    <s v="Yes"/>
    <m/>
    <s v="Yes"/>
    <m/>
    <s v="Yes"/>
    <m/>
    <s v="Yes"/>
    <m/>
    <s v="N/A"/>
    <m/>
    <s v="Yes"/>
    <m/>
    <s v="Yes"/>
    <m/>
    <s v="New"/>
    <s v="infasco"/>
    <n v="213.88"/>
    <n v="213.88"/>
  </r>
  <r>
    <x v="29"/>
    <x v="19"/>
    <s v="11549168-CA-IN"/>
    <n v="707555"/>
    <n v="3"/>
    <n v="1000"/>
    <n v="3000"/>
    <n v="285"/>
    <s v="Yes"/>
    <m/>
    <s v="Yes"/>
    <m/>
    <s v="Yes"/>
    <m/>
    <s v="Yes"/>
    <m/>
    <s v="N/A"/>
    <m/>
    <s v="Yes"/>
    <m/>
    <s v="Yes"/>
    <m/>
    <s v="Re-certified"/>
    <s v="infasco"/>
    <n v="0"/>
    <n v="0"/>
  </r>
  <r>
    <x v="29"/>
    <x v="15"/>
    <s v="W20-1028-010NA"/>
    <n v="710203"/>
    <n v="1"/>
    <n v="11950"/>
    <n v="11950"/>
    <n v="157"/>
    <s v="Yes"/>
    <m/>
    <s v="Yes"/>
    <m/>
    <s v="Yes"/>
    <m/>
    <s v="Yes"/>
    <m/>
    <s v="N/A"/>
    <m/>
    <s v="Yes"/>
    <m/>
    <s v="Yes"/>
    <m/>
    <s v="New"/>
    <s v="infasco"/>
    <n v="143.4"/>
    <n v="143.4"/>
  </r>
  <r>
    <x v="29"/>
    <x v="16"/>
    <s v="06509967AA"/>
    <n v="717791"/>
    <n v="20"/>
    <n v="825"/>
    <n v="16500"/>
    <s v="279+391"/>
    <s v="Yes"/>
    <m/>
    <s v="Yes"/>
    <m/>
    <s v="Yes"/>
    <m/>
    <s v="Yes"/>
    <m/>
    <s v="N/A"/>
    <m/>
    <s v="Yes"/>
    <m/>
    <s v="Yes"/>
    <m/>
    <s v="New"/>
    <s v="infasco"/>
    <n v="280.16000000000003"/>
    <n v="280.16000000000003"/>
  </r>
  <r>
    <x v="29"/>
    <x v="16"/>
    <s v="11546370-IN-PN"/>
    <n v="717816"/>
    <n v="28"/>
    <n v="220"/>
    <n v="6160"/>
    <s v="279+391"/>
    <s v="Yes"/>
    <m/>
    <s v="Yes"/>
    <m/>
    <s v="Yes"/>
    <m/>
    <s v="Yes"/>
    <m/>
    <s v="N/A"/>
    <m/>
    <s v="Yes"/>
    <m/>
    <s v="Yes"/>
    <m/>
    <s v="New"/>
    <s v="infasco"/>
    <n v="106.94"/>
    <n v="106.94"/>
  </r>
  <r>
    <x v="29"/>
    <x v="16"/>
    <s v="06104388AA"/>
    <n v="718438"/>
    <n v="31"/>
    <n v="660"/>
    <n v="20460"/>
    <s v="279+391"/>
    <s v="Yes"/>
    <m/>
    <s v="Yes"/>
    <m/>
    <s v="Yes"/>
    <m/>
    <s v="Yes"/>
    <m/>
    <s v="N/A"/>
    <m/>
    <s v="Yes"/>
    <m/>
    <s v="Yes"/>
    <m/>
    <s v="New"/>
    <s v="infasco"/>
    <n v="135.08000000000001"/>
    <n v="135.08000000000001"/>
  </r>
  <r>
    <x v="29"/>
    <x v="16"/>
    <s v="06513555AA"/>
    <n v="718442"/>
    <n v="14"/>
    <n v="440"/>
    <n v="6160"/>
    <s v="279+391"/>
    <s v="Yes"/>
    <m/>
    <s v="Yes"/>
    <m/>
    <s v="Yes"/>
    <m/>
    <s v="Yes"/>
    <m/>
    <s v="N/A"/>
    <m/>
    <s v="Yes"/>
    <m/>
    <s v="Yes"/>
    <m/>
    <s v="New"/>
    <s v="infasco"/>
    <n v="106.94"/>
    <n v="106.94"/>
  </r>
  <r>
    <x v="29"/>
    <x v="16"/>
    <s v="06512349AA"/>
    <n v="717797"/>
    <n v="19"/>
    <n v="400"/>
    <n v="7600"/>
    <s v="279+391"/>
    <s v="Yes"/>
    <m/>
    <s v="Yes"/>
    <m/>
    <s v="Yes"/>
    <m/>
    <s v="Yes"/>
    <m/>
    <s v="N/A"/>
    <m/>
    <s v="Yes"/>
    <m/>
    <s v="Yes"/>
    <m/>
    <s v="New"/>
    <s v="infasco"/>
    <n v="135.07999999999998"/>
    <n v="135.07999999999998"/>
  </r>
  <r>
    <x v="29"/>
    <x v="16"/>
    <s v="W20-1028-010NA"/>
    <n v="710204"/>
    <n v="1"/>
    <n v="21750"/>
    <n v="21750"/>
    <s v="279+391"/>
    <s v="Yes"/>
    <m/>
    <s v="Yes"/>
    <m/>
    <s v="Yes"/>
    <m/>
    <s v="Yes"/>
    <m/>
    <s v="N/A"/>
    <m/>
    <s v="Yes"/>
    <m/>
    <s v="Yes"/>
    <m/>
    <s v="Re-certified"/>
    <s v="infasco"/>
    <n v="261"/>
    <n v="261"/>
  </r>
  <r>
    <x v="29"/>
    <x v="17"/>
    <s v="06104388AA"/>
    <n v="718439"/>
    <n v="30"/>
    <n v="660"/>
    <n v="19800"/>
    <s v="190+268"/>
    <s v="Yes"/>
    <m/>
    <s v="Yes"/>
    <m/>
    <s v="Yes"/>
    <m/>
    <s v="Yes"/>
    <m/>
    <s v="N/A"/>
    <m/>
    <s v="Yes"/>
    <m/>
    <s v="Yes"/>
    <m/>
    <s v="New"/>
    <s v="infasco"/>
    <n v="135.08000000000001"/>
    <n v="135.08000000000001"/>
  </r>
  <r>
    <x v="29"/>
    <x v="17"/>
    <s v="06504080-T"/>
    <n v="717844"/>
    <n v="24"/>
    <n v="6000"/>
    <n v="144000"/>
    <s v="190+268"/>
    <s v="Yes"/>
    <m/>
    <s v="Yes"/>
    <m/>
    <s v="Yes"/>
    <m/>
    <s v="Yes"/>
    <m/>
    <s v="N/A"/>
    <m/>
    <s v="Yes"/>
    <m/>
    <s v="Yes"/>
    <m/>
    <s v="New"/>
    <s v="infasco"/>
    <n v="135.08000000000001"/>
    <n v="135.08000000000001"/>
  </r>
  <r>
    <x v="29"/>
    <x v="17"/>
    <s v="06104388AA"/>
    <n v="718437"/>
    <n v="30"/>
    <n v="660"/>
    <n v="19800"/>
    <s v="190+268"/>
    <s v="Yes"/>
    <m/>
    <s v="Yes"/>
    <m/>
    <s v="Yes"/>
    <m/>
    <s v="Yes"/>
    <m/>
    <s v="N/A"/>
    <m/>
    <s v="Yes"/>
    <m/>
    <s v="Yes"/>
    <m/>
    <s v="New"/>
    <s v="infasco"/>
    <n v="135.08000000000001"/>
    <n v="135.08000000000001"/>
  </r>
  <r>
    <x v="29"/>
    <x v="17"/>
    <s v="06504080-T"/>
    <n v="717860"/>
    <n v="32"/>
    <n v="6000"/>
    <n v="192000"/>
    <s v="190+268"/>
    <s v="Yes"/>
    <m/>
    <s v="Yes"/>
    <m/>
    <s v="Yes"/>
    <m/>
    <s v="Yes"/>
    <m/>
    <s v="N/A"/>
    <m/>
    <s v="Yes"/>
    <m/>
    <s v="Yes"/>
    <m/>
    <s v="New"/>
    <s v="infasco"/>
    <n v="135.08000000000001"/>
    <n v="135.08000000000001"/>
  </r>
  <r>
    <x v="29"/>
    <x v="17"/>
    <s v="06509967AA"/>
    <n v="718514"/>
    <n v="22"/>
    <n v="825"/>
    <n v="18150"/>
    <s v="190+268"/>
    <s v="Yes"/>
    <m/>
    <s v="Yes"/>
    <m/>
    <s v="Yes"/>
    <m/>
    <s v="Yes"/>
    <m/>
    <s v="N/A"/>
    <m/>
    <s v="Yes"/>
    <m/>
    <s v="Yes"/>
    <m/>
    <s v="New"/>
    <s v="infasco"/>
    <n v="280.16000000000003"/>
    <n v="280.16000000000003"/>
  </r>
  <r>
    <x v="29"/>
    <x v="17"/>
    <n v="11611960"/>
    <n v="717850"/>
    <n v="18"/>
    <n v="8000"/>
    <n v="144000"/>
    <s v="190+268"/>
    <s v="Yes"/>
    <m/>
    <s v="Yes"/>
    <m/>
    <s v="Yes"/>
    <m/>
    <s v="Yes"/>
    <m/>
    <s v="N/A"/>
    <m/>
    <s v="Yes"/>
    <m/>
    <s v="Yes"/>
    <m/>
    <s v="New"/>
    <s v="infasco"/>
    <n v="135.07999999999998"/>
    <n v="135.07999999999998"/>
  </r>
  <r>
    <x v="29"/>
    <x v="17"/>
    <s v="11502717-TH-TC"/>
    <n v="717544"/>
    <n v="36"/>
    <n v="1300"/>
    <n v="46800"/>
    <s v="190+268"/>
    <s v="Yes"/>
    <m/>
    <s v="Yes"/>
    <m/>
    <s v="Yes"/>
    <m/>
    <s v="Yes"/>
    <m/>
    <s v="N/A"/>
    <m/>
    <s v="Yes"/>
    <m/>
    <s v="Yes"/>
    <m/>
    <s v="New"/>
    <s v="infasco"/>
    <n v="129.44999999999999"/>
    <n v="129.44999999999999"/>
  </r>
  <r>
    <x v="29"/>
    <x v="17"/>
    <s v="06509967AA"/>
    <n v="718513"/>
    <n v="12"/>
    <n v="825"/>
    <n v="9900"/>
    <s v="190+268"/>
    <s v="Yes"/>
    <m/>
    <s v="Yes"/>
    <m/>
    <s v="Yes"/>
    <m/>
    <s v="Yes"/>
    <m/>
    <s v="N/A"/>
    <m/>
    <s v="Yes"/>
    <m/>
    <s v="Yes"/>
    <m/>
    <s v="Re-certified"/>
    <s v="infasco"/>
    <n v="0"/>
    <n v="0"/>
  </r>
  <r>
    <x v="29"/>
    <x v="32"/>
    <s v="06104388AA"/>
    <n v="718440"/>
    <n v="27"/>
    <n v="660"/>
    <n v="17820"/>
    <s v="011+252"/>
    <s v="Yes"/>
    <m/>
    <s v="Yes"/>
    <m/>
    <s v="Yes"/>
    <m/>
    <s v="Yes"/>
    <m/>
    <s v="N/A"/>
    <m/>
    <s v="Yes"/>
    <m/>
    <s v="Yes"/>
    <m/>
    <s v="New"/>
    <s v="infasco"/>
    <n v="135.08000000000001"/>
    <n v="135.08000000000001"/>
  </r>
  <r>
    <x v="29"/>
    <x v="32"/>
    <s v="11546370-IN-PN"/>
    <n v="717671"/>
    <n v="36"/>
    <n v="220"/>
    <n v="7920"/>
    <s v="011+252"/>
    <s v="Yes"/>
    <m/>
    <s v="Yes"/>
    <m/>
    <s v="Yes"/>
    <m/>
    <s v="Yes"/>
    <m/>
    <s v="N/A"/>
    <m/>
    <s v="Yes"/>
    <m/>
    <s v="Yes"/>
    <m/>
    <s v="New"/>
    <s v="infasco"/>
    <n v="106.94"/>
    <n v="106.94"/>
  </r>
  <r>
    <x v="29"/>
    <x v="32"/>
    <s v="11546370-IN-PN"/>
    <n v="717818"/>
    <n v="37"/>
    <n v="220"/>
    <n v="8140"/>
    <s v="011+252"/>
    <s v="Yes"/>
    <m/>
    <s v="Yes"/>
    <m/>
    <s v="Yes"/>
    <m/>
    <s v="Yes"/>
    <m/>
    <s v="N/A"/>
    <m/>
    <s v="Yes"/>
    <m/>
    <s v="Yes"/>
    <m/>
    <s v="New"/>
    <s v="infasco"/>
    <n v="106.94"/>
    <n v="106.94"/>
  </r>
  <r>
    <x v="29"/>
    <x v="32"/>
    <s v="06513555AA"/>
    <n v="718441"/>
    <n v="31"/>
    <n v="440"/>
    <n v="13640"/>
    <s v="011+252"/>
    <s v="Yes"/>
    <m/>
    <s v="Yes"/>
    <m/>
    <s v="Yes"/>
    <m/>
    <s v="Yes"/>
    <m/>
    <s v="N/A"/>
    <m/>
    <s v="Yes"/>
    <m/>
    <s v="Yes"/>
    <m/>
    <s v="New"/>
    <s v="infasco"/>
    <n v="106.94"/>
    <n v="106.94"/>
  </r>
  <r>
    <x v="29"/>
    <x v="32"/>
    <s v="06512349AA"/>
    <n v="717796"/>
    <n v="30"/>
    <n v="400"/>
    <n v="12000"/>
    <s v="011+252"/>
    <s v="Yes"/>
    <m/>
    <s v="Yes"/>
    <m/>
    <s v="Yes"/>
    <m/>
    <s v="Yes"/>
    <m/>
    <s v="N/A"/>
    <m/>
    <s v="Yes"/>
    <m/>
    <s v="Yes"/>
    <m/>
    <s v="New"/>
    <s v="infasco"/>
    <n v="135.07999999999998"/>
    <n v="135.07999999999998"/>
  </r>
  <r>
    <x v="30"/>
    <x v="19"/>
    <s v="11549168-CA-IN"/>
    <n v="707555"/>
    <n v="38"/>
    <n v="1000"/>
    <n v="38000"/>
    <n v="285"/>
    <s v="Yes"/>
    <m/>
    <s v="Yes"/>
    <m/>
    <s v="Yes"/>
    <m/>
    <s v="Yes"/>
    <m/>
    <s v="N/A"/>
    <m/>
    <s v="Yes"/>
    <m/>
    <s v="Yes"/>
    <m/>
    <s v="New"/>
    <s v="infasco"/>
    <n v="213.88"/>
    <n v="213.88"/>
  </r>
  <r>
    <x v="30"/>
    <x v="10"/>
    <s v="11546437-MY-AK"/>
    <n v="717770"/>
    <n v="26"/>
    <n v="1500"/>
    <n v="39000"/>
    <n v="275"/>
    <s v="Yes"/>
    <m/>
    <s v="Yes"/>
    <m/>
    <s v="Yes"/>
    <m/>
    <s v="Yes"/>
    <m/>
    <s v="N/A"/>
    <m/>
    <s v="Yes"/>
    <m/>
    <s v="Yes"/>
    <m/>
    <s v="New"/>
    <s v="infasco"/>
    <n v="106.94"/>
    <n v="106.94"/>
  </r>
  <r>
    <x v="30"/>
    <x v="10"/>
    <s v="11546437-MY-AK"/>
    <n v="718015"/>
    <n v="30"/>
    <n v="1500"/>
    <n v="45000"/>
    <n v="275"/>
    <s v="Yes"/>
    <m/>
    <s v="Yes"/>
    <m/>
    <s v="Yes"/>
    <m/>
    <s v="Yes"/>
    <m/>
    <s v="N/A"/>
    <m/>
    <s v="Yes"/>
    <m/>
    <s v="Yes"/>
    <m/>
    <s v="Re-certified"/>
    <s v="infasco"/>
    <n v="0"/>
    <n v="0"/>
  </r>
  <r>
    <x v="30"/>
    <x v="11"/>
    <s v="11546437-MY-AK"/>
    <n v="718010"/>
    <n v="26"/>
    <n v="1500"/>
    <n v="39000"/>
    <n v="275"/>
    <s v="Yes"/>
    <m/>
    <s v="Yes"/>
    <m/>
    <s v="Yes"/>
    <m/>
    <s v="Yes"/>
    <m/>
    <s v="N/A"/>
    <m/>
    <s v="Yes"/>
    <m/>
    <s v="Yes"/>
    <m/>
    <s v="New"/>
    <s v="infasco"/>
    <n v="106.94"/>
    <n v="106.94"/>
  </r>
  <r>
    <x v="30"/>
    <x v="11"/>
    <s v="11546437-MY-AK"/>
    <n v="718012"/>
    <n v="54"/>
    <n v="1500"/>
    <n v="81000"/>
    <n v="275"/>
    <s v="Yes"/>
    <m/>
    <s v="Yes"/>
    <m/>
    <s v="Yes"/>
    <m/>
    <s v="Yes"/>
    <m/>
    <s v="N/A"/>
    <m/>
    <s v="Yes"/>
    <m/>
    <s v="Yes"/>
    <m/>
    <s v="Re-certified"/>
    <s v="infasco"/>
    <n v="0"/>
    <n v="0"/>
  </r>
  <r>
    <x v="30"/>
    <x v="9"/>
    <n v="11546389"/>
    <n v="718037"/>
    <n v="9"/>
    <n v="4500"/>
    <n v="40500"/>
    <n v="275"/>
    <s v="Yes"/>
    <m/>
    <s v="Yes"/>
    <m/>
    <s v="Yes"/>
    <m/>
    <s v="Yes"/>
    <m/>
    <s v="N/A"/>
    <m/>
    <s v="Yes"/>
    <m/>
    <s v="Yes"/>
    <m/>
    <s v="New"/>
    <s v="infasco"/>
    <n v="106.94"/>
    <n v="106.94"/>
  </r>
  <r>
    <x v="30"/>
    <x v="9"/>
    <n v="11546389"/>
    <n v="718039"/>
    <n v="30"/>
    <n v="4500"/>
    <n v="135000"/>
    <n v="275"/>
    <s v="Yes"/>
    <m/>
    <s v="Yes"/>
    <m/>
    <s v="Yes"/>
    <m/>
    <s v="Yes"/>
    <m/>
    <s v="N/A"/>
    <m/>
    <s v="Yes"/>
    <m/>
    <s v="Yes"/>
    <m/>
    <s v="Re-certified"/>
    <s v="infasco"/>
    <n v="0"/>
    <n v="0"/>
  </r>
  <r>
    <x v="30"/>
    <x v="8"/>
    <n v="11549170"/>
    <n v="717355"/>
    <n v="6"/>
    <n v="400"/>
    <n v="2400"/>
    <n v="275"/>
    <s v="Yes"/>
    <m/>
    <s v="Yes"/>
    <m/>
    <s v="Yes"/>
    <m/>
    <s v="Yes"/>
    <m/>
    <s v="N/A"/>
    <m/>
    <s v="Yes"/>
    <m/>
    <s v="Yes"/>
    <m/>
    <s v="New"/>
    <s v="infasco"/>
    <n v="106.94"/>
    <n v="106.94"/>
  </r>
  <r>
    <x v="30"/>
    <x v="8"/>
    <n v="11549170"/>
    <n v="717364"/>
    <n v="50"/>
    <n v="400"/>
    <n v="20000"/>
    <n v="275"/>
    <s v="Yes"/>
    <m/>
    <s v="Yes"/>
    <m/>
    <s v="Yes"/>
    <m/>
    <s v="Yes"/>
    <m/>
    <s v="N/A"/>
    <m/>
    <s v="Yes"/>
    <m/>
    <s v="Yes"/>
    <m/>
    <s v="New"/>
    <s v="infasco"/>
    <n v="106.94"/>
    <n v="106.94"/>
  </r>
  <r>
    <x v="30"/>
    <x v="8"/>
    <s v="11546367-MY-AK"/>
    <n v="718077"/>
    <n v="30"/>
    <n v="700"/>
    <n v="21000"/>
    <n v="275"/>
    <s v="Yes"/>
    <m/>
    <s v="Yes"/>
    <m/>
    <s v="Yes"/>
    <m/>
    <s v="Yes"/>
    <m/>
    <s v="N/A"/>
    <m/>
    <s v="Yes"/>
    <m/>
    <s v="Yes"/>
    <m/>
    <s v="Re-certified"/>
    <s v="infasco"/>
    <n v="0"/>
    <n v="0"/>
  </r>
  <r>
    <x v="30"/>
    <x v="6"/>
    <s v="11546437-MY-AK"/>
    <n v="718008"/>
    <n v="46"/>
    <n v="1500"/>
    <n v="69000"/>
    <n v="275"/>
    <s v="Yes"/>
    <m/>
    <s v="Yes"/>
    <m/>
    <s v="Yes"/>
    <m/>
    <s v="Yes"/>
    <m/>
    <s v="N/A"/>
    <m/>
    <s v="Yes"/>
    <m/>
    <s v="Yes"/>
    <m/>
    <s v="New"/>
    <s v="infasco"/>
    <n v="106.94"/>
    <n v="106.94"/>
  </r>
  <r>
    <x v="30"/>
    <x v="12"/>
    <n v="11549170"/>
    <n v="716921"/>
    <n v="43"/>
    <n v="400"/>
    <n v="17200"/>
    <n v="275"/>
    <s v="Yes"/>
    <m/>
    <s v="Yes"/>
    <m/>
    <s v="Yes"/>
    <m/>
    <s v="Yes"/>
    <m/>
    <s v="N/A"/>
    <m/>
    <s v="Yes"/>
    <m/>
    <s v="Yes"/>
    <m/>
    <s v="New"/>
    <s v="infasco"/>
    <n v="106.94"/>
    <n v="106.94"/>
  </r>
  <r>
    <x v="30"/>
    <x v="12"/>
    <s v="W520113-S440"/>
    <n v="717233"/>
    <n v="41"/>
    <n v="1050"/>
    <n v="43050"/>
    <n v="275"/>
    <s v="Yes"/>
    <m/>
    <s v="Yes"/>
    <m/>
    <s v="Yes"/>
    <m/>
    <s v="Yes"/>
    <m/>
    <s v="N/A"/>
    <m/>
    <s v="Yes"/>
    <m/>
    <s v="Yes"/>
    <m/>
    <s v="New"/>
    <s v="infasco"/>
    <n v="106.94"/>
    <n v="106.94"/>
  </r>
  <r>
    <x v="30"/>
    <x v="30"/>
    <n v="11549170"/>
    <n v="716920"/>
    <n v="49"/>
    <n v="400"/>
    <n v="19600"/>
    <n v="290"/>
    <s v="Yes"/>
    <m/>
    <s v="Yes"/>
    <m/>
    <s v="Yes"/>
    <m/>
    <s v="Yes"/>
    <m/>
    <s v="N/A"/>
    <m/>
    <s v="Yes"/>
    <m/>
    <s v="Yes"/>
    <m/>
    <s v="New"/>
    <s v="infasco"/>
    <n v="106.94"/>
    <n v="106.94"/>
  </r>
  <r>
    <x v="30"/>
    <x v="30"/>
    <s v="11546367-MY-AK"/>
    <n v="717495"/>
    <n v="36"/>
    <n v="700"/>
    <n v="25200"/>
    <n v="290"/>
    <s v="Yes"/>
    <m/>
    <s v="Yes"/>
    <m/>
    <s v="Yes"/>
    <m/>
    <s v="Yes"/>
    <m/>
    <s v="N/A"/>
    <m/>
    <s v="Yes"/>
    <m/>
    <s v="Yes"/>
    <m/>
    <s v="New"/>
    <s v="infasco"/>
    <n v="106.94"/>
    <n v="106.94"/>
  </r>
  <r>
    <x v="30"/>
    <x v="30"/>
    <s v="11546367-MY-AK"/>
    <n v="717496"/>
    <n v="23"/>
    <n v="700"/>
    <n v="16100"/>
    <n v="290"/>
    <s v="Yes"/>
    <m/>
    <s v="Yes"/>
    <m/>
    <s v="Yes"/>
    <m/>
    <s v="Yes"/>
    <m/>
    <s v="N/A"/>
    <m/>
    <s v="Yes"/>
    <m/>
    <s v="Yes"/>
    <m/>
    <s v="Re-certified"/>
    <s v="infasco"/>
    <n v="0"/>
    <n v="0"/>
  </r>
  <r>
    <x v="30"/>
    <x v="29"/>
    <s v="11546437-MY-AK"/>
    <n v="718011"/>
    <n v="49"/>
    <n v="1500"/>
    <n v="73500"/>
    <n v="290"/>
    <s v="Yes"/>
    <m/>
    <s v="Yes"/>
    <m/>
    <s v="Yes"/>
    <m/>
    <s v="Yes"/>
    <m/>
    <s v="N/A"/>
    <m/>
    <s v="Yes"/>
    <m/>
    <s v="Yes"/>
    <m/>
    <s v="New"/>
    <s v="infasco"/>
    <n v="106.94"/>
    <n v="106.94"/>
  </r>
  <r>
    <x v="30"/>
    <x v="29"/>
    <s v="11546437-MY-AK"/>
    <n v="718017"/>
    <n v="20"/>
    <n v="1500"/>
    <n v="30000"/>
    <n v="290"/>
    <s v="Yes"/>
    <m/>
    <s v="Yes"/>
    <m/>
    <s v="Yes"/>
    <m/>
    <s v="Yes"/>
    <m/>
    <s v="N/A"/>
    <m/>
    <s v="Yes"/>
    <m/>
    <s v="Yes"/>
    <m/>
    <s v="Re-certified"/>
    <s v="infasco"/>
    <n v="0"/>
    <n v="0"/>
  </r>
  <r>
    <x v="30"/>
    <x v="28"/>
    <s v="06509967AA"/>
    <n v="718156"/>
    <n v="17"/>
    <n v="825"/>
    <n v="14025"/>
    <n v="290"/>
    <s v="Yes"/>
    <m/>
    <s v="Yes"/>
    <m/>
    <s v="Yes"/>
    <m/>
    <s v="Yes"/>
    <m/>
    <s v="N/A"/>
    <m/>
    <s v="Yes"/>
    <m/>
    <s v="Yes"/>
    <m/>
    <s v="New"/>
    <s v="infasco"/>
    <n v="280.16000000000003"/>
    <n v="280.16000000000003"/>
  </r>
  <r>
    <x v="30"/>
    <x v="28"/>
    <s v="06509967AA"/>
    <n v="718155"/>
    <n v="12"/>
    <n v="825"/>
    <n v="9900"/>
    <n v="290"/>
    <s v="Yes"/>
    <m/>
    <s v="Yes"/>
    <m/>
    <s v="Yes"/>
    <m/>
    <s v="Yes"/>
    <m/>
    <s v="N/A"/>
    <m/>
    <s v="Yes"/>
    <m/>
    <s v="Yes"/>
    <m/>
    <s v="New"/>
    <s v="infasco"/>
    <n v="280.16000000000003"/>
    <n v="280.16000000000003"/>
  </r>
  <r>
    <x v="30"/>
    <x v="28"/>
    <n v="11546566"/>
    <n v="718048"/>
    <n v="3"/>
    <n v="1800"/>
    <n v="5400"/>
    <n v="290"/>
    <s v="Yes"/>
    <m/>
    <s v="Yes"/>
    <m/>
    <s v="Yes"/>
    <m/>
    <s v="Yes"/>
    <m/>
    <s v="N/A"/>
    <m/>
    <s v="Yes"/>
    <m/>
    <s v="Yes"/>
    <m/>
    <s v="Re-certified"/>
    <s v="infasco"/>
    <n v="0"/>
    <n v="0"/>
  </r>
  <r>
    <x v="30"/>
    <x v="31"/>
    <n v="11549168"/>
    <n v="717373"/>
    <n v="18"/>
    <n v="1000"/>
    <n v="18000"/>
    <n v="290"/>
    <s v="Yes"/>
    <m/>
    <s v="Yes"/>
    <m/>
    <s v="Yes"/>
    <m/>
    <s v="Yes"/>
    <m/>
    <s v="N/A"/>
    <m/>
    <s v="Yes"/>
    <m/>
    <s v="Yes"/>
    <m/>
    <s v="New"/>
    <s v="infasco"/>
    <n v="106.94"/>
    <n v="106.94"/>
  </r>
  <r>
    <x v="30"/>
    <x v="31"/>
    <n v="11549168"/>
    <n v="717376"/>
    <n v="44"/>
    <n v="1000"/>
    <n v="44000"/>
    <n v="290"/>
    <s v="Yes"/>
    <m/>
    <s v="Yes"/>
    <m/>
    <s v="Yes"/>
    <m/>
    <s v="Yes"/>
    <m/>
    <s v="N/A"/>
    <m/>
    <s v="Yes"/>
    <m/>
    <s v="Yes"/>
    <m/>
    <s v="New"/>
    <s v="infasco"/>
    <n v="106.94"/>
    <n v="106.94"/>
  </r>
  <r>
    <x v="30"/>
    <x v="31"/>
    <n v="11546462"/>
    <n v="718640"/>
    <n v="36"/>
    <n v="650"/>
    <n v="23400"/>
    <n v="290"/>
    <s v="Yes"/>
    <m/>
    <s v="Yes"/>
    <m/>
    <s v="Yes"/>
    <m/>
    <s v="Yes"/>
    <m/>
    <s v="N/A"/>
    <m/>
    <s v="Yes"/>
    <m/>
    <s v="Yes"/>
    <m/>
    <s v="New"/>
    <s v="infasco"/>
    <n v="106.94"/>
    <n v="106.94"/>
  </r>
  <r>
    <x v="30"/>
    <x v="31"/>
    <n v="11546462"/>
    <n v="718642"/>
    <n v="20"/>
    <n v="650"/>
    <n v="13000"/>
    <n v="290"/>
    <s v="Yes"/>
    <m/>
    <s v="Yes"/>
    <m/>
    <s v="Yes"/>
    <m/>
    <s v="Yes"/>
    <m/>
    <s v="N/A"/>
    <m/>
    <s v="Yes"/>
    <m/>
    <s v="Yes"/>
    <m/>
    <s v="Re-certified"/>
    <s v="infasco"/>
    <n v="0"/>
    <n v="0"/>
  </r>
  <r>
    <x v="30"/>
    <x v="26"/>
    <s v="E6267AB"/>
    <n v="717245"/>
    <n v="1"/>
    <n v="22100"/>
    <n v="22100"/>
    <n v="290"/>
    <s v="Yes"/>
    <m/>
    <s v="Yes"/>
    <m/>
    <s v="Yes"/>
    <m/>
    <s v="Yes"/>
    <m/>
    <s v="N/A"/>
    <m/>
    <s v="Yes"/>
    <m/>
    <s v="Yes"/>
    <m/>
    <s v="New"/>
    <s v="infasco"/>
    <n v="106.94"/>
    <n v="106.94"/>
  </r>
  <r>
    <x v="30"/>
    <x v="26"/>
    <s v="11546367-MY-AK"/>
    <n v="717502"/>
    <n v="36"/>
    <n v="700"/>
    <n v="25200"/>
    <n v="290"/>
    <s v="Yes"/>
    <m/>
    <s v="Yes"/>
    <m/>
    <s v="Yes"/>
    <m/>
    <s v="Yes"/>
    <m/>
    <s v="N/A"/>
    <m/>
    <s v="Yes"/>
    <m/>
    <s v="Yes"/>
    <m/>
    <s v="New"/>
    <s v="infasco"/>
    <n v="106.94"/>
    <n v="106.94"/>
  </r>
  <r>
    <x v="30"/>
    <x v="26"/>
    <s v="11546367-MY-AK"/>
    <n v="718075"/>
    <n v="25"/>
    <n v="700"/>
    <n v="17500"/>
    <n v="290"/>
    <s v="Yes"/>
    <m/>
    <s v="Yes"/>
    <m/>
    <s v="Yes"/>
    <m/>
    <s v="Yes"/>
    <m/>
    <s v="N/A"/>
    <m/>
    <s v="Yes"/>
    <m/>
    <s v="Yes"/>
    <m/>
    <s v="Re-certified"/>
    <s v="infasco"/>
    <n v="0"/>
    <n v="0"/>
  </r>
  <r>
    <x v="30"/>
    <x v="27"/>
    <n v="11549170"/>
    <n v="716917"/>
    <n v="36"/>
    <n v="400"/>
    <n v="14400"/>
    <n v="290"/>
    <s v="Yes"/>
    <m/>
    <s v="Yes"/>
    <m/>
    <s v="Yes"/>
    <m/>
    <s v="Yes"/>
    <m/>
    <s v="N/A"/>
    <m/>
    <s v="Yes"/>
    <m/>
    <s v="Yes"/>
    <m/>
    <s v="New"/>
    <s v="infasco"/>
    <n v="106.94"/>
    <n v="106.94"/>
  </r>
  <r>
    <x v="30"/>
    <x v="27"/>
    <n v="11549170"/>
    <n v="717365"/>
    <n v="51"/>
    <n v="400"/>
    <n v="20400"/>
    <n v="290"/>
    <s v="Yes"/>
    <m/>
    <s v="Yes"/>
    <m/>
    <s v="Yes"/>
    <m/>
    <s v="Yes"/>
    <m/>
    <s v="N/A"/>
    <m/>
    <s v="Yes"/>
    <m/>
    <s v="Yes"/>
    <m/>
    <s v="New"/>
    <s v="infasco"/>
    <n v="106.94"/>
    <n v="106.94"/>
  </r>
  <r>
    <x v="30"/>
    <x v="27"/>
    <n v="11549170"/>
    <n v="716916"/>
    <n v="18"/>
    <n v="400"/>
    <n v="7200"/>
    <n v="290"/>
    <s v="Yes"/>
    <m/>
    <s v="Yes"/>
    <m/>
    <s v="Yes"/>
    <m/>
    <s v="Yes"/>
    <m/>
    <s v="N/A"/>
    <m/>
    <s v="Yes"/>
    <m/>
    <s v="Yes"/>
    <m/>
    <s v="Re-certified"/>
    <s v="infasco"/>
    <n v="0"/>
    <n v="0"/>
  </r>
  <r>
    <x v="30"/>
    <x v="4"/>
    <s v="1K2GZ0-00"/>
    <n v="718067"/>
    <n v="2"/>
    <n v="4500"/>
    <n v="9000"/>
    <n v="4"/>
    <s v="Yes"/>
    <m/>
    <s v="Yes"/>
    <m/>
    <s v="Yes"/>
    <m/>
    <s v="Yes"/>
    <m/>
    <s v="N/A"/>
    <m/>
    <s v="Yes"/>
    <m/>
    <s v="Yes"/>
    <m/>
    <s v="New"/>
    <s v="infasco"/>
    <n v="106.94"/>
    <n v="106.94"/>
  </r>
  <r>
    <x v="30"/>
    <x v="4"/>
    <s v="1K2GZ0-00"/>
    <n v="718068"/>
    <n v="23"/>
    <n v="4500"/>
    <n v="103500"/>
    <n v="4"/>
    <s v="Yes"/>
    <m/>
    <s v="Yes"/>
    <m/>
    <s v="Yes"/>
    <m/>
    <s v="Yes"/>
    <m/>
    <s v="N/A"/>
    <m/>
    <s v="Yes"/>
    <m/>
    <s v="Yes"/>
    <m/>
    <s v="New"/>
    <s v="infasco"/>
    <n v="106.94"/>
    <n v="106.94"/>
  </r>
  <r>
    <x v="30"/>
    <x v="4"/>
    <n v="11546377"/>
    <n v="718866"/>
    <n v="2"/>
    <n v="2150"/>
    <n v="4300"/>
    <n v="4"/>
    <s v="Yes"/>
    <m/>
    <s v="Yes"/>
    <m/>
    <s v="Yes"/>
    <m/>
    <s v="Yes"/>
    <m/>
    <s v="N/A"/>
    <m/>
    <s v="Yes"/>
    <m/>
    <s v="Yes"/>
    <m/>
    <s v="Re-certified"/>
    <s v="infasco"/>
    <n v="0"/>
    <n v="0"/>
  </r>
  <r>
    <x v="30"/>
    <x v="5"/>
    <n v="11549170"/>
    <n v="716926"/>
    <n v="36"/>
    <n v="400"/>
    <n v="14400"/>
    <n v="4"/>
    <s v="Yes"/>
    <m/>
    <s v="Yes"/>
    <m/>
    <s v="Yes"/>
    <m/>
    <s v="Yes"/>
    <m/>
    <s v="N/A"/>
    <m/>
    <s v="Yes"/>
    <m/>
    <s v="Yes"/>
    <m/>
    <s v="New"/>
    <s v="infasco"/>
    <n v="106.94"/>
    <n v="106.94"/>
  </r>
  <r>
    <x v="30"/>
    <x v="5"/>
    <s v="W711953-S900"/>
    <n v="718045"/>
    <n v="28"/>
    <n v="1750"/>
    <n v="49000"/>
    <n v="4"/>
    <s v="Yes"/>
    <m/>
    <s v="Yes"/>
    <m/>
    <s v="Yes"/>
    <m/>
    <s v="Yes"/>
    <m/>
    <s v="N/A"/>
    <m/>
    <s v="Yes"/>
    <m/>
    <s v="Yes"/>
    <m/>
    <s v="Re-certified"/>
    <s v="infasco"/>
    <n v="0"/>
    <n v="0"/>
  </r>
  <r>
    <x v="30"/>
    <x v="3"/>
    <n v="11549170"/>
    <n v="717363"/>
    <n v="25"/>
    <n v="400"/>
    <n v="10000"/>
    <n v="4"/>
    <s v="Yes"/>
    <m/>
    <s v="Yes"/>
    <m/>
    <s v="Yes"/>
    <m/>
    <s v="Yes"/>
    <m/>
    <s v="N/A"/>
    <m/>
    <s v="Yes"/>
    <m/>
    <s v="Yes"/>
    <m/>
    <s v="New"/>
    <s v="infasco"/>
    <n v="106.94"/>
    <n v="106.94"/>
  </r>
  <r>
    <x v="30"/>
    <x v="3"/>
    <n v="11549170"/>
    <n v="716927"/>
    <n v="36"/>
    <n v="400"/>
    <n v="14400"/>
    <n v="4"/>
    <s v="Yes"/>
    <m/>
    <s v="Yes"/>
    <m/>
    <s v="Yes"/>
    <m/>
    <s v="Yes"/>
    <m/>
    <s v="N/A"/>
    <m/>
    <s v="Yes"/>
    <m/>
    <s v="Yes"/>
    <m/>
    <s v="New"/>
    <s v="infasco"/>
    <n v="106.94"/>
    <n v="106.94"/>
  </r>
  <r>
    <x v="30"/>
    <x v="3"/>
    <s v="11546367-MY-AK"/>
    <n v="717500"/>
    <n v="36"/>
    <n v="700"/>
    <n v="25200"/>
    <n v="4"/>
    <s v="Yes"/>
    <m/>
    <s v="Yes"/>
    <m/>
    <s v="Yes"/>
    <m/>
    <s v="Yes"/>
    <m/>
    <s v="N/A"/>
    <m/>
    <s v="Yes"/>
    <m/>
    <s v="Yes"/>
    <m/>
    <s v="New"/>
    <s v="infasco"/>
    <n v="106.94"/>
    <n v="106.94"/>
  </r>
  <r>
    <x v="30"/>
    <x v="3"/>
    <s v="11546367-MY-AK"/>
    <n v="718074"/>
    <n v="36"/>
    <n v="700"/>
    <n v="25200"/>
    <n v="4"/>
    <s v="Yes"/>
    <m/>
    <s v="Yes"/>
    <m/>
    <s v="Yes"/>
    <m/>
    <s v="Yes"/>
    <m/>
    <s v="N/A"/>
    <m/>
    <s v="Yes"/>
    <m/>
    <s v="Yes"/>
    <m/>
    <s v="New"/>
    <s v="infasco"/>
    <n v="106.94"/>
    <n v="106.94"/>
  </r>
  <r>
    <x v="30"/>
    <x v="1"/>
    <s v="11546437-MY-AK"/>
    <n v="718014"/>
    <n v="29"/>
    <n v="1500"/>
    <n v="43500"/>
    <n v="4"/>
    <s v="Yes"/>
    <m/>
    <s v="Yes"/>
    <m/>
    <s v="Yes"/>
    <m/>
    <s v="Yes"/>
    <m/>
    <s v="N/A"/>
    <m/>
    <s v="Yes"/>
    <m/>
    <s v="Yes"/>
    <m/>
    <s v="New"/>
    <s v="infasco"/>
    <n v="106.94"/>
    <n v="106.94"/>
  </r>
  <r>
    <x v="30"/>
    <x v="1"/>
    <s v="11546437-MY-AK"/>
    <n v="718016"/>
    <n v="24"/>
    <n v="1500"/>
    <n v="36000"/>
    <n v="4"/>
    <s v="Yes"/>
    <m/>
    <s v="Yes"/>
    <m/>
    <s v="Yes"/>
    <m/>
    <s v="Yes"/>
    <m/>
    <s v="N/A"/>
    <m/>
    <s v="Yes"/>
    <m/>
    <s v="Yes"/>
    <m/>
    <s v="Re-certified"/>
    <s v="infasco"/>
    <n v="0"/>
    <n v="0"/>
  </r>
  <r>
    <x v="30"/>
    <x v="2"/>
    <n v="11549168"/>
    <n v="717370"/>
    <n v="12"/>
    <n v="1000"/>
    <n v="12000"/>
    <n v="4"/>
    <s v="Yes"/>
    <m/>
    <s v="Yes"/>
    <m/>
    <s v="Yes"/>
    <m/>
    <s v="Yes"/>
    <m/>
    <s v="N/A"/>
    <m/>
    <s v="Yes"/>
    <m/>
    <s v="Yes"/>
    <m/>
    <s v="New"/>
    <s v="infasco"/>
    <n v="106.94"/>
    <n v="106.94"/>
  </r>
  <r>
    <x v="30"/>
    <x v="2"/>
    <n v="11549168"/>
    <n v="717375"/>
    <n v="24"/>
    <n v="1000"/>
    <n v="24000"/>
    <n v="4"/>
    <s v="Yes"/>
    <m/>
    <s v="Yes"/>
    <m/>
    <s v="Yes"/>
    <m/>
    <s v="Yes"/>
    <m/>
    <s v="N/A"/>
    <m/>
    <s v="Yes"/>
    <m/>
    <s v="Yes"/>
    <m/>
    <s v="Re-certified"/>
    <s v="infasco"/>
    <n v="0"/>
    <n v="0"/>
  </r>
  <r>
    <x v="30"/>
    <x v="0"/>
    <s v="11549168-VN-VT"/>
    <n v="717431"/>
    <n v="31"/>
    <n v="1000"/>
    <n v="31000"/>
    <n v="4"/>
    <s v="Yes"/>
    <m/>
    <s v="Yes"/>
    <m/>
    <s v="Yes"/>
    <m/>
    <s v="Yes"/>
    <m/>
    <s v="N/A"/>
    <m/>
    <s v="Yes"/>
    <m/>
    <s v="Yes"/>
    <m/>
    <s v="New"/>
    <s v="infasco"/>
    <n v="106.94"/>
    <n v="106.94"/>
  </r>
  <r>
    <x v="30"/>
    <x v="0"/>
    <n v="11546377"/>
    <n v="718865"/>
    <n v="2"/>
    <n v="2150"/>
    <n v="4300"/>
    <n v="4"/>
    <s v="Yes"/>
    <m/>
    <s v="Yes"/>
    <m/>
    <s v="Yes"/>
    <m/>
    <s v="Yes"/>
    <m/>
    <s v="N/A"/>
    <m/>
    <s v="Yes"/>
    <m/>
    <s v="Yes"/>
    <m/>
    <s v="Re-certified"/>
    <s v="infasco"/>
    <n v="0"/>
    <n v="0"/>
  </r>
  <r>
    <x v="30"/>
    <x v="25"/>
    <n v="11561645"/>
    <n v="718060"/>
    <n v="19"/>
    <n v="4000"/>
    <n v="76000"/>
    <n v="280"/>
    <s v="Yes"/>
    <m/>
    <s v="Yes"/>
    <m/>
    <s v="Yes"/>
    <m/>
    <s v="Yes"/>
    <m/>
    <s v="N/A"/>
    <m/>
    <s v="Yes"/>
    <m/>
    <s v="Yes"/>
    <m/>
    <s v="New"/>
    <s v="infasco"/>
    <n v="106.94"/>
    <n v="106.94"/>
  </r>
  <r>
    <x v="30"/>
    <x v="25"/>
    <n v="11561645"/>
    <n v="718058"/>
    <n v="6"/>
    <n v="4000"/>
    <n v="24000"/>
    <n v="280"/>
    <s v="Yes"/>
    <m/>
    <s v="Yes"/>
    <m/>
    <s v="Yes"/>
    <m/>
    <s v="Yes"/>
    <m/>
    <s v="N/A"/>
    <m/>
    <s v="Yes"/>
    <m/>
    <s v="Yes"/>
    <m/>
    <s v="Re-certified"/>
    <s v="infasco"/>
    <n v="0"/>
    <n v="0"/>
  </r>
  <r>
    <x v="30"/>
    <x v="24"/>
    <s v="06101736-A"/>
    <n v="717765"/>
    <n v="4"/>
    <n v="3200"/>
    <n v="12800"/>
    <n v="280"/>
    <s v="Yes"/>
    <m/>
    <s v="Yes"/>
    <m/>
    <s v="Yes"/>
    <m/>
    <s v="Yes"/>
    <m/>
    <s v="N/A"/>
    <m/>
    <s v="Yes"/>
    <m/>
    <s v="Yes"/>
    <m/>
    <s v="New"/>
    <s v="infasco"/>
    <n v="106.94"/>
    <n v="106.94"/>
  </r>
  <r>
    <x v="30"/>
    <x v="24"/>
    <n v="11561645"/>
    <n v="718057"/>
    <n v="22"/>
    <n v="4000"/>
    <n v="88000"/>
    <n v="280"/>
    <s v="Yes"/>
    <m/>
    <s v="Yes"/>
    <m/>
    <s v="Yes"/>
    <m/>
    <s v="Yes"/>
    <m/>
    <s v="N/A"/>
    <m/>
    <s v="Yes"/>
    <m/>
    <s v="Yes"/>
    <m/>
    <s v="Re-certified"/>
    <s v="infasco"/>
    <n v="0"/>
    <n v="0"/>
  </r>
  <r>
    <x v="30"/>
    <x v="22"/>
    <s v="11610091-MY-AK"/>
    <n v="717286"/>
    <n v="27"/>
    <n v="2500"/>
    <n v="67500"/>
    <n v="280"/>
    <s v="Yes"/>
    <m/>
    <s v="Yes"/>
    <m/>
    <s v="Yes"/>
    <m/>
    <s v="Yes"/>
    <m/>
    <s v="N/A"/>
    <m/>
    <s v="Yes"/>
    <m/>
    <s v="Yes"/>
    <m/>
    <s v="Re-certified"/>
    <s v="infasco"/>
    <n v="0"/>
    <n v="0"/>
  </r>
  <r>
    <x v="30"/>
    <x v="21"/>
    <s v="11546437-MY-AK"/>
    <n v="718007"/>
    <n v="50"/>
    <n v="1500"/>
    <n v="75000"/>
    <n v="280"/>
    <s v="Yes"/>
    <m/>
    <s v="Yes"/>
    <m/>
    <s v="Yes"/>
    <m/>
    <s v="Yes"/>
    <m/>
    <s v="N/A"/>
    <m/>
    <s v="Yes"/>
    <m/>
    <s v="Yes"/>
    <m/>
    <s v="New"/>
    <s v="infasco"/>
    <n v="106.94"/>
    <n v="106.94"/>
  </r>
  <r>
    <x v="30"/>
    <x v="21"/>
    <s v="11546437-MY-AK"/>
    <n v="718013"/>
    <n v="61"/>
    <n v="1500"/>
    <n v="91500"/>
    <n v="280"/>
    <s v="Yes"/>
    <m/>
    <s v="Yes"/>
    <m/>
    <s v="Yes"/>
    <m/>
    <s v="Yes"/>
    <m/>
    <s v="N/A"/>
    <m/>
    <s v="Yes"/>
    <m/>
    <s v="Yes"/>
    <m/>
    <s v="New"/>
    <s v="infasco"/>
    <n v="106.94"/>
    <n v="106.94"/>
  </r>
  <r>
    <x v="30"/>
    <x v="20"/>
    <n v="11549168"/>
    <n v="717374"/>
    <n v="36"/>
    <n v="1000"/>
    <n v="36000"/>
    <n v="280"/>
    <s v="Yes"/>
    <m/>
    <s v="Yes"/>
    <m/>
    <s v="Yes"/>
    <m/>
    <s v="Yes"/>
    <m/>
    <s v="N/A"/>
    <m/>
    <s v="Yes"/>
    <m/>
    <s v="Yes"/>
    <m/>
    <s v="New"/>
    <s v="infasco"/>
    <n v="106.94"/>
    <n v="106.94"/>
  </r>
  <r>
    <x v="30"/>
    <x v="20"/>
    <n v="11546462"/>
    <n v="718639"/>
    <n v="9"/>
    <n v="650"/>
    <n v="5850"/>
    <n v="280"/>
    <s v="Yes"/>
    <m/>
    <s v="Yes"/>
    <m/>
    <s v="Yes"/>
    <m/>
    <s v="Yes"/>
    <m/>
    <s v="N/A"/>
    <m/>
    <s v="Yes"/>
    <m/>
    <s v="Yes"/>
    <m/>
    <s v="Re-certified"/>
    <s v="infasco"/>
    <n v="0"/>
    <n v="0"/>
  </r>
  <r>
    <x v="30"/>
    <x v="23"/>
    <s v="11546437-MY-AK"/>
    <n v="718009"/>
    <n v="23"/>
    <n v="1500"/>
    <n v="34500"/>
    <n v="280"/>
    <s v="Yes"/>
    <m/>
    <s v="Yes"/>
    <m/>
    <s v="Yes"/>
    <m/>
    <s v="Yes"/>
    <m/>
    <s v="N/A"/>
    <m/>
    <s v="Yes"/>
    <m/>
    <s v="Yes"/>
    <m/>
    <s v="New"/>
    <s v="infasco"/>
    <n v="106.94"/>
    <n v="106.94"/>
  </r>
  <r>
    <x v="30"/>
    <x v="23"/>
    <s v="11546437-MY-AK"/>
    <n v="718018"/>
    <n v="61"/>
    <n v="1500"/>
    <n v="91500"/>
    <n v="280"/>
    <s v="Yes"/>
    <m/>
    <s v="Yes"/>
    <m/>
    <s v="Yes"/>
    <m/>
    <s v="Yes"/>
    <m/>
    <s v="N/A"/>
    <m/>
    <s v="Yes"/>
    <m/>
    <s v="Yes"/>
    <m/>
    <s v="New"/>
    <s v="infasco"/>
    <n v="106.94"/>
    <n v="106.94"/>
  </r>
  <r>
    <x v="30"/>
    <x v="15"/>
    <n v="11602326"/>
    <n v="718617"/>
    <n v="36"/>
    <n v="120"/>
    <n v="4320"/>
    <s v="297+157"/>
    <s v="Yes"/>
    <m/>
    <s v="Yes"/>
    <m/>
    <s v="Yes"/>
    <m/>
    <s v="Yes"/>
    <m/>
    <s v="N/A"/>
    <m/>
    <s v="Yes"/>
    <m/>
    <s v="Yes"/>
    <m/>
    <s v="New"/>
    <s v="infasco"/>
    <n v="106.94"/>
    <n v="106.94"/>
  </r>
  <r>
    <x v="30"/>
    <x v="15"/>
    <n v="11602326"/>
    <n v="718620"/>
    <n v="36"/>
    <n v="120"/>
    <n v="4320"/>
    <s v="297+157"/>
    <s v="Yes"/>
    <m/>
    <s v="Yes"/>
    <m/>
    <s v="Yes"/>
    <m/>
    <s v="Yes"/>
    <m/>
    <s v="N/A"/>
    <m/>
    <s v="Yes"/>
    <m/>
    <s v="Yes"/>
    <m/>
    <s v="New"/>
    <s v="infasco"/>
    <n v="106.94"/>
    <n v="106.94"/>
  </r>
  <r>
    <x v="30"/>
    <x v="15"/>
    <n v="11602326"/>
    <n v="718618"/>
    <n v="34"/>
    <n v="120"/>
    <n v="4080"/>
    <s v="297+157"/>
    <s v="Yes"/>
    <m/>
    <s v="Yes"/>
    <m/>
    <s v="Yes"/>
    <m/>
    <s v="Yes"/>
    <m/>
    <s v="N/A"/>
    <m/>
    <s v="Yes"/>
    <m/>
    <s v="Yes"/>
    <m/>
    <s v="New"/>
    <s v="infasco"/>
    <n v="106.94"/>
    <n v="106.94"/>
  </r>
  <r>
    <x v="30"/>
    <x v="15"/>
    <n v="11602326"/>
    <n v="718624"/>
    <n v="36"/>
    <n v="120"/>
    <n v="4320"/>
    <s v="297+157"/>
    <s v="Yes"/>
    <m/>
    <s v="Yes"/>
    <m/>
    <s v="Yes"/>
    <m/>
    <s v="Yes"/>
    <m/>
    <s v="N/A"/>
    <m/>
    <s v="Yes"/>
    <m/>
    <s v="Yes"/>
    <m/>
    <s v="New"/>
    <s v="infasco"/>
    <n v="106.94"/>
    <n v="106.94"/>
  </r>
  <r>
    <x v="30"/>
    <x v="15"/>
    <n v="11602326"/>
    <n v="718623"/>
    <n v="32"/>
    <n v="120"/>
    <n v="3840"/>
    <s v="297+157"/>
    <s v="Yes"/>
    <m/>
    <s v="Yes"/>
    <m/>
    <s v="Yes"/>
    <m/>
    <s v="Yes"/>
    <m/>
    <s v="N/A"/>
    <m/>
    <s v="Yes"/>
    <m/>
    <s v="Yes"/>
    <m/>
    <s v="New"/>
    <s v="infasco"/>
    <n v="106.94"/>
    <n v="106.94"/>
  </r>
  <r>
    <x v="30"/>
    <x v="15"/>
    <s v="11610128-BR-HA"/>
    <n v="717820"/>
    <n v="4"/>
    <n v="1125"/>
    <n v="4500"/>
    <s v="297+157"/>
    <s v="Yes"/>
    <m/>
    <s v="Yes"/>
    <m/>
    <s v="Yes"/>
    <m/>
    <s v="Yes"/>
    <m/>
    <s v="N/A"/>
    <m/>
    <s v="Yes"/>
    <m/>
    <s v="Yes"/>
    <m/>
    <s v="New"/>
    <s v="infasco"/>
    <n v="270.16000000000003"/>
    <n v="270.16000000000003"/>
  </r>
  <r>
    <x v="30"/>
    <x v="15"/>
    <n v="11546703"/>
    <n v="715814"/>
    <n v="38"/>
    <n v="4000"/>
    <n v="152000"/>
    <s v="297+157"/>
    <s v="Yes"/>
    <m/>
    <s v="Yes"/>
    <m/>
    <s v="Yes"/>
    <m/>
    <s v="Yes"/>
    <m/>
    <s v="N/A"/>
    <m/>
    <s v="Yes"/>
    <m/>
    <s v="Yes"/>
    <m/>
    <s v="New"/>
    <s v="infasco"/>
    <n v="135.07999999999998"/>
    <n v="135.07999999999998"/>
  </r>
  <r>
    <x v="30"/>
    <x v="15"/>
    <s v="06511672AA"/>
    <n v="714433"/>
    <n v="36"/>
    <n v="1400"/>
    <n v="50400"/>
    <s v="297+157"/>
    <s v="Yes"/>
    <m/>
    <s v="Yes"/>
    <m/>
    <s v="Yes"/>
    <m/>
    <s v="Yes"/>
    <m/>
    <s v="N/A"/>
    <m/>
    <s v="Yes"/>
    <m/>
    <s v="Yes"/>
    <m/>
    <s v="New"/>
    <s v="infasco"/>
    <n v="106.94"/>
    <n v="106.94"/>
  </r>
  <r>
    <x v="30"/>
    <x v="15"/>
    <s v="06511672AA"/>
    <n v="714522"/>
    <n v="32"/>
    <n v="1400"/>
    <n v="44800"/>
    <s v="297+157"/>
    <s v="Yes"/>
    <m/>
    <s v="Yes"/>
    <m/>
    <s v="Yes"/>
    <m/>
    <s v="Yes"/>
    <m/>
    <s v="N/A"/>
    <m/>
    <s v="Yes"/>
    <m/>
    <s v="Yes"/>
    <m/>
    <s v="New"/>
    <s v="infasco"/>
    <n v="106.94"/>
    <n v="106.94"/>
  </r>
  <r>
    <x v="30"/>
    <x v="16"/>
    <s v="W20-1028-010NA"/>
    <n v="710204"/>
    <n v="1"/>
    <n v="22000"/>
    <n v="22000"/>
    <s v="279+391"/>
    <s v="Yes"/>
    <m/>
    <s v="Yes"/>
    <m/>
    <s v="Yes"/>
    <m/>
    <s v="Yes"/>
    <m/>
    <s v="N/A"/>
    <m/>
    <s v="Yes"/>
    <m/>
    <s v="Yes"/>
    <m/>
    <s v="Re-certified"/>
    <s v="infasco"/>
    <n v="0"/>
    <n v="0"/>
  </r>
  <r>
    <x v="30"/>
    <x v="16"/>
    <s v="HL3W-4320-AA"/>
    <n v="714254"/>
    <n v="24"/>
    <n v="200"/>
    <n v="4800"/>
    <s v="279+391"/>
    <s v="Yes"/>
    <m/>
    <s v="Yes"/>
    <m/>
    <s v="Yes"/>
    <m/>
    <s v="Yes"/>
    <m/>
    <s v="N/A"/>
    <m/>
    <s v="Yes"/>
    <m/>
    <s v="Yes"/>
    <m/>
    <s v="New"/>
    <s v="infasco"/>
    <n v="129.44999999999999"/>
    <n v="129.44999999999999"/>
  </r>
  <r>
    <x v="30"/>
    <x v="16"/>
    <s v="HL3W-4320-AA"/>
    <n v="714255"/>
    <n v="24"/>
    <n v="200"/>
    <n v="4800"/>
    <s v="279+391"/>
    <s v="Yes"/>
    <m/>
    <s v="Yes"/>
    <m/>
    <s v="Yes"/>
    <m/>
    <s v="Yes"/>
    <m/>
    <s v="N/A"/>
    <m/>
    <s v="Yes"/>
    <m/>
    <s v="Yes"/>
    <m/>
    <s v="New"/>
    <s v="infasco"/>
    <n v="129.44999999999999"/>
    <n v="129.44999999999999"/>
  </r>
  <r>
    <x v="30"/>
    <x v="16"/>
    <s v="HL3W-4320-AA"/>
    <n v="714250"/>
    <n v="31"/>
    <n v="200"/>
    <n v="6200"/>
    <s v="279+391"/>
    <s v="Yes"/>
    <m/>
    <s v="Yes"/>
    <m/>
    <s v="Yes"/>
    <m/>
    <s v="Yes"/>
    <m/>
    <s v="N/A"/>
    <m/>
    <s v="Yes"/>
    <m/>
    <s v="Yes"/>
    <m/>
    <s v="New"/>
    <s v="infasco"/>
    <n v="129.44999999999999"/>
    <n v="129.44999999999999"/>
  </r>
  <r>
    <x v="30"/>
    <x v="17"/>
    <s v="06509967AA"/>
    <n v="718513"/>
    <n v="12"/>
    <n v="825"/>
    <n v="9900"/>
    <s v="190+268"/>
    <s v="Yes"/>
    <m/>
    <s v="Yes"/>
    <m/>
    <s v="Yes"/>
    <m/>
    <s v="Yes"/>
    <m/>
    <s v="N/A"/>
    <m/>
    <s v="Yes"/>
    <m/>
    <s v="Yes"/>
    <m/>
    <s v="New"/>
    <s v="infasco"/>
    <n v="280.16000000000003"/>
    <n v="280.16000000000003"/>
  </r>
  <r>
    <x v="30"/>
    <x v="17"/>
    <n v="11546566"/>
    <n v="718049"/>
    <n v="28"/>
    <n v="1800"/>
    <n v="50400"/>
    <s v="190+268"/>
    <s v="Yes"/>
    <m/>
    <s v="Yes"/>
    <m/>
    <s v="Yes"/>
    <m/>
    <s v="Yes"/>
    <m/>
    <s v="N/A"/>
    <m/>
    <s v="Yes"/>
    <m/>
    <s v="Yes"/>
    <m/>
    <s v="New"/>
    <s v="infasco"/>
    <n v="135.07999999999998"/>
    <n v="135.07999999999998"/>
  </r>
  <r>
    <x v="30"/>
    <x v="17"/>
    <s v="06511672AA"/>
    <n v="714432"/>
    <n v="29"/>
    <n v="1400"/>
    <n v="40600"/>
    <s v="190+268"/>
    <s v="Yes"/>
    <m/>
    <s v="Yes"/>
    <m/>
    <s v="Yes"/>
    <m/>
    <s v="Yes"/>
    <m/>
    <s v="N/A"/>
    <m/>
    <s v="Yes"/>
    <m/>
    <s v="Yes"/>
    <m/>
    <s v="New"/>
    <s v="infasco"/>
    <n v="106.94"/>
    <n v="106.94"/>
  </r>
  <r>
    <x v="30"/>
    <x v="17"/>
    <s v="BL3W-4320-BA"/>
    <n v="714611"/>
    <n v="21"/>
    <n v="220"/>
    <n v="4620"/>
    <s v="190+268"/>
    <s v="Yes"/>
    <m/>
    <s v="Yes"/>
    <m/>
    <s v="Yes"/>
    <m/>
    <s v="Yes"/>
    <m/>
    <s v="N/A"/>
    <m/>
    <s v="Yes"/>
    <m/>
    <s v="Yes"/>
    <m/>
    <s v="New"/>
    <s v="infasco"/>
    <n v="106.94"/>
    <n v="106.94"/>
  </r>
  <r>
    <x v="30"/>
    <x v="17"/>
    <n v="40110160"/>
    <n v="716742"/>
    <n v="35"/>
    <n v="200"/>
    <n v="7000"/>
    <s v="190+268"/>
    <s v="Yes"/>
    <m/>
    <s v="Yes"/>
    <m/>
    <s v="Yes"/>
    <m/>
    <s v="Yes"/>
    <m/>
    <s v="N/A"/>
    <m/>
    <s v="Yes"/>
    <m/>
    <s v="Yes"/>
    <m/>
    <s v="New"/>
    <s v="infasco"/>
    <n v="106.94"/>
    <n v="106.94"/>
  </r>
  <r>
    <x v="30"/>
    <x v="17"/>
    <n v="11602326"/>
    <n v="718619"/>
    <n v="31"/>
    <n v="120"/>
    <n v="3720"/>
    <s v="190+268"/>
    <s v="Yes"/>
    <m/>
    <s v="Yes"/>
    <m/>
    <s v="Yes"/>
    <m/>
    <s v="Yes"/>
    <m/>
    <s v="N/A"/>
    <m/>
    <s v="Yes"/>
    <m/>
    <s v="Yes"/>
    <m/>
    <s v="New"/>
    <s v="infasco"/>
    <n v="106.94"/>
    <n v="106.94"/>
  </r>
  <r>
    <x v="30"/>
    <x v="17"/>
    <n v="11602326"/>
    <n v="718621"/>
    <n v="35"/>
    <n v="120"/>
    <n v="4200"/>
    <s v="190+268"/>
    <s v="Yes"/>
    <m/>
    <s v="Yes"/>
    <m/>
    <s v="Yes"/>
    <m/>
    <s v="Yes"/>
    <m/>
    <s v="N/A"/>
    <m/>
    <s v="Yes"/>
    <m/>
    <s v="Yes"/>
    <m/>
    <s v="New"/>
    <s v="infasco"/>
    <n v="106.94"/>
    <n v="106.94"/>
  </r>
  <r>
    <x v="30"/>
    <x v="17"/>
    <n v="11546703"/>
    <n v="715815"/>
    <n v="35"/>
    <n v="4000"/>
    <n v="140000"/>
    <s v="190+268"/>
    <s v="Yes"/>
    <m/>
    <s v="Yes"/>
    <m/>
    <s v="Yes"/>
    <m/>
    <s v="Yes"/>
    <m/>
    <s v="N/A"/>
    <m/>
    <s v="Yes"/>
    <m/>
    <s v="Yes"/>
    <m/>
    <s v="New"/>
    <s v="infasco"/>
    <n v="135.07999999999998"/>
    <n v="135.07999999999998"/>
  </r>
  <r>
    <x v="30"/>
    <x v="17"/>
    <n v="11549204"/>
    <n v="717966"/>
    <n v="35"/>
    <n v="210"/>
    <n v="7350"/>
    <s v="190+268"/>
    <s v="Yes"/>
    <m/>
    <s v="Yes"/>
    <m/>
    <s v="Yes"/>
    <m/>
    <s v="Yes"/>
    <m/>
    <s v="N/A"/>
    <m/>
    <s v="Yes"/>
    <m/>
    <s v="Yes"/>
    <m/>
    <s v="New"/>
    <s v="infasco"/>
    <n v="106.94"/>
    <n v="106.94"/>
  </r>
  <r>
    <x v="30"/>
    <x v="17"/>
    <n v="11549204"/>
    <n v="717962"/>
    <n v="14"/>
    <n v="210"/>
    <n v="2940"/>
    <s v="190+268"/>
    <s v="Yes"/>
    <m/>
    <s v="Yes"/>
    <m/>
    <s v="Yes"/>
    <m/>
    <s v="Yes"/>
    <m/>
    <s v="N/A"/>
    <m/>
    <s v="Yes"/>
    <m/>
    <s v="Yes"/>
    <m/>
    <s v="Re-certified"/>
    <s v="infasco"/>
    <n v="0"/>
    <n v="0"/>
  </r>
  <r>
    <x v="30"/>
    <x v="32"/>
    <n v="11602292"/>
    <n v="718070"/>
    <n v="23"/>
    <n v="1000"/>
    <n v="23000"/>
    <s v="252+11"/>
    <s v="Yes"/>
    <m/>
    <s v="Yes"/>
    <m/>
    <s v="Yes"/>
    <m/>
    <s v="Yes"/>
    <m/>
    <s v="N/A"/>
    <m/>
    <s v="Yes"/>
    <m/>
    <s v="Yes"/>
    <m/>
    <s v="New"/>
    <s v="infasco"/>
    <n v="135.07999999999998"/>
    <n v="135.07999999999998"/>
  </r>
  <r>
    <x v="30"/>
    <x v="32"/>
    <n v="11602292"/>
    <n v="718069"/>
    <n v="24"/>
    <n v="1000"/>
    <n v="24000"/>
    <s v="252+11"/>
    <s v="Yes"/>
    <m/>
    <s v="Yes"/>
    <m/>
    <s v="Yes"/>
    <m/>
    <s v="Yes"/>
    <m/>
    <s v="N/A"/>
    <m/>
    <s v="Yes"/>
    <m/>
    <s v="Yes"/>
    <m/>
    <s v="New"/>
    <s v="infasco"/>
    <n v="135.07999999999998"/>
    <n v="135.07999999999998"/>
  </r>
  <r>
    <x v="30"/>
    <x v="32"/>
    <n v="11546566"/>
    <n v="718047"/>
    <n v="30"/>
    <n v="1800"/>
    <n v="54000"/>
    <s v="252+11"/>
    <s v="Yes"/>
    <m/>
    <s v="Yes"/>
    <m/>
    <s v="Yes"/>
    <m/>
    <s v="Yes"/>
    <m/>
    <s v="N/A"/>
    <m/>
    <s v="Yes"/>
    <m/>
    <s v="Yes"/>
    <m/>
    <s v="New"/>
    <s v="infasco"/>
    <n v="135.07999999999998"/>
    <n v="135.07999999999998"/>
  </r>
  <r>
    <x v="30"/>
    <x v="32"/>
    <n v="11602326"/>
    <n v="718622"/>
    <n v="39"/>
    <n v="120"/>
    <n v="4680"/>
    <s v="252+11"/>
    <s v="Yes"/>
    <m/>
    <s v="Yes"/>
    <m/>
    <s v="Yes"/>
    <m/>
    <s v="Yes"/>
    <m/>
    <s v="N/A"/>
    <m/>
    <s v="Yes"/>
    <m/>
    <s v="Yes"/>
    <m/>
    <s v="New"/>
    <s v="infasco"/>
    <n v="106.94"/>
    <n v="106.94"/>
  </r>
  <r>
    <x v="30"/>
    <x v="32"/>
    <s v="06101736-A"/>
    <n v="717765"/>
    <n v="24"/>
    <n v="3200"/>
    <n v="76800"/>
    <s v="252+11"/>
    <s v="Yes"/>
    <m/>
    <s v="Yes"/>
    <m/>
    <s v="Yes"/>
    <m/>
    <s v="Yes"/>
    <m/>
    <s v="N/A"/>
    <m/>
    <s v="Yes"/>
    <m/>
    <s v="Yes"/>
    <m/>
    <s v="New"/>
    <s v="infasco"/>
    <n v="106.94"/>
    <n v="106.94"/>
  </r>
  <r>
    <x v="30"/>
    <x v="32"/>
    <n v="11602292"/>
    <n v="718071"/>
    <n v="17"/>
    <n v="1000"/>
    <n v="17000"/>
    <s v="252+11"/>
    <s v="Yes"/>
    <m/>
    <s v="Yes"/>
    <m/>
    <s v="Yes"/>
    <m/>
    <s v="Yes"/>
    <m/>
    <s v="N/A"/>
    <m/>
    <s v="Yes"/>
    <m/>
    <s v="Yes"/>
    <m/>
    <s v="New"/>
    <s v="infasco"/>
    <n v="135.07999999999998"/>
    <n v="135.07999999999998"/>
  </r>
  <r>
    <x v="30"/>
    <x v="32"/>
    <s v="06508200AA"/>
    <n v="718061"/>
    <n v="27"/>
    <n v="700"/>
    <n v="18900"/>
    <s v="252+11"/>
    <s v="Yes"/>
    <m/>
    <s v="Yes"/>
    <m/>
    <s v="Yes"/>
    <m/>
    <s v="Yes"/>
    <m/>
    <s v="N/A"/>
    <m/>
    <s v="Yes"/>
    <m/>
    <s v="Yes"/>
    <m/>
    <s v="New"/>
    <s v="infasco"/>
    <n v="135.08000000000001"/>
    <n v="135.08000000000001"/>
  </r>
  <r>
    <x v="30"/>
    <x v="32"/>
    <s v="06508200AA"/>
    <n v="718062"/>
    <n v="15"/>
    <n v="700"/>
    <n v="10500"/>
    <s v="252+11"/>
    <s v="Yes"/>
    <m/>
    <s v="Yes"/>
    <m/>
    <s v="Yes"/>
    <m/>
    <s v="Yes"/>
    <m/>
    <s v="N/A"/>
    <m/>
    <s v="Yes"/>
    <m/>
    <s v="Yes"/>
    <m/>
    <s v="New"/>
    <s v="infasco"/>
    <n v="135.08000000000001"/>
    <n v="135.08000000000001"/>
  </r>
  <r>
    <x v="30"/>
    <x v="32"/>
    <s v="BL3W-4320-BA"/>
    <n v="714610"/>
    <n v="22"/>
    <n v="220"/>
    <n v="4840"/>
    <s v="252+11"/>
    <s v="Yes"/>
    <m/>
    <s v="Yes"/>
    <m/>
    <s v="Yes"/>
    <m/>
    <s v="Yes"/>
    <m/>
    <s v="N/A"/>
    <m/>
    <s v="Yes"/>
    <m/>
    <s v="Yes"/>
    <m/>
    <s v="New"/>
    <s v="infasco"/>
    <n v="106.94"/>
    <n v="106.94"/>
  </r>
  <r>
    <x v="30"/>
    <x v="32"/>
    <n v="40110160"/>
    <n v="716741"/>
    <n v="34"/>
    <n v="200"/>
    <n v="6800"/>
    <s v="252+11"/>
    <s v="Yes"/>
    <m/>
    <s v="Yes"/>
    <m/>
    <s v="Yes"/>
    <m/>
    <s v="Yes"/>
    <m/>
    <s v="N/A"/>
    <m/>
    <s v="Yes"/>
    <m/>
    <s v="Yes"/>
    <m/>
    <s v="New"/>
    <s v="infasco"/>
    <n v="106.94"/>
    <n v="106.94"/>
  </r>
  <r>
    <x v="31"/>
    <x v="10"/>
    <s v="11546437-MY-AK"/>
    <n v="718015"/>
    <n v="13"/>
    <n v="1500"/>
    <n v="19500"/>
    <n v="275"/>
    <s v="Yes"/>
    <m/>
    <s v="Yes"/>
    <m/>
    <s v="Yes"/>
    <m/>
    <s v="Yes"/>
    <m/>
    <s v="N/A"/>
    <m/>
    <s v="Yes"/>
    <m/>
    <s v="Yes"/>
    <m/>
    <s v="New"/>
    <s v="infasco"/>
    <n v="106.94"/>
    <n v="106.94"/>
  </r>
  <r>
    <x v="31"/>
    <x v="12"/>
    <s v="11546367-MY-AK"/>
    <n v="717505"/>
    <n v="36"/>
    <n v="700"/>
    <n v="25200"/>
    <n v="275"/>
    <s v="Yes"/>
    <m/>
    <s v="Yes"/>
    <m/>
    <s v="Yes"/>
    <m/>
    <s v="Yes"/>
    <m/>
    <s v="N/A"/>
    <m/>
    <s v="Yes"/>
    <m/>
    <s v="Yes"/>
    <m/>
    <s v="New"/>
    <s v="infasco"/>
    <n v="106.94"/>
    <n v="106.94"/>
  </r>
  <r>
    <x v="31"/>
    <x v="12"/>
    <s v="06502979-A"/>
    <n v="717571"/>
    <n v="24"/>
    <n v="750"/>
    <n v="18000"/>
    <n v="275"/>
    <s v="Yes"/>
    <m/>
    <s v="Yes"/>
    <m/>
    <s v="Yes"/>
    <m/>
    <s v="Yes"/>
    <m/>
    <s v="N/A"/>
    <m/>
    <s v="Yes"/>
    <m/>
    <s v="Yes"/>
    <m/>
    <s v="Re-certified"/>
    <s v="infasco"/>
    <n v="0"/>
    <n v="0"/>
  </r>
  <r>
    <x v="31"/>
    <x v="6"/>
    <s v="11610091-MY-AK"/>
    <n v="717562"/>
    <n v="22"/>
    <n v="2500"/>
    <n v="55000"/>
    <n v="275"/>
    <s v="Yes"/>
    <m/>
    <s v="Yes"/>
    <m/>
    <s v="Yes"/>
    <m/>
    <s v="Yes"/>
    <m/>
    <s v="N/A"/>
    <m/>
    <s v="Yes"/>
    <m/>
    <s v="Yes"/>
    <m/>
    <s v="Re-certified"/>
    <s v="infasco"/>
    <n v="0"/>
    <n v="0"/>
  </r>
  <r>
    <x v="31"/>
    <x v="8"/>
    <s v="11546367-MY-AK"/>
    <n v="718077"/>
    <n v="6"/>
    <n v="700"/>
    <n v="4200"/>
    <n v="275"/>
    <s v="Yes"/>
    <m/>
    <s v="Yes"/>
    <m/>
    <s v="Yes"/>
    <m/>
    <s v="Yes"/>
    <m/>
    <s v="N/A"/>
    <m/>
    <s v="Yes"/>
    <m/>
    <s v="Yes"/>
    <m/>
    <s v="New"/>
    <s v="infasco"/>
    <n v="106.94"/>
    <n v="106.94"/>
  </r>
  <r>
    <x v="31"/>
    <x v="8"/>
    <s v="11546367-MY-AK"/>
    <n v="718076"/>
    <n v="16"/>
    <n v="700"/>
    <n v="11200"/>
    <n v="275"/>
    <s v="Yes"/>
    <m/>
    <s v="Yes"/>
    <m/>
    <s v="Yes"/>
    <m/>
    <s v="Yes"/>
    <m/>
    <s v="N/A"/>
    <m/>
    <s v="Yes"/>
    <m/>
    <s v="Yes"/>
    <m/>
    <s v="New"/>
    <s v="infasco"/>
    <n v="106.94"/>
    <n v="106.94"/>
  </r>
  <r>
    <x v="31"/>
    <x v="8"/>
    <s v="11546367-MY-AK"/>
    <n v="717504"/>
    <n v="33"/>
    <n v="700"/>
    <n v="23100"/>
    <n v="275"/>
    <s v="Yes"/>
    <m/>
    <s v="Yes"/>
    <m/>
    <s v="Yes"/>
    <m/>
    <s v="Yes"/>
    <m/>
    <s v="N/A"/>
    <m/>
    <s v="Yes"/>
    <m/>
    <s v="Yes"/>
    <m/>
    <s v="New"/>
    <s v="infasco"/>
    <n v="106.94"/>
    <n v="106.94"/>
  </r>
  <r>
    <x v="31"/>
    <x v="8"/>
    <s v="06511637AA"/>
    <n v="717528"/>
    <n v="31"/>
    <n v="1200"/>
    <n v="37200"/>
    <n v="275"/>
    <s v="Yes"/>
    <m/>
    <s v="Yes"/>
    <m/>
    <s v="Yes"/>
    <m/>
    <s v="Yes"/>
    <m/>
    <s v="N/A"/>
    <m/>
    <s v="Yes"/>
    <m/>
    <s v="Yes"/>
    <m/>
    <s v="New"/>
    <s v="infasco"/>
    <n v="106.94"/>
    <n v="106.94"/>
  </r>
  <r>
    <x v="31"/>
    <x v="11"/>
    <s v="11546437-MY-AK"/>
    <n v="718012"/>
    <n v="11"/>
    <n v="1500"/>
    <n v="16500"/>
    <n v="275"/>
    <s v="Yes"/>
    <m/>
    <s v="Yes"/>
    <m/>
    <s v="Yes"/>
    <m/>
    <s v="Yes"/>
    <m/>
    <s v="N/A"/>
    <m/>
    <s v="Yes"/>
    <m/>
    <s v="Yes"/>
    <m/>
    <s v="New"/>
    <s v="infasco"/>
    <n v="106.94"/>
    <n v="106.94"/>
  </r>
  <r>
    <x v="31"/>
    <x v="9"/>
    <n v="11546389"/>
    <n v="718039"/>
    <n v="7"/>
    <n v="4500"/>
    <n v="31500"/>
    <n v="275"/>
    <s v="Yes"/>
    <m/>
    <s v="Yes"/>
    <m/>
    <s v="Yes"/>
    <m/>
    <s v="Yes"/>
    <m/>
    <s v="N/A"/>
    <m/>
    <s v="Yes"/>
    <m/>
    <s v="Yes"/>
    <m/>
    <s v="New"/>
    <s v="infasco"/>
    <n v="106.94"/>
    <n v="106.94"/>
  </r>
  <r>
    <x v="31"/>
    <x v="9"/>
    <n v="11546389"/>
    <n v="718038"/>
    <n v="21"/>
    <n v="4500"/>
    <n v="94500"/>
    <n v="275"/>
    <s v="Yes"/>
    <m/>
    <s v="Yes"/>
    <m/>
    <s v="Yes"/>
    <m/>
    <s v="Yes"/>
    <m/>
    <s v="N/A"/>
    <m/>
    <s v="Yes"/>
    <m/>
    <s v="Yes"/>
    <m/>
    <s v="New"/>
    <s v="infasco"/>
    <n v="106.94"/>
    <n v="106.94"/>
  </r>
  <r>
    <x v="31"/>
    <x v="28"/>
    <n v="11546566"/>
    <n v="718048"/>
    <n v="11"/>
    <n v="1800"/>
    <n v="19800"/>
    <n v="290"/>
    <s v="Yes"/>
    <m/>
    <s v="Yes"/>
    <m/>
    <s v="Yes"/>
    <m/>
    <s v="Yes"/>
    <m/>
    <s v="N/A"/>
    <m/>
    <s v="Yes"/>
    <m/>
    <s v="Yes"/>
    <m/>
    <s v="Re-certified"/>
    <s v="infasco"/>
    <n v="0"/>
    <n v="0"/>
  </r>
  <r>
    <x v="31"/>
    <x v="29"/>
    <s v="11546367-MY-AK"/>
    <n v="718017"/>
    <n v="42"/>
    <n v="1500"/>
    <n v="63000"/>
    <n v="290"/>
    <s v="Yes"/>
    <m/>
    <s v="Yes"/>
    <m/>
    <s v="Yes"/>
    <m/>
    <s v="Yes"/>
    <m/>
    <s v="N/A"/>
    <m/>
    <s v="Yes"/>
    <m/>
    <s v="Yes"/>
    <m/>
    <s v="New"/>
    <s v="infasco"/>
    <n v="106.94"/>
    <n v="106.94"/>
  </r>
  <r>
    <x v="31"/>
    <x v="31"/>
    <n v="11546462"/>
    <n v="718642"/>
    <n v="16"/>
    <n v="650"/>
    <n v="10400"/>
    <n v="290"/>
    <s v="Yes"/>
    <m/>
    <s v="Yes"/>
    <m/>
    <s v="Yes"/>
    <m/>
    <s v="Yes"/>
    <m/>
    <s v="N/A"/>
    <m/>
    <s v="Yes"/>
    <m/>
    <s v="Yes"/>
    <m/>
    <s v="New"/>
    <s v="infasco"/>
    <n v="106.94"/>
    <n v="106.94"/>
  </r>
  <r>
    <x v="31"/>
    <x v="31"/>
    <n v="11546462"/>
    <n v="718644"/>
    <n v="36"/>
    <n v="650"/>
    <n v="23400"/>
    <n v="290"/>
    <s v="Yes"/>
    <m/>
    <s v="Yes"/>
    <m/>
    <s v="Yes"/>
    <m/>
    <s v="Yes"/>
    <m/>
    <s v="N/A"/>
    <m/>
    <s v="Yes"/>
    <m/>
    <s v="Yes"/>
    <m/>
    <s v="New"/>
    <s v="infasco"/>
    <n v="106.94"/>
    <n v="106.94"/>
  </r>
  <r>
    <x v="31"/>
    <x v="31"/>
    <n v="11546462"/>
    <n v="718641"/>
    <n v="36"/>
    <n v="650"/>
    <n v="23400"/>
    <n v="290"/>
    <s v="Yes"/>
    <m/>
    <s v="Yes"/>
    <m/>
    <s v="Yes"/>
    <m/>
    <s v="Yes"/>
    <m/>
    <s v="N/A"/>
    <m/>
    <s v="Yes"/>
    <m/>
    <s v="Yes"/>
    <m/>
    <s v="New"/>
    <s v="infasco"/>
    <n v="106.94"/>
    <n v="106.94"/>
  </r>
  <r>
    <x v="31"/>
    <x v="31"/>
    <n v="11546462"/>
    <n v="718643"/>
    <n v="27"/>
    <n v="650"/>
    <n v="17550"/>
    <n v="290"/>
    <s v="Yes"/>
    <m/>
    <s v="Yes"/>
    <m/>
    <s v="Yes"/>
    <m/>
    <s v="Yes"/>
    <m/>
    <s v="N/A"/>
    <m/>
    <s v="Yes"/>
    <m/>
    <s v="Yes"/>
    <m/>
    <s v="New"/>
    <s v="infasco"/>
    <n v="106.94"/>
    <n v="106.94"/>
  </r>
  <r>
    <x v="31"/>
    <x v="31"/>
    <n v="11546462"/>
    <n v="718645"/>
    <n v="30"/>
    <n v="650"/>
    <n v="19500"/>
    <n v="290"/>
    <s v="Yes"/>
    <m/>
    <s v="Yes"/>
    <m/>
    <s v="Yes"/>
    <m/>
    <s v="Yes"/>
    <m/>
    <s v="N/A"/>
    <m/>
    <s v="Yes"/>
    <m/>
    <s v="Yes"/>
    <m/>
    <s v="New"/>
    <s v="infasco"/>
    <n v="106.94"/>
    <n v="106.94"/>
  </r>
  <r>
    <x v="31"/>
    <x v="26"/>
    <s v="11546367-MY-AK"/>
    <n v="718075"/>
    <n v="11"/>
    <n v="700"/>
    <n v="7700"/>
    <n v="290"/>
    <s v="Yes"/>
    <m/>
    <s v="Yes"/>
    <m/>
    <s v="Yes"/>
    <m/>
    <s v="Yes"/>
    <m/>
    <s v="N/A"/>
    <m/>
    <s v="Yes"/>
    <m/>
    <s v="Yes"/>
    <m/>
    <s v="New"/>
    <s v="infasco"/>
    <n v="106.94"/>
    <n v="106.94"/>
  </r>
  <r>
    <x v="31"/>
    <x v="26"/>
    <s v="11546367-MY-AK"/>
    <n v="717503"/>
    <n v="36"/>
    <n v="700"/>
    <n v="25200"/>
    <n v="290"/>
    <s v="Yes"/>
    <m/>
    <s v="Yes"/>
    <m/>
    <s v="Yes"/>
    <m/>
    <s v="Yes"/>
    <m/>
    <s v="N/A"/>
    <m/>
    <s v="Yes"/>
    <m/>
    <s v="Yes"/>
    <m/>
    <s v="New"/>
    <s v="infasco"/>
    <n v="106.94"/>
    <n v="106.94"/>
  </r>
  <r>
    <x v="31"/>
    <x v="26"/>
    <s v="W520113-S440"/>
    <n v="717232"/>
    <n v="36"/>
    <n v="1050"/>
    <n v="37800"/>
    <n v="290"/>
    <s v="Yes"/>
    <m/>
    <s v="Yes"/>
    <m/>
    <s v="Yes"/>
    <m/>
    <s v="Yes"/>
    <m/>
    <s v="N/A"/>
    <m/>
    <s v="Yes"/>
    <m/>
    <s v="Yes"/>
    <m/>
    <s v="New"/>
    <s v="infasco"/>
    <n v="106.94"/>
    <n v="106.94"/>
  </r>
  <r>
    <x v="31"/>
    <x v="27"/>
    <n v="1159170"/>
    <n v="716916"/>
    <n v="11"/>
    <n v="400"/>
    <n v="4400"/>
    <n v="290"/>
    <s v="Yes"/>
    <m/>
    <s v="Yes"/>
    <m/>
    <s v="Yes"/>
    <m/>
    <s v="Yes"/>
    <m/>
    <s v="N/A"/>
    <m/>
    <s v="Yes"/>
    <m/>
    <s v="Yes"/>
    <m/>
    <s v="New"/>
    <e v="#N/A"/>
    <e v="#N/A"/>
    <e v="#N/A"/>
  </r>
  <r>
    <x v="31"/>
    <x v="27"/>
    <s v="NU5108"/>
    <n v="718331"/>
    <n v="1"/>
    <n v="16000"/>
    <n v="16000"/>
    <n v="290"/>
    <s v="Yes"/>
    <m/>
    <s v="Yes"/>
    <m/>
    <s v="Yes"/>
    <m/>
    <s v="Yes"/>
    <m/>
    <s v="N/A"/>
    <m/>
    <s v="Yes"/>
    <m/>
    <s v="Yes"/>
    <m/>
    <s v="Re-certified"/>
    <s v="infasco"/>
    <n v="0"/>
    <n v="0"/>
  </r>
  <r>
    <x v="31"/>
    <x v="30"/>
    <s v="11546367-MY-AK"/>
    <n v="717496"/>
    <n v="13"/>
    <n v="700"/>
    <n v="9100"/>
    <n v="290"/>
    <s v="Yes"/>
    <m/>
    <s v="Yes"/>
    <m/>
    <s v="Yes"/>
    <m/>
    <s v="Yes"/>
    <m/>
    <s v="N/A"/>
    <m/>
    <s v="Yes"/>
    <m/>
    <s v="Yes"/>
    <m/>
    <s v="New"/>
    <s v="infasco"/>
    <n v="106.94"/>
    <n v="106.94"/>
  </r>
  <r>
    <x v="31"/>
    <x v="30"/>
    <s v="11546367-MY-AK"/>
    <n v="717499"/>
    <n v="36"/>
    <n v="700"/>
    <n v="25200"/>
    <n v="290"/>
    <s v="Yes"/>
    <m/>
    <s v="Yes"/>
    <m/>
    <s v="Yes"/>
    <m/>
    <s v="Yes"/>
    <m/>
    <s v="N/A"/>
    <m/>
    <s v="Yes"/>
    <m/>
    <s v="Yes"/>
    <m/>
    <s v="New"/>
    <s v="infasco"/>
    <n v="106.94"/>
    <n v="106.94"/>
  </r>
  <r>
    <x v="31"/>
    <x v="30"/>
    <s v="11546367-MY-AK"/>
    <n v="718073"/>
    <n v="30"/>
    <n v="700"/>
    <n v="21000"/>
    <n v="290"/>
    <s v="Yes"/>
    <m/>
    <s v="Yes"/>
    <m/>
    <s v="Yes"/>
    <m/>
    <s v="Yes"/>
    <m/>
    <s v="N/A"/>
    <m/>
    <s v="Yes"/>
    <m/>
    <s v="Yes"/>
    <m/>
    <s v="New"/>
    <s v="infasco"/>
    <n v="106.94"/>
    <n v="106.94"/>
  </r>
  <r>
    <x v="31"/>
    <x v="4"/>
    <n v="11546377"/>
    <n v="718866"/>
    <n v="18"/>
    <n v="2150"/>
    <n v="38700"/>
    <n v="4"/>
    <s v="Yes"/>
    <m/>
    <s v="Yes"/>
    <m/>
    <s v="Yes"/>
    <m/>
    <s v="Yes"/>
    <m/>
    <s v="N/A"/>
    <m/>
    <s v="Yes"/>
    <m/>
    <s v="Yes"/>
    <m/>
    <s v="New"/>
    <s v="infasco"/>
    <n v="106.94"/>
    <n v="106.94"/>
  </r>
  <r>
    <x v="31"/>
    <x v="4"/>
    <n v="11546377"/>
    <n v="718864"/>
    <n v="24"/>
    <n v="2150"/>
    <n v="51600"/>
    <n v="4"/>
    <s v="Yes"/>
    <m/>
    <s v="Yes"/>
    <m/>
    <s v="Yes"/>
    <m/>
    <s v="Yes"/>
    <m/>
    <s v="N/A"/>
    <m/>
    <s v="Yes"/>
    <m/>
    <s v="Yes"/>
    <m/>
    <s v="Re-certified"/>
    <s v="infasco"/>
    <n v="0"/>
    <n v="0"/>
  </r>
  <r>
    <x v="31"/>
    <x v="5"/>
    <s v="W711953-S900"/>
    <n v="718045"/>
    <n v="8"/>
    <n v="1750"/>
    <n v="14000"/>
    <n v="4"/>
    <s v="Yes"/>
    <m/>
    <s v="Yes"/>
    <m/>
    <s v="Yes"/>
    <m/>
    <s v="Yes"/>
    <m/>
    <s v="N/A"/>
    <m/>
    <s v="Yes"/>
    <m/>
    <s v="Yes"/>
    <m/>
    <s v="New"/>
    <s v="infasco"/>
    <n v="106.94"/>
    <n v="106.94"/>
  </r>
  <r>
    <x v="31"/>
    <x v="5"/>
    <s v="W711953-S900"/>
    <n v="718046"/>
    <n v="36"/>
    <n v="1750"/>
    <n v="63000"/>
    <n v="4"/>
    <s v="Yes"/>
    <m/>
    <s v="Yes"/>
    <m/>
    <s v="Yes"/>
    <m/>
    <s v="Yes"/>
    <m/>
    <s v="N/A"/>
    <m/>
    <s v="Yes"/>
    <m/>
    <s v="Yes"/>
    <m/>
    <s v="New"/>
    <s v="infasco"/>
    <n v="106.94"/>
    <n v="106.94"/>
  </r>
  <r>
    <x v="31"/>
    <x v="5"/>
    <s v="W711953-S900"/>
    <n v="718052"/>
    <n v="4"/>
    <n v="1750"/>
    <n v="7000"/>
    <n v="4"/>
    <s v="Yes"/>
    <m/>
    <s v="Yes"/>
    <m/>
    <s v="Yes"/>
    <m/>
    <s v="Yes"/>
    <m/>
    <s v="N/A"/>
    <m/>
    <s v="Yes"/>
    <m/>
    <s v="Yes"/>
    <m/>
    <s v="Re-certified"/>
    <s v="infasco"/>
    <n v="0"/>
    <n v="0"/>
  </r>
  <r>
    <x v="31"/>
    <x v="3"/>
    <s v="11546367-MY-AK"/>
    <n v="717506"/>
    <n v="36"/>
    <n v="700"/>
    <n v="25200"/>
    <n v="4"/>
    <s v="Yes"/>
    <m/>
    <s v="Yes"/>
    <m/>
    <s v="Yes"/>
    <m/>
    <s v="Yes"/>
    <m/>
    <s v="N/A"/>
    <m/>
    <s v="Yes"/>
    <m/>
    <s v="Yes"/>
    <m/>
    <s v="New"/>
    <s v="infasco"/>
    <n v="106.94"/>
    <n v="106.94"/>
  </r>
  <r>
    <x v="31"/>
    <x v="3"/>
    <s v="11546367-MY-AK"/>
    <n v="717501"/>
    <n v="36"/>
    <n v="700"/>
    <n v="25200"/>
    <n v="4"/>
    <s v="Yes"/>
    <m/>
    <s v="Yes"/>
    <m/>
    <s v="Yes"/>
    <m/>
    <s v="Yes"/>
    <m/>
    <s v="N/A"/>
    <m/>
    <s v="Yes"/>
    <m/>
    <s v="Yes"/>
    <m/>
    <s v="New"/>
    <s v="infasco"/>
    <n v="106.94"/>
    <n v="106.94"/>
  </r>
  <r>
    <x v="31"/>
    <x v="0"/>
    <n v="11546377"/>
    <n v="718865"/>
    <n v="23"/>
    <n v="2150"/>
    <n v="49450"/>
    <n v="4"/>
    <s v="Yes"/>
    <m/>
    <s v="Yes"/>
    <m/>
    <s v="Yes"/>
    <m/>
    <s v="Yes"/>
    <m/>
    <s v="N/A"/>
    <m/>
    <s v="Yes"/>
    <m/>
    <s v="Yes"/>
    <m/>
    <s v="Re-certified"/>
    <s v="infasco"/>
    <n v="0"/>
    <n v="0"/>
  </r>
  <r>
    <x v="31"/>
    <x v="2"/>
    <n v="11549168"/>
    <n v="717375"/>
    <n v="3"/>
    <n v="1000"/>
    <n v="3000"/>
    <n v="4"/>
    <s v="Yes"/>
    <m/>
    <s v="Yes"/>
    <m/>
    <s v="Yes"/>
    <m/>
    <s v="Yes"/>
    <m/>
    <s v="N/A"/>
    <m/>
    <s v="Yes"/>
    <m/>
    <s v="Yes"/>
    <m/>
    <s v="New"/>
    <s v="infasco"/>
    <n v="106.94"/>
    <n v="106.94"/>
  </r>
  <r>
    <x v="31"/>
    <x v="2"/>
    <s v="06502979-A"/>
    <n v="717570"/>
    <n v="34"/>
    <n v="750"/>
    <n v="25500"/>
    <n v="4"/>
    <s v="Yes"/>
    <m/>
    <s v="Yes"/>
    <m/>
    <s v="Yes"/>
    <m/>
    <s v="Yes"/>
    <m/>
    <s v="N/A"/>
    <m/>
    <s v="Yes"/>
    <m/>
    <s v="Yes"/>
    <m/>
    <s v="Re-certified"/>
    <s v="infasco"/>
    <n v="0"/>
    <n v="0"/>
  </r>
  <r>
    <x v="31"/>
    <x v="1"/>
    <s v="11546437-MY-AK"/>
    <n v="718016"/>
    <n v="13"/>
    <n v="1500"/>
    <n v="19500"/>
    <n v="4"/>
    <s v="Yes"/>
    <m/>
    <s v="Yes"/>
    <m/>
    <s v="Yes"/>
    <m/>
    <s v="Yes"/>
    <m/>
    <s v="N/A"/>
    <m/>
    <s v="Yes"/>
    <m/>
    <s v="Yes"/>
    <m/>
    <s v="New"/>
    <s v="infasco"/>
    <n v="106.94"/>
    <n v="106.94"/>
  </r>
  <r>
    <x v="31"/>
    <x v="19"/>
    <s v="11549168-CA-IN"/>
    <n v="707555"/>
    <n v="5"/>
    <n v="1000"/>
    <n v="5000"/>
    <n v="285"/>
    <s v="Yes"/>
    <m/>
    <s v="Yes"/>
    <m/>
    <s v="Yes"/>
    <m/>
    <s v="Yes"/>
    <m/>
    <s v="N/A"/>
    <m/>
    <s v="Yes"/>
    <m/>
    <s v="Yes"/>
    <m/>
    <s v="New"/>
    <s v="infasco"/>
    <n v="213.88"/>
    <n v="213.88"/>
  </r>
  <r>
    <x v="31"/>
    <x v="19"/>
    <s v="11549168-CA-IN"/>
    <n v="716958"/>
    <n v="1"/>
    <n v="45000"/>
    <n v="45000"/>
    <n v="285"/>
    <s v="Yes"/>
    <m/>
    <s v="Yes"/>
    <m/>
    <s v="Yes"/>
    <m/>
    <s v="Yes"/>
    <m/>
    <s v="N/A"/>
    <m/>
    <s v="Yes"/>
    <m/>
    <s v="Yes"/>
    <m/>
    <s v="Re-certified"/>
    <s v="infasco"/>
    <n v="0"/>
    <n v="0"/>
  </r>
  <r>
    <x v="31"/>
    <x v="25"/>
    <n v="11561645"/>
    <n v="718058"/>
    <n v="29"/>
    <n v="4000"/>
    <n v="116000"/>
    <n v="280"/>
    <s v="Yes"/>
    <m/>
    <s v="Yes"/>
    <m/>
    <s v="Yes"/>
    <m/>
    <s v="Yes"/>
    <m/>
    <s v="N/A"/>
    <m/>
    <s v="Yes"/>
    <m/>
    <s v="Yes"/>
    <m/>
    <s v="New"/>
    <s v="infasco"/>
    <n v="106.94"/>
    <n v="106.94"/>
  </r>
  <r>
    <x v="31"/>
    <x v="25"/>
    <s v="NU5108"/>
    <n v="718330"/>
    <n v="1"/>
    <n v="12000"/>
    <n v="12000"/>
    <n v="280"/>
    <s v="Yes"/>
    <m/>
    <s v="Yes"/>
    <m/>
    <s v="Yes"/>
    <m/>
    <s v="Yes"/>
    <m/>
    <s v="N/A"/>
    <m/>
    <s v="Yes"/>
    <m/>
    <s v="Yes"/>
    <m/>
    <s v="Re-certified"/>
    <s v="infasco"/>
    <n v="0"/>
    <n v="0"/>
  </r>
  <r>
    <x v="31"/>
    <x v="24"/>
    <n v="11561645"/>
    <n v="718057"/>
    <n v="5"/>
    <n v="4000"/>
    <n v="20000"/>
    <n v="280"/>
    <s v="Yes"/>
    <m/>
    <s v="Yes"/>
    <m/>
    <s v="Yes"/>
    <m/>
    <s v="Yes"/>
    <m/>
    <s v="N/A"/>
    <m/>
    <s v="Yes"/>
    <m/>
    <s v="Yes"/>
    <m/>
    <s v="New"/>
    <s v="infasco"/>
    <n v="106.94"/>
    <n v="106.94"/>
  </r>
  <r>
    <x v="31"/>
    <x v="24"/>
    <n v="11561645"/>
    <n v="718059"/>
    <n v="24"/>
    <n v="4000"/>
    <n v="96000"/>
    <n v="280"/>
    <s v="Yes"/>
    <m/>
    <s v="Yes"/>
    <m/>
    <s v="Yes"/>
    <m/>
    <s v="Yes"/>
    <m/>
    <s v="N/A"/>
    <m/>
    <s v="Yes"/>
    <m/>
    <s v="Yes"/>
    <m/>
    <s v="Re-certified"/>
    <s v="infasco"/>
    <n v="0"/>
    <n v="0"/>
  </r>
  <r>
    <x v="31"/>
    <x v="22"/>
    <s v="11610091-MY-AK"/>
    <n v="717286"/>
    <n v="4"/>
    <n v="2500"/>
    <n v="10000"/>
    <n v="280"/>
    <s v="Yes"/>
    <m/>
    <s v="Yes"/>
    <m/>
    <s v="Yes"/>
    <m/>
    <s v="Yes"/>
    <m/>
    <s v="N/A"/>
    <m/>
    <s v="Yes"/>
    <m/>
    <s v="Yes"/>
    <m/>
    <s v="New"/>
    <s v="infasco"/>
    <n v="106.94"/>
    <n v="106.94"/>
  </r>
  <r>
    <x v="31"/>
    <x v="22"/>
    <s v="11610091-MY-AK"/>
    <n v="717290"/>
    <n v="30"/>
    <n v="2500"/>
    <n v="75000"/>
    <n v="280"/>
    <s v="Yes"/>
    <m/>
    <s v="Yes"/>
    <m/>
    <s v="Yes"/>
    <m/>
    <s v="Yes"/>
    <m/>
    <s v="N/A"/>
    <m/>
    <s v="Yes"/>
    <m/>
    <s v="Yes"/>
    <m/>
    <s v="New"/>
    <s v="infasco"/>
    <n v="106.94"/>
    <n v="106.94"/>
  </r>
  <r>
    <x v="31"/>
    <x v="22"/>
    <s v="11610091-MY-AK"/>
    <n v="717559"/>
    <n v="10"/>
    <n v="2500"/>
    <n v="25000"/>
    <n v="280"/>
    <s v="Yes"/>
    <m/>
    <s v="Yes"/>
    <m/>
    <s v="Yes"/>
    <m/>
    <s v="Yes"/>
    <m/>
    <s v="N/A"/>
    <m/>
    <s v="Yes"/>
    <m/>
    <s v="Yes"/>
    <m/>
    <s v="Re-certified"/>
    <s v="infasco"/>
    <n v="0"/>
    <n v="0"/>
  </r>
  <r>
    <x v="31"/>
    <x v="20"/>
    <n v="11546462"/>
    <n v="718639"/>
    <n v="31"/>
    <n v="650"/>
    <n v="20150"/>
    <n v="280"/>
    <s v="Yes"/>
    <m/>
    <s v="Yes"/>
    <m/>
    <s v="Yes"/>
    <m/>
    <s v="Yes"/>
    <m/>
    <s v="N/A"/>
    <m/>
    <s v="Yes"/>
    <m/>
    <s v="Yes"/>
    <m/>
    <s v="New"/>
    <s v="infasco"/>
    <n v="106.94"/>
    <n v="106.94"/>
  </r>
  <r>
    <x v="31"/>
    <x v="20"/>
    <n v="11546462"/>
    <n v="718646"/>
    <n v="10"/>
    <n v="650"/>
    <n v="6500"/>
    <n v="280"/>
    <s v="Yes"/>
    <m/>
    <s v="Yes"/>
    <m/>
    <s v="Yes"/>
    <m/>
    <s v="Yes"/>
    <m/>
    <s v="N/A"/>
    <m/>
    <s v="Yes"/>
    <m/>
    <s v="Yes"/>
    <m/>
    <s v="Re-certified"/>
    <s v="infasco"/>
    <n v="0"/>
    <n v="0"/>
  </r>
  <r>
    <x v="31"/>
    <x v="21"/>
    <s v="NU5108"/>
    <n v="714234"/>
    <n v="1"/>
    <n v="62000"/>
    <n v="62000"/>
    <n v="280"/>
    <s v="Yes"/>
    <m/>
    <s v="Yes"/>
    <m/>
    <s v="Yes"/>
    <m/>
    <s v="Yes"/>
    <m/>
    <s v="N/A"/>
    <m/>
    <s v="Yes"/>
    <m/>
    <s v="Yes"/>
    <m/>
    <s v="New"/>
    <s v="infasco"/>
    <n v="129.44999999999999"/>
    <n v="129.44999999999999"/>
  </r>
  <r>
    <x v="31"/>
    <x v="15"/>
    <n v="11602326"/>
    <n v="718623"/>
    <n v="2"/>
    <n v="120"/>
    <n v="240"/>
    <s v="157+297"/>
    <s v="Yes"/>
    <m/>
    <s v="Yes"/>
    <m/>
    <s v="Yes"/>
    <m/>
    <s v="Yes"/>
    <m/>
    <s v="N/A"/>
    <m/>
    <s v="Yes"/>
    <m/>
    <s v="Yes"/>
    <m/>
    <s v="New"/>
    <s v="infasco"/>
    <n v="106.94"/>
    <n v="106.94"/>
  </r>
  <r>
    <x v="31"/>
    <x v="15"/>
    <s v="NU1510"/>
    <n v="718664"/>
    <n v="1"/>
    <n v="35000"/>
    <n v="35000"/>
    <s v="157+297"/>
    <s v="Yes"/>
    <m/>
    <s v="Yes"/>
    <m/>
    <s v="Yes"/>
    <m/>
    <s v="Yes"/>
    <m/>
    <s v="N/A"/>
    <m/>
    <s v="Yes"/>
    <m/>
    <s v="Yes"/>
    <m/>
    <s v="New"/>
    <s v="infasco"/>
    <n v="129.44999999999999"/>
    <n v="129.44999999999999"/>
  </r>
  <r>
    <x v="31"/>
    <x v="15"/>
    <s v="NU1510"/>
    <n v="717101"/>
    <n v="1"/>
    <n v="35000"/>
    <n v="35000"/>
    <s v="157+297"/>
    <s v="Yes"/>
    <m/>
    <s v="Yes"/>
    <m/>
    <s v="Yes"/>
    <m/>
    <s v="Yes"/>
    <m/>
    <s v="N/A"/>
    <m/>
    <s v="Yes"/>
    <m/>
    <s v="Yes"/>
    <m/>
    <s v="New"/>
    <s v="infasco"/>
    <n v="129.44999999999999"/>
    <n v="129.44999999999999"/>
  </r>
  <r>
    <x v="31"/>
    <x v="15"/>
    <s v="NU1510"/>
    <n v="717102"/>
    <n v="1"/>
    <n v="53850"/>
    <n v="53850"/>
    <s v="157+297"/>
    <s v="Yes"/>
    <m/>
    <s v="Yes"/>
    <m/>
    <s v="Yes"/>
    <m/>
    <s v="Yes"/>
    <m/>
    <s v="N/A"/>
    <m/>
    <s v="Yes"/>
    <m/>
    <s v="Yes"/>
    <m/>
    <s v="New"/>
    <s v="infasco"/>
    <n v="129.44999999999999"/>
    <n v="129.44999999999999"/>
  </r>
  <r>
    <x v="31"/>
    <x v="15"/>
    <s v="11546370-IN-PN"/>
    <n v="717864"/>
    <n v="36"/>
    <n v="220"/>
    <n v="7920"/>
    <s v="157+297"/>
    <s v="Yes"/>
    <m/>
    <s v="Yes"/>
    <m/>
    <s v="Yes"/>
    <m/>
    <s v="Yes"/>
    <m/>
    <s v="N/A"/>
    <m/>
    <s v="Yes"/>
    <m/>
    <s v="Yes"/>
    <m/>
    <s v="New"/>
    <s v="infasco"/>
    <n v="106.94"/>
    <n v="106.94"/>
  </r>
  <r>
    <x v="31"/>
    <x v="15"/>
    <s v="11546370-IN-PN"/>
    <n v="717492"/>
    <n v="37"/>
    <n v="220"/>
    <n v="8140"/>
    <s v="157+297"/>
    <s v="Yes"/>
    <m/>
    <s v="Yes"/>
    <m/>
    <s v="Yes"/>
    <m/>
    <s v="Yes"/>
    <m/>
    <s v="N/A"/>
    <m/>
    <s v="Yes"/>
    <m/>
    <s v="Yes"/>
    <m/>
    <s v="New"/>
    <s v="infasco"/>
    <n v="106.94"/>
    <n v="106.94"/>
  </r>
  <r>
    <x v="31"/>
    <x v="15"/>
    <n v="11549204"/>
    <n v="717551"/>
    <n v="36"/>
    <n v="210"/>
    <n v="7560"/>
    <s v="157+297"/>
    <s v="Yes"/>
    <m/>
    <s v="Yes"/>
    <m/>
    <s v="Yes"/>
    <m/>
    <s v="Yes"/>
    <m/>
    <s v="N/A"/>
    <m/>
    <s v="Yes"/>
    <m/>
    <s v="Yes"/>
    <m/>
    <s v="New"/>
    <s v="infasco"/>
    <n v="106.94"/>
    <n v="106.94"/>
  </r>
  <r>
    <x v="31"/>
    <x v="15"/>
    <n v="11549204"/>
    <n v="717957"/>
    <n v="36"/>
    <n v="210"/>
    <n v="7560"/>
    <s v="157+297"/>
    <s v="Yes"/>
    <m/>
    <s v="Yes"/>
    <m/>
    <s v="Yes"/>
    <m/>
    <s v="Yes"/>
    <m/>
    <s v="N/A"/>
    <m/>
    <s v="Yes"/>
    <m/>
    <s v="Yes"/>
    <m/>
    <s v="New"/>
    <s v="infasco"/>
    <n v="106.94"/>
    <n v="106.94"/>
  </r>
  <r>
    <x v="31"/>
    <x v="15"/>
    <n v="11549204"/>
    <n v="717958"/>
    <n v="36"/>
    <n v="210"/>
    <n v="7560"/>
    <s v="157+297"/>
    <s v="Yes"/>
    <m/>
    <s v="Yes"/>
    <m/>
    <s v="Yes"/>
    <m/>
    <s v="Yes"/>
    <m/>
    <s v="N/A"/>
    <m/>
    <s v="Yes"/>
    <m/>
    <s v="Yes"/>
    <m/>
    <s v="New"/>
    <s v="infasco"/>
    <n v="106.94"/>
    <n v="106.94"/>
  </r>
  <r>
    <x v="31"/>
    <x v="15"/>
    <n v="11549204"/>
    <n v="717963"/>
    <n v="36"/>
    <n v="210"/>
    <n v="7560"/>
    <s v="157+297"/>
    <s v="Yes"/>
    <m/>
    <s v="Yes"/>
    <m/>
    <s v="Yes"/>
    <m/>
    <s v="Yes"/>
    <m/>
    <s v="N/A"/>
    <m/>
    <s v="Yes"/>
    <m/>
    <s v="Yes"/>
    <m/>
    <s v="New"/>
    <s v="infasco"/>
    <n v="106.94"/>
    <n v="106.94"/>
  </r>
  <r>
    <x v="31"/>
    <x v="16"/>
    <s v="W20-1028-010NA"/>
    <n v="710204"/>
    <n v="1"/>
    <n v="8380"/>
    <n v="8380"/>
    <s v="279+391"/>
    <s v="Yes"/>
    <m/>
    <s v="Yes"/>
    <m/>
    <s v="Yes"/>
    <m/>
    <s v="Yes"/>
    <m/>
    <s v="N/A"/>
    <m/>
    <s v="Yes"/>
    <m/>
    <s v="Yes"/>
    <m/>
    <s v="New"/>
    <s v="infasco"/>
    <n v="106.94"/>
    <n v="106.94"/>
  </r>
  <r>
    <x v="31"/>
    <x v="16"/>
    <s v="NU1144"/>
    <n v="718854"/>
    <n v="1"/>
    <n v="22740"/>
    <n v="22740"/>
    <s v="279+391"/>
    <s v="Yes"/>
    <m/>
    <s v="Yes"/>
    <m/>
    <s v="Yes"/>
    <m/>
    <s v="Yes"/>
    <m/>
    <s v="N/A"/>
    <m/>
    <s v="Yes"/>
    <m/>
    <s v="Yes"/>
    <m/>
    <s v="New"/>
    <s v="infasco"/>
    <n v="51.78"/>
    <n v="51.78"/>
  </r>
  <r>
    <x v="31"/>
    <x v="16"/>
    <s v="06105051AA"/>
    <n v="717582"/>
    <n v="36"/>
    <n v="620"/>
    <n v="22320"/>
    <s v="279+391"/>
    <s v="Yes"/>
    <m/>
    <s v="Yes"/>
    <m/>
    <s v="Yes"/>
    <m/>
    <s v="Yes"/>
    <m/>
    <s v="N/A"/>
    <m/>
    <s v="Yes"/>
    <m/>
    <s v="Yes"/>
    <m/>
    <s v="New"/>
    <s v="infasco"/>
    <n v="135.07999999999998"/>
    <n v="135.07999999999998"/>
  </r>
  <r>
    <x v="31"/>
    <x v="16"/>
    <s v="06105051AA"/>
    <n v="717581"/>
    <n v="16"/>
    <n v="620"/>
    <n v="9920"/>
    <s v="279+391"/>
    <s v="Yes"/>
    <m/>
    <s v="Yes"/>
    <m/>
    <s v="Yes"/>
    <m/>
    <s v="Yes"/>
    <m/>
    <s v="N/A"/>
    <m/>
    <s v="Yes"/>
    <m/>
    <s v="Yes"/>
    <m/>
    <s v="New"/>
    <s v="infasco"/>
    <n v="135.07999999999998"/>
    <n v="135.07999999999998"/>
  </r>
  <r>
    <x v="31"/>
    <x v="16"/>
    <s v="06511777AA"/>
    <n v="717160"/>
    <n v="36"/>
    <n v="410"/>
    <n v="14760"/>
    <s v="279+391"/>
    <s v="Yes"/>
    <m/>
    <s v="Yes"/>
    <m/>
    <s v="Yes"/>
    <m/>
    <s v="Yes"/>
    <m/>
    <s v="N/A"/>
    <m/>
    <s v="Yes"/>
    <m/>
    <s v="Yes"/>
    <m/>
    <s v="New"/>
    <s v="infasco"/>
    <n v="135.07999999999998"/>
    <n v="135.07999999999998"/>
  </r>
  <r>
    <x v="31"/>
    <x v="16"/>
    <s v="06511777AA"/>
    <n v="717159"/>
    <n v="36"/>
    <n v="410"/>
    <n v="14760"/>
    <s v="279+391"/>
    <s v="Yes"/>
    <m/>
    <s v="Yes"/>
    <m/>
    <s v="Yes"/>
    <m/>
    <s v="Yes"/>
    <m/>
    <s v="N/A"/>
    <m/>
    <s v="Yes"/>
    <m/>
    <s v="Yes"/>
    <m/>
    <s v="New"/>
    <s v="infasco"/>
    <n v="135.07999999999998"/>
    <n v="135.07999999999998"/>
  </r>
  <r>
    <x v="31"/>
    <x v="16"/>
    <s v="06511777AA"/>
    <n v="716745"/>
    <n v="38"/>
    <n v="410"/>
    <n v="15580"/>
    <s v="279+391"/>
    <s v="Yes"/>
    <m/>
    <s v="Yes"/>
    <m/>
    <s v="Yes"/>
    <m/>
    <s v="Yes"/>
    <m/>
    <s v="N/A"/>
    <m/>
    <s v="Yes"/>
    <m/>
    <s v="Yes"/>
    <m/>
    <s v="New"/>
    <s v="infasco"/>
    <n v="135.07999999999998"/>
    <n v="135.07999999999998"/>
  </r>
  <r>
    <x v="31"/>
    <x v="16"/>
    <n v="11549204"/>
    <n v="717967"/>
    <n v="36"/>
    <n v="210"/>
    <n v="7560"/>
    <s v="279+391"/>
    <s v="Yes"/>
    <m/>
    <s v="Yes"/>
    <m/>
    <s v="Yes"/>
    <m/>
    <s v="Yes"/>
    <m/>
    <s v="N/A"/>
    <m/>
    <s v="Yes"/>
    <m/>
    <s v="Yes"/>
    <m/>
    <s v="New"/>
    <s v="infasco"/>
    <n v="106.94"/>
    <n v="106.94"/>
  </r>
  <r>
    <x v="31"/>
    <x v="16"/>
    <s v="11546370-IN-PN"/>
    <n v="717187"/>
    <n v="36"/>
    <n v="220"/>
    <n v="7920"/>
    <s v="279+391"/>
    <s v="Yes"/>
    <m/>
    <s v="Yes"/>
    <m/>
    <s v="Yes"/>
    <m/>
    <s v="Yes"/>
    <m/>
    <s v="N/A"/>
    <m/>
    <s v="Yes"/>
    <m/>
    <s v="Yes"/>
    <m/>
    <s v="New"/>
    <s v="infasco"/>
    <n v="106.94"/>
    <n v="106.94"/>
  </r>
  <r>
    <x v="31"/>
    <x v="16"/>
    <s v="11546370-IN-PN"/>
    <n v="717185"/>
    <n v="15"/>
    <n v="220"/>
    <n v="3300"/>
    <s v="279+391"/>
    <s v="Yes"/>
    <m/>
    <s v="Yes"/>
    <m/>
    <s v="Yes"/>
    <m/>
    <s v="Yes"/>
    <m/>
    <s v="N/A"/>
    <m/>
    <s v="Yes"/>
    <m/>
    <s v="Yes"/>
    <m/>
    <s v="Re-certified"/>
    <s v="infasco"/>
    <n v="0"/>
    <n v="0"/>
  </r>
  <r>
    <x v="31"/>
    <x v="17"/>
    <n v="11549204"/>
    <n v="717962"/>
    <n v="24"/>
    <n v="210"/>
    <n v="5040"/>
    <s v="190+268"/>
    <s v="Yes"/>
    <m/>
    <s v="Yes"/>
    <m/>
    <s v="Yes"/>
    <m/>
    <s v="Yes"/>
    <m/>
    <s v="N/A"/>
    <m/>
    <s v="Yes"/>
    <m/>
    <s v="Yes"/>
    <m/>
    <s v="New"/>
    <s v="infasco"/>
    <n v="106.94"/>
    <n v="106.94"/>
  </r>
  <r>
    <x v="31"/>
    <x v="17"/>
    <s v="NU1510"/>
    <n v="718663"/>
    <n v="1"/>
    <n v="35000"/>
    <n v="35000"/>
    <s v="190+268"/>
    <s v="Yes"/>
    <m/>
    <s v="Yes"/>
    <m/>
    <s v="Yes"/>
    <m/>
    <s v="Yes"/>
    <m/>
    <s v="N/A"/>
    <m/>
    <s v="Yes"/>
    <m/>
    <s v="Yes"/>
    <m/>
    <s v="New"/>
    <s v="infasco"/>
    <n v="129.44999999999999"/>
    <n v="129.44999999999999"/>
  </r>
  <r>
    <x v="31"/>
    <x v="17"/>
    <s v="NU1510"/>
    <n v="718665"/>
    <n v="1"/>
    <n v="46650"/>
    <n v="46650"/>
    <s v="190+268"/>
    <s v="Yes"/>
    <m/>
    <s v="Yes"/>
    <m/>
    <s v="Yes"/>
    <m/>
    <s v="Yes"/>
    <m/>
    <s v="N/A"/>
    <m/>
    <s v="Yes"/>
    <m/>
    <s v="Yes"/>
    <m/>
    <s v="New"/>
    <s v="infasco"/>
    <n v="129.44999999999999"/>
    <n v="129.44999999999999"/>
  </r>
  <r>
    <x v="31"/>
    <x v="17"/>
    <s v="11546370-IN-PN"/>
    <n v="717868"/>
    <n v="29"/>
    <n v="220"/>
    <n v="6380"/>
    <s v="190+268"/>
    <s v="Yes"/>
    <m/>
    <s v="Yes"/>
    <m/>
    <s v="Yes"/>
    <m/>
    <s v="Yes"/>
    <m/>
    <s v="N/A"/>
    <m/>
    <s v="Yes"/>
    <m/>
    <s v="Yes"/>
    <m/>
    <s v="New"/>
    <s v="infasco"/>
    <n v="106.94"/>
    <n v="106.94"/>
  </r>
  <r>
    <x v="31"/>
    <x v="17"/>
    <s v="F1302AB"/>
    <n v="716018"/>
    <n v="36"/>
    <n v="700"/>
    <n v="25200"/>
    <s v="190+268"/>
    <s v="Yes"/>
    <m/>
    <s v="Yes"/>
    <m/>
    <s v="Yes"/>
    <m/>
    <s v="Yes"/>
    <m/>
    <s v="N/A"/>
    <m/>
    <s v="Yes"/>
    <m/>
    <s v="Yes"/>
    <m/>
    <s v="New"/>
    <s v="infasco"/>
    <n v="135.07999999999998"/>
    <n v="135.07999999999998"/>
  </r>
  <r>
    <x v="31"/>
    <x v="17"/>
    <s v="F1302AB"/>
    <n v="716015"/>
    <n v="36"/>
    <n v="700"/>
    <n v="25200"/>
    <s v="190+268"/>
    <s v="Yes"/>
    <m/>
    <s v="Yes"/>
    <m/>
    <s v="Yes"/>
    <m/>
    <s v="Yes"/>
    <m/>
    <s v="N/A"/>
    <m/>
    <s v="Yes"/>
    <m/>
    <s v="Yes"/>
    <m/>
    <s v="New"/>
    <s v="infasco"/>
    <n v="135.07999999999998"/>
    <n v="135.07999999999998"/>
  </r>
  <r>
    <x v="31"/>
    <x v="17"/>
    <s v="F1302AB"/>
    <n v="716017"/>
    <n v="34"/>
    <n v="700"/>
    <n v="23800"/>
    <s v="190+268"/>
    <s v="Yes"/>
    <m/>
    <s v="Yes"/>
    <m/>
    <s v="Yes"/>
    <m/>
    <s v="Yes"/>
    <m/>
    <s v="N/A"/>
    <m/>
    <s v="Yes"/>
    <m/>
    <s v="Yes"/>
    <m/>
    <s v="New"/>
    <s v="infasco"/>
    <n v="135.07999999999998"/>
    <n v="135.07999999999998"/>
  </r>
  <r>
    <x v="31"/>
    <x v="17"/>
    <s v="11546370-IN-PN"/>
    <n v="717870"/>
    <n v="37"/>
    <n v="220"/>
    <n v="8140"/>
    <s v="190+268"/>
    <s v="Yes"/>
    <m/>
    <s v="Yes"/>
    <m/>
    <s v="Yes"/>
    <m/>
    <s v="Yes"/>
    <m/>
    <s v="N/A"/>
    <m/>
    <s v="Yes"/>
    <m/>
    <s v="Yes"/>
    <m/>
    <s v="New"/>
    <s v="infasco"/>
    <n v="106.94"/>
    <n v="106.94"/>
  </r>
  <r>
    <x v="31"/>
    <x v="17"/>
    <n v="11549204"/>
    <n v="717959"/>
    <n v="36"/>
    <n v="210"/>
    <n v="7560"/>
    <s v="190+268"/>
    <s v="Yes"/>
    <m/>
    <s v="Yes"/>
    <m/>
    <s v="Yes"/>
    <m/>
    <s v="Yes"/>
    <m/>
    <s v="N/A"/>
    <m/>
    <s v="Yes"/>
    <m/>
    <s v="Yes"/>
    <m/>
    <s v="New"/>
    <s v="infasco"/>
    <n v="106.94"/>
    <n v="106.94"/>
  </r>
  <r>
    <x v="31"/>
    <x v="17"/>
    <n v="11549204"/>
    <n v="717550"/>
    <n v="12"/>
    <n v="210"/>
    <n v="2520"/>
    <s v="190+268"/>
    <s v="Yes"/>
    <m/>
    <s v="Yes"/>
    <m/>
    <s v="Yes"/>
    <m/>
    <s v="Yes"/>
    <m/>
    <s v="N/A"/>
    <m/>
    <s v="Yes"/>
    <m/>
    <s v="Yes"/>
    <m/>
    <s v="Re-certified"/>
    <s v="infasco"/>
    <n v="0"/>
    <n v="0"/>
  </r>
  <r>
    <x v="31"/>
    <x v="32"/>
    <s v="06101736-A"/>
    <n v="717765"/>
    <n v="14"/>
    <n v="3200"/>
    <n v="44800"/>
    <s v="252+11"/>
    <s v="Yes"/>
    <m/>
    <s v="Yes"/>
    <m/>
    <s v="Yes"/>
    <m/>
    <s v="Yes"/>
    <m/>
    <s v="N/A"/>
    <m/>
    <s v="Yes"/>
    <m/>
    <s v="Yes"/>
    <m/>
    <s v="New"/>
    <s v="infasco"/>
    <n v="106.94"/>
    <n v="106.94"/>
  </r>
  <r>
    <x v="31"/>
    <x v="32"/>
    <s v="NU1144"/>
    <n v="718853"/>
    <n v="1"/>
    <n v="25590"/>
    <n v="25590"/>
    <s v="252+11"/>
    <s v="Yes"/>
    <m/>
    <s v="Yes"/>
    <m/>
    <s v="Yes"/>
    <m/>
    <s v="Yes"/>
    <m/>
    <s v="N/A"/>
    <m/>
    <s v="Yes"/>
    <m/>
    <s v="Yes"/>
    <m/>
    <s v="New"/>
    <s v="infasco"/>
    <n v="51.78"/>
    <n v="51.78"/>
  </r>
  <r>
    <x v="31"/>
    <x v="32"/>
    <s v="NU1510"/>
    <n v="718666"/>
    <n v="1"/>
    <n v="29840"/>
    <n v="29840"/>
    <s v="252+11"/>
    <s v="Yes"/>
    <m/>
    <s v="Yes"/>
    <m/>
    <s v="Yes"/>
    <m/>
    <s v="Yes"/>
    <m/>
    <s v="N/A"/>
    <m/>
    <s v="Yes"/>
    <m/>
    <s v="Yes"/>
    <m/>
    <s v="New"/>
    <s v="infasco"/>
    <n v="129.44999999999999"/>
    <n v="129.44999999999999"/>
  </r>
  <r>
    <x v="31"/>
    <x v="32"/>
    <s v="F1302AB"/>
    <n v="716019"/>
    <n v="19"/>
    <n v="700"/>
    <n v="13300"/>
    <s v="252+11"/>
    <s v="Yes"/>
    <m/>
    <s v="Yes"/>
    <m/>
    <s v="Yes"/>
    <m/>
    <s v="Yes"/>
    <m/>
    <s v="N/A"/>
    <m/>
    <s v="Yes"/>
    <m/>
    <s v="Yes"/>
    <m/>
    <s v="New"/>
    <s v="infasco"/>
    <n v="135.07999999999998"/>
    <n v="135.07999999999998"/>
  </r>
  <r>
    <x v="31"/>
    <x v="32"/>
    <s v="11546370-IN-PN"/>
    <n v="717447"/>
    <n v="33"/>
    <n v="220"/>
    <n v="7260"/>
    <s v="252+11"/>
    <s v="Yes"/>
    <m/>
    <s v="Yes"/>
    <m/>
    <s v="Yes"/>
    <m/>
    <s v="Yes"/>
    <m/>
    <s v="N/A"/>
    <m/>
    <s v="Yes"/>
    <m/>
    <s v="Yes"/>
    <m/>
    <s v="New"/>
    <s v="infasco"/>
    <n v="106.94"/>
    <n v="106.94"/>
  </r>
  <r>
    <x v="31"/>
    <x v="32"/>
    <s v="F1302AB"/>
    <n v="716014"/>
    <n v="17"/>
    <n v="700"/>
    <n v="11900"/>
    <s v="252+11"/>
    <s v="Yes"/>
    <m/>
    <s v="Yes"/>
    <m/>
    <s v="Yes"/>
    <m/>
    <s v="Yes"/>
    <m/>
    <s v="N/A"/>
    <m/>
    <s v="Yes"/>
    <m/>
    <s v="Yes"/>
    <m/>
    <s v="New"/>
    <s v="infasco"/>
    <n v="135.07999999999998"/>
    <n v="135.07999999999998"/>
  </r>
  <r>
    <x v="31"/>
    <x v="32"/>
    <s v="F1302AB"/>
    <n v="716016"/>
    <n v="27"/>
    <n v="700"/>
    <n v="18900"/>
    <s v="252+11"/>
    <s v="Yes"/>
    <m/>
    <s v="Yes"/>
    <m/>
    <s v="Yes"/>
    <m/>
    <s v="Yes"/>
    <m/>
    <s v="N/A"/>
    <m/>
    <s v="Yes"/>
    <m/>
    <s v="Yes"/>
    <m/>
    <s v="New"/>
    <s v="infasco"/>
    <n v="135.07999999999998"/>
    <n v="135.07999999999998"/>
  </r>
  <r>
    <x v="31"/>
    <x v="32"/>
    <s v="11546370-IN-PN"/>
    <n v="717189"/>
    <n v="36"/>
    <n v="220"/>
    <n v="7920"/>
    <s v="252+11"/>
    <s v="Yes"/>
    <m/>
    <s v="Yes"/>
    <m/>
    <s v="Yes"/>
    <m/>
    <s v="Yes"/>
    <m/>
    <s v="N/A"/>
    <m/>
    <s v="Yes"/>
    <m/>
    <s v="Yes"/>
    <m/>
    <s v="New"/>
    <s v="infasco"/>
    <n v="106.94"/>
    <n v="106.94"/>
  </r>
  <r>
    <x v="31"/>
    <x v="32"/>
    <s v="11546370-IN-PN"/>
    <n v="717191"/>
    <n v="26"/>
    <n v="220"/>
    <n v="5720"/>
    <s v="252+11"/>
    <s v="Yes"/>
    <m/>
    <s v="Yes"/>
    <m/>
    <s v="Yes"/>
    <m/>
    <s v="Yes"/>
    <m/>
    <s v="N/A"/>
    <m/>
    <s v="Yes"/>
    <m/>
    <s v="Yes"/>
    <m/>
    <s v="New"/>
    <s v="infasco"/>
    <n v="106.94"/>
    <n v="106.94"/>
  </r>
  <r>
    <x v="31"/>
    <x v="32"/>
    <s v="11546370-MY-AK"/>
    <n v="717594"/>
    <n v="36"/>
    <n v="220"/>
    <n v="7920"/>
    <s v="252+11"/>
    <s v="Yes"/>
    <m/>
    <s v="Yes"/>
    <m/>
    <s v="Yes"/>
    <m/>
    <s v="Yes"/>
    <m/>
    <s v="N/A"/>
    <m/>
    <s v="Yes"/>
    <m/>
    <s v="Yes"/>
    <m/>
    <s v="New"/>
    <s v="infasco"/>
    <n v="106.94"/>
    <n v="106.94"/>
  </r>
  <r>
    <x v="31"/>
    <x v="32"/>
    <s v="11546370-MY-AK"/>
    <n v="717592"/>
    <n v="36"/>
    <n v="220"/>
    <n v="7920"/>
    <s v="252+11"/>
    <s v="Yes"/>
    <m/>
    <s v="Yes"/>
    <m/>
    <s v="Yes"/>
    <m/>
    <s v="Yes"/>
    <m/>
    <s v="N/A"/>
    <m/>
    <s v="Yes"/>
    <m/>
    <s v="Yes"/>
    <m/>
    <s v="New"/>
    <s v="infasco"/>
    <n v="106.94"/>
    <n v="106.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Sales" cacheId="401"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Work Station">
  <location ref="A4:C34" firstHeaderRow="0" firstDataRow="1" firstDataCol="1"/>
  <pivotFields count="26">
    <pivotField name="Date" axis="axisRow" numFmtId="168" multipleItemSelectionAllowed="1" showAll="0" sortType="ascending" defaultSubtota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x="31"/>
      </items>
    </pivotField>
    <pivotField axis="axisRow" showAll="0" sortType="ascending">
      <items count="134">
        <item m="1" x="61"/>
        <item m="1" x="91"/>
        <item m="1" x="118"/>
        <item m="1" x="67"/>
        <item m="1" x="119"/>
        <item m="1" x="52"/>
        <item m="1" x="65"/>
        <item m="1" x="71"/>
        <item m="1" x="76"/>
        <item m="1" x="80"/>
        <item m="1" x="83"/>
        <item m="1" x="84"/>
        <item m="1" x="94"/>
        <item m="1" x="97"/>
        <item m="1" x="131"/>
        <item m="1" x="51"/>
        <item m="1" x="42"/>
        <item m="1" x="46"/>
        <item m="1" x="53"/>
        <item m="1" x="62"/>
        <item m="1" x="68"/>
        <item m="1" x="72"/>
        <item m="1" x="114"/>
        <item m="1" x="123"/>
        <item m="1" x="78"/>
        <item x="11"/>
        <item x="6"/>
        <item m="1" x="121"/>
        <item x="10"/>
        <item m="1" x="107"/>
        <item x="28"/>
        <item x="29"/>
        <item m="1" x="81"/>
        <item x="26"/>
        <item m="1" x="66"/>
        <item x="12"/>
        <item x="30"/>
        <item m="1" x="125"/>
        <item x="31"/>
        <item m="1" x="64"/>
        <item m="1" x="98"/>
        <item x="8"/>
        <item x="4"/>
        <item x="23"/>
        <item m="1" x="37"/>
        <item m="1" x="116"/>
        <item x="5"/>
        <item m="1" x="74"/>
        <item x="3"/>
        <item m="1" x="55"/>
        <item x="22"/>
        <item x="36"/>
        <item x="25"/>
        <item x="20"/>
        <item m="1" x="59"/>
        <item x="21"/>
        <item x="24"/>
        <item m="1" x="60"/>
        <item m="1" x="44"/>
        <item m="1" x="124"/>
        <item m="1" x="111"/>
        <item m="1" x="103"/>
        <item m="1" x="120"/>
        <item m="1" x="47"/>
        <item m="1" x="58"/>
        <item m="1" x="77"/>
        <item m="1" x="70"/>
        <item m="1" x="115"/>
        <item m="1" x="92"/>
        <item m="1" x="57"/>
        <item m="1" x="127"/>
        <item m="1" x="106"/>
        <item m="1" x="79"/>
        <item x="7"/>
        <item m="1" x="108"/>
        <item x="0"/>
        <item x="1"/>
        <item m="1" x="100"/>
        <item x="19"/>
        <item m="1" x="69"/>
        <item m="1" x="39"/>
        <item x="34"/>
        <item m="1" x="130"/>
        <item x="14"/>
        <item x="27"/>
        <item m="1" x="85"/>
        <item m="1" x="113"/>
        <item m="1" x="87"/>
        <item x="2"/>
        <item x="9"/>
        <item m="1" x="129"/>
        <item m="1" x="82"/>
        <item m="1" x="75"/>
        <item m="1" x="117"/>
        <item m="1" x="104"/>
        <item m="1" x="126"/>
        <item m="1" x="101"/>
        <item m="1" x="122"/>
        <item m="1" x="102"/>
        <item m="1" x="93"/>
        <item m="1" x="105"/>
        <item m="1" x="73"/>
        <item x="35"/>
        <item m="1" x="95"/>
        <item m="1" x="89"/>
        <item m="1" x="96"/>
        <item x="15"/>
        <item m="1" x="50"/>
        <item x="16"/>
        <item m="1" x="109"/>
        <item x="17"/>
        <item x="32"/>
        <item x="13"/>
        <item m="1" x="90"/>
        <item m="1" x="110"/>
        <item m="1" x="41"/>
        <item x="33"/>
        <item m="1" x="38"/>
        <item x="18"/>
        <item m="1" x="99"/>
        <item m="1" x="128"/>
        <item m="1" x="132"/>
        <item m="1" x="63"/>
        <item m="1" x="48"/>
        <item m="1" x="43"/>
        <item m="1" x="45"/>
        <item m="1" x="49"/>
        <item m="1" x="54"/>
        <item m="1" x="88"/>
        <item m="1" x="56"/>
        <item m="1" x="86"/>
        <item m="1" x="112"/>
        <item m="1" x="40"/>
        <item t="default"/>
      </items>
    </pivotField>
    <pivotField showAll="0"/>
    <pivotField showAll="0" defaultSubtotal="0"/>
    <pivotField showAll="0" defaultSubtota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ataField="1" showAll="0"/>
  </pivotFields>
  <rowFields count="2">
    <field x="0"/>
    <field x="1"/>
  </rowFields>
  <rowItems count="30">
    <i>
      <x v="31"/>
    </i>
    <i r="1">
      <x v="25"/>
    </i>
    <i r="1">
      <x v="26"/>
    </i>
    <i r="1">
      <x v="28"/>
    </i>
    <i r="1">
      <x v="30"/>
    </i>
    <i r="1">
      <x v="31"/>
    </i>
    <i r="1">
      <x v="33"/>
    </i>
    <i r="1">
      <x v="35"/>
    </i>
    <i r="1">
      <x v="36"/>
    </i>
    <i r="1">
      <x v="38"/>
    </i>
    <i r="1">
      <x v="41"/>
    </i>
    <i r="1">
      <x v="42"/>
    </i>
    <i r="1">
      <x v="46"/>
    </i>
    <i r="1">
      <x v="48"/>
    </i>
    <i r="1">
      <x v="50"/>
    </i>
    <i r="1">
      <x v="52"/>
    </i>
    <i r="1">
      <x v="53"/>
    </i>
    <i r="1">
      <x v="55"/>
    </i>
    <i r="1">
      <x v="56"/>
    </i>
    <i r="1">
      <x v="75"/>
    </i>
    <i r="1">
      <x v="76"/>
    </i>
    <i r="1">
      <x v="78"/>
    </i>
    <i r="1">
      <x v="84"/>
    </i>
    <i r="1">
      <x v="88"/>
    </i>
    <i r="1">
      <x v="89"/>
    </i>
    <i r="1">
      <x v="106"/>
    </i>
    <i r="1">
      <x v="108"/>
    </i>
    <i r="1">
      <x v="110"/>
    </i>
    <i r="1">
      <x v="111"/>
    </i>
    <i t="grand">
      <x/>
    </i>
  </rowItems>
  <colFields count="1">
    <field x="-2"/>
  </colFields>
  <colItems count="2">
    <i>
      <x/>
    </i>
    <i i="1">
      <x v="1"/>
    </i>
  </colItems>
  <dataFields count="2">
    <dataField name="Quantity Processed" fld="6" baseField="1" baseItem="0" numFmtId="165"/>
    <dataField name="Total Sales by WS" fld="25" baseField="1" baseItem="0"/>
  </dataFields>
  <formats count="20">
    <format dxfId="40">
      <pivotArea dataOnly="0" outline="0" fieldPosition="0">
        <references count="1">
          <reference field="4294967294" count="2">
            <x v="0"/>
            <x v="1"/>
          </reference>
        </references>
      </pivotArea>
    </format>
    <format dxfId="39">
      <pivotArea dataOnly="0" outline="0" fieldPosition="0">
        <references count="1">
          <reference field="4294967294" count="2">
            <x v="0"/>
            <x v="1"/>
          </reference>
        </references>
      </pivotArea>
    </format>
    <format dxfId="38">
      <pivotArea dataOnly="0" outline="0" fieldPosition="0">
        <references count="1">
          <reference field="4294967294" count="2">
            <x v="0"/>
            <x v="1"/>
          </reference>
        </references>
      </pivotArea>
    </format>
    <format dxfId="37">
      <pivotArea dataOnly="0" outline="0" fieldPosition="0">
        <references count="1">
          <reference field="4294967294" count="1">
            <x v="1"/>
          </reference>
        </references>
      </pivotArea>
    </format>
    <format dxfId="36">
      <pivotArea dataOnly="0" outline="0" fieldPosition="0">
        <references count="1">
          <reference field="4294967294" count="1">
            <x v="1"/>
          </reference>
        </references>
      </pivotArea>
    </format>
    <format dxfId="35">
      <pivotArea dataOnly="0" outline="0" fieldPosition="0">
        <references count="1">
          <reference field="4294967294" count="1">
            <x v="1"/>
          </reference>
        </references>
      </pivotArea>
    </format>
    <format dxfId="34">
      <pivotArea dataOnly="0" outline="0" fieldPosition="0">
        <references count="1">
          <reference field="4294967294" count="1">
            <x v="1"/>
          </reference>
        </references>
      </pivotArea>
    </format>
    <format dxfId="33">
      <pivotArea dataOnly="0" outline="0" fieldPosition="0">
        <references count="1">
          <reference field="4294967294" count="1">
            <x v="1"/>
          </reference>
        </references>
      </pivotArea>
    </format>
    <format dxfId="32">
      <pivotArea dataOnly="0" outline="0" fieldPosition="0">
        <references count="1">
          <reference field="4294967294" count="1">
            <x v="1"/>
          </reference>
        </references>
      </pivotArea>
    </format>
    <format dxfId="31">
      <pivotArea dataOnly="0" labelOnly="1" fieldPosition="0">
        <references count="1">
          <reference field="0" count="0"/>
        </references>
      </pivotArea>
    </format>
    <format dxfId="30">
      <pivotArea dataOnly="0" labelOnly="1" fieldPosition="0">
        <references count="1">
          <reference field="0" count="0"/>
        </references>
      </pivotArea>
    </format>
    <format dxfId="29">
      <pivotArea dataOnly="0" labelOnly="1" fieldPosition="0">
        <references count="1">
          <reference field="0" count="0"/>
        </references>
      </pivotArea>
    </format>
    <format dxfId="28">
      <pivotArea field="0" type="button" dataOnly="0" labelOnly="1" outline="0" axis="axisRow" fieldPosition="0"/>
    </format>
    <format dxfId="27">
      <pivotArea field="0" type="button" dataOnly="0" labelOnly="1" outline="0" axis="axisRow" fieldPosition="0"/>
    </format>
    <format dxfId="26">
      <pivotArea dataOnly="0" labelOnly="1" outline="0" fieldPosition="0">
        <references count="1">
          <reference field="4294967294" count="2">
            <x v="0"/>
            <x v="1"/>
          </reference>
        </references>
      </pivotArea>
    </format>
    <format dxfId="25">
      <pivotArea dataOnly="0" outline="0" fieldPosition="0">
        <references count="1">
          <reference field="4294967294" count="1">
            <x v="1"/>
          </reference>
        </references>
      </pivotArea>
    </format>
    <format dxfId="24">
      <pivotArea dataOnly="0" outline="0" fieldPosition="0">
        <references count="1">
          <reference field="4294967294" count="2">
            <x v="0"/>
            <x v="1"/>
          </reference>
        </references>
      </pivotArea>
    </format>
    <format dxfId="23">
      <pivotArea dataOnly="0" outline="0" fieldPosition="0">
        <references count="1">
          <reference field="4294967294" count="2">
            <x v="0"/>
            <x v="1"/>
          </reference>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WeeklySale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Work Stations">
  <location ref="A4:C192" firstHeaderRow="0" firstDataRow="1" firstDataCol="1"/>
  <pivotFields count="26">
    <pivotField axis="axisRow" numFmtId="22" showAll="0" defaultSubtotal="0">
      <items count="368">
        <item h="1" x="10"/>
        <item h="1" x="11"/>
        <item h="1" x="12"/>
        <item h="1" x="13"/>
        <item h="1" x="14"/>
        <item h="1" x="15"/>
        <item h="1" x="16"/>
        <item h="1" x="17"/>
        <item h="1" x="18"/>
        <item h="1" x="19"/>
        <item h="1" x="20"/>
        <item h="1" x="21"/>
        <item h="1" x="22"/>
        <item h="1" x="23"/>
        <item h="1" x="24"/>
        <item h="1" x="25"/>
        <item h="1" x="26"/>
        <item h="1" x="27"/>
        <item h="1" x="28"/>
        <item h="1" x="29"/>
        <item h="1" x="30"/>
        <item h="1" x="31"/>
        <item h="1" x="41"/>
        <item h="1" x="42"/>
        <item h="1" x="43"/>
        <item h="1" x="44"/>
        <item h="1" x="45"/>
        <item h="1" x="46"/>
        <item h="1" x="47"/>
        <item h="1" x="48"/>
        <item h="1" x="49"/>
        <item h="1" x="50"/>
        <item h="1" x="51"/>
        <item h="1" x="52"/>
        <item h="1" x="53"/>
        <item h="1" x="54"/>
        <item h="1" x="55"/>
        <item h="1" x="56"/>
        <item h="1" x="57"/>
        <item h="1" x="58"/>
        <item h="1" x="59"/>
        <item h="1" x="60"/>
        <item h="1" x="70"/>
        <item h="1" x="71"/>
        <item h="1" x="72"/>
        <item h="1" x="73"/>
        <item h="1" x="74"/>
        <item h="1" x="75"/>
        <item h="1" x="76"/>
        <item h="1" x="77"/>
        <item h="1" x="78"/>
        <item h="1" x="79"/>
        <item h="1" x="80"/>
        <item h="1" x="81"/>
        <item h="1" x="82"/>
        <item h="1" x="83"/>
        <item h="1" x="84"/>
        <item h="1" x="85"/>
        <item h="1" x="86"/>
        <item h="1" x="87"/>
        <item h="1" x="88"/>
        <item h="1" x="89"/>
        <item h="1" x="90"/>
        <item h="1" x="91"/>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62"/>
        <item h="1" x="163"/>
        <item h="1" x="164"/>
        <item h="1" x="165"/>
        <item h="1" x="166"/>
        <item h="1" x="167"/>
        <item h="1" x="168"/>
        <item x="169"/>
        <item x="170"/>
        <item h="1" x="171"/>
        <item x="172"/>
        <item x="173"/>
        <item x="174"/>
        <item x="175"/>
        <item h="1" x="176"/>
        <item h="1" x="177"/>
        <item h="1" x="178"/>
        <item h="1" x="179"/>
        <item h="1" x="180"/>
        <item h="1" x="181"/>
        <item h="1" x="182"/>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0"/>
        <item h="1" x="1"/>
        <item h="1" x="2"/>
        <item h="1" x="3"/>
        <item h="1" x="4"/>
        <item h="1" x="5"/>
        <item h="1" x="6"/>
        <item h="1" x="7"/>
        <item h="1" x="8"/>
        <item h="1" x="9"/>
        <item h="1" x="32"/>
        <item h="1" x="33"/>
        <item h="1" x="34"/>
        <item h="1" x="35"/>
        <item h="1" x="36"/>
        <item h="1" x="37"/>
        <item h="1" x="38"/>
        <item h="1" x="39"/>
        <item h="1" x="40"/>
        <item h="1" x="61"/>
        <item h="1" x="62"/>
        <item h="1" x="63"/>
        <item h="1" x="64"/>
        <item h="1" x="65"/>
        <item h="1" x="66"/>
        <item h="1" x="67"/>
        <item h="1" x="68"/>
        <item h="1" x="69"/>
        <item h="1" x="92"/>
        <item h="1" x="93"/>
        <item h="1" x="94"/>
        <item h="1" x="95"/>
        <item h="1" x="96"/>
        <item h="1" x="97"/>
        <item h="1" x="98"/>
        <item h="1" x="99"/>
        <item h="1" x="100"/>
        <item h="1" x="122"/>
        <item h="1" x="123"/>
        <item h="1" x="124"/>
        <item h="1" x="125"/>
        <item h="1" x="126"/>
        <item h="1" x="127"/>
        <item h="1" x="128"/>
        <item h="1" x="129"/>
        <item h="1" x="130"/>
        <item h="1" x="153"/>
        <item h="1" x="154"/>
        <item h="1" x="155"/>
        <item h="1" x="156"/>
        <item h="1" x="157"/>
        <item h="1" x="158"/>
        <item h="1" x="159"/>
        <item h="1" x="160"/>
        <item h="1" x="161"/>
        <item h="1" x="183"/>
        <item h="1" x="184"/>
        <item h="1" x="185"/>
        <item h="1" x="186"/>
        <item h="1" x="187"/>
        <item h="1" x="188"/>
        <item h="1" x="189"/>
        <item h="1" x="190"/>
        <item h="1" x="191"/>
        <item h="1" x="214"/>
        <item h="1" x="215"/>
        <item h="1" x="216"/>
        <item h="1" x="217"/>
        <item h="1" x="218"/>
        <item h="1" x="219"/>
        <item h="1" x="220"/>
        <item h="1" x="221"/>
        <item h="1" x="222"/>
        <item h="1" x="245"/>
        <item h="1" x="246"/>
        <item h="1" x="247"/>
        <item h="1" x="248"/>
        <item h="1" x="249"/>
        <item h="1" x="250"/>
        <item h="1" x="251"/>
        <item h="1" x="252"/>
        <item h="1" x="253"/>
        <item h="1" x="275"/>
        <item h="1" x="276"/>
        <item h="1" x="277"/>
        <item h="1" x="278"/>
        <item h="1" x="279"/>
        <item h="1" x="280"/>
        <item h="1" x="281"/>
        <item h="1" x="282"/>
        <item h="1" x="283"/>
        <item h="1" x="306"/>
        <item h="1" x="307"/>
        <item h="1" x="308"/>
        <item h="1" x="309"/>
        <item h="1" x="310"/>
        <item h="1" x="311"/>
        <item h="1" x="312"/>
        <item h="1" x="313"/>
        <item h="1" x="314"/>
        <item h="1" x="336"/>
        <item h="1" x="337"/>
        <item h="1" x="338"/>
        <item h="1" x="339"/>
        <item h="1" x="340"/>
        <item h="1" x="341"/>
        <item h="1" x="342"/>
        <item h="1" x="343"/>
        <item h="1" x="344"/>
        <item h="1" x="367"/>
      </items>
    </pivotField>
    <pivotField axis="axisRow" showAll="0">
      <items count="107">
        <item m="1" x="96"/>
        <item m="1" x="60"/>
        <item m="1" x="69"/>
        <item m="1" x="58"/>
        <item m="1" x="47"/>
        <item m="1" x="98"/>
        <item m="1" x="90"/>
        <item m="1" x="82"/>
        <item m="1" x="72"/>
        <item m="1" x="63"/>
        <item m="1" x="80"/>
        <item m="1" x="62"/>
        <item m="1" x="100"/>
        <item m="1" x="84"/>
        <item m="1" x="71"/>
        <item m="1" x="94"/>
        <item m="1" x="87"/>
        <item x="23"/>
        <item m="1" x="85"/>
        <item m="1" x="101"/>
        <item m="1" x="79"/>
        <item m="1" x="103"/>
        <item m="1" x="105"/>
        <item m="1" x="59"/>
        <item m="1" x="50"/>
        <item m="1" x="45"/>
        <item m="1" x="49"/>
        <item m="1" x="51"/>
        <item m="1" x="54"/>
        <item m="1" x="55"/>
        <item m="1" x="46"/>
        <item m="1" x="78"/>
        <item m="1" x="75"/>
        <item x="17"/>
        <item x="8"/>
        <item sd="0" x="10"/>
        <item sd="0" x="18"/>
        <item x="21"/>
        <item m="1" x="53"/>
        <item m="1" x="88"/>
        <item m="1" x="67"/>
        <item m="1" x="48"/>
        <item m="1" x="99"/>
        <item m="1" x="91"/>
        <item m="1" x="83"/>
        <item x="31"/>
        <item m="1" x="86"/>
        <item x="2"/>
        <item sd="0" x="4"/>
        <item sd="0" x="6"/>
        <item x="7"/>
        <item m="1" x="68"/>
        <item m="1" x="64"/>
        <item x="11"/>
        <item x="1"/>
        <item sd="0" x="5"/>
        <item sd="0" x="12"/>
        <item x="15"/>
        <item x="14"/>
        <item x="13"/>
        <item m="1" x="93"/>
        <item m="1" x="102"/>
        <item sd="0" x="16"/>
        <item sd="0" x="9"/>
        <item m="1" x="77"/>
        <item m="1" x="95"/>
        <item m="1" x="65"/>
        <item m="1" x="97"/>
        <item x="19"/>
        <item x="0"/>
        <item x="24"/>
        <item m="1" x="104"/>
        <item m="1" x="73"/>
        <item m="1" x="70"/>
        <item m="1" x="61"/>
        <item m="1" x="76"/>
        <item m="1" x="92"/>
        <item m="1" x="74"/>
        <item m="1" x="81"/>
        <item m="1" x="56"/>
        <item m="1" x="66"/>
        <item x="3"/>
        <item m="1" x="52"/>
        <item m="1" x="57"/>
        <item m="1" x="44"/>
        <item x="25"/>
        <item m="1" x="89"/>
        <item x="20"/>
        <item x="22"/>
        <item x="26"/>
        <item x="27"/>
        <item x="28"/>
        <item x="30"/>
        <item x="29"/>
        <item x="32"/>
        <item x="40"/>
        <item x="39"/>
        <item x="38"/>
        <item x="37"/>
        <item x="35"/>
        <item x="34"/>
        <item x="33"/>
        <item x="36"/>
        <item x="41"/>
        <item x="42"/>
        <item x="43"/>
        <item t="default"/>
      </items>
    </pivotField>
    <pivotField axis="axisRow" showAll="0">
      <items count="336">
        <item x="65"/>
        <item x="74"/>
        <item m="1" x="301"/>
        <item x="66"/>
        <item m="1" x="322"/>
        <item x="89"/>
        <item x="143"/>
        <item x="145"/>
        <item x="120"/>
        <item x="169"/>
        <item x="136"/>
        <item x="175"/>
        <item m="1" x="263"/>
        <item m="1" x="269"/>
        <item x="4"/>
        <item x="81"/>
        <item x="29"/>
        <item x="63"/>
        <item x="148"/>
        <item m="1" x="313"/>
        <item x="108"/>
        <item x="69"/>
        <item x="119"/>
        <item x="7"/>
        <item x="10"/>
        <item x="118"/>
        <item x="32"/>
        <item x="46"/>
        <item x="87"/>
        <item x="76"/>
        <item x="71"/>
        <item x="0"/>
        <item x="2"/>
        <item x="151"/>
        <item x="42"/>
        <item x="199"/>
        <item x="86"/>
        <item x="113"/>
        <item x="83"/>
        <item x="77"/>
        <item x="187"/>
        <item x="36"/>
        <item x="9"/>
        <item x="225"/>
        <item x="54"/>
        <item x="40"/>
        <item m="1" x="309"/>
        <item x="73"/>
        <item x="92"/>
        <item x="182"/>
        <item x="93"/>
        <item m="1" x="273"/>
        <item x="5"/>
        <item x="109"/>
        <item x="55"/>
        <item x="11"/>
        <item x="31"/>
        <item x="61"/>
        <item m="1" x="247"/>
        <item x="97"/>
        <item x="26"/>
        <item x="33"/>
        <item x="20"/>
        <item x="35"/>
        <item x="6"/>
        <item x="184"/>
        <item x="24"/>
        <item x="14"/>
        <item x="37"/>
        <item x="39"/>
        <item x="174"/>
        <item x="50"/>
        <item x="161"/>
        <item x="60"/>
        <item x="62"/>
        <item x="45"/>
        <item x="178"/>
        <item m="1" x="266"/>
        <item m="1" x="297"/>
        <item m="1" x="308"/>
        <item x="138"/>
        <item x="105"/>
        <item x="129"/>
        <item x="189"/>
        <item x="47"/>
        <item m="1" x="260"/>
        <item x="194"/>
        <item x="131"/>
        <item x="44"/>
        <item x="173"/>
        <item m="1" x="318"/>
        <item x="144"/>
        <item x="68"/>
        <item m="1" x="268"/>
        <item x="67"/>
        <item x="135"/>
        <item x="82"/>
        <item x="165"/>
        <item x="147"/>
        <item x="51"/>
        <item m="1" x="321"/>
        <item m="1" x="332"/>
        <item m="1" x="299"/>
        <item x="115"/>
        <item m="1" x="317"/>
        <item x="124"/>
        <item m="1" x="242"/>
        <item x="212"/>
        <item x="202"/>
        <item m="1" x="283"/>
        <item x="167"/>
        <item x="43"/>
        <item m="1" x="244"/>
        <item m="1" x="286"/>
        <item m="1" x="250"/>
        <item m="1" x="329"/>
        <item m="1" x="262"/>
        <item m="1" x="253"/>
        <item m="1" x="289"/>
        <item x="99"/>
        <item x="18"/>
        <item x="160"/>
        <item x="12"/>
        <item x="13"/>
        <item x="84"/>
        <item x="8"/>
        <item x="183"/>
        <item m="1" x="298"/>
        <item m="1" x="295"/>
        <item m="1" x="251"/>
        <item m="1" x="238"/>
        <item x="49"/>
        <item x="88"/>
        <item m="1" x="325"/>
        <item x="90"/>
        <item x="38"/>
        <item x="104"/>
        <item x="48"/>
        <item x="79"/>
        <item x="102"/>
        <item x="98"/>
        <item x="85"/>
        <item x="57"/>
        <item m="1" x="314"/>
        <item m="1" x="315"/>
        <item x="78"/>
        <item x="100"/>
        <item x="95"/>
        <item x="30"/>
        <item x="180"/>
        <item x="96"/>
        <item x="72"/>
        <item x="112"/>
        <item x="19"/>
        <item m="1" x="328"/>
        <item x="137"/>
        <item x="64"/>
        <item m="1" x="316"/>
        <item m="1" x="326"/>
        <item m="1" x="293"/>
        <item m="1" x="279"/>
        <item m="1" x="305"/>
        <item x="114"/>
        <item m="1" x="304"/>
        <item x="103"/>
        <item x="116"/>
        <item x="56"/>
        <item x="122"/>
        <item x="16"/>
        <item x="208"/>
        <item m="1" x="290"/>
        <item m="1" x="333"/>
        <item m="1" x="264"/>
        <item m="1" x="334"/>
        <item m="1" x="280"/>
        <item x="139"/>
        <item m="1" x="320"/>
        <item x="22"/>
        <item x="166"/>
        <item m="1" x="227"/>
        <item m="1" x="330"/>
        <item m="1" x="241"/>
        <item m="1" x="230"/>
        <item x="201"/>
        <item x="223"/>
        <item m="1" x="255"/>
        <item m="1" x="254"/>
        <item m="1" x="235"/>
        <item x="15"/>
        <item m="1" x="288"/>
        <item m="1" x="233"/>
        <item m="1" x="306"/>
        <item m="1" x="259"/>
        <item m="1" x="243"/>
        <item m="1" x="228"/>
        <item m="1" x="249"/>
        <item m="1" x="274"/>
        <item m="1" x="284"/>
        <item m="1" x="307"/>
        <item m="1" x="323"/>
        <item m="1" x="302"/>
        <item m="1" x="278"/>
        <item m="1" x="294"/>
        <item x="53"/>
        <item m="1" x="291"/>
        <item m="1" x="232"/>
        <item m="1" x="310"/>
        <item m="1" x="231"/>
        <item x="58"/>
        <item m="1" x="252"/>
        <item x="190"/>
        <item m="1" x="245"/>
        <item m="1" x="267"/>
        <item m="1" x="240"/>
        <item m="1" x="277"/>
        <item x="121"/>
        <item x="94"/>
        <item x="101"/>
        <item m="1" x="331"/>
        <item m="1" x="272"/>
        <item m="1" x="327"/>
        <item x="127"/>
        <item x="198"/>
        <item x="27"/>
        <item x="170"/>
        <item x="126"/>
        <item m="1" x="319"/>
        <item m="1" x="311"/>
        <item x="59"/>
        <item x="106"/>
        <item x="23"/>
        <item m="1" x="246"/>
        <item m="1" x="261"/>
        <item m="1" x="248"/>
        <item m="1" x="282"/>
        <item m="1" x="226"/>
        <item m="1" x="234"/>
        <item m="1" x="229"/>
        <item x="34"/>
        <item x="25"/>
        <item m="1" x="236"/>
        <item m="1" x="258"/>
        <item x="200"/>
        <item m="1" x="287"/>
        <item m="1" x="276"/>
        <item x="28"/>
        <item m="1" x="312"/>
        <item x="153"/>
        <item m="1" x="324"/>
        <item m="1" x="237"/>
        <item x="80"/>
        <item x="3"/>
        <item x="1"/>
        <item x="52"/>
        <item x="75"/>
        <item x="70"/>
        <item x="41"/>
        <item x="17"/>
        <item x="21"/>
        <item x="91"/>
        <item m="1" x="257"/>
        <item x="107"/>
        <item x="117"/>
        <item x="123"/>
        <item x="125"/>
        <item m="1" x="300"/>
        <item m="1" x="285"/>
        <item x="130"/>
        <item m="1" x="303"/>
        <item x="134"/>
        <item x="133"/>
        <item m="1" x="270"/>
        <item x="140"/>
        <item x="146"/>
        <item x="128"/>
        <item x="149"/>
        <item x="150"/>
        <item x="142"/>
        <item x="141"/>
        <item x="152"/>
        <item x="155"/>
        <item x="156"/>
        <item x="158"/>
        <item x="159"/>
        <item x="157"/>
        <item x="132"/>
        <item x="110"/>
        <item x="111"/>
        <item x="154"/>
        <item x="168"/>
        <item x="163"/>
        <item x="162"/>
        <item x="164"/>
        <item x="171"/>
        <item x="177"/>
        <item x="176"/>
        <item x="172"/>
        <item x="179"/>
        <item x="181"/>
        <item m="1" x="256"/>
        <item m="1" x="275"/>
        <item m="1" x="271"/>
        <item m="1" x="265"/>
        <item x="186"/>
        <item m="1" x="239"/>
        <item x="185"/>
        <item m="1" x="296"/>
        <item m="1" x="292"/>
        <item x="188"/>
        <item x="191"/>
        <item m="1" x="281"/>
        <item x="193"/>
        <item x="196"/>
        <item x="192"/>
        <item x="195"/>
        <item x="197"/>
        <item x="203"/>
        <item x="204"/>
        <item x="205"/>
        <item x="207"/>
        <item x="206"/>
        <item x="210"/>
        <item x="211"/>
        <item x="209"/>
        <item x="213"/>
        <item x="214"/>
        <item x="215"/>
        <item x="216"/>
        <item x="217"/>
        <item x="218"/>
        <item x="219"/>
        <item x="220"/>
        <item x="221"/>
        <item x="222"/>
        <item x="224"/>
        <item t="default"/>
      </items>
    </pivotField>
    <pivotField showAll="0" defaultSubtota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pivotField axis="axisRow" showAll="0">
      <items count="15">
        <item x="0"/>
        <item x="1"/>
        <item x="2"/>
        <item x="3"/>
        <item x="4"/>
        <item x="5"/>
        <item x="6"/>
        <item x="7"/>
        <item x="8"/>
        <item x="9"/>
        <item x="10"/>
        <item x="11"/>
        <item x="12"/>
        <item x="13"/>
        <item t="default"/>
      </items>
    </pivotField>
  </pivotFields>
  <rowFields count="4">
    <field x="25"/>
    <field x="0"/>
    <field x="1"/>
    <field x="2"/>
  </rowFields>
  <rowItems count="188">
    <i>
      <x v="6"/>
    </i>
    <i r="1">
      <x v="114"/>
    </i>
    <i r="2">
      <x v="35"/>
    </i>
    <i r="2">
      <x v="36"/>
    </i>
    <i r="2">
      <x v="47"/>
    </i>
    <i r="3">
      <x v="31"/>
    </i>
    <i r="2">
      <x v="48"/>
    </i>
    <i r="2">
      <x v="49"/>
    </i>
    <i r="2">
      <x v="50"/>
    </i>
    <i r="3">
      <x v="22"/>
    </i>
    <i r="3">
      <x v="54"/>
    </i>
    <i r="2">
      <x v="53"/>
    </i>
    <i r="3">
      <x v="31"/>
    </i>
    <i r="3">
      <x v="68"/>
    </i>
    <i r="2">
      <x v="54"/>
    </i>
    <i r="3">
      <x v="28"/>
    </i>
    <i r="2">
      <x v="55"/>
    </i>
    <i r="2">
      <x v="56"/>
    </i>
    <i r="2">
      <x v="59"/>
    </i>
    <i r="3">
      <x v="23"/>
    </i>
    <i r="2">
      <x v="62"/>
    </i>
    <i r="2">
      <x v="63"/>
    </i>
    <i r="2">
      <x v="69"/>
    </i>
    <i r="3">
      <x v="221"/>
    </i>
    <i r="2">
      <x v="81"/>
    </i>
    <i r="3">
      <x v="28"/>
    </i>
    <i r="3">
      <x v="68"/>
    </i>
    <i r="2">
      <x v="89"/>
    </i>
    <i r="3">
      <x v="54"/>
    </i>
    <i r="3">
      <x v="55"/>
    </i>
    <i r="1">
      <x v="115"/>
    </i>
    <i r="2">
      <x v="34"/>
    </i>
    <i r="3">
      <x v="63"/>
    </i>
    <i r="3">
      <x v="73"/>
    </i>
    <i r="3">
      <x v="75"/>
    </i>
    <i r="2">
      <x v="35"/>
    </i>
    <i r="2">
      <x v="48"/>
    </i>
    <i r="2">
      <x v="49"/>
    </i>
    <i r="2">
      <x v="50"/>
    </i>
    <i r="3">
      <x v="17"/>
    </i>
    <i r="2">
      <x v="59"/>
    </i>
    <i r="3">
      <x v="153"/>
    </i>
    <i r="2">
      <x v="62"/>
    </i>
    <i r="2">
      <x v="63"/>
    </i>
    <i r="2">
      <x v="81"/>
    </i>
    <i r="3">
      <x v="140"/>
    </i>
    <i r="2">
      <x v="89"/>
    </i>
    <i r="3">
      <x v="40"/>
    </i>
    <i r="3">
      <x v="54"/>
    </i>
    <i r="1">
      <x v="117"/>
    </i>
    <i r="2">
      <x v="33"/>
    </i>
    <i r="3">
      <x v="136"/>
    </i>
    <i r="3">
      <x v="269"/>
    </i>
    <i r="2">
      <x v="35"/>
    </i>
    <i r="2">
      <x v="36"/>
    </i>
    <i r="2">
      <x v="47"/>
    </i>
    <i r="3">
      <x v="57"/>
    </i>
    <i r="2">
      <x v="48"/>
    </i>
    <i r="2">
      <x v="49"/>
    </i>
    <i r="2">
      <x v="50"/>
    </i>
    <i r="3">
      <x v="17"/>
    </i>
    <i r="2">
      <x v="53"/>
    </i>
    <i r="3">
      <x v="53"/>
    </i>
    <i r="3">
      <x v="139"/>
    </i>
    <i r="2">
      <x v="54"/>
    </i>
    <i r="3">
      <x v="153"/>
    </i>
    <i r="2">
      <x v="55"/>
    </i>
    <i r="2">
      <x v="56"/>
    </i>
    <i r="2">
      <x v="62"/>
    </i>
    <i r="2">
      <x v="69"/>
    </i>
    <i r="3">
      <x v="31"/>
    </i>
    <i r="2">
      <x v="92"/>
    </i>
    <i r="3">
      <x v="3"/>
    </i>
    <i r="3">
      <x v="26"/>
    </i>
    <i r="2">
      <x v="93"/>
    </i>
    <i r="3">
      <x v="3"/>
    </i>
    <i r="3">
      <x v="26"/>
    </i>
    <i r="3">
      <x v="73"/>
    </i>
    <i r="1">
      <x v="118"/>
    </i>
    <i r="2">
      <x v="33"/>
    </i>
    <i r="3">
      <x v="42"/>
    </i>
    <i r="3">
      <x v="81"/>
    </i>
    <i r="3">
      <x v="94"/>
    </i>
    <i r="3">
      <x v="165"/>
    </i>
    <i r="2">
      <x v="34"/>
    </i>
    <i r="3">
      <x v="42"/>
    </i>
    <i r="3">
      <x v="75"/>
    </i>
    <i r="3">
      <x v="165"/>
    </i>
    <i r="2">
      <x v="35"/>
    </i>
    <i r="2">
      <x v="47"/>
    </i>
    <i r="3">
      <x v="57"/>
    </i>
    <i r="2">
      <x v="48"/>
    </i>
    <i r="2">
      <x v="49"/>
    </i>
    <i r="2">
      <x v="50"/>
    </i>
    <i r="3">
      <x v="17"/>
    </i>
    <i r="3">
      <x v="38"/>
    </i>
    <i r="2">
      <x v="53"/>
    </i>
    <i r="3">
      <x v="52"/>
    </i>
    <i r="2">
      <x v="57"/>
    </i>
    <i r="3">
      <x v="57"/>
    </i>
    <i r="2">
      <x v="58"/>
    </i>
    <i r="3">
      <x v="52"/>
    </i>
    <i r="2">
      <x v="59"/>
    </i>
    <i r="3">
      <x v="153"/>
    </i>
    <i r="2">
      <x v="63"/>
    </i>
    <i r="2">
      <x v="81"/>
    </i>
    <i r="3">
      <x v="52"/>
    </i>
    <i r="2">
      <x v="89"/>
    </i>
    <i r="3">
      <x v="22"/>
    </i>
    <i r="1">
      <x v="119"/>
    </i>
    <i r="2">
      <x v="33"/>
    </i>
    <i r="3">
      <x v="6"/>
    </i>
    <i r="3">
      <x v="39"/>
    </i>
    <i r="3">
      <x v="83"/>
    </i>
    <i r="3">
      <x v="165"/>
    </i>
    <i r="2">
      <x v="34"/>
    </i>
    <i r="3">
      <x v="24"/>
    </i>
    <i r="3">
      <x v="39"/>
    </i>
    <i r="2">
      <x v="35"/>
    </i>
    <i r="2">
      <x v="36"/>
    </i>
    <i r="2">
      <x v="47"/>
    </i>
    <i r="3">
      <x v="36"/>
    </i>
    <i r="2">
      <x v="49"/>
    </i>
    <i r="2">
      <x v="50"/>
    </i>
    <i r="3">
      <x v="24"/>
    </i>
    <i r="2">
      <x v="53"/>
    </i>
    <i r="3">
      <x v="52"/>
    </i>
    <i r="2">
      <x v="54"/>
    </i>
    <i r="3">
      <x v="22"/>
    </i>
    <i r="2">
      <x v="55"/>
    </i>
    <i r="2">
      <x v="56"/>
    </i>
    <i r="2">
      <x v="58"/>
    </i>
    <i r="3">
      <x v="52"/>
    </i>
    <i r="2">
      <x v="59"/>
    </i>
    <i r="3">
      <x v="153"/>
    </i>
    <i r="2">
      <x v="62"/>
    </i>
    <i r="2">
      <x v="63"/>
    </i>
    <i r="2">
      <x v="68"/>
    </i>
    <i r="3">
      <x v="38"/>
    </i>
    <i r="2">
      <x v="81"/>
    </i>
    <i r="3">
      <x v="52"/>
    </i>
    <i r="2">
      <x v="89"/>
    </i>
    <i r="3">
      <x v="22"/>
    </i>
    <i r="1">
      <x v="120"/>
    </i>
    <i r="2">
      <x v="33"/>
    </i>
    <i r="3">
      <x v="38"/>
    </i>
    <i r="3">
      <x v="39"/>
    </i>
    <i r="3">
      <x v="41"/>
    </i>
    <i r="3">
      <x v="47"/>
    </i>
    <i r="3">
      <x v="145"/>
    </i>
    <i r="3">
      <x v="210"/>
    </i>
    <i r="2">
      <x v="34"/>
    </i>
    <i r="3">
      <x v="26"/>
    </i>
    <i r="3">
      <x v="41"/>
    </i>
    <i r="3">
      <x v="47"/>
    </i>
    <i r="3">
      <x v="188"/>
    </i>
    <i r="3">
      <x v="309"/>
    </i>
    <i r="2">
      <x v="35"/>
    </i>
    <i r="2">
      <x v="36"/>
    </i>
    <i r="2">
      <x v="47"/>
    </i>
    <i r="3">
      <x v="36"/>
    </i>
    <i r="3">
      <x v="120"/>
    </i>
    <i r="2">
      <x v="48"/>
    </i>
    <i r="2">
      <x v="49"/>
    </i>
    <i r="2">
      <x v="50"/>
    </i>
    <i r="3">
      <x v="17"/>
    </i>
    <i r="2">
      <x v="53"/>
    </i>
    <i r="3">
      <x v="52"/>
    </i>
    <i r="3">
      <x v="68"/>
    </i>
    <i r="2">
      <x v="54"/>
    </i>
    <i r="3">
      <x v="22"/>
    </i>
    <i r="2">
      <x v="55"/>
    </i>
    <i r="2">
      <x v="56"/>
    </i>
    <i r="2">
      <x v="57"/>
    </i>
    <i r="3">
      <x v="57"/>
    </i>
    <i r="2">
      <x v="58"/>
    </i>
    <i r="3">
      <x v="52"/>
    </i>
    <i r="2">
      <x v="59"/>
    </i>
    <i r="3">
      <x v="52"/>
    </i>
    <i r="2">
      <x v="63"/>
    </i>
    <i r="2">
      <x v="68"/>
    </i>
    <i r="3">
      <x v="38"/>
    </i>
    <i r="2">
      <x v="81"/>
    </i>
    <i r="3">
      <x v="54"/>
    </i>
    <i r="3">
      <x v="145"/>
    </i>
    <i r="2">
      <x v="89"/>
    </i>
    <i r="3">
      <x v="24"/>
    </i>
    <i t="grand">
      <x/>
    </i>
  </rowItems>
  <colFields count="1">
    <field x="-2"/>
  </colFields>
  <colItems count="2">
    <i>
      <x/>
    </i>
    <i i="1">
      <x v="1"/>
    </i>
  </colItems>
  <dataFields count="2">
    <dataField name="Quantity Processed" fld="5" baseField="0" baseItem="1"/>
    <dataField name="Total Sales by WS" fld="24" baseField="0" baseItem="4"/>
  </dataFields>
  <formats count="29">
    <format dxfId="135">
      <pivotArea dataOnly="0" outline="0" fieldPosition="0">
        <references count="1">
          <reference field="4294967294" count="1">
            <x v="1"/>
          </reference>
        </references>
      </pivotArea>
    </format>
    <format dxfId="134">
      <pivotArea dataOnly="0" outline="0" fieldPosition="0">
        <references count="1">
          <reference field="4294967294" count="1">
            <x v="1"/>
          </reference>
        </references>
      </pivotArea>
    </format>
    <format dxfId="133">
      <pivotArea dataOnly="0" outline="0" fieldPosition="0">
        <references count="1">
          <reference field="4294967294" count="1">
            <x v="1"/>
          </reference>
        </references>
      </pivotArea>
    </format>
    <format dxfId="132">
      <pivotArea dataOnly="0" outline="0" fieldPosition="0">
        <references count="1">
          <reference field="4294967294" count="1">
            <x v="1"/>
          </reference>
        </references>
      </pivotArea>
    </format>
    <format dxfId="131">
      <pivotArea dataOnly="0" outline="0" fieldPosition="0">
        <references count="1">
          <reference field="4294967294" count="1">
            <x v="1"/>
          </reference>
        </references>
      </pivotArea>
    </format>
    <format dxfId="130">
      <pivotArea dataOnly="0" outline="0" fieldPosition="0">
        <references count="1">
          <reference field="4294967294" count="1">
            <x v="0"/>
          </reference>
        </references>
      </pivotArea>
    </format>
    <format dxfId="129">
      <pivotArea dataOnly="0" outline="0" fieldPosition="0">
        <references count="1">
          <reference field="4294967294" count="1">
            <x v="0"/>
          </reference>
        </references>
      </pivotArea>
    </format>
    <format dxfId="128">
      <pivotArea dataOnly="0" outline="0" fieldPosition="0">
        <references count="1">
          <reference field="4294967294" count="1">
            <x v="0"/>
          </reference>
        </references>
      </pivotArea>
    </format>
    <format dxfId="127">
      <pivotArea dataOnly="0" labelOnly="1" fieldPosition="0">
        <references count="1">
          <reference field="0" count="0"/>
        </references>
      </pivotArea>
    </format>
    <format dxfId="126">
      <pivotArea dataOnly="0" labelOnly="1" fieldPosition="0">
        <references count="1">
          <reference field="0" count="0"/>
        </references>
      </pivotArea>
    </format>
    <format dxfId="125">
      <pivotArea dataOnly="0" labelOnly="1" fieldPosition="0">
        <references count="1">
          <reference field="0" count="0"/>
        </references>
      </pivotArea>
    </format>
    <format dxfId="124">
      <pivotArea dataOnly="0" labelOnly="1" fieldPosition="0">
        <references count="1">
          <reference field="0" count="0"/>
        </references>
      </pivotArea>
    </format>
    <format dxfId="123">
      <pivotArea dataOnly="0" labelOnly="1" fieldPosition="0">
        <references count="1">
          <reference field="0" count="0"/>
        </references>
      </pivotArea>
    </format>
    <format dxfId="122">
      <pivotArea dataOnly="0" labelOnly="1" fieldPosition="0">
        <references count="1">
          <reference field="0" count="0"/>
        </references>
      </pivotArea>
    </format>
    <format dxfId="121">
      <pivotArea field="0" type="button" dataOnly="0" labelOnly="1" outline="0" axis="axisRow" fieldPosition="1"/>
    </format>
    <format dxfId="120">
      <pivotArea dataOnly="0" labelOnly="1" outline="0" fieldPosition="0">
        <references count="1">
          <reference field="4294967294" count="2">
            <x v="0"/>
            <x v="1"/>
          </reference>
        </references>
      </pivotArea>
    </format>
    <format dxfId="119">
      <pivotArea field="0" type="button" dataOnly="0" labelOnly="1" outline="0" axis="axisRow" fieldPosition="1"/>
    </format>
    <format dxfId="118">
      <pivotArea dataOnly="0" labelOnly="1" outline="0" fieldPosition="0">
        <references count="1">
          <reference field="4294967294" count="2">
            <x v="0"/>
            <x v="1"/>
          </reference>
        </references>
      </pivotArea>
    </format>
    <format dxfId="117">
      <pivotArea field="0" type="button" dataOnly="0" labelOnly="1" outline="0" axis="axisRow" fieldPosition="1"/>
    </format>
    <format dxfId="116">
      <pivotArea dataOnly="0" labelOnly="1" outline="0" fieldPosition="0">
        <references count="1">
          <reference field="4294967294" count="2">
            <x v="0"/>
            <x v="1"/>
          </reference>
        </references>
      </pivotArea>
    </format>
    <format dxfId="115">
      <pivotArea field="0" type="button" dataOnly="0" labelOnly="1" outline="0" axis="axisRow" fieldPosition="1"/>
    </format>
    <format dxfId="114">
      <pivotArea dataOnly="0" labelOnly="1" outline="0" fieldPosition="0">
        <references count="1">
          <reference field="4294967294" count="2">
            <x v="0"/>
            <x v="1"/>
          </reference>
        </references>
      </pivotArea>
    </format>
    <format dxfId="113">
      <pivotArea field="0" type="button" dataOnly="0" labelOnly="1" outline="0" axis="axisRow" fieldPosition="1"/>
    </format>
    <format dxfId="112">
      <pivotArea dataOnly="0" labelOnly="1" outline="0" fieldPosition="0">
        <references count="1">
          <reference field="4294967294" count="2">
            <x v="0"/>
            <x v="1"/>
          </reference>
        </references>
      </pivotArea>
    </format>
    <format dxfId="111">
      <pivotArea field="0" type="button" dataOnly="0" labelOnly="1" outline="0" axis="axisRow" fieldPosition="1"/>
    </format>
    <format dxfId="110">
      <pivotArea field="0" type="button" dataOnly="0" labelOnly="1" outline="0" axis="axisRow" fieldPosition="1"/>
    </format>
    <format dxfId="109">
      <pivotArea dataOnly="0" labelOnly="1"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0000000-0013-0000-FFFF-FFFF01000000}" sourceName="Date ">
  <pivotTables>
    <pivotTable tabId="13" name="Sales"/>
  </pivotTables>
  <data>
    <tabular pivotCacheId="1" showMissing="0">
      <items count="32">
        <i x="0"/>
        <i x="1"/>
        <i x="2"/>
        <i x="3"/>
        <i x="4"/>
        <i x="5"/>
        <i x="6"/>
        <i x="7"/>
        <i x="8"/>
        <i x="9"/>
        <i x="10"/>
        <i x="11"/>
        <i x="12"/>
        <i x="13"/>
        <i x="14"/>
        <i x="15"/>
        <i x="16"/>
        <i x="17"/>
        <i x="18"/>
        <i x="19"/>
        <i x="20"/>
        <i x="21"/>
        <i x="22"/>
        <i x="23"/>
        <i x="24"/>
        <i x="25"/>
        <i x="26"/>
        <i x="27"/>
        <i x="28"/>
        <i x="29"/>
        <i x="30"/>
        <i x="3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00000000-0013-0000-FFFF-FFFF02000000}" sourceName="Date ">
  <pivotTables>
    <pivotTable tabId="15" name="WeeklySales"/>
  </pivotTables>
  <data>
    <tabular pivotCacheId="2" sortOrder="descending">
      <items count="368">
        <i x="130"/>
        <i x="161"/>
        <i x="191"/>
        <i x="160"/>
        <i x="190"/>
        <i x="128"/>
        <i x="159"/>
        <i x="189"/>
        <i x="127"/>
        <i x="158"/>
        <i x="188"/>
        <i x="126"/>
        <i x="187"/>
        <i x="125"/>
        <i x="156"/>
        <i x="186"/>
        <i x="124"/>
        <i x="155"/>
        <i x="152"/>
        <i x="151"/>
        <i x="182"/>
        <i x="121"/>
        <i x="123"/>
        <i x="154"/>
        <i x="181"/>
        <i x="120"/>
        <i x="149"/>
        <i x="180"/>
        <i x="119"/>
        <i x="148"/>
        <i x="179"/>
        <i x="118"/>
        <i x="147"/>
        <i x="117"/>
        <i x="146"/>
        <i x="177"/>
        <i x="116"/>
        <i x="145"/>
        <i x="176"/>
        <i x="144"/>
        <i x="175" s="1"/>
        <i x="205"/>
        <i x="114"/>
        <i x="174" s="1"/>
        <i x="204"/>
        <i x="113"/>
        <i x="173" s="1"/>
        <i x="203"/>
        <i x="141"/>
        <i x="172" s="1"/>
        <i x="202"/>
        <i x="153"/>
        <i x="183"/>
        <i x="140"/>
        <i x="201"/>
        <i x="139"/>
        <i x="170" s="1"/>
        <i x="200"/>
        <i x="138"/>
        <i x="169" s="1"/>
        <i x="137"/>
        <i x="168"/>
        <i x="198"/>
        <i x="167"/>
        <i x="197"/>
        <i x="135"/>
        <i x="166"/>
        <i x="196"/>
        <i x="134"/>
        <i x="165"/>
        <i x="195"/>
        <i x="133"/>
        <i x="194"/>
        <i x="132"/>
        <i x="163"/>
        <i x="193"/>
        <i x="131"/>
        <i x="162"/>
        <i x="253" nd="1"/>
        <i x="283" nd="1"/>
        <i x="314" nd="1"/>
        <i x="69" nd="1"/>
        <i x="9" nd="1"/>
        <i x="40" nd="1"/>
        <i x="344" nd="1"/>
        <i x="222" nd="1"/>
        <i x="100" nd="1"/>
        <i x="252" nd="1"/>
        <i x="282" nd="1"/>
        <i x="313" nd="1"/>
        <i x="129" nd="1"/>
        <i x="68" nd="1"/>
        <i x="8" nd="1"/>
        <i x="39" nd="1"/>
        <i x="343" nd="1"/>
        <i x="221" nd="1"/>
        <i x="99" nd="1"/>
        <i x="251" nd="1"/>
        <i x="281" nd="1"/>
        <i x="312" nd="1"/>
        <i x="67" nd="1"/>
        <i x="7" nd="1"/>
        <i x="38" nd="1"/>
        <i x="342" nd="1"/>
        <i x="220" nd="1"/>
        <i x="98" nd="1"/>
        <i x="250" nd="1"/>
        <i x="280" nd="1"/>
        <i x="311" nd="1"/>
        <i x="66" nd="1"/>
        <i x="6" nd="1"/>
        <i x="37" nd="1"/>
        <i x="341" nd="1"/>
        <i x="219" nd="1"/>
        <i x="97" nd="1"/>
        <i x="249" nd="1"/>
        <i x="279" nd="1"/>
        <i x="310" nd="1"/>
        <i x="65" nd="1"/>
        <i x="157" nd="1"/>
        <i x="5" nd="1"/>
        <i x="36" nd="1"/>
        <i x="340" nd="1"/>
        <i x="218" nd="1"/>
        <i x="96" nd="1"/>
        <i x="248" nd="1"/>
        <i x="278" nd="1"/>
        <i x="309" nd="1"/>
        <i x="64" nd="1"/>
        <i x="4" nd="1"/>
        <i x="35" nd="1"/>
        <i x="339" nd="1"/>
        <i x="217" nd="1"/>
        <i x="95" nd="1"/>
        <i x="247" nd="1"/>
        <i x="277" nd="1"/>
        <i x="308" nd="1"/>
        <i x="63" nd="1"/>
        <i x="185" nd="1"/>
        <i x="3" nd="1"/>
        <i x="34" nd="1"/>
        <i x="338" nd="1"/>
        <i x="216" nd="1"/>
        <i x="94" nd="1"/>
        <i x="305" nd="1"/>
        <i x="91" nd="1"/>
        <i x="213" nd="1"/>
        <i x="31" nd="1"/>
        <i x="366" nd="1"/>
        <i x="244" nd="1"/>
        <i x="274" nd="1"/>
        <i x="304" nd="1"/>
        <i x="335" nd="1"/>
        <i x="90" nd="1"/>
        <i x="212" nd="1"/>
        <i x="30" nd="1"/>
        <i x="365" nd="1"/>
        <i x="243" nd="1"/>
        <i x="246" nd="1"/>
        <i x="276" nd="1"/>
        <i x="307" nd="1"/>
        <i x="62" nd="1"/>
        <i x="184" nd="1"/>
        <i x="2" nd="1"/>
        <i x="33" nd="1"/>
        <i x="337" nd="1"/>
        <i x="215" nd="1"/>
        <i x="93" nd="1"/>
        <i x="273" nd="1"/>
        <i x="303" nd="1"/>
        <i x="334" nd="1"/>
        <i x="150" nd="1"/>
        <i x="89" nd="1"/>
        <i x="211" nd="1"/>
        <i x="29" nd="1"/>
        <i x="60" nd="1"/>
        <i x="364" nd="1"/>
        <i x="242" nd="1"/>
        <i x="272" nd="1"/>
        <i x="302" nd="1"/>
        <i x="333" nd="1"/>
        <i x="88" nd="1"/>
        <i x="210" nd="1"/>
        <i x="28" nd="1"/>
        <i x="59" nd="1"/>
        <i x="363" nd="1"/>
        <i x="241" nd="1"/>
        <i x="271" nd="1"/>
        <i x="301" nd="1"/>
        <i x="332" nd="1"/>
        <i x="87" nd="1"/>
        <i x="209" nd="1"/>
        <i x="27" nd="1"/>
        <i x="58" nd="1"/>
        <i x="362" nd="1"/>
        <i x="240" nd="1"/>
        <i x="270" nd="1"/>
        <i x="300" nd="1"/>
        <i x="331" nd="1"/>
        <i x="86" nd="1"/>
        <i x="178" nd="1"/>
        <i x="208" nd="1"/>
        <i x="26" nd="1"/>
        <i x="57" nd="1"/>
        <i x="361" nd="1"/>
        <i x="239" nd="1"/>
        <i x="269" nd="1"/>
        <i x="299" nd="1"/>
        <i x="330" nd="1"/>
        <i x="85" nd="1"/>
        <i x="207" nd="1"/>
        <i x="25" nd="1"/>
        <i x="56" nd="1"/>
        <i x="360" nd="1"/>
        <i x="238" nd="1"/>
        <i x="268" nd="1"/>
        <i x="298" nd="1"/>
        <i x="329" nd="1"/>
        <i x="84" nd="1"/>
        <i x="206" nd="1"/>
        <i x="24" nd="1"/>
        <i x="55" nd="1"/>
        <i x="359" nd="1"/>
        <i x="237" nd="1"/>
        <i x="115" nd="1"/>
        <i x="267" nd="1"/>
        <i x="297" nd="1"/>
        <i x="328" nd="1"/>
        <i x="83" nd="1"/>
        <i x="23" nd="1"/>
        <i x="54" nd="1"/>
        <i x="358" nd="1"/>
        <i x="236" nd="1"/>
        <i x="266" nd="1"/>
        <i x="296" nd="1"/>
        <i x="327" nd="1"/>
        <i x="143" nd="1"/>
        <i x="82" nd="1"/>
        <i x="22" nd="1"/>
        <i x="53" nd="1"/>
        <i x="357" nd="1"/>
        <i x="235" nd="1"/>
        <i x="265" nd="1"/>
        <i x="295" nd="1"/>
        <i x="326" nd="1"/>
        <i x="142" nd="1"/>
        <i x="81" nd="1"/>
        <i x="21" nd="1"/>
        <i x="52" nd="1"/>
        <i x="356" nd="1"/>
        <i x="234" nd="1"/>
        <i x="112" nd="1"/>
        <i x="264" nd="1"/>
        <i x="294" nd="1"/>
        <i x="325" nd="1"/>
        <i x="80" nd="1"/>
        <i x="20" nd="1"/>
        <i x="51" nd="1"/>
        <i x="355" nd="1"/>
        <i x="233" nd="1"/>
        <i x="111" nd="1"/>
        <i x="245" nd="1"/>
        <i x="275" nd="1"/>
        <i x="306" nd="1"/>
        <i x="122" nd="1"/>
        <i x="61" nd="1"/>
        <i x="1" nd="1"/>
        <i x="32" nd="1"/>
        <i x="336" nd="1"/>
        <i x="214" nd="1"/>
        <i x="92" nd="1"/>
        <i x="263" nd="1"/>
        <i x="293" nd="1"/>
        <i x="324" nd="1"/>
        <i x="79" nd="1"/>
        <i x="171" nd="1"/>
        <i x="19" nd="1"/>
        <i x="50" nd="1"/>
        <i x="354" nd="1"/>
        <i x="232" nd="1"/>
        <i x="110" nd="1"/>
        <i x="262" nd="1"/>
        <i x="292" nd="1"/>
        <i x="323" nd="1"/>
        <i x="78" nd="1"/>
        <i x="18" nd="1"/>
        <i x="49" nd="1"/>
        <i x="353" nd="1"/>
        <i x="231" nd="1"/>
        <i x="109" nd="1"/>
        <i x="261" nd="1"/>
        <i x="291" nd="1"/>
        <i x="322" nd="1"/>
        <i x="77" nd="1"/>
        <i x="199" nd="1"/>
        <i x="17" nd="1"/>
        <i x="48" nd="1"/>
        <i x="352" nd="1"/>
        <i x="230" nd="1"/>
        <i x="108" nd="1"/>
        <i x="260" nd="1"/>
        <i x="290" nd="1"/>
        <i x="321" nd="1"/>
        <i x="76" nd="1"/>
        <i x="16" nd="1"/>
        <i x="47" nd="1"/>
        <i x="351" nd="1"/>
        <i x="229" nd="1"/>
        <i x="107" nd="1"/>
        <i x="259" nd="1"/>
        <i x="289" nd="1"/>
        <i x="320" nd="1"/>
        <i x="136" nd="1"/>
        <i x="75" nd="1"/>
        <i x="15" nd="1"/>
        <i x="46" nd="1"/>
        <i x="350" nd="1"/>
        <i x="228" nd="1"/>
        <i x="106" nd="1"/>
        <i x="258" nd="1"/>
        <i x="288" nd="1"/>
        <i x="319" nd="1"/>
        <i x="74" nd="1"/>
        <i x="14" nd="1"/>
        <i x="45" nd="1"/>
        <i x="349" nd="1"/>
        <i x="227" nd="1"/>
        <i x="105" nd="1"/>
        <i x="257" nd="1"/>
        <i x="287" nd="1"/>
        <i x="318" nd="1"/>
        <i x="73" nd="1"/>
        <i x="13" nd="1"/>
        <i x="44" nd="1"/>
        <i x="348" nd="1"/>
        <i x="226" nd="1"/>
        <i x="104" nd="1"/>
        <i x="256" nd="1"/>
        <i x="286" nd="1"/>
        <i x="317" nd="1"/>
        <i x="72" nd="1"/>
        <i x="164" nd="1"/>
        <i x="12" nd="1"/>
        <i x="43" nd="1"/>
        <i x="347" nd="1"/>
        <i x="225" nd="1"/>
        <i x="103" nd="1"/>
        <i x="255" nd="1"/>
        <i x="285" nd="1"/>
        <i x="316" nd="1"/>
        <i x="71" nd="1"/>
        <i x="11" nd="1"/>
        <i x="42" nd="1"/>
        <i x="346" nd="1"/>
        <i x="224" nd="1"/>
        <i x="102" nd="1"/>
        <i x="254" nd="1"/>
        <i x="284" nd="1"/>
        <i x="315" nd="1"/>
        <i x="70" nd="1"/>
        <i x="192" nd="1"/>
        <i x="10" nd="1"/>
        <i x="41" nd="1"/>
        <i x="345" nd="1"/>
        <i x="223" nd="1"/>
        <i x="101" nd="1"/>
        <i x="367" nd="1"/>
        <i x="0"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ed" xr10:uid="{00000000-0013-0000-FFFF-FFFF03000000}" sourceName="Shipped">
  <extLst>
    <x:ext xmlns:x15="http://schemas.microsoft.com/office/spreadsheetml/2010/11/main" uri="{2F2917AC-EB37-4324-AD4E-5DD8C200BD13}">
      <x15:tableSlicerCache tableId="5"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ped" xr10:uid="{00000000-0014-0000-FFFF-FFFF01000000}" cache="Slicer_Shipped" caption="Shipped"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 xr10:uid="{00000000-0014-0000-FFFF-FFFF02000000}" cache="Slicer_Date" caption="Date " startItem="2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00000000-0014-0000-FFFF-FFFF03000000}" cache="Slicer_Date1" caption="Date " startItem="3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ShipMarie" displayName="ShipMarie" ref="A1:A2" totalsRowShown="0">
  <autoFilter ref="A1:A2" xr:uid="{00000000-0009-0000-0100-00000A000000}"/>
  <tableColumns count="1">
    <tableColumn id="1" xr3:uid="{00000000-0010-0000-0100-000001000000}" name="Ship"/>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Marie" displayName="Marie" ref="A5:L7" totalsRowShown="0">
  <autoFilter ref="A5:L7" xr:uid="{00000000-0009-0000-0100-000005000000}">
    <filterColumn colId="11">
      <filters>
        <filter val="0"/>
      </filters>
    </filterColumn>
  </autoFilter>
  <tableColumns count="12">
    <tableColumn id="1" xr3:uid="{00000000-0010-0000-0000-000001000000}" name="Date " dataDxfId="106"/>
    <tableColumn id="2" xr3:uid="{00000000-0010-0000-0000-000002000000}" name="Part" dataDxfId="105"/>
    <tableColumn id="3" xr3:uid="{00000000-0010-0000-0000-000003000000}" name="Lot No." dataDxfId="104"/>
    <tableColumn id="4" xr3:uid="{00000000-0010-0000-0000-000004000000}" name="PO No." dataDxfId="103"/>
    <tableColumn id="5" xr3:uid="{00000000-0010-0000-0000-000005000000}" name="Description" dataDxfId="102"/>
    <tableColumn id="6" xr3:uid="{00000000-0010-0000-0000-000006000000}" name="Passed" dataDxfId="101"/>
    <tableColumn id="7" xr3:uid="{00000000-0010-0000-0000-000007000000}" name="Failed" dataDxfId="100"/>
    <tableColumn id="8" xr3:uid="{00000000-0010-0000-0000-000008000000}" name="Total Pieces" dataDxfId="99"/>
    <tableColumn id="12" xr3:uid="{00000000-0010-0000-0000-00000C000000}" name="Pot No." dataDxfId="98"/>
    <tableColumn id="9" xr3:uid="{00000000-0010-0000-0000-000009000000}" name="Operator" dataDxfId="97"/>
    <tableColumn id="10" xr3:uid="{00000000-0010-0000-0000-00000A000000}" name="MC No." dataDxfId="96"/>
    <tableColumn id="11" xr3:uid="{00000000-0010-0000-0000-00000B000000}" name="Shipped" dataDxfId="95">
      <calculatedColumnFormula>+IF(ISERROR(MATCH(Marie[[#This Row],[Pot No.]],ShipMarie[Ship],0)),$L6,"SHIPPED")</calculatedColumnFormula>
    </tableColumn>
  </tableColumns>
  <tableStyleInfo name="TableStyleMedium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OtherClients" displayName="OtherClients" ref="A6:Z3020" totalsRowShown="0" headerRowDxfId="94" dataDxfId="93" headerRowCellStyle="Comma">
  <autoFilter ref="A6:Z3020" xr:uid="{00000000-000C-0000-FFFF-FFFF02000000}">
    <filterColumn colId="0">
      <filters>
        <dateGroupItem year="2026" month="9" day="11" dateTimeGrouping="day"/>
      </filters>
    </filterColumn>
  </autoFilter>
  <sortState xmlns:xlrd2="http://schemas.microsoft.com/office/spreadsheetml/2017/richdata2" ref="A1285:Z1564">
    <sortCondition ref="B6:B1568"/>
  </sortState>
  <tableColumns count="26">
    <tableColumn id="1" xr3:uid="{00000000-0010-0000-0200-000001000000}" name="Date " dataDxfId="92" totalsRowDxfId="91"/>
    <tableColumn id="2" xr3:uid="{00000000-0010-0000-0200-000002000000}" name="Station" dataDxfId="90" totalsRowDxfId="89"/>
    <tableColumn id="5" xr3:uid="{00000000-0010-0000-0200-000005000000}" name="Part" dataDxfId="88" totalsRowDxfId="87"/>
    <tableColumn id="26" xr3:uid="{00000000-0010-0000-0200-00001A000000}" name="Traveler" dataDxfId="86" totalsRowDxfId="85"/>
    <tableColumn id="8" xr3:uid="{00000000-0010-0000-0200-000008000000}" name="Boxes / Pieces" dataDxfId="84" totalsRowDxfId="83"/>
    <tableColumn id="11" xr3:uid="{00000000-0010-0000-0200-00000B000000}" name="Unit Quantity" dataDxfId="82" totalsRowDxfId="81" dataCellStyle="Comma" totalsRowCellStyle="Comma"/>
    <tableColumn id="12" xr3:uid="{00000000-0010-0000-0200-00000C000000}" name="Total Quantity" dataDxfId="80" totalsRowDxfId="79" dataCellStyle="Comma" totalsRowCellStyle="Comma"/>
    <tableColumn id="9" xr3:uid="{00000000-0010-0000-0200-000009000000}" name="Operator" dataDxfId="78" totalsRowDxfId="77" dataCellStyle="Comma" totalsRowCellStyle="Comma"/>
    <tableColumn id="14" xr3:uid="{00000000-0010-0000-0200-00000E000000}" name="Specs followed" dataDxfId="76" totalsRowDxfId="75" dataCellStyle="Comma" totalsRowCellStyle="Comma"/>
    <tableColumn id="16" xr3:uid="{00000000-0010-0000-0200-000010000000}" name="Autherized1" dataDxfId="74" totalsRowDxfId="73" dataCellStyle="Comma" totalsRowCellStyle="Comma"/>
    <tableColumn id="3" xr3:uid="{00000000-0010-0000-0200-000003000000}" name="Count Verified" dataDxfId="72" totalsRowDxfId="71"/>
    <tableColumn id="17" xr3:uid="{00000000-0010-0000-0200-000011000000}" name="Autherized2" dataDxfId="70" totalsRowDxfId="69"/>
    <tableColumn id="10" xr3:uid="{00000000-0010-0000-0200-00000A000000}" name="Station Cleaned" dataDxfId="68" totalsRowDxfId="67"/>
    <tableColumn id="18" xr3:uid="{00000000-0010-0000-0200-000012000000}" name="Autherized3" dataDxfId="66" totalsRowDxfId="65"/>
    <tableColumn id="7" xr3:uid="{00000000-0010-0000-0200-000007000000}" name="Scale Zeroed" dataDxfId="64" totalsRowDxfId="63"/>
    <tableColumn id="19" xr3:uid="{00000000-0010-0000-0200-000013000000}" name="Autherized4" dataDxfId="62" totalsRowDxfId="61"/>
    <tableColumn id="6" xr3:uid="{00000000-0010-0000-0200-000006000000}" name="Boxes Labelled" dataDxfId="60" totalsRowDxfId="59"/>
    <tableColumn id="20" xr3:uid="{00000000-0010-0000-0200-000014000000}" name="Autherized5" dataDxfId="58" totalsRowDxfId="57"/>
    <tableColumn id="4" xr3:uid="{00000000-0010-0000-0200-000004000000}" name="Bin Emptied" dataDxfId="56" totalsRowDxfId="55"/>
    <tableColumn id="21" xr3:uid="{00000000-0010-0000-0200-000015000000}" name="Autherized6" dataDxfId="54" totalsRowDxfId="53"/>
    <tableColumn id="15" xr3:uid="{00000000-0010-0000-0200-00000F000000}" name="Bin Cleaned" dataDxfId="52" totalsRowDxfId="51"/>
    <tableColumn id="13" xr3:uid="{00000000-0010-0000-0200-00000D000000}" name="Autherized7" dataDxfId="50" totalsRowDxfId="49"/>
    <tableColumn id="24" xr3:uid="{00000000-0010-0000-0200-000018000000}" name="Re-certified or New" dataDxfId="48" totalsRowDxfId="47"/>
    <tableColumn id="23" xr3:uid="{00000000-0010-0000-0200-000017000000}" name="Client" dataDxfId="46" totalsRowDxfId="45">
      <calculatedColumnFormula>+VLOOKUP(OtherClients[[#This Row],[Part]],PartControl!$A$2:$E$564,5,FALSE)</calculatedColumnFormula>
    </tableColumn>
    <tableColumn id="25" xr3:uid="{00000000-0010-0000-0200-000019000000}" name="Unit Price" dataDxfId="44" totalsRowDxfId="43"/>
    <tableColumn id="22" xr3:uid="{00000000-0010-0000-0200-000016000000}" name="Price" dataDxfId="42" totalsRowDxfId="41" dataCellStyle="Comma" totalsRowCellStyle="Comma">
      <calculatedColumnFormula>IF(OtherClients[[#This Row],[Re-certified or New]]&lt;&gt;"Re-certified",IF(OtherClients[[#This Row],[Client]]="infasco",VLOOKUP(OtherClients[[#This Row],[Part]],PartControl!$A$2:$E$564,2,FALSE),OtherClients[[#This Row],[Total Quantity]]*VLOOKUP(OtherClients[[#This Row],[Part]],PartControl!$A$2:$E$564,2,FALSE)),0)</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PartControl" displayName="PartControl" ref="A1:F564" totalsRowShown="0" headerRowDxfId="20" tableBorderDxfId="19">
  <autoFilter ref="A1:F564" xr:uid="{00000000-0009-0000-0100-000002000000}"/>
  <sortState xmlns:xlrd2="http://schemas.microsoft.com/office/spreadsheetml/2017/richdata2" ref="A2:F438">
    <sortCondition ref="A1:A438"/>
  </sortState>
  <tableColumns count="6">
    <tableColumn id="1" xr3:uid="{00000000-0010-0000-0700-000001000000}" name="Part Number "/>
    <tableColumn id="2" xr3:uid="{00000000-0010-0000-0700-000002000000}" name="Price"/>
    <tableColumn id="3" xr3:uid="{00000000-0010-0000-0700-000003000000}" name="Cirteria"/>
    <tableColumn id="4" xr3:uid="{00000000-0010-0000-0700-000004000000}" name="Quantity"/>
    <tableColumn id="5" xr3:uid="{00000000-0010-0000-0700-000005000000}" name="Client"/>
    <tableColumn id="6" xr3:uid="{458923F6-2755-42C5-AF21-A212269053AA}" name="Column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A53" totalsRowShown="0" tableBorderDxfId="18">
  <autoFilter ref="A1:A53" xr:uid="{00000000-0009-0000-0100-000006000000}"/>
  <sortState xmlns:xlrd2="http://schemas.microsoft.com/office/spreadsheetml/2017/richdata2" ref="A2:A51">
    <sortCondition ref="A1:A51"/>
  </sortState>
  <tableColumns count="1">
    <tableColumn id="1" xr3:uid="{00000000-0010-0000-0300-000001000000}" name="Client Lis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7" displayName="Table7" ref="E1:E76" totalsRowShown="0" dataDxfId="17" tableBorderDxfId="16">
  <autoFilter ref="E1:E76" xr:uid="{00000000-0009-0000-0100-000007000000}"/>
  <tableColumns count="1">
    <tableColumn id="1" xr3:uid="{00000000-0010-0000-0400-000001000000}" name="Employees" dataDxfId="1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MACHINE" displayName="MACHINE" ref="I1:I53" totalsRowShown="0">
  <autoFilter ref="I1:I53" xr:uid="{00000000-0009-0000-0100-000008000000}"/>
  <sortState xmlns:xlrd2="http://schemas.microsoft.com/office/spreadsheetml/2017/richdata2" ref="I2:I43">
    <sortCondition descending="1" ref="I1:I43"/>
  </sortState>
  <tableColumns count="1">
    <tableColumn id="1" xr3:uid="{00000000-0010-0000-0500-000001000000}" name="Machin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Table9" displayName="Table9" ref="L1:L101" totalsRowShown="0">
  <autoFilter ref="L1:L101" xr:uid="{00000000-0009-0000-0100-000009000000}"/>
  <tableColumns count="1">
    <tableColumn id="1" xr3:uid="{00000000-0010-0000-0600-000001000000}" name="Ship Marievill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Crosscheckk" displayName="Crosscheckk" ref="A1:C4" totalsRowShown="0" tableBorderDxfId="14">
  <autoFilter ref="A1:C4" xr:uid="{00000000-0009-0000-0100-000001000000}"/>
  <tableColumns count="3">
    <tableColumn id="2" xr3:uid="{00000000-0010-0000-0800-000002000000}" name="Part#" dataDxfId="13"/>
    <tableColumn id="3" xr3:uid="{00000000-0010-0000-0800-000003000000}" name="Quantity per box" dataDxfId="12" dataCellStyle="Comma">
      <calculatedColumnFormula>+VLOOKUP(Crosscheckk[[#This Row],[Part'#]],PartControl!$A$2:$E$564,4,FALSE)</calculatedColumnFormula>
    </tableColumn>
    <tableColumn id="4" xr3:uid="{00000000-0010-0000-0800-000004000000}" name="Price" dataDxfId="11">
      <calculatedColumnFormula>+VLOOKUP(Crosscheckk[[#This Row],[Part'#]],PartControl!$A$2:$E$564,2,FALSE)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6" Type="http://schemas.openxmlformats.org/officeDocument/2006/relationships/image" Target="../media/image7.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4.emf"/><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tabSelected="1" zoomScale="150" zoomScaleNormal="150" workbookViewId="0">
      <selection activeCell="I23" sqref="I23"/>
    </sheetView>
  </sheetViews>
  <sheetFormatPr defaultRowHeight="15" x14ac:dyDescent="0.25"/>
  <cols>
    <col min="1" max="1" width="10" bestFit="1" customWidth="1"/>
  </cols>
  <sheetData>
    <row r="1" spans="1:1" x14ac:dyDescent="0.25">
      <c r="A1" t="s">
        <v>82</v>
      </c>
    </row>
  </sheetData>
  <sheetProtection sheet="1" objects="1" scenarios="1"/>
  <pageMargins left="0.7" right="0.7" top="0.75" bottom="0.75" header="0.3" footer="0.3"/>
  <pageSetup orientation="portrait" r:id="rId1"/>
  <drawing r:id="rId2"/>
  <legacyDrawing r:id="rId3"/>
  <picture r:id="rId4"/>
  <controls>
    <mc:AlternateContent xmlns:mc="http://schemas.openxmlformats.org/markup-compatibility/2006">
      <mc:Choice Requires="x14">
        <control shapeId="6152" r:id="rId5" name="CommandButton7">
          <controlPr defaultSize="0" autoFill="0" autoLine="0" r:id="rId6">
            <anchor moveWithCells="1">
              <from>
                <xdr:col>6</xdr:col>
                <xdr:colOff>600075</xdr:colOff>
                <xdr:row>13</xdr:row>
                <xdr:rowOff>19050</xdr:rowOff>
              </from>
              <to>
                <xdr:col>10</xdr:col>
                <xdr:colOff>57150</xdr:colOff>
                <xdr:row>14</xdr:row>
                <xdr:rowOff>123825</xdr:rowOff>
              </to>
            </anchor>
          </controlPr>
        </control>
      </mc:Choice>
      <mc:Fallback>
        <control shapeId="6152" r:id="rId5" name="CommandButton7"/>
      </mc:Fallback>
    </mc:AlternateContent>
    <mc:AlternateContent xmlns:mc="http://schemas.openxmlformats.org/markup-compatibility/2006">
      <mc:Choice Requires="x14">
        <control shapeId="6151" r:id="rId7" name="CommandButton6">
          <controlPr defaultSize="0" autoFill="0" autoLine="0" r:id="rId8">
            <anchor moveWithCells="1">
              <from>
                <xdr:col>0</xdr:col>
                <xdr:colOff>323850</xdr:colOff>
                <xdr:row>7</xdr:row>
                <xdr:rowOff>0</xdr:rowOff>
              </from>
              <to>
                <xdr:col>5</xdr:col>
                <xdr:colOff>123825</xdr:colOff>
                <xdr:row>12</xdr:row>
                <xdr:rowOff>104775</xdr:rowOff>
              </to>
            </anchor>
          </controlPr>
        </control>
      </mc:Choice>
      <mc:Fallback>
        <control shapeId="6151" r:id="rId7" name="CommandButton6"/>
      </mc:Fallback>
    </mc:AlternateContent>
    <mc:AlternateContent xmlns:mc="http://schemas.openxmlformats.org/markup-compatibility/2006">
      <mc:Choice Requires="x14">
        <control shapeId="6148" r:id="rId9" name="CommandButton2">
          <controlPr defaultSize="0" autoLine="0" r:id="rId10">
            <anchor moveWithCells="1">
              <from>
                <xdr:col>7</xdr:col>
                <xdr:colOff>409575</xdr:colOff>
                <xdr:row>20</xdr:row>
                <xdr:rowOff>57150</xdr:rowOff>
              </from>
              <to>
                <xdr:col>9</xdr:col>
                <xdr:colOff>323850</xdr:colOff>
                <xdr:row>22</xdr:row>
                <xdr:rowOff>28575</xdr:rowOff>
              </to>
            </anchor>
          </controlPr>
        </control>
      </mc:Choice>
      <mc:Fallback>
        <control shapeId="6148" r:id="rId9" name="CommandButton2"/>
      </mc:Fallback>
    </mc:AlternateContent>
    <mc:AlternateContent xmlns:mc="http://schemas.openxmlformats.org/markup-compatibility/2006">
      <mc:Choice Requires="x14">
        <control shapeId="6145" r:id="rId11" name="CommandButton1">
          <controlPr defaultSize="0" autoFill="0" autoLine="0" r:id="rId12">
            <anchor moveWithCells="1">
              <from>
                <xdr:col>11</xdr:col>
                <xdr:colOff>523875</xdr:colOff>
                <xdr:row>7</xdr:row>
                <xdr:rowOff>0</xdr:rowOff>
              </from>
              <to>
                <xdr:col>16</xdr:col>
                <xdr:colOff>209550</xdr:colOff>
                <xdr:row>12</xdr:row>
                <xdr:rowOff>104775</xdr:rowOff>
              </to>
            </anchor>
          </controlPr>
        </control>
      </mc:Choice>
      <mc:Fallback>
        <control shapeId="6145" r:id="rId11" name="CommandButton1"/>
      </mc:Fallback>
    </mc:AlternateContent>
    <mc:AlternateContent xmlns:mc="http://schemas.openxmlformats.org/markup-compatibility/2006">
      <mc:Choice Requires="x14">
        <control shapeId="6147" r:id="rId13" name="CommandButton3">
          <controlPr defaultSize="0" autoLine="0" r:id="rId14">
            <anchor moveWithCells="1">
              <from>
                <xdr:col>7</xdr:col>
                <xdr:colOff>409575</xdr:colOff>
                <xdr:row>18</xdr:row>
                <xdr:rowOff>19050</xdr:rowOff>
              </from>
              <to>
                <xdr:col>9</xdr:col>
                <xdr:colOff>323850</xdr:colOff>
                <xdr:row>19</xdr:row>
                <xdr:rowOff>171450</xdr:rowOff>
              </to>
            </anchor>
          </controlPr>
        </control>
      </mc:Choice>
      <mc:Fallback>
        <control shapeId="6147" r:id="rId13" name="CommandButton3"/>
      </mc:Fallback>
    </mc:AlternateContent>
    <mc:AlternateContent xmlns:mc="http://schemas.openxmlformats.org/markup-compatibility/2006">
      <mc:Choice Requires="x14">
        <control shapeId="6150" r:id="rId15" name="CommandButton5">
          <controlPr defaultSize="0" autoFill="0" autoLine="0" autoPict="0" r:id="rId16">
            <anchor moveWithCells="1">
              <from>
                <xdr:col>6</xdr:col>
                <xdr:colOff>19050</xdr:colOff>
                <xdr:row>7</xdr:row>
                <xdr:rowOff>19050</xdr:rowOff>
              </from>
              <to>
                <xdr:col>10</xdr:col>
                <xdr:colOff>485775</xdr:colOff>
                <xdr:row>12</xdr:row>
                <xdr:rowOff>114300</xdr:rowOff>
              </to>
            </anchor>
          </controlPr>
        </control>
      </mc:Choice>
      <mc:Fallback>
        <control shapeId="6150" r:id="rId15"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2"/>
  <sheetViews>
    <sheetView workbookViewId="0">
      <selection activeCell="B2" sqref="B2"/>
    </sheetView>
  </sheetViews>
  <sheetFormatPr defaultRowHeight="15" x14ac:dyDescent="0.25"/>
  <cols>
    <col min="12" max="12" width="0" hidden="1" customWidth="1"/>
  </cols>
  <sheetData>
    <row r="1" spans="1:1" x14ac:dyDescent="0.25">
      <c r="A1" t="s">
        <v>542</v>
      </c>
    </row>
    <row r="2" spans="1:1" x14ac:dyDescent="0.25">
      <c r="A2" t="s">
        <v>511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L7"/>
  <sheetViews>
    <sheetView zoomScale="85" zoomScaleNormal="85" zoomScaleSheetLayoutView="100" workbookViewId="0">
      <selection activeCell="A2" sqref="A2"/>
    </sheetView>
  </sheetViews>
  <sheetFormatPr defaultRowHeight="30" customHeight="1" x14ac:dyDescent="0.25"/>
  <cols>
    <col min="1" max="1" width="17.28515625" customWidth="1"/>
    <col min="2" max="2" width="23.28515625" customWidth="1"/>
    <col min="3" max="4" width="16.28515625" customWidth="1"/>
    <col min="5" max="5" width="19.28515625" customWidth="1"/>
    <col min="6" max="8" width="14.7109375" customWidth="1"/>
    <col min="9" max="9" width="20.42578125" customWidth="1"/>
    <col min="10" max="10" width="8.28515625" customWidth="1"/>
    <col min="11" max="11" width="9.7109375" customWidth="1"/>
    <col min="12" max="12" width="10.42578125" hidden="1" customWidth="1"/>
  </cols>
  <sheetData>
    <row r="1" spans="1:12" ht="24" customHeight="1" x14ac:dyDescent="0.25"/>
    <row r="2" spans="1:12" ht="24" customHeight="1" x14ac:dyDescent="0.25"/>
    <row r="3" spans="1:12" ht="39" customHeight="1" x14ac:dyDescent="0.25">
      <c r="A3" s="61" t="s">
        <v>544</v>
      </c>
      <c r="B3" s="62" t="s">
        <v>145</v>
      </c>
      <c r="C3" s="68" t="s">
        <v>545</v>
      </c>
      <c r="D3" s="63"/>
      <c r="F3" s="70" t="s">
        <v>546</v>
      </c>
      <c r="G3" s="71">
        <f ca="1">TODAY()</f>
        <v>46279</v>
      </c>
      <c r="I3" s="68" t="s">
        <v>547</v>
      </c>
      <c r="J3" s="61">
        <f>+SUBTOTAL(103,Marie[Part])</f>
        <v>1</v>
      </c>
      <c r="K3" s="69"/>
    </row>
    <row r="4" spans="1:12" ht="17.25" customHeight="1" x14ac:dyDescent="0.25"/>
    <row r="5" spans="1:12" ht="30" customHeight="1" x14ac:dyDescent="0.25">
      <c r="A5" s="64" t="s">
        <v>92</v>
      </c>
      <c r="B5" s="65" t="s">
        <v>91</v>
      </c>
      <c r="C5" s="65" t="s">
        <v>425</v>
      </c>
      <c r="D5" s="65" t="s">
        <v>438</v>
      </c>
      <c r="E5" s="65" t="s">
        <v>426</v>
      </c>
      <c r="F5" s="76" t="s">
        <v>429</v>
      </c>
      <c r="G5" s="76" t="s">
        <v>428</v>
      </c>
      <c r="H5" s="76" t="s">
        <v>430</v>
      </c>
      <c r="I5" s="65" t="s">
        <v>427</v>
      </c>
      <c r="J5" s="65" t="s">
        <v>94</v>
      </c>
      <c r="K5" s="65" t="s">
        <v>431</v>
      </c>
      <c r="L5" t="s">
        <v>432</v>
      </c>
    </row>
    <row r="6" spans="1:12" ht="30" customHeight="1" x14ac:dyDescent="0.25">
      <c r="A6" s="66" t="s">
        <v>439</v>
      </c>
      <c r="B6" s="66" t="s">
        <v>439</v>
      </c>
      <c r="C6" s="67"/>
      <c r="D6" s="67"/>
      <c r="E6" s="67"/>
      <c r="F6" s="77"/>
      <c r="G6" s="77"/>
      <c r="H6" s="77"/>
      <c r="I6" s="67"/>
      <c r="J6" s="67"/>
      <c r="K6" s="67"/>
      <c r="L6" s="50">
        <f ca="1">+IF(ISERROR(MATCH(Marie[[#This Row],[Pot No.]],ShipMarie[Ship],0)),$L6,"SHIPPED")</f>
        <v>0</v>
      </c>
    </row>
    <row r="7" spans="1:12" ht="30" hidden="1" customHeight="1" x14ac:dyDescent="0.25">
      <c r="A7" s="5" t="s">
        <v>439</v>
      </c>
      <c r="B7" s="58" t="s">
        <v>439</v>
      </c>
      <c r="C7" s="58"/>
      <c r="D7" s="33"/>
      <c r="E7" s="33"/>
      <c r="F7" s="33"/>
      <c r="G7" s="33"/>
      <c r="H7" s="33"/>
      <c r="I7" s="59"/>
      <c r="J7" s="59"/>
      <c r="K7" s="59"/>
      <c r="L7" s="50" t="s">
        <v>543</v>
      </c>
    </row>
  </sheetData>
  <printOptions horizontalCentered="1"/>
  <pageMargins left="0.39370078740157483" right="0.39370078740157483" top="0.39370078740157483" bottom="0.39370078740157483" header="0.31496062992125984" footer="0.31496062992125984"/>
  <pageSetup scale="74" fitToHeight="0" orientation="landscape"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Z1041228"/>
  <sheetViews>
    <sheetView zoomScale="70" zoomScaleNormal="70" workbookViewId="0">
      <pane ySplit="6" topLeftCell="A3009" activePane="bottomLeft" state="frozen"/>
      <selection activeCell="D19" sqref="D19"/>
      <selection pane="bottomLeft" activeCell="H3021" sqref="H3021"/>
    </sheetView>
  </sheetViews>
  <sheetFormatPr defaultColWidth="9.28515625" defaultRowHeight="25.15" customHeight="1" x14ac:dyDescent="0.25"/>
  <cols>
    <col min="1" max="1" width="20.28515625" style="91" customWidth="1"/>
    <col min="2" max="2" width="22.28515625" style="5" customWidth="1"/>
    <col min="3" max="3" width="21.28515625" style="5" customWidth="1"/>
    <col min="4" max="4" width="15" style="5" customWidth="1"/>
    <col min="5" max="5" width="16.5703125" style="31" customWidth="1"/>
    <col min="6" max="6" width="13.5703125" style="31" customWidth="1"/>
    <col min="7" max="7" width="12.28515625" style="31" customWidth="1"/>
    <col min="8" max="8" width="24.140625" style="33" customWidth="1"/>
    <col min="9" max="9" width="11.7109375" style="31" hidden="1" customWidth="1"/>
    <col min="10" max="10" width="4.5703125" style="34" hidden="1" customWidth="1"/>
    <col min="11" max="11" width="6.7109375" style="31" hidden="1" customWidth="1"/>
    <col min="12" max="12" width="4.5703125" style="34" hidden="1" customWidth="1"/>
    <col min="13" max="13" width="6.7109375" style="31" hidden="1" customWidth="1"/>
    <col min="14" max="14" width="4.5703125" style="34" hidden="1" customWidth="1"/>
    <col min="15" max="15" width="6.7109375" style="31" hidden="1" customWidth="1"/>
    <col min="16" max="16" width="6.42578125" style="34" hidden="1" customWidth="1"/>
    <col min="17" max="17" width="8.7109375" style="31" hidden="1" customWidth="1"/>
    <col min="18" max="18" width="8.140625" style="34" hidden="1" customWidth="1"/>
    <col min="19" max="19" width="10" style="31" hidden="1" customWidth="1"/>
    <col min="20" max="20" width="9" style="34" hidden="1" customWidth="1"/>
    <col min="21" max="21" width="11.5703125" style="31" hidden="1" customWidth="1"/>
    <col min="22" max="22" width="13.28515625" style="34" hidden="1" customWidth="1"/>
    <col min="23" max="23" width="25.85546875" style="34" hidden="1" customWidth="1"/>
    <col min="24" max="24" width="14" style="34" hidden="1" customWidth="1"/>
    <col min="25" max="25" width="17.42578125" style="34" hidden="1" customWidth="1"/>
    <col min="26" max="26" width="13.85546875" bestFit="1" customWidth="1"/>
    <col min="27" max="16384" width="9.28515625" style="32"/>
  </cols>
  <sheetData>
    <row r="1" spans="1:26" ht="15.75" customHeight="1" x14ac:dyDescent="0.25">
      <c r="Z1" s="32"/>
    </row>
    <row r="2" spans="1:26" ht="15.75" customHeight="1" x14ac:dyDescent="0.25">
      <c r="Z2" s="32"/>
    </row>
    <row r="3" spans="1:26" ht="15.75" customHeight="1" x14ac:dyDescent="0.25">
      <c r="Z3" s="32"/>
    </row>
    <row r="4" spans="1:26" ht="15.75" customHeight="1" x14ac:dyDescent="0.25">
      <c r="Z4" s="32"/>
    </row>
    <row r="5" spans="1:26" ht="25.15" customHeight="1" x14ac:dyDescent="0.25">
      <c r="A5" s="92" t="s">
        <v>268</v>
      </c>
      <c r="C5" s="35"/>
      <c r="D5" s="35"/>
      <c r="V5" s="36"/>
      <c r="W5" s="36"/>
      <c r="X5" s="36"/>
      <c r="Y5" s="36"/>
      <c r="Z5" s="32"/>
    </row>
    <row r="6" spans="1:26" s="90" customFormat="1" ht="41.25" customHeight="1" x14ac:dyDescent="0.25">
      <c r="A6" s="102" t="s">
        <v>92</v>
      </c>
      <c r="B6" s="37" t="s">
        <v>262</v>
      </c>
      <c r="C6" s="38" t="s">
        <v>91</v>
      </c>
      <c r="D6" s="38" t="s">
        <v>630</v>
      </c>
      <c r="E6" s="39" t="s">
        <v>541</v>
      </c>
      <c r="F6" s="40" t="s">
        <v>260</v>
      </c>
      <c r="G6" s="40" t="s">
        <v>261</v>
      </c>
      <c r="H6" s="41" t="s">
        <v>94</v>
      </c>
      <c r="I6" s="42" t="s">
        <v>269</v>
      </c>
      <c r="J6" s="43" t="s">
        <v>271</v>
      </c>
      <c r="K6" s="44" t="s">
        <v>263</v>
      </c>
      <c r="L6" s="45" t="s">
        <v>272</v>
      </c>
      <c r="M6" s="44" t="s">
        <v>264</v>
      </c>
      <c r="N6" s="45" t="s">
        <v>273</v>
      </c>
      <c r="O6" s="44" t="s">
        <v>265</v>
      </c>
      <c r="P6" s="45" t="s">
        <v>274</v>
      </c>
      <c r="Q6" s="44" t="s">
        <v>266</v>
      </c>
      <c r="R6" s="45" t="s">
        <v>275</v>
      </c>
      <c r="S6" s="44" t="s">
        <v>267</v>
      </c>
      <c r="T6" s="45" t="s">
        <v>276</v>
      </c>
      <c r="U6" s="44" t="s">
        <v>270</v>
      </c>
      <c r="V6" s="45" t="s">
        <v>277</v>
      </c>
      <c r="W6" s="46" t="s">
        <v>631</v>
      </c>
      <c r="X6" s="46" t="s">
        <v>281</v>
      </c>
      <c r="Y6" s="46" t="s">
        <v>404</v>
      </c>
      <c r="Z6" s="46" t="s">
        <v>279</v>
      </c>
    </row>
    <row r="7" spans="1:26" ht="25.15" hidden="1" customHeight="1" x14ac:dyDescent="0.25">
      <c r="A7" s="112">
        <v>46237.572372685187</v>
      </c>
      <c r="B7" s="5" t="s">
        <v>244</v>
      </c>
      <c r="C7" s="5" t="s">
        <v>803</v>
      </c>
      <c r="D7" s="5">
        <v>714028</v>
      </c>
      <c r="E7" s="33">
        <v>14</v>
      </c>
      <c r="F7" s="60">
        <v>1250</v>
      </c>
      <c r="G7" s="60">
        <v>17500</v>
      </c>
      <c r="H7" s="60">
        <v>156</v>
      </c>
      <c r="I7" s="60" t="s">
        <v>278</v>
      </c>
      <c r="J7" s="104"/>
      <c r="K7" s="33" t="s">
        <v>278</v>
      </c>
      <c r="L7" s="111"/>
      <c r="M7" s="33" t="s">
        <v>278</v>
      </c>
      <c r="N7" s="111"/>
      <c r="O7" s="33" t="s">
        <v>278</v>
      </c>
      <c r="P7" s="111"/>
      <c r="Q7" s="33" t="s">
        <v>587</v>
      </c>
      <c r="R7" s="111"/>
      <c r="S7" s="33" t="s">
        <v>278</v>
      </c>
      <c r="T7" s="111"/>
      <c r="U7" s="33" t="s">
        <v>278</v>
      </c>
      <c r="V7" s="111"/>
      <c r="W7" s="59" t="s">
        <v>548</v>
      </c>
      <c r="X7" s="33" t="str">
        <f>+VLOOKUP(OtherClients[[#This Row],[Part]],PartControl!$A$2:$E$564,5,FALSE)</f>
        <v>infasco</v>
      </c>
      <c r="Y7" s="108">
        <f>IF(OtherClients[[#This Row],[Re-certified or New]]&lt;&gt;"Re-certified",IF(OtherClients[[#This Row],[Client]]="infasco",VLOOKUP(OtherClients[[#This Row],[Part]],PartControl!$A$2:$E$564,2,FALSE),OtherClients[[#This Row],[Total Quantity]]*VLOOKUP(OtherClients[[#This Row],[Part]],PartControl!$A$2:$E$564,2,FALSE)),0)</f>
        <v>106.94</v>
      </c>
      <c r="Z7" s="108">
        <f>IF(OtherClients[[#This Row],[Re-certified or New]]&lt;&gt;"Re-certified",IF(OtherClients[[#This Row],[Client]]="infasco",VLOOKUP(OtherClients[[#This Row],[Part]],PartControl!$A$2:$E$564,2,FALSE),OtherClients[[#This Row],[Total Quantity]]*VLOOKUP(OtherClients[[#This Row],[Part]],PartControl!$A$2:$E$564,2,FALSE)),0)</f>
        <v>106.94</v>
      </c>
    </row>
    <row r="8" spans="1:26" ht="25.15" hidden="1" customHeight="1" x14ac:dyDescent="0.25">
      <c r="A8" s="112">
        <v>46237.572372685187</v>
      </c>
      <c r="B8" s="5" t="s">
        <v>244</v>
      </c>
      <c r="C8" s="5" t="s">
        <v>803</v>
      </c>
      <c r="D8" s="5">
        <v>714029</v>
      </c>
      <c r="E8" s="33">
        <v>11</v>
      </c>
      <c r="F8" s="60">
        <v>1250</v>
      </c>
      <c r="G8" s="60">
        <f>+OtherClients[[#This Row],[Boxes / Pieces]]*OtherClients[[#This Row],[Unit Quantity]]</f>
        <v>13750</v>
      </c>
      <c r="H8" s="60">
        <v>156</v>
      </c>
      <c r="I8" s="60" t="s">
        <v>278</v>
      </c>
      <c r="J8" s="104"/>
      <c r="K8" s="33" t="s">
        <v>278</v>
      </c>
      <c r="L8" s="111"/>
      <c r="M8" s="33" t="s">
        <v>278</v>
      </c>
      <c r="N8" s="111"/>
      <c r="O8" s="33" t="s">
        <v>278</v>
      </c>
      <c r="P8" s="111"/>
      <c r="Q8" s="33" t="s">
        <v>587</v>
      </c>
      <c r="R8" s="111"/>
      <c r="S8" s="33" t="s">
        <v>278</v>
      </c>
      <c r="T8" s="111"/>
      <c r="U8" s="33" t="s">
        <v>278</v>
      </c>
      <c r="V8" s="111"/>
      <c r="W8" s="59" t="s">
        <v>633</v>
      </c>
      <c r="X8" s="33" t="str">
        <f>+VLOOKUP(OtherClients[[#This Row],[Part]],PartControl!$A$2:$E$564,5,FALSE)</f>
        <v>infasco</v>
      </c>
      <c r="Y8" s="108">
        <f>IF(OtherClients[[#This Row],[Re-certified or New]]&lt;&gt;"Re-certified",IF(OtherClients[[#This Row],[Client]]="infasco",VLOOKUP(OtherClients[[#This Row],[Part]],PartControl!$A$2:$E$564,2,FALSE),OtherClients[[#This Row],[Total Quantity]]*VLOOKUP(OtherClients[[#This Row],[Part]],PartControl!$A$2:$E$564,2,FALSE)),0)</f>
        <v>0</v>
      </c>
      <c r="Z8" s="108">
        <f>IF(OtherClients[[#This Row],[Re-certified or New]]&lt;&gt;"Re-certified",IF(OtherClients[[#This Row],[Client]]="infasco",VLOOKUP(OtherClients[[#This Row],[Part]],PartControl!$A$2:$E$564,2,FALSE),OtherClients[[#This Row],[Total Quantity]]*VLOOKUP(OtherClients[[#This Row],[Part]],PartControl!$A$2:$E$564,2,FALSE)),0)</f>
        <v>0</v>
      </c>
    </row>
    <row r="9" spans="1:26" ht="25.15" hidden="1" customHeight="1" x14ac:dyDescent="0.25">
      <c r="A9" s="112">
        <v>46237.572372685187</v>
      </c>
      <c r="B9" s="5" t="s">
        <v>245</v>
      </c>
      <c r="C9" s="5" t="s">
        <v>303</v>
      </c>
      <c r="D9" s="5">
        <v>713727</v>
      </c>
      <c r="E9" s="33">
        <v>1</v>
      </c>
      <c r="F9" s="60">
        <f>12*2000</f>
        <v>24000</v>
      </c>
      <c r="G9" s="60">
        <f>+OtherClients[[#This Row],[Boxes / Pieces]]*OtherClients[[#This Row],[Unit Quantity]]</f>
        <v>24000</v>
      </c>
      <c r="H9" s="60">
        <v>156</v>
      </c>
      <c r="I9" s="60" t="s">
        <v>278</v>
      </c>
      <c r="J9" s="104"/>
      <c r="K9" s="33" t="s">
        <v>278</v>
      </c>
      <c r="L9" s="111"/>
      <c r="M9" s="33" t="s">
        <v>278</v>
      </c>
      <c r="N9" s="111"/>
      <c r="O9" s="33" t="s">
        <v>278</v>
      </c>
      <c r="P9" s="111"/>
      <c r="Q9" s="33" t="s">
        <v>587</v>
      </c>
      <c r="R9" s="111"/>
      <c r="S9" s="33" t="s">
        <v>278</v>
      </c>
      <c r="T9" s="111"/>
      <c r="U9" s="33" t="s">
        <v>278</v>
      </c>
      <c r="V9" s="111"/>
      <c r="W9" s="59" t="s">
        <v>633</v>
      </c>
      <c r="X9" s="33" t="str">
        <f>+VLOOKUP(OtherClients[[#This Row],[Part]],PartControl!$A$2:$E$564,5,FALSE)</f>
        <v>INFASCO</v>
      </c>
      <c r="Y9" s="108">
        <f>IF(OtherClients[[#This Row],[Re-certified or New]]&lt;&gt;"Re-certified",IF(OtherClients[[#This Row],[Client]]="infasco",VLOOKUP(OtherClients[[#This Row],[Part]],PartControl!$A$2:$E$564,2,FALSE),OtherClients[[#This Row],[Total Quantity]]*VLOOKUP(OtherClients[[#This Row],[Part]],PartControl!$A$2:$E$564,2,FALSE)),0)</f>
        <v>0</v>
      </c>
      <c r="Z9" s="108">
        <f>IF(OtherClients[[#This Row],[Re-certified or New]]&lt;&gt;"Re-certified",IF(OtherClients[[#This Row],[Client]]="infasco",VLOOKUP(OtherClients[[#This Row],[Part]],PartControl!$A$2:$E$564,2,FALSE),OtherClients[[#This Row],[Total Quantity]]*VLOOKUP(OtherClients[[#This Row],[Part]],PartControl!$A$2:$E$564,2,FALSE)),0)</f>
        <v>0</v>
      </c>
    </row>
    <row r="10" spans="1:26" ht="25.15" hidden="1" customHeight="1" x14ac:dyDescent="0.25">
      <c r="A10" s="112">
        <v>46237.572372685187</v>
      </c>
      <c r="B10" s="5" t="s">
        <v>251</v>
      </c>
      <c r="C10" s="5" t="s">
        <v>645</v>
      </c>
      <c r="D10" s="5">
        <v>714511</v>
      </c>
      <c r="E10" s="33">
        <v>29</v>
      </c>
      <c r="F10" s="60">
        <v>1000</v>
      </c>
      <c r="G10" s="60">
        <f>+OtherClients[[#This Row],[Boxes / Pieces]]*OtherClients[[#This Row],[Unit Quantity]]</f>
        <v>29000</v>
      </c>
      <c r="H10" s="60">
        <v>156</v>
      </c>
      <c r="I10" s="60" t="s">
        <v>278</v>
      </c>
      <c r="J10" s="104"/>
      <c r="K10" s="33" t="s">
        <v>278</v>
      </c>
      <c r="L10" s="111"/>
      <c r="M10" s="33" t="s">
        <v>278</v>
      </c>
      <c r="N10" s="111"/>
      <c r="O10" s="33" t="s">
        <v>278</v>
      </c>
      <c r="P10" s="111"/>
      <c r="Q10" s="33" t="s">
        <v>587</v>
      </c>
      <c r="R10" s="111"/>
      <c r="S10" s="33" t="s">
        <v>278</v>
      </c>
      <c r="T10" s="111"/>
      <c r="U10" s="33" t="s">
        <v>278</v>
      </c>
      <c r="V10" s="111"/>
      <c r="W10" s="59" t="s">
        <v>633</v>
      </c>
      <c r="X10" s="33" t="str">
        <f>+VLOOKUP(OtherClients[[#This Row],[Part]],PartControl!$A$2:$E$564,5,FALSE)</f>
        <v>infasco</v>
      </c>
      <c r="Y10" s="108">
        <f>IF(OtherClients[[#This Row],[Re-certified or New]]&lt;&gt;"Re-certified",IF(OtherClients[[#This Row],[Client]]="infasco",VLOOKUP(OtherClients[[#This Row],[Part]],PartControl!$A$2:$E$564,2,FALSE),OtherClients[[#This Row],[Total Quantity]]*VLOOKUP(OtherClients[[#This Row],[Part]],PartControl!$A$2:$E$564,2,FALSE)),0)</f>
        <v>0</v>
      </c>
      <c r="Z10" s="108">
        <f>IF(OtherClients[[#This Row],[Re-certified or New]]&lt;&gt;"Re-certified",IF(OtherClients[[#This Row],[Client]]="infasco",VLOOKUP(OtherClients[[#This Row],[Part]],PartControl!$A$2:$E$564,2,FALSE),OtherClients[[#This Row],[Total Quantity]]*VLOOKUP(OtherClients[[#This Row],[Part]],PartControl!$A$2:$E$564,2,FALSE)),0)</f>
        <v>0</v>
      </c>
    </row>
    <row r="11" spans="1:26" ht="25.15" hidden="1" customHeight="1" x14ac:dyDescent="0.25">
      <c r="A11" s="112">
        <v>46237.572372685187</v>
      </c>
      <c r="B11" s="5" t="s">
        <v>624</v>
      </c>
      <c r="C11" s="5" t="s">
        <v>703</v>
      </c>
      <c r="D11" s="5">
        <v>714112</v>
      </c>
      <c r="E11" s="33">
        <f>36-22</f>
        <v>14</v>
      </c>
      <c r="F11" s="60">
        <v>700</v>
      </c>
      <c r="G11" s="60">
        <f>+OtherClients[[#This Row],[Boxes / Pieces]]*OtherClients[[#This Row],[Unit Quantity]]</f>
        <v>9800</v>
      </c>
      <c r="H11" s="60">
        <v>156</v>
      </c>
      <c r="I11" s="60" t="s">
        <v>278</v>
      </c>
      <c r="J11" s="104"/>
      <c r="K11" s="33" t="s">
        <v>278</v>
      </c>
      <c r="L11" s="111"/>
      <c r="M11" s="33" t="s">
        <v>278</v>
      </c>
      <c r="N11" s="111"/>
      <c r="O11" s="33" t="s">
        <v>278</v>
      </c>
      <c r="P11" s="111"/>
      <c r="Q11" s="33" t="s">
        <v>587</v>
      </c>
      <c r="R11" s="111"/>
      <c r="S11" s="33" t="s">
        <v>278</v>
      </c>
      <c r="T11" s="111"/>
      <c r="U11" s="33" t="s">
        <v>278</v>
      </c>
      <c r="V11" s="111"/>
      <c r="W11" s="59" t="s">
        <v>548</v>
      </c>
      <c r="X11" s="33" t="str">
        <f>+VLOOKUP(OtherClients[[#This Row],[Part]],PartControl!$A$2:$E$564,5,FALSE)</f>
        <v>infasco</v>
      </c>
      <c r="Y11" s="108">
        <f>IF(OtherClients[[#This Row],[Re-certified or New]]&lt;&gt;"Re-certified",IF(OtherClients[[#This Row],[Client]]="infasco",VLOOKUP(OtherClients[[#This Row],[Part]],PartControl!$A$2:$E$564,2,FALSE),OtherClients[[#This Row],[Total Quantity]]*VLOOKUP(OtherClients[[#This Row],[Part]],PartControl!$A$2:$E$564,2,FALSE)),0)</f>
        <v>106.94</v>
      </c>
      <c r="Z11" s="108">
        <f>IF(OtherClients[[#This Row],[Re-certified or New]]&lt;&gt;"Re-certified",IF(OtherClients[[#This Row],[Client]]="infasco",VLOOKUP(OtherClients[[#This Row],[Part]],PartControl!$A$2:$E$564,2,FALSE),OtherClients[[#This Row],[Total Quantity]]*VLOOKUP(OtherClients[[#This Row],[Part]],PartControl!$A$2:$E$564,2,FALSE)),0)</f>
        <v>106.94</v>
      </c>
    </row>
    <row r="12" spans="1:26" ht="25.15" hidden="1" customHeight="1" x14ac:dyDescent="0.25">
      <c r="A12" s="112">
        <v>46237.572372685187</v>
      </c>
      <c r="B12" s="5" t="s">
        <v>624</v>
      </c>
      <c r="C12" s="5" t="s">
        <v>703</v>
      </c>
      <c r="D12" s="5">
        <v>714114</v>
      </c>
      <c r="E12" s="33">
        <v>36</v>
      </c>
      <c r="F12" s="60">
        <v>700</v>
      </c>
      <c r="G12" s="60">
        <f>+OtherClients[[#This Row],[Boxes / Pieces]]*OtherClients[[#This Row],[Unit Quantity]]</f>
        <v>25200</v>
      </c>
      <c r="H12" s="60">
        <v>156</v>
      </c>
      <c r="I12" s="60" t="s">
        <v>278</v>
      </c>
      <c r="J12" s="104"/>
      <c r="K12" s="33" t="s">
        <v>278</v>
      </c>
      <c r="L12" s="111"/>
      <c r="M12" s="33" t="s">
        <v>278</v>
      </c>
      <c r="N12" s="111"/>
      <c r="O12" s="33" t="s">
        <v>278</v>
      </c>
      <c r="P12" s="111"/>
      <c r="Q12" s="33" t="s">
        <v>587</v>
      </c>
      <c r="R12" s="111"/>
      <c r="S12" s="33" t="s">
        <v>278</v>
      </c>
      <c r="T12" s="111"/>
      <c r="U12" s="33" t="s">
        <v>278</v>
      </c>
      <c r="V12" s="111"/>
      <c r="W12" s="59" t="s">
        <v>548</v>
      </c>
      <c r="X12" s="33" t="str">
        <f>+VLOOKUP(OtherClients[[#This Row],[Part]],PartControl!$A$2:$E$564,5,FALSE)</f>
        <v>infasco</v>
      </c>
      <c r="Y12" s="108">
        <f>IF(OtherClients[[#This Row],[Re-certified or New]]&lt;&gt;"Re-certified",IF(OtherClients[[#This Row],[Client]]="infasco",VLOOKUP(OtherClients[[#This Row],[Part]],PartControl!$A$2:$E$564,2,FALSE),OtherClients[[#This Row],[Total Quantity]]*VLOOKUP(OtherClients[[#This Row],[Part]],PartControl!$A$2:$E$564,2,FALSE)),0)</f>
        <v>106.94</v>
      </c>
      <c r="Z12" s="108">
        <f>IF(OtherClients[[#This Row],[Re-certified or New]]&lt;&gt;"Re-certified",IF(OtherClients[[#This Row],[Client]]="infasco",VLOOKUP(OtherClients[[#This Row],[Part]],PartControl!$A$2:$E$564,2,FALSE),OtherClients[[#This Row],[Total Quantity]]*VLOOKUP(OtherClients[[#This Row],[Part]],PartControl!$A$2:$E$564,2,FALSE)),0)</f>
        <v>106.94</v>
      </c>
    </row>
    <row r="13" spans="1:26" ht="25.15" hidden="1" customHeight="1" x14ac:dyDescent="0.25">
      <c r="A13" s="112">
        <v>46237.572372685187</v>
      </c>
      <c r="B13" s="5" t="s">
        <v>624</v>
      </c>
      <c r="C13" s="5" t="s">
        <v>703</v>
      </c>
      <c r="D13" s="5">
        <v>714110</v>
      </c>
      <c r="E13" s="33">
        <v>36</v>
      </c>
      <c r="F13" s="60">
        <v>700</v>
      </c>
      <c r="G13" s="60">
        <f>+OtherClients[[#This Row],[Boxes / Pieces]]*OtherClients[[#This Row],[Unit Quantity]]</f>
        <v>25200</v>
      </c>
      <c r="H13" s="60">
        <v>156</v>
      </c>
      <c r="I13" s="60" t="s">
        <v>278</v>
      </c>
      <c r="J13" s="104"/>
      <c r="K13" s="33" t="s">
        <v>278</v>
      </c>
      <c r="L13" s="111"/>
      <c r="M13" s="33" t="s">
        <v>278</v>
      </c>
      <c r="N13" s="111"/>
      <c r="O13" s="33" t="s">
        <v>278</v>
      </c>
      <c r="P13" s="111"/>
      <c r="Q13" s="33" t="s">
        <v>587</v>
      </c>
      <c r="R13" s="111"/>
      <c r="S13" s="33" t="s">
        <v>278</v>
      </c>
      <c r="T13" s="111"/>
      <c r="U13" s="33" t="s">
        <v>278</v>
      </c>
      <c r="V13" s="111"/>
      <c r="W13" s="59" t="s">
        <v>548</v>
      </c>
      <c r="X13" s="33" t="str">
        <f>+VLOOKUP(OtherClients[[#This Row],[Part]],PartControl!$A$2:$E$564,5,FALSE)</f>
        <v>infasco</v>
      </c>
      <c r="Y13" s="108">
        <f>IF(OtherClients[[#This Row],[Re-certified or New]]&lt;&gt;"Re-certified",IF(OtherClients[[#This Row],[Client]]="infasco",VLOOKUP(OtherClients[[#This Row],[Part]],PartControl!$A$2:$E$564,2,FALSE),OtherClients[[#This Row],[Total Quantity]]*VLOOKUP(OtherClients[[#This Row],[Part]],PartControl!$A$2:$E$564,2,FALSE)),0)</f>
        <v>106.94</v>
      </c>
      <c r="Z13" s="108">
        <f>IF(OtherClients[[#This Row],[Re-certified or New]]&lt;&gt;"Re-certified",IF(OtherClients[[#This Row],[Client]]="infasco",VLOOKUP(OtherClients[[#This Row],[Part]],PartControl!$A$2:$E$564,2,FALSE),OtherClients[[#This Row],[Total Quantity]]*VLOOKUP(OtherClients[[#This Row],[Part]],PartControl!$A$2:$E$564,2,FALSE)),0)</f>
        <v>106.94</v>
      </c>
    </row>
    <row r="14" spans="1:26" ht="25.15" hidden="1" customHeight="1" x14ac:dyDescent="0.25">
      <c r="A14" s="112">
        <v>46237.572372685187</v>
      </c>
      <c r="B14" s="5" t="s">
        <v>624</v>
      </c>
      <c r="C14" s="5" t="s">
        <v>703</v>
      </c>
      <c r="D14" s="5">
        <v>714117</v>
      </c>
      <c r="E14" s="33">
        <v>8</v>
      </c>
      <c r="F14" s="60">
        <v>700</v>
      </c>
      <c r="G14" s="60">
        <f>+OtherClients[[#This Row],[Boxes / Pieces]]*OtherClients[[#This Row],[Unit Quantity]]</f>
        <v>5600</v>
      </c>
      <c r="H14" s="60">
        <v>156</v>
      </c>
      <c r="I14" s="60" t="s">
        <v>278</v>
      </c>
      <c r="J14" s="104"/>
      <c r="K14" s="33" t="s">
        <v>278</v>
      </c>
      <c r="L14" s="111"/>
      <c r="M14" s="33" t="s">
        <v>278</v>
      </c>
      <c r="N14" s="111"/>
      <c r="O14" s="33" t="s">
        <v>278</v>
      </c>
      <c r="P14" s="111"/>
      <c r="Q14" s="33" t="s">
        <v>587</v>
      </c>
      <c r="R14" s="111"/>
      <c r="S14" s="33" t="s">
        <v>278</v>
      </c>
      <c r="T14" s="111"/>
      <c r="U14" s="33" t="s">
        <v>278</v>
      </c>
      <c r="V14" s="111"/>
      <c r="W14" s="59" t="s">
        <v>633</v>
      </c>
      <c r="X14" s="33" t="str">
        <f>+VLOOKUP(OtherClients[[#This Row],[Part]],PartControl!$A$2:$E$564,5,FALSE)</f>
        <v>infasco</v>
      </c>
      <c r="Y14" s="108">
        <f>IF(OtherClients[[#This Row],[Re-certified or New]]&lt;&gt;"Re-certified",IF(OtherClients[[#This Row],[Client]]="infasco",VLOOKUP(OtherClients[[#This Row],[Part]],PartControl!$A$2:$E$564,2,FALSE),OtherClients[[#This Row],[Total Quantity]]*VLOOKUP(OtherClients[[#This Row],[Part]],PartControl!$A$2:$E$564,2,FALSE)),0)</f>
        <v>0</v>
      </c>
      <c r="Z14" s="108">
        <f>IF(OtherClients[[#This Row],[Re-certified or New]]&lt;&gt;"Re-certified",IF(OtherClients[[#This Row],[Client]]="infasco",VLOOKUP(OtherClients[[#This Row],[Part]],PartControl!$A$2:$E$564,2,FALSE),OtherClients[[#This Row],[Total Quantity]]*VLOOKUP(OtherClients[[#This Row],[Part]],PartControl!$A$2:$E$564,2,FALSE)),0)</f>
        <v>0</v>
      </c>
    </row>
    <row r="15" spans="1:26" ht="25.15" hidden="1" customHeight="1" x14ac:dyDescent="0.25">
      <c r="A15" s="112">
        <v>46237.572372685187</v>
      </c>
      <c r="B15" s="5" t="s">
        <v>243</v>
      </c>
      <c r="C15" s="5" t="s">
        <v>666</v>
      </c>
      <c r="D15" s="5">
        <v>714503</v>
      </c>
      <c r="E15" s="33">
        <f>36-17</f>
        <v>19</v>
      </c>
      <c r="F15" s="60">
        <v>2000</v>
      </c>
      <c r="G15" s="60">
        <f>+OtherClients[[#This Row],[Boxes / Pieces]]*OtherClients[[#This Row],[Unit Quantity]]</f>
        <v>38000</v>
      </c>
      <c r="H15" s="60">
        <v>156</v>
      </c>
      <c r="I15" s="60" t="s">
        <v>278</v>
      </c>
      <c r="J15" s="104"/>
      <c r="K15" s="33" t="s">
        <v>278</v>
      </c>
      <c r="L15" s="111"/>
      <c r="M15" s="33" t="s">
        <v>278</v>
      </c>
      <c r="N15" s="111"/>
      <c r="O15" s="33" t="s">
        <v>278</v>
      </c>
      <c r="P15" s="111"/>
      <c r="Q15" s="33" t="s">
        <v>587</v>
      </c>
      <c r="R15" s="111"/>
      <c r="S15" s="33" t="s">
        <v>278</v>
      </c>
      <c r="T15" s="111"/>
      <c r="U15" s="33" t="s">
        <v>278</v>
      </c>
      <c r="V15" s="111"/>
      <c r="W15" s="59" t="s">
        <v>548</v>
      </c>
      <c r="X15" s="33" t="str">
        <f>+VLOOKUP(OtherClients[[#This Row],[Part]],PartControl!$A$2:$E$564,5,FALSE)</f>
        <v>infasco</v>
      </c>
      <c r="Y15" s="108">
        <f>IF(OtherClients[[#This Row],[Re-certified or New]]&lt;&gt;"Re-certified",IF(OtherClients[[#This Row],[Client]]="infasco",VLOOKUP(OtherClients[[#This Row],[Part]],PartControl!$A$2:$E$564,2,FALSE),OtherClients[[#This Row],[Total Quantity]]*VLOOKUP(OtherClients[[#This Row],[Part]],PartControl!$A$2:$E$564,2,FALSE)),0)</f>
        <v>106.94</v>
      </c>
      <c r="Z15" s="108">
        <f>IF(OtherClients[[#This Row],[Re-certified or New]]&lt;&gt;"Re-certified",IF(OtherClients[[#This Row],[Client]]="infasco",VLOOKUP(OtherClients[[#This Row],[Part]],PartControl!$A$2:$E$564,2,FALSE),OtherClients[[#This Row],[Total Quantity]]*VLOOKUP(OtherClients[[#This Row],[Part]],PartControl!$A$2:$E$564,2,FALSE)),0)</f>
        <v>106.94</v>
      </c>
    </row>
    <row r="16" spans="1:26" ht="25.15" hidden="1" customHeight="1" x14ac:dyDescent="0.25">
      <c r="A16" s="112">
        <v>46237.572372685187</v>
      </c>
      <c r="B16" s="5" t="s">
        <v>243</v>
      </c>
      <c r="C16" s="5" t="s">
        <v>666</v>
      </c>
      <c r="D16" s="5">
        <v>714502</v>
      </c>
      <c r="E16" s="33">
        <v>5</v>
      </c>
      <c r="F16" s="60">
        <v>2000</v>
      </c>
      <c r="G16" s="60">
        <f>+OtherClients[[#This Row],[Boxes / Pieces]]*OtherClients[[#This Row],[Unit Quantity]]</f>
        <v>10000</v>
      </c>
      <c r="H16" s="60">
        <v>156</v>
      </c>
      <c r="I16" s="60" t="s">
        <v>278</v>
      </c>
      <c r="J16" s="104"/>
      <c r="K16" s="33" t="s">
        <v>278</v>
      </c>
      <c r="L16" s="111"/>
      <c r="M16" s="33" t="s">
        <v>278</v>
      </c>
      <c r="N16" s="111"/>
      <c r="O16" s="33" t="s">
        <v>278</v>
      </c>
      <c r="P16" s="111"/>
      <c r="Q16" s="33" t="s">
        <v>587</v>
      </c>
      <c r="R16" s="111"/>
      <c r="S16" s="33" t="s">
        <v>278</v>
      </c>
      <c r="T16" s="111"/>
      <c r="U16" s="33" t="s">
        <v>278</v>
      </c>
      <c r="V16" s="111"/>
      <c r="W16" s="59" t="s">
        <v>633</v>
      </c>
      <c r="X16" s="33" t="str">
        <f>+VLOOKUP(OtherClients[[#This Row],[Part]],PartControl!$A$2:$E$564,5,FALSE)</f>
        <v>infasco</v>
      </c>
      <c r="Y16" s="108">
        <f>IF(OtherClients[[#This Row],[Re-certified or New]]&lt;&gt;"Re-certified",IF(OtherClients[[#This Row],[Client]]="infasco",VLOOKUP(OtherClients[[#This Row],[Part]],PartControl!$A$2:$E$564,2,FALSE),OtherClients[[#This Row],[Total Quantity]]*VLOOKUP(OtherClients[[#This Row],[Part]],PartControl!$A$2:$E$564,2,FALSE)),0)</f>
        <v>0</v>
      </c>
      <c r="Z16" s="108">
        <f>IF(OtherClients[[#This Row],[Re-certified or New]]&lt;&gt;"Re-certified",IF(OtherClients[[#This Row],[Client]]="infasco",VLOOKUP(OtherClients[[#This Row],[Part]],PartControl!$A$2:$E$564,2,FALSE),OtherClients[[#This Row],[Total Quantity]]*VLOOKUP(OtherClients[[#This Row],[Part]],PartControl!$A$2:$E$564,2,FALSE)),0)</f>
        <v>0</v>
      </c>
    </row>
    <row r="17" spans="1:26" ht="25.15" hidden="1" customHeight="1" x14ac:dyDescent="0.25">
      <c r="A17" s="112">
        <v>46237.572372685187</v>
      </c>
      <c r="B17" s="5" t="s">
        <v>623</v>
      </c>
      <c r="C17" s="5" t="s">
        <v>715</v>
      </c>
      <c r="D17" s="5">
        <v>713540</v>
      </c>
      <c r="E17" s="33">
        <f>17-10</f>
        <v>7</v>
      </c>
      <c r="F17" s="60">
        <v>1050</v>
      </c>
      <c r="G17" s="60">
        <f>+OtherClients[[#This Row],[Boxes / Pieces]]*OtherClients[[#This Row],[Unit Quantity]]</f>
        <v>7350</v>
      </c>
      <c r="H17" s="60">
        <v>156</v>
      </c>
      <c r="I17" s="60" t="s">
        <v>278</v>
      </c>
      <c r="J17" s="104"/>
      <c r="K17" s="33" t="s">
        <v>278</v>
      </c>
      <c r="L17" s="111"/>
      <c r="M17" s="33" t="s">
        <v>278</v>
      </c>
      <c r="N17" s="111"/>
      <c r="O17" s="33" t="s">
        <v>278</v>
      </c>
      <c r="P17" s="111"/>
      <c r="Q17" s="33" t="s">
        <v>587</v>
      </c>
      <c r="R17" s="111"/>
      <c r="S17" s="33" t="s">
        <v>278</v>
      </c>
      <c r="T17" s="111"/>
      <c r="U17" s="33" t="s">
        <v>278</v>
      </c>
      <c r="V17" s="111"/>
      <c r="W17" s="59" t="s">
        <v>548</v>
      </c>
      <c r="X17" s="33" t="str">
        <f>+VLOOKUP(OtherClients[[#This Row],[Part]],PartControl!$A$2:$E$564,5,FALSE)</f>
        <v>infasco</v>
      </c>
      <c r="Y17" s="108">
        <f>IF(OtherClients[[#This Row],[Re-certified or New]]&lt;&gt;"Re-certified",IF(OtherClients[[#This Row],[Client]]="infasco",VLOOKUP(OtherClients[[#This Row],[Part]],PartControl!$A$2:$E$564,2,FALSE),OtherClients[[#This Row],[Total Quantity]]*VLOOKUP(OtherClients[[#This Row],[Part]],PartControl!$A$2:$E$564,2,FALSE)),0)</f>
        <v>106.94</v>
      </c>
      <c r="Z17" s="108">
        <f>IF(OtherClients[[#This Row],[Re-certified or New]]&lt;&gt;"Re-certified",IF(OtherClients[[#This Row],[Client]]="infasco",VLOOKUP(OtherClients[[#This Row],[Part]],PartControl!$A$2:$E$564,2,FALSE),OtherClients[[#This Row],[Total Quantity]]*VLOOKUP(OtherClients[[#This Row],[Part]],PartControl!$A$2:$E$564,2,FALSE)),0)</f>
        <v>106.94</v>
      </c>
    </row>
    <row r="18" spans="1:26" ht="25.15" hidden="1" customHeight="1" x14ac:dyDescent="0.25">
      <c r="A18" s="112">
        <v>46237.572372685187</v>
      </c>
      <c r="B18" s="5" t="s">
        <v>623</v>
      </c>
      <c r="C18" s="5">
        <v>11549168</v>
      </c>
      <c r="D18" s="5">
        <v>713692</v>
      </c>
      <c r="E18" s="33">
        <v>36</v>
      </c>
      <c r="F18" s="60">
        <v>1000</v>
      </c>
      <c r="G18" s="60">
        <f>+OtherClients[[#This Row],[Boxes / Pieces]]*OtherClients[[#This Row],[Unit Quantity]]</f>
        <v>36000</v>
      </c>
      <c r="H18" s="60">
        <v>156</v>
      </c>
      <c r="I18" s="60" t="s">
        <v>278</v>
      </c>
      <c r="J18" s="104"/>
      <c r="K18" s="33" t="s">
        <v>278</v>
      </c>
      <c r="L18" s="111"/>
      <c r="M18" s="33" t="s">
        <v>278</v>
      </c>
      <c r="N18" s="111"/>
      <c r="O18" s="33" t="s">
        <v>278</v>
      </c>
      <c r="P18" s="111"/>
      <c r="Q18" s="33" t="s">
        <v>587</v>
      </c>
      <c r="R18" s="111"/>
      <c r="S18" s="33" t="s">
        <v>278</v>
      </c>
      <c r="T18" s="111"/>
      <c r="U18" s="33" t="s">
        <v>278</v>
      </c>
      <c r="V18" s="111"/>
      <c r="W18" s="59" t="s">
        <v>548</v>
      </c>
      <c r="X18" s="33" t="str">
        <f>+VLOOKUP(OtherClients[[#This Row],[Part]],PartControl!$A$2:$E$564,5,FALSE)</f>
        <v>INFASCO</v>
      </c>
      <c r="Y18" s="108">
        <f>IF(OtherClients[[#This Row],[Re-certified or New]]&lt;&gt;"Re-certified",IF(OtherClients[[#This Row],[Client]]="infasco",VLOOKUP(OtherClients[[#This Row],[Part]],PartControl!$A$2:$E$564,2,FALSE),OtherClients[[#This Row],[Total Quantity]]*VLOOKUP(OtherClients[[#This Row],[Part]],PartControl!$A$2:$E$564,2,FALSE)),0)</f>
        <v>106.94</v>
      </c>
      <c r="Z18" s="108">
        <f>IF(OtherClients[[#This Row],[Re-certified or New]]&lt;&gt;"Re-certified",IF(OtherClients[[#This Row],[Client]]="infasco",VLOOKUP(OtherClients[[#This Row],[Part]],PartControl!$A$2:$E$564,2,FALSE),OtherClients[[#This Row],[Total Quantity]]*VLOOKUP(OtherClients[[#This Row],[Part]],PartControl!$A$2:$E$564,2,FALSE)),0)</f>
        <v>106.94</v>
      </c>
    </row>
    <row r="19" spans="1:26" ht="25.15" hidden="1" customHeight="1" x14ac:dyDescent="0.25">
      <c r="A19" s="112">
        <v>46237.572372685187</v>
      </c>
      <c r="B19" s="5" t="s">
        <v>623</v>
      </c>
      <c r="C19" s="5">
        <v>11549168</v>
      </c>
      <c r="D19" s="5">
        <v>713691</v>
      </c>
      <c r="E19" s="33">
        <v>16</v>
      </c>
      <c r="F19" s="60">
        <v>1000</v>
      </c>
      <c r="G19" s="60">
        <f>+OtherClients[[#This Row],[Boxes / Pieces]]*OtherClients[[#This Row],[Unit Quantity]]</f>
        <v>16000</v>
      </c>
      <c r="H19" s="60">
        <v>156</v>
      </c>
      <c r="I19" s="60" t="s">
        <v>278</v>
      </c>
      <c r="J19" s="104"/>
      <c r="K19" s="33" t="s">
        <v>278</v>
      </c>
      <c r="L19" s="111"/>
      <c r="M19" s="33" t="s">
        <v>278</v>
      </c>
      <c r="N19" s="111"/>
      <c r="O19" s="33" t="s">
        <v>278</v>
      </c>
      <c r="P19" s="111"/>
      <c r="Q19" s="33" t="s">
        <v>587</v>
      </c>
      <c r="R19" s="111"/>
      <c r="S19" s="33" t="s">
        <v>278</v>
      </c>
      <c r="T19" s="111"/>
      <c r="U19" s="33" t="s">
        <v>278</v>
      </c>
      <c r="V19" s="111"/>
      <c r="W19" s="59" t="s">
        <v>633</v>
      </c>
      <c r="X19" s="33" t="str">
        <f>+VLOOKUP(OtherClients[[#This Row],[Part]],PartControl!$A$2:$E$564,5,FALSE)</f>
        <v>INFASCO</v>
      </c>
      <c r="Y19" s="108">
        <f>IF(OtherClients[[#This Row],[Re-certified or New]]&lt;&gt;"Re-certified",IF(OtherClients[[#This Row],[Client]]="infasco",VLOOKUP(OtherClients[[#This Row],[Part]],PartControl!$A$2:$E$564,2,FALSE),OtherClients[[#This Row],[Total Quantity]]*VLOOKUP(OtherClients[[#This Row],[Part]],PartControl!$A$2:$E$564,2,FALSE)),0)</f>
        <v>0</v>
      </c>
      <c r="Z19" s="108">
        <f>IF(OtherClients[[#This Row],[Re-certified or New]]&lt;&gt;"Re-certified",IF(OtherClients[[#This Row],[Client]]="infasco",VLOOKUP(OtherClients[[#This Row],[Part]],PartControl!$A$2:$E$564,2,FALSE),OtherClients[[#This Row],[Total Quantity]]*VLOOKUP(OtherClients[[#This Row],[Part]],PartControl!$A$2:$E$564,2,FALSE)),0)</f>
        <v>0</v>
      </c>
    </row>
    <row r="20" spans="1:26" ht="25.15" hidden="1" customHeight="1" x14ac:dyDescent="0.25">
      <c r="A20" s="112">
        <v>46237.572372685187</v>
      </c>
      <c r="B20" s="5" t="s">
        <v>233</v>
      </c>
      <c r="C20" s="5">
        <v>11546377</v>
      </c>
      <c r="D20" s="5">
        <v>714315</v>
      </c>
      <c r="E20" s="33">
        <f>36-34</f>
        <v>2</v>
      </c>
      <c r="F20" s="60">
        <v>2150</v>
      </c>
      <c r="G20" s="60">
        <f>+OtherClients[[#This Row],[Boxes / Pieces]]*OtherClients[[#This Row],[Unit Quantity]]</f>
        <v>4300</v>
      </c>
      <c r="H20" s="60">
        <v>275</v>
      </c>
      <c r="I20" s="60" t="s">
        <v>278</v>
      </c>
      <c r="J20" s="104"/>
      <c r="K20" s="33" t="s">
        <v>278</v>
      </c>
      <c r="L20" s="111"/>
      <c r="M20" s="33" t="s">
        <v>278</v>
      </c>
      <c r="N20" s="111"/>
      <c r="O20" s="33" t="s">
        <v>278</v>
      </c>
      <c r="P20" s="111"/>
      <c r="Q20" s="33" t="s">
        <v>587</v>
      </c>
      <c r="R20" s="111"/>
      <c r="S20" s="33" t="s">
        <v>278</v>
      </c>
      <c r="T20" s="111"/>
      <c r="U20" s="33" t="s">
        <v>278</v>
      </c>
      <c r="V20" s="111"/>
      <c r="W20" s="59" t="s">
        <v>548</v>
      </c>
      <c r="X20" s="33" t="str">
        <f>+VLOOKUP(OtherClients[[#This Row],[Part]],PartControl!$A$2:$E$564,5,FALSE)</f>
        <v>INFASCO</v>
      </c>
      <c r="Y20" s="108">
        <f>IF(OtherClients[[#This Row],[Re-certified or New]]&lt;&gt;"Re-certified",IF(OtherClients[[#This Row],[Client]]="infasco",VLOOKUP(OtherClients[[#This Row],[Part]],PartControl!$A$2:$E$564,2,FALSE),OtherClients[[#This Row],[Total Quantity]]*VLOOKUP(OtherClients[[#This Row],[Part]],PartControl!$A$2:$E$564,2,FALSE)),0)</f>
        <v>106.94</v>
      </c>
      <c r="Z20" s="108">
        <f>IF(OtherClients[[#This Row],[Re-certified or New]]&lt;&gt;"Re-certified",IF(OtherClients[[#This Row],[Client]]="infasco",VLOOKUP(OtherClients[[#This Row],[Part]],PartControl!$A$2:$E$564,2,FALSE),OtherClients[[#This Row],[Total Quantity]]*VLOOKUP(OtherClients[[#This Row],[Part]],PartControl!$A$2:$E$564,2,FALSE)),0)</f>
        <v>106.94</v>
      </c>
    </row>
    <row r="21" spans="1:26" ht="25.15" hidden="1" customHeight="1" x14ac:dyDescent="0.25">
      <c r="A21" s="112">
        <v>46237.572372685187</v>
      </c>
      <c r="B21" s="5" t="s">
        <v>233</v>
      </c>
      <c r="C21" s="5">
        <v>11546377</v>
      </c>
      <c r="D21" s="5">
        <v>714313</v>
      </c>
      <c r="E21" s="33">
        <v>20</v>
      </c>
      <c r="F21" s="60">
        <v>2150</v>
      </c>
      <c r="G21" s="60">
        <f>+OtherClients[[#This Row],[Boxes / Pieces]]*OtherClients[[#This Row],[Unit Quantity]]</f>
        <v>43000</v>
      </c>
      <c r="H21" s="60">
        <v>275</v>
      </c>
      <c r="I21" s="60" t="s">
        <v>278</v>
      </c>
      <c r="J21" s="104"/>
      <c r="K21" s="33" t="s">
        <v>278</v>
      </c>
      <c r="L21" s="111"/>
      <c r="M21" s="33" t="s">
        <v>278</v>
      </c>
      <c r="N21" s="111"/>
      <c r="O21" s="33" t="s">
        <v>278</v>
      </c>
      <c r="P21" s="111"/>
      <c r="Q21" s="33" t="s">
        <v>587</v>
      </c>
      <c r="R21" s="111"/>
      <c r="S21" s="33" t="s">
        <v>278</v>
      </c>
      <c r="T21" s="111"/>
      <c r="U21" s="33" t="s">
        <v>278</v>
      </c>
      <c r="V21" s="111"/>
      <c r="W21" s="59" t="s">
        <v>633</v>
      </c>
      <c r="X21" s="33" t="str">
        <f>+VLOOKUP(OtherClients[[#This Row],[Part]],PartControl!$A$2:$E$564,5,FALSE)</f>
        <v>INFASCO</v>
      </c>
      <c r="Y21" s="108">
        <f>IF(OtherClients[[#This Row],[Re-certified or New]]&lt;&gt;"Re-certified",IF(OtherClients[[#This Row],[Client]]="infasco",VLOOKUP(OtherClients[[#This Row],[Part]],PartControl!$A$2:$E$564,2,FALSE),OtherClients[[#This Row],[Total Quantity]]*VLOOKUP(OtherClients[[#This Row],[Part]],PartControl!$A$2:$E$564,2,FALSE)),0)</f>
        <v>0</v>
      </c>
      <c r="Z21" s="108">
        <f>IF(OtherClients[[#This Row],[Re-certified or New]]&lt;&gt;"Re-certified",IF(OtherClients[[#This Row],[Client]]="infasco",VLOOKUP(OtherClients[[#This Row],[Part]],PartControl!$A$2:$E$564,2,FALSE),OtherClients[[#This Row],[Total Quantity]]*VLOOKUP(OtherClients[[#This Row],[Part]],PartControl!$A$2:$E$564,2,FALSE)),0)</f>
        <v>0</v>
      </c>
    </row>
    <row r="22" spans="1:26" ht="25.15" hidden="1" customHeight="1" x14ac:dyDescent="0.25">
      <c r="A22" s="112">
        <v>46237.572372685187</v>
      </c>
      <c r="B22" s="5" t="s">
        <v>863</v>
      </c>
      <c r="C22" s="5" t="s">
        <v>835</v>
      </c>
      <c r="D22" s="5">
        <v>714340</v>
      </c>
      <c r="E22" s="33">
        <v>23</v>
      </c>
      <c r="F22" s="60">
        <v>660</v>
      </c>
      <c r="G22" s="60">
        <f>+OtherClients[[#This Row],[Boxes / Pieces]]*OtherClients[[#This Row],[Unit Quantity]]</f>
        <v>15180</v>
      </c>
      <c r="H22" s="60">
        <v>275</v>
      </c>
      <c r="I22" s="60" t="s">
        <v>278</v>
      </c>
      <c r="J22" s="104"/>
      <c r="K22" s="33" t="s">
        <v>278</v>
      </c>
      <c r="L22" s="111"/>
      <c r="M22" s="33" t="s">
        <v>278</v>
      </c>
      <c r="N22" s="111"/>
      <c r="O22" s="33" t="s">
        <v>278</v>
      </c>
      <c r="P22" s="111"/>
      <c r="Q22" s="33" t="s">
        <v>587</v>
      </c>
      <c r="R22" s="111"/>
      <c r="S22" s="33" t="s">
        <v>278</v>
      </c>
      <c r="T22" s="111"/>
      <c r="U22" s="33" t="s">
        <v>278</v>
      </c>
      <c r="V22" s="111"/>
      <c r="W22" s="59" t="s">
        <v>633</v>
      </c>
      <c r="X22" s="33" t="str">
        <f>+VLOOKUP(OtherClients[[#This Row],[Part]],PartControl!$A$2:$E$564,5,FALSE)</f>
        <v>infasco</v>
      </c>
      <c r="Y22" s="108">
        <f>IF(OtherClients[[#This Row],[Re-certified or New]]&lt;&gt;"Re-certified",IF(OtherClients[[#This Row],[Client]]="infasco",VLOOKUP(OtherClients[[#This Row],[Part]],PartControl!$A$2:$E$564,2,FALSE),OtherClients[[#This Row],[Total Quantity]]*VLOOKUP(OtherClients[[#This Row],[Part]],PartControl!$A$2:$E$564,2,FALSE)),0)</f>
        <v>0</v>
      </c>
      <c r="Z22" s="108">
        <f>IF(OtherClients[[#This Row],[Re-certified or New]]&lt;&gt;"Re-certified",IF(OtherClients[[#This Row],[Client]]="infasco",VLOOKUP(OtherClients[[#This Row],[Part]],PartControl!$A$2:$E$564,2,FALSE),OtherClients[[#This Row],[Total Quantity]]*VLOOKUP(OtherClients[[#This Row],[Part]],PartControl!$A$2:$E$564,2,FALSE)),0)</f>
        <v>0</v>
      </c>
    </row>
    <row r="23" spans="1:26" ht="25.15" hidden="1" customHeight="1" x14ac:dyDescent="0.25">
      <c r="A23" s="112">
        <v>46237.572372685187</v>
      </c>
      <c r="B23" s="5" t="s">
        <v>242</v>
      </c>
      <c r="C23" s="5" t="s">
        <v>306</v>
      </c>
      <c r="D23" s="5">
        <v>714469</v>
      </c>
      <c r="E23" s="33">
        <v>1</v>
      </c>
      <c r="F23" s="60">
        <v>10000</v>
      </c>
      <c r="G23" s="60">
        <f>+OtherClients[[#This Row],[Boxes / Pieces]]*OtherClients[[#This Row],[Unit Quantity]]</f>
        <v>10000</v>
      </c>
      <c r="H23" s="60">
        <v>275</v>
      </c>
      <c r="I23" s="60" t="s">
        <v>278</v>
      </c>
      <c r="J23" s="104"/>
      <c r="K23" s="33" t="s">
        <v>278</v>
      </c>
      <c r="L23" s="111"/>
      <c r="M23" s="33" t="s">
        <v>278</v>
      </c>
      <c r="N23" s="111"/>
      <c r="O23" s="33" t="s">
        <v>278</v>
      </c>
      <c r="P23" s="111"/>
      <c r="Q23" s="33" t="s">
        <v>587</v>
      </c>
      <c r="R23" s="111"/>
      <c r="S23" s="33" t="s">
        <v>278</v>
      </c>
      <c r="T23" s="111"/>
      <c r="U23" s="33" t="s">
        <v>278</v>
      </c>
      <c r="V23" s="111"/>
      <c r="W23" s="59" t="s">
        <v>548</v>
      </c>
      <c r="X23" s="33" t="str">
        <f>+VLOOKUP(OtherClients[[#This Row],[Part]],PartControl!$A$2:$E$564,5,FALSE)</f>
        <v>INFASCO</v>
      </c>
      <c r="Y23" s="108">
        <f>IF(OtherClients[[#This Row],[Re-certified or New]]&lt;&gt;"Re-certified",IF(OtherClients[[#This Row],[Client]]="infasco",VLOOKUP(OtherClients[[#This Row],[Part]],PartControl!$A$2:$E$564,2,FALSE),OtherClients[[#This Row],[Total Quantity]]*VLOOKUP(OtherClients[[#This Row],[Part]],PartControl!$A$2:$E$564,2,FALSE)),0)</f>
        <v>129.44999999999999</v>
      </c>
      <c r="Z23" s="108">
        <f>IF(OtherClients[[#This Row],[Re-certified or New]]&lt;&gt;"Re-certified",IF(OtherClients[[#This Row],[Client]]="infasco",VLOOKUP(OtherClients[[#This Row],[Part]],PartControl!$A$2:$E$564,2,FALSE),OtherClients[[#This Row],[Total Quantity]]*VLOOKUP(OtherClients[[#This Row],[Part]],PartControl!$A$2:$E$564,2,FALSE)),0)</f>
        <v>129.44999999999999</v>
      </c>
    </row>
    <row r="24" spans="1:26" ht="25.15" hidden="1" customHeight="1" x14ac:dyDescent="0.25">
      <c r="A24" s="112">
        <v>46237.572372685187</v>
      </c>
      <c r="B24" s="5" t="s">
        <v>242</v>
      </c>
      <c r="C24" s="5" t="s">
        <v>306</v>
      </c>
      <c r="D24" s="5">
        <v>714471</v>
      </c>
      <c r="E24" s="33">
        <v>1</v>
      </c>
      <c r="F24" s="60">
        <v>26000</v>
      </c>
      <c r="G24" s="60">
        <f>+OtherClients[[#This Row],[Boxes / Pieces]]*OtherClients[[#This Row],[Unit Quantity]]</f>
        <v>26000</v>
      </c>
      <c r="H24" s="60">
        <v>275</v>
      </c>
      <c r="I24" s="60" t="s">
        <v>278</v>
      </c>
      <c r="J24" s="104"/>
      <c r="K24" s="33" t="s">
        <v>278</v>
      </c>
      <c r="L24" s="111"/>
      <c r="M24" s="33" t="s">
        <v>278</v>
      </c>
      <c r="N24" s="111"/>
      <c r="O24" s="33" t="s">
        <v>278</v>
      </c>
      <c r="P24" s="111"/>
      <c r="Q24" s="33" t="s">
        <v>587</v>
      </c>
      <c r="R24" s="111"/>
      <c r="S24" s="33" t="s">
        <v>278</v>
      </c>
      <c r="T24" s="111"/>
      <c r="U24" s="33" t="s">
        <v>278</v>
      </c>
      <c r="V24" s="111"/>
      <c r="W24" s="59" t="s">
        <v>633</v>
      </c>
      <c r="X24" s="33" t="str">
        <f>+VLOOKUP(OtherClients[[#This Row],[Part]],PartControl!$A$2:$E$564,5,FALSE)</f>
        <v>INFASCO</v>
      </c>
      <c r="Y24" s="108">
        <f>IF(OtherClients[[#This Row],[Re-certified or New]]&lt;&gt;"Re-certified",IF(OtherClients[[#This Row],[Client]]="infasco",VLOOKUP(OtherClients[[#This Row],[Part]],PartControl!$A$2:$E$564,2,FALSE),OtherClients[[#This Row],[Total Quantity]]*VLOOKUP(OtherClients[[#This Row],[Part]],PartControl!$A$2:$E$564,2,FALSE)),0)</f>
        <v>0</v>
      </c>
      <c r="Z24" s="108">
        <f>IF(OtherClients[[#This Row],[Re-certified or New]]&lt;&gt;"Re-certified",IF(OtherClients[[#This Row],[Client]]="infasco",VLOOKUP(OtherClients[[#This Row],[Part]],PartControl!$A$2:$E$564,2,FALSE),OtherClients[[#This Row],[Total Quantity]]*VLOOKUP(OtherClients[[#This Row],[Part]],PartControl!$A$2:$E$564,2,FALSE)),0)</f>
        <v>0</v>
      </c>
    </row>
    <row r="25" spans="1:26" ht="25.15" hidden="1" customHeight="1" x14ac:dyDescent="0.25">
      <c r="A25" s="112">
        <v>46237.572372685187</v>
      </c>
      <c r="B25" s="5" t="s">
        <v>252</v>
      </c>
      <c r="C25" s="5">
        <v>11546389</v>
      </c>
      <c r="D25" s="5">
        <v>715609</v>
      </c>
      <c r="E25" s="33">
        <v>18</v>
      </c>
      <c r="F25" s="60">
        <v>4500</v>
      </c>
      <c r="G25" s="60">
        <f>+OtherClients[[#This Row],[Boxes / Pieces]]*OtherClients[[#This Row],[Unit Quantity]]</f>
        <v>81000</v>
      </c>
      <c r="H25" s="60">
        <v>275</v>
      </c>
      <c r="I25" s="60" t="s">
        <v>278</v>
      </c>
      <c r="J25" s="104"/>
      <c r="K25" s="33" t="s">
        <v>278</v>
      </c>
      <c r="L25" s="111"/>
      <c r="M25" s="33" t="s">
        <v>278</v>
      </c>
      <c r="N25" s="111"/>
      <c r="O25" s="33" t="s">
        <v>278</v>
      </c>
      <c r="P25" s="111"/>
      <c r="Q25" s="33" t="s">
        <v>587</v>
      </c>
      <c r="R25" s="111"/>
      <c r="S25" s="33" t="s">
        <v>278</v>
      </c>
      <c r="T25" s="111"/>
      <c r="U25" s="33" t="s">
        <v>278</v>
      </c>
      <c r="V25" s="111"/>
      <c r="W25" s="59" t="s">
        <v>633</v>
      </c>
      <c r="X25" s="33" t="str">
        <f>+VLOOKUP(OtherClients[[#This Row],[Part]],PartControl!$A$2:$E$564,5,FALSE)</f>
        <v>INFASCO</v>
      </c>
      <c r="Y25" s="108">
        <f>IF(OtherClients[[#This Row],[Re-certified or New]]&lt;&gt;"Re-certified",IF(OtherClients[[#This Row],[Client]]="infasco",VLOOKUP(OtherClients[[#This Row],[Part]],PartControl!$A$2:$E$564,2,FALSE),OtherClients[[#This Row],[Total Quantity]]*VLOOKUP(OtherClients[[#This Row],[Part]],PartControl!$A$2:$E$564,2,FALSE)),0)</f>
        <v>0</v>
      </c>
      <c r="Z25" s="108">
        <f>IF(OtherClients[[#This Row],[Re-certified or New]]&lt;&gt;"Re-certified",IF(OtherClients[[#This Row],[Client]]="infasco",VLOOKUP(OtherClients[[#This Row],[Part]],PartControl!$A$2:$E$564,2,FALSE),OtherClients[[#This Row],[Total Quantity]]*VLOOKUP(OtherClients[[#This Row],[Part]],PartControl!$A$2:$E$564,2,FALSE)),0)</f>
        <v>0</v>
      </c>
    </row>
    <row r="26" spans="1:26" ht="25.15" hidden="1" customHeight="1" x14ac:dyDescent="0.25">
      <c r="A26" s="112">
        <v>46237.572372685187</v>
      </c>
      <c r="B26" s="5" t="s">
        <v>234</v>
      </c>
      <c r="C26" s="5" t="s">
        <v>820</v>
      </c>
      <c r="D26" s="5">
        <v>714082</v>
      </c>
      <c r="E26" s="33">
        <v>1</v>
      </c>
      <c r="F26" s="60">
        <v>3500</v>
      </c>
      <c r="G26" s="60">
        <f>+OtherClients[[#This Row],[Boxes / Pieces]]*OtherClients[[#This Row],[Unit Quantity]]</f>
        <v>3500</v>
      </c>
      <c r="H26" s="60">
        <v>275</v>
      </c>
      <c r="I26" s="60" t="s">
        <v>278</v>
      </c>
      <c r="J26" s="104"/>
      <c r="K26" s="33" t="s">
        <v>278</v>
      </c>
      <c r="L26" s="111"/>
      <c r="M26" s="33" t="s">
        <v>278</v>
      </c>
      <c r="N26" s="111"/>
      <c r="O26" s="33" t="s">
        <v>278</v>
      </c>
      <c r="P26" s="111"/>
      <c r="Q26" s="33" t="s">
        <v>587</v>
      </c>
      <c r="R26" s="111"/>
      <c r="S26" s="33" t="s">
        <v>278</v>
      </c>
      <c r="T26" s="111"/>
      <c r="U26" s="33" t="s">
        <v>278</v>
      </c>
      <c r="V26" s="111"/>
      <c r="W26" s="59" t="s">
        <v>548</v>
      </c>
      <c r="X26" s="33" t="str">
        <f>+VLOOKUP(OtherClients[[#This Row],[Part]],PartControl!$A$2:$E$564,5,FALSE)</f>
        <v>infasco</v>
      </c>
      <c r="Y26" s="108">
        <f>IF(OtherClients[[#This Row],[Re-certified or New]]&lt;&gt;"Re-certified",IF(OtherClients[[#This Row],[Client]]="infasco",VLOOKUP(OtherClients[[#This Row],[Part]],PartControl!$A$2:$E$564,2,FALSE),OtherClients[[#This Row],[Total Quantity]]*VLOOKUP(OtherClients[[#This Row],[Part]],PartControl!$A$2:$E$564,2,FALSE)),0)</f>
        <v>106.94</v>
      </c>
      <c r="Z26" s="108">
        <f>IF(OtherClients[[#This Row],[Re-certified or New]]&lt;&gt;"Re-certified",IF(OtherClients[[#This Row],[Client]]="infasco",VLOOKUP(OtherClients[[#This Row],[Part]],PartControl!$A$2:$E$564,2,FALSE),OtherClients[[#This Row],[Total Quantity]]*VLOOKUP(OtherClients[[#This Row],[Part]],PartControl!$A$2:$E$564,2,FALSE)),0)</f>
        <v>106.94</v>
      </c>
    </row>
    <row r="27" spans="1:26" ht="25.15" hidden="1" customHeight="1" x14ac:dyDescent="0.25">
      <c r="A27" s="112">
        <v>46237.572372685187</v>
      </c>
      <c r="B27" s="5" t="s">
        <v>234</v>
      </c>
      <c r="C27" s="5" t="s">
        <v>728</v>
      </c>
      <c r="D27" s="5">
        <v>714150</v>
      </c>
      <c r="E27" s="33">
        <v>32</v>
      </c>
      <c r="F27" s="60">
        <v>1500</v>
      </c>
      <c r="G27" s="60">
        <f>+OtherClients[[#This Row],[Boxes / Pieces]]*OtherClients[[#This Row],[Unit Quantity]]</f>
        <v>48000</v>
      </c>
      <c r="H27" s="60">
        <v>275</v>
      </c>
      <c r="I27" s="60" t="s">
        <v>278</v>
      </c>
      <c r="J27" s="104"/>
      <c r="K27" s="33" t="s">
        <v>278</v>
      </c>
      <c r="L27" s="111"/>
      <c r="M27" s="33" t="s">
        <v>278</v>
      </c>
      <c r="N27" s="111"/>
      <c r="O27" s="33" t="s">
        <v>278</v>
      </c>
      <c r="P27" s="111"/>
      <c r="Q27" s="33" t="s">
        <v>587</v>
      </c>
      <c r="R27" s="111"/>
      <c r="S27" s="33" t="s">
        <v>278</v>
      </c>
      <c r="T27" s="111"/>
      <c r="U27" s="33" t="s">
        <v>278</v>
      </c>
      <c r="V27" s="111"/>
      <c r="W27" s="59" t="s">
        <v>633</v>
      </c>
      <c r="X27" s="33" t="str">
        <f>+VLOOKUP(OtherClients[[#This Row],[Part]],PartControl!$A$2:$E$564,5,FALSE)</f>
        <v>infasco</v>
      </c>
      <c r="Y27" s="108">
        <f>IF(OtherClients[[#This Row],[Re-certified or New]]&lt;&gt;"Re-certified",IF(OtherClients[[#This Row],[Client]]="infasco",VLOOKUP(OtherClients[[#This Row],[Part]],PartControl!$A$2:$E$564,2,FALSE),OtherClients[[#This Row],[Total Quantity]]*VLOOKUP(OtherClients[[#This Row],[Part]],PartControl!$A$2:$E$564,2,FALSE)),0)</f>
        <v>0</v>
      </c>
      <c r="Z27" s="108">
        <f>IF(OtherClients[[#This Row],[Re-certified or New]]&lt;&gt;"Re-certified",IF(OtherClients[[#This Row],[Client]]="infasco",VLOOKUP(OtherClients[[#This Row],[Part]],PartControl!$A$2:$E$564,2,FALSE),OtherClients[[#This Row],[Total Quantity]]*VLOOKUP(OtherClients[[#This Row],[Part]],PartControl!$A$2:$E$564,2,FALSE)),0)</f>
        <v>0</v>
      </c>
    </row>
    <row r="28" spans="1:26" ht="25.15" hidden="1" customHeight="1" x14ac:dyDescent="0.25">
      <c r="A28" s="112">
        <v>46237.572372685187</v>
      </c>
      <c r="B28" s="5" t="s">
        <v>232</v>
      </c>
      <c r="C28" s="5" t="s">
        <v>728</v>
      </c>
      <c r="D28" s="5">
        <v>714151</v>
      </c>
      <c r="E28" s="33">
        <v>44</v>
      </c>
      <c r="F28" s="60">
        <v>1500</v>
      </c>
      <c r="G28" s="60">
        <f>+OtherClients[[#This Row],[Boxes / Pieces]]*OtherClients[[#This Row],[Unit Quantity]]</f>
        <v>66000</v>
      </c>
      <c r="H28" s="60">
        <v>275</v>
      </c>
      <c r="I28" s="60" t="s">
        <v>278</v>
      </c>
      <c r="J28" s="104"/>
      <c r="K28" s="33" t="s">
        <v>278</v>
      </c>
      <c r="L28" s="111"/>
      <c r="M28" s="33" t="s">
        <v>278</v>
      </c>
      <c r="N28" s="111"/>
      <c r="O28" s="33" t="s">
        <v>278</v>
      </c>
      <c r="P28" s="111"/>
      <c r="Q28" s="33" t="s">
        <v>587</v>
      </c>
      <c r="R28" s="111"/>
      <c r="S28" s="33" t="s">
        <v>278</v>
      </c>
      <c r="T28" s="111"/>
      <c r="U28" s="33" t="s">
        <v>278</v>
      </c>
      <c r="V28" s="111"/>
      <c r="W28" s="59" t="s">
        <v>633</v>
      </c>
      <c r="X28" s="33" t="str">
        <f>+VLOOKUP(OtherClients[[#This Row],[Part]],PartControl!$A$2:$E$564,5,FALSE)</f>
        <v>infasco</v>
      </c>
      <c r="Y28" s="108">
        <f>IF(OtherClients[[#This Row],[Re-certified or New]]&lt;&gt;"Re-certified",IF(OtherClients[[#This Row],[Client]]="infasco",VLOOKUP(OtherClients[[#This Row],[Part]],PartControl!$A$2:$E$564,2,FALSE),OtherClients[[#This Row],[Total Quantity]]*VLOOKUP(OtherClients[[#This Row],[Part]],PartControl!$A$2:$E$564,2,FALSE)),0)</f>
        <v>0</v>
      </c>
      <c r="Z28" s="108">
        <f>IF(OtherClients[[#This Row],[Re-certified or New]]&lt;&gt;"Re-certified",IF(OtherClients[[#This Row],[Client]]="infasco",VLOOKUP(OtherClients[[#This Row],[Part]],PartControl!$A$2:$E$564,2,FALSE),OtherClients[[#This Row],[Total Quantity]]*VLOOKUP(OtherClients[[#This Row],[Part]],PartControl!$A$2:$E$564,2,FALSE)),0)</f>
        <v>0</v>
      </c>
    </row>
    <row r="29" spans="1:26" ht="25.15" hidden="1" customHeight="1" x14ac:dyDescent="0.25">
      <c r="A29" s="112">
        <v>46237.572372685187</v>
      </c>
      <c r="B29" s="5" t="s">
        <v>238</v>
      </c>
      <c r="C29" s="5" t="s">
        <v>667</v>
      </c>
      <c r="D29" s="5">
        <v>712574</v>
      </c>
      <c r="E29" s="33">
        <f>36-18</f>
        <v>18</v>
      </c>
      <c r="F29" s="60">
        <v>1600</v>
      </c>
      <c r="G29" s="60">
        <f>+OtherClients[[#This Row],[Boxes / Pieces]]*OtherClients[[#This Row],[Unit Quantity]]</f>
        <v>28800</v>
      </c>
      <c r="H29" s="60">
        <v>275</v>
      </c>
      <c r="I29" s="60" t="s">
        <v>278</v>
      </c>
      <c r="J29" s="104"/>
      <c r="K29" s="33" t="s">
        <v>278</v>
      </c>
      <c r="L29" s="111"/>
      <c r="M29" s="33" t="s">
        <v>278</v>
      </c>
      <c r="N29" s="111"/>
      <c r="O29" s="33" t="s">
        <v>278</v>
      </c>
      <c r="P29" s="111"/>
      <c r="Q29" s="33" t="s">
        <v>587</v>
      </c>
      <c r="R29" s="111"/>
      <c r="S29" s="33" t="s">
        <v>278</v>
      </c>
      <c r="T29" s="111"/>
      <c r="U29" s="33" t="s">
        <v>278</v>
      </c>
      <c r="V29" s="111"/>
      <c r="W29" s="59" t="s">
        <v>548</v>
      </c>
      <c r="X29" s="33" t="str">
        <f>+VLOOKUP(OtherClients[[#This Row],[Part]],PartControl!$A$2:$E$564,5,FALSE)</f>
        <v>infasco</v>
      </c>
      <c r="Y29" s="108">
        <f>IF(OtherClients[[#This Row],[Re-certified or New]]&lt;&gt;"Re-certified",IF(OtherClients[[#This Row],[Client]]="infasco",VLOOKUP(OtherClients[[#This Row],[Part]],PartControl!$A$2:$E$564,2,FALSE),OtherClients[[#This Row],[Total Quantity]]*VLOOKUP(OtherClients[[#This Row],[Part]],PartControl!$A$2:$E$564,2,FALSE)),0)</f>
        <v>106.94</v>
      </c>
      <c r="Z29" s="108">
        <f>IF(OtherClients[[#This Row],[Re-certified or New]]&lt;&gt;"Re-certified",IF(OtherClients[[#This Row],[Client]]="infasco",VLOOKUP(OtherClients[[#This Row],[Part]],PartControl!$A$2:$E$564,2,FALSE),OtherClients[[#This Row],[Total Quantity]]*VLOOKUP(OtherClients[[#This Row],[Part]],PartControl!$A$2:$E$564,2,FALSE)),0)</f>
        <v>106.94</v>
      </c>
    </row>
    <row r="30" spans="1:26" ht="25.15" hidden="1" customHeight="1" x14ac:dyDescent="0.25">
      <c r="A30" s="112">
        <v>46237.572372685187</v>
      </c>
      <c r="B30" s="5" t="s">
        <v>238</v>
      </c>
      <c r="C30" s="5" t="s">
        <v>667</v>
      </c>
      <c r="D30" s="5">
        <v>712570</v>
      </c>
      <c r="E30" s="33">
        <v>15</v>
      </c>
      <c r="F30" s="60">
        <v>1600</v>
      </c>
      <c r="G30" s="60">
        <f>+OtherClients[[#This Row],[Boxes / Pieces]]*OtherClients[[#This Row],[Unit Quantity]]</f>
        <v>24000</v>
      </c>
      <c r="H30" s="60">
        <v>275</v>
      </c>
      <c r="I30" s="60" t="s">
        <v>278</v>
      </c>
      <c r="J30" s="104"/>
      <c r="K30" s="33" t="s">
        <v>278</v>
      </c>
      <c r="L30" s="111"/>
      <c r="M30" s="33" t="s">
        <v>278</v>
      </c>
      <c r="N30" s="111"/>
      <c r="O30" s="33" t="s">
        <v>278</v>
      </c>
      <c r="P30" s="111"/>
      <c r="Q30" s="33" t="s">
        <v>587</v>
      </c>
      <c r="R30" s="111"/>
      <c r="S30" s="33" t="s">
        <v>278</v>
      </c>
      <c r="T30" s="111"/>
      <c r="U30" s="33" t="s">
        <v>278</v>
      </c>
      <c r="V30" s="111"/>
      <c r="W30" s="59" t="s">
        <v>548</v>
      </c>
      <c r="X30" s="33" t="str">
        <f>+VLOOKUP(OtherClients[[#This Row],[Part]],PartControl!$A$2:$E$564,5,FALSE)</f>
        <v>infasco</v>
      </c>
      <c r="Y30" s="108">
        <f>IF(OtherClients[[#This Row],[Re-certified or New]]&lt;&gt;"Re-certified",IF(OtherClients[[#This Row],[Client]]="infasco",VLOOKUP(OtherClients[[#This Row],[Part]],PartControl!$A$2:$E$564,2,FALSE),OtherClients[[#This Row],[Total Quantity]]*VLOOKUP(OtherClients[[#This Row],[Part]],PartControl!$A$2:$E$564,2,FALSE)),0)</f>
        <v>106.94</v>
      </c>
      <c r="Z30" s="108">
        <f>IF(OtherClients[[#This Row],[Re-certified or New]]&lt;&gt;"Re-certified",IF(OtherClients[[#This Row],[Client]]="infasco",VLOOKUP(OtherClients[[#This Row],[Part]],PartControl!$A$2:$E$564,2,FALSE),OtherClients[[#This Row],[Total Quantity]]*VLOOKUP(OtherClients[[#This Row],[Part]],PartControl!$A$2:$E$564,2,FALSE)),0)</f>
        <v>106.94</v>
      </c>
    </row>
    <row r="31" spans="1:26" ht="25.15" hidden="1" customHeight="1" x14ac:dyDescent="0.25">
      <c r="A31" s="112">
        <v>46237.572372685187</v>
      </c>
      <c r="B31" s="5" t="s">
        <v>238</v>
      </c>
      <c r="C31" s="5">
        <v>11549170</v>
      </c>
      <c r="D31" s="5">
        <v>713828</v>
      </c>
      <c r="E31" s="33">
        <v>12</v>
      </c>
      <c r="F31" s="60">
        <v>400</v>
      </c>
      <c r="G31" s="60">
        <f>+OtherClients[[#This Row],[Boxes / Pieces]]*OtherClients[[#This Row],[Unit Quantity]]</f>
        <v>4800</v>
      </c>
      <c r="H31" s="60">
        <v>275</v>
      </c>
      <c r="I31" s="60" t="s">
        <v>278</v>
      </c>
      <c r="J31" s="104"/>
      <c r="K31" s="33" t="s">
        <v>278</v>
      </c>
      <c r="L31" s="111"/>
      <c r="M31" s="33" t="s">
        <v>278</v>
      </c>
      <c r="N31" s="111"/>
      <c r="O31" s="33" t="s">
        <v>278</v>
      </c>
      <c r="P31" s="111"/>
      <c r="Q31" s="33" t="s">
        <v>587</v>
      </c>
      <c r="R31" s="111"/>
      <c r="S31" s="33" t="s">
        <v>278</v>
      </c>
      <c r="T31" s="111"/>
      <c r="U31" s="33" t="s">
        <v>278</v>
      </c>
      <c r="V31" s="111"/>
      <c r="W31" s="59" t="s">
        <v>633</v>
      </c>
      <c r="X31" s="33" t="str">
        <f>+VLOOKUP(OtherClients[[#This Row],[Part]],PartControl!$A$2:$E$564,5,FALSE)</f>
        <v>INFASCO</v>
      </c>
      <c r="Y31" s="108">
        <f>IF(OtherClients[[#This Row],[Re-certified or New]]&lt;&gt;"Re-certified",IF(OtherClients[[#This Row],[Client]]="infasco",VLOOKUP(OtherClients[[#This Row],[Part]],PartControl!$A$2:$E$564,2,FALSE),OtherClients[[#This Row],[Total Quantity]]*VLOOKUP(OtherClients[[#This Row],[Part]],PartControl!$A$2:$E$564,2,FALSE)),0)</f>
        <v>0</v>
      </c>
      <c r="Z31" s="108">
        <f>IF(OtherClients[[#This Row],[Re-certified or New]]&lt;&gt;"Re-certified",IF(OtherClients[[#This Row],[Client]]="infasco",VLOOKUP(OtherClients[[#This Row],[Part]],PartControl!$A$2:$E$564,2,FALSE),OtherClients[[#This Row],[Total Quantity]]*VLOOKUP(OtherClients[[#This Row],[Part]],PartControl!$A$2:$E$564,2,FALSE)),0)</f>
        <v>0</v>
      </c>
    </row>
    <row r="32" spans="1:26" ht="25.15" hidden="1" customHeight="1" x14ac:dyDescent="0.25">
      <c r="A32" s="112">
        <v>46237.572372685187</v>
      </c>
      <c r="B32" s="5" t="s">
        <v>346</v>
      </c>
      <c r="C32" s="5" t="s">
        <v>720</v>
      </c>
      <c r="D32" s="5">
        <v>713050</v>
      </c>
      <c r="E32" s="33">
        <v>19</v>
      </c>
      <c r="F32" s="60">
        <v>200</v>
      </c>
      <c r="G32" s="60">
        <f>+OtherClients[[#This Row],[Boxes / Pieces]]*OtherClients[[#This Row],[Unit Quantity]]</f>
        <v>3800</v>
      </c>
      <c r="H32" s="60" t="s">
        <v>868</v>
      </c>
      <c r="I32" s="60" t="s">
        <v>278</v>
      </c>
      <c r="J32" s="104"/>
      <c r="K32" s="33" t="s">
        <v>278</v>
      </c>
      <c r="L32" s="111"/>
      <c r="M32" s="33" t="s">
        <v>278</v>
      </c>
      <c r="N32" s="111"/>
      <c r="O32" s="33" t="s">
        <v>278</v>
      </c>
      <c r="P32" s="111"/>
      <c r="Q32" s="33" t="s">
        <v>587</v>
      </c>
      <c r="R32" s="111"/>
      <c r="S32" s="33" t="s">
        <v>278</v>
      </c>
      <c r="T32" s="111"/>
      <c r="U32" s="33" t="s">
        <v>278</v>
      </c>
      <c r="V32" s="111"/>
      <c r="W32" s="59" t="s">
        <v>548</v>
      </c>
      <c r="X32" s="33" t="str">
        <f>+VLOOKUP(OtherClients[[#This Row],[Part]],PartControl!$A$2:$E$564,5,FALSE)</f>
        <v>infasco</v>
      </c>
      <c r="Y32" s="108">
        <f>IF(OtherClients[[#This Row],[Re-certified or New]]&lt;&gt;"Re-certified",IF(OtherClients[[#This Row],[Client]]="infasco",VLOOKUP(OtherClients[[#This Row],[Part]],PartControl!$A$2:$E$564,2,FALSE),OtherClients[[#This Row],[Total Quantity]]*VLOOKUP(OtherClients[[#This Row],[Part]],PartControl!$A$2:$E$564,2,FALSE)),0)</f>
        <v>129.44999999999999</v>
      </c>
      <c r="Z32" s="108">
        <f>IF(OtherClients[[#This Row],[Re-certified or New]]&lt;&gt;"Re-certified",IF(OtherClients[[#This Row],[Client]]="infasco",VLOOKUP(OtherClients[[#This Row],[Part]],PartControl!$A$2:$E$564,2,FALSE),OtherClients[[#This Row],[Total Quantity]]*VLOOKUP(OtherClients[[#This Row],[Part]],PartControl!$A$2:$E$564,2,FALSE)),0)</f>
        <v>129.44999999999999</v>
      </c>
    </row>
    <row r="33" spans="1:26" ht="25.15" hidden="1" customHeight="1" x14ac:dyDescent="0.25">
      <c r="A33" s="112">
        <v>46237.572372685187</v>
      </c>
      <c r="B33" s="5" t="s">
        <v>346</v>
      </c>
      <c r="C33" s="5">
        <v>11549170</v>
      </c>
      <c r="D33" s="5">
        <v>713834</v>
      </c>
      <c r="E33" s="33">
        <v>36</v>
      </c>
      <c r="F33" s="60">
        <v>400</v>
      </c>
      <c r="G33" s="60">
        <f>+OtherClients[[#This Row],[Boxes / Pieces]]*OtherClients[[#This Row],[Unit Quantity]]</f>
        <v>14400</v>
      </c>
      <c r="H33" s="60" t="s">
        <v>868</v>
      </c>
      <c r="I33" s="60" t="s">
        <v>278</v>
      </c>
      <c r="J33" s="104"/>
      <c r="K33" s="33" t="s">
        <v>278</v>
      </c>
      <c r="L33" s="111"/>
      <c r="M33" s="33" t="s">
        <v>278</v>
      </c>
      <c r="N33" s="111"/>
      <c r="O33" s="33" t="s">
        <v>278</v>
      </c>
      <c r="P33" s="111"/>
      <c r="Q33" s="33" t="s">
        <v>587</v>
      </c>
      <c r="R33" s="111"/>
      <c r="S33" s="33" t="s">
        <v>278</v>
      </c>
      <c r="T33" s="111"/>
      <c r="U33" s="33" t="s">
        <v>278</v>
      </c>
      <c r="V33" s="111"/>
      <c r="W33" s="59" t="s">
        <v>548</v>
      </c>
      <c r="X33" s="33" t="str">
        <f>+VLOOKUP(OtherClients[[#This Row],[Part]],PartControl!$A$2:$E$564,5,FALSE)</f>
        <v>INFASCO</v>
      </c>
      <c r="Y33" s="108">
        <f>IF(OtherClients[[#This Row],[Re-certified or New]]&lt;&gt;"Re-certified",IF(OtherClients[[#This Row],[Client]]="infasco",VLOOKUP(OtherClients[[#This Row],[Part]],PartControl!$A$2:$E$564,2,FALSE),OtherClients[[#This Row],[Total Quantity]]*VLOOKUP(OtherClients[[#This Row],[Part]],PartControl!$A$2:$E$564,2,FALSE)),0)</f>
        <v>106.94</v>
      </c>
      <c r="Z33" s="108">
        <f>IF(OtherClients[[#This Row],[Re-certified or New]]&lt;&gt;"Re-certified",IF(OtherClients[[#This Row],[Client]]="infasco",VLOOKUP(OtherClients[[#This Row],[Part]],PartControl!$A$2:$E$564,2,FALSE),OtherClients[[#This Row],[Total Quantity]]*VLOOKUP(OtherClients[[#This Row],[Part]],PartControl!$A$2:$E$564,2,FALSE)),0)</f>
        <v>106.94</v>
      </c>
    </row>
    <row r="34" spans="1:26" ht="25.15" hidden="1" customHeight="1" x14ac:dyDescent="0.25">
      <c r="A34" s="112">
        <v>46237.572372685187</v>
      </c>
      <c r="B34" s="5" t="s">
        <v>346</v>
      </c>
      <c r="C34" s="5">
        <v>11549170</v>
      </c>
      <c r="D34" s="5">
        <v>713823</v>
      </c>
      <c r="E34" s="33">
        <v>35</v>
      </c>
      <c r="F34" s="60">
        <v>400</v>
      </c>
      <c r="G34" s="60">
        <f>+OtherClients[[#This Row],[Boxes / Pieces]]*OtherClients[[#This Row],[Unit Quantity]]</f>
        <v>14000</v>
      </c>
      <c r="H34" s="60" t="s">
        <v>868</v>
      </c>
      <c r="I34" s="60" t="s">
        <v>278</v>
      </c>
      <c r="J34" s="104"/>
      <c r="K34" s="33" t="s">
        <v>278</v>
      </c>
      <c r="L34" s="111"/>
      <c r="M34" s="33" t="s">
        <v>278</v>
      </c>
      <c r="N34" s="111"/>
      <c r="O34" s="33" t="s">
        <v>278</v>
      </c>
      <c r="P34" s="111"/>
      <c r="Q34" s="33" t="s">
        <v>587</v>
      </c>
      <c r="R34" s="111"/>
      <c r="S34" s="33" t="s">
        <v>278</v>
      </c>
      <c r="T34" s="111"/>
      <c r="U34" s="33" t="s">
        <v>278</v>
      </c>
      <c r="V34" s="111"/>
      <c r="W34" s="59" t="s">
        <v>548</v>
      </c>
      <c r="X34" s="33" t="str">
        <f>+VLOOKUP(OtherClients[[#This Row],[Part]],PartControl!$A$2:$E$564,5,FALSE)</f>
        <v>INFASCO</v>
      </c>
      <c r="Y34" s="108">
        <f>IF(OtherClients[[#This Row],[Re-certified or New]]&lt;&gt;"Re-certified",IF(OtherClients[[#This Row],[Client]]="infasco",VLOOKUP(OtherClients[[#This Row],[Part]],PartControl!$A$2:$E$564,2,FALSE),OtherClients[[#This Row],[Total Quantity]]*VLOOKUP(OtherClients[[#This Row],[Part]],PartControl!$A$2:$E$564,2,FALSE)),0)</f>
        <v>106.94</v>
      </c>
      <c r="Z34" s="108">
        <f>IF(OtherClients[[#This Row],[Re-certified or New]]&lt;&gt;"Re-certified",IF(OtherClients[[#This Row],[Client]]="infasco",VLOOKUP(OtherClients[[#This Row],[Part]],PartControl!$A$2:$E$564,2,FALSE),OtherClients[[#This Row],[Total Quantity]]*VLOOKUP(OtherClients[[#This Row],[Part]],PartControl!$A$2:$E$564,2,FALSE)),0)</f>
        <v>106.94</v>
      </c>
    </row>
    <row r="35" spans="1:26" ht="25.15" hidden="1" customHeight="1" x14ac:dyDescent="0.25">
      <c r="A35" s="112">
        <v>46237.572372685187</v>
      </c>
      <c r="B35" s="5" t="s">
        <v>346</v>
      </c>
      <c r="C35" s="5" t="s">
        <v>656</v>
      </c>
      <c r="D35" s="5">
        <v>713925</v>
      </c>
      <c r="E35" s="33">
        <v>18</v>
      </c>
      <c r="F35" s="60">
        <v>825</v>
      </c>
      <c r="G35" s="60">
        <f>+OtherClients[[#This Row],[Boxes / Pieces]]*OtherClients[[#This Row],[Unit Quantity]]</f>
        <v>14850</v>
      </c>
      <c r="H35" s="60" t="s">
        <v>868</v>
      </c>
      <c r="I35" s="60" t="s">
        <v>278</v>
      </c>
      <c r="J35" s="104"/>
      <c r="K35" s="33" t="s">
        <v>278</v>
      </c>
      <c r="L35" s="111"/>
      <c r="M35" s="33" t="s">
        <v>278</v>
      </c>
      <c r="N35" s="111"/>
      <c r="O35" s="33" t="s">
        <v>278</v>
      </c>
      <c r="P35" s="111"/>
      <c r="Q35" s="33" t="s">
        <v>587</v>
      </c>
      <c r="R35" s="111"/>
      <c r="S35" s="33" t="s">
        <v>278</v>
      </c>
      <c r="T35" s="111"/>
      <c r="U35" s="33" t="s">
        <v>278</v>
      </c>
      <c r="V35" s="111"/>
      <c r="W35" s="59" t="s">
        <v>548</v>
      </c>
      <c r="X35" s="33" t="str">
        <f>+VLOOKUP(OtherClients[[#This Row],[Part]],PartControl!$A$2:$E$564,5,FALSE)</f>
        <v>infasco</v>
      </c>
      <c r="Y35" s="108">
        <f>IF(OtherClients[[#This Row],[Re-certified or New]]&lt;&gt;"Re-certified",IF(OtherClients[[#This Row],[Client]]="infasco",VLOOKUP(OtherClients[[#This Row],[Part]],PartControl!$A$2:$E$564,2,FALSE),OtherClients[[#This Row],[Total Quantity]]*VLOOKUP(OtherClients[[#This Row],[Part]],PartControl!$A$2:$E$564,2,FALSE)),0)</f>
        <v>280.16000000000003</v>
      </c>
      <c r="Z35" s="108">
        <f>IF(OtherClients[[#This Row],[Re-certified or New]]&lt;&gt;"Re-certified",IF(OtherClients[[#This Row],[Client]]="infasco",VLOOKUP(OtherClients[[#This Row],[Part]],PartControl!$A$2:$E$564,2,FALSE),OtherClients[[#This Row],[Total Quantity]]*VLOOKUP(OtherClients[[#This Row],[Part]],PartControl!$A$2:$E$564,2,FALSE)),0)</f>
        <v>280.16000000000003</v>
      </c>
    </row>
    <row r="36" spans="1:26" ht="25.15" hidden="1" customHeight="1" x14ac:dyDescent="0.25">
      <c r="A36" s="112">
        <v>46237.572372685187</v>
      </c>
      <c r="B36" s="5" t="s">
        <v>346</v>
      </c>
      <c r="C36" s="5">
        <v>11549170</v>
      </c>
      <c r="D36" s="5">
        <v>713714</v>
      </c>
      <c r="E36" s="33">
        <f>36+4</f>
        <v>40</v>
      </c>
      <c r="F36" s="60">
        <v>400</v>
      </c>
      <c r="G36" s="60">
        <f>+OtherClients[[#This Row],[Boxes / Pieces]]*OtherClients[[#This Row],[Unit Quantity]]</f>
        <v>16000</v>
      </c>
      <c r="H36" s="60" t="s">
        <v>868</v>
      </c>
      <c r="I36" s="60" t="s">
        <v>278</v>
      </c>
      <c r="J36" s="104"/>
      <c r="K36" s="33" t="s">
        <v>278</v>
      </c>
      <c r="L36" s="111"/>
      <c r="M36" s="33" t="s">
        <v>278</v>
      </c>
      <c r="N36" s="111"/>
      <c r="O36" s="33" t="s">
        <v>278</v>
      </c>
      <c r="P36" s="111"/>
      <c r="Q36" s="33" t="s">
        <v>587</v>
      </c>
      <c r="R36" s="111"/>
      <c r="S36" s="33" t="s">
        <v>278</v>
      </c>
      <c r="T36" s="111"/>
      <c r="U36" s="33" t="s">
        <v>278</v>
      </c>
      <c r="V36" s="111"/>
      <c r="W36" s="59" t="s">
        <v>548</v>
      </c>
      <c r="X36" s="33" t="str">
        <f>+VLOOKUP(OtherClients[[#This Row],[Part]],PartControl!$A$2:$E$564,5,FALSE)</f>
        <v>INFASCO</v>
      </c>
      <c r="Y36" s="108">
        <f>IF(OtherClients[[#This Row],[Re-certified or New]]&lt;&gt;"Re-certified",IF(OtherClients[[#This Row],[Client]]="infasco",VLOOKUP(OtherClients[[#This Row],[Part]],PartControl!$A$2:$E$564,2,FALSE),OtherClients[[#This Row],[Total Quantity]]*VLOOKUP(OtherClients[[#This Row],[Part]],PartControl!$A$2:$E$564,2,FALSE)),0)</f>
        <v>106.94</v>
      </c>
      <c r="Z36" s="108">
        <f>IF(OtherClients[[#This Row],[Re-certified or New]]&lt;&gt;"Re-certified",IF(OtherClients[[#This Row],[Client]]="infasco",VLOOKUP(OtherClients[[#This Row],[Part]],PartControl!$A$2:$E$564,2,FALSE),OtherClients[[#This Row],[Total Quantity]]*VLOOKUP(OtherClients[[#This Row],[Part]],PartControl!$A$2:$E$564,2,FALSE)),0)</f>
        <v>106.94</v>
      </c>
    </row>
    <row r="37" spans="1:26" ht="25.15" hidden="1" customHeight="1" x14ac:dyDescent="0.25">
      <c r="A37" s="112">
        <v>46237.572372685187</v>
      </c>
      <c r="B37" s="5" t="s">
        <v>346</v>
      </c>
      <c r="C37" s="5" t="s">
        <v>848</v>
      </c>
      <c r="D37" s="5">
        <v>713386</v>
      </c>
      <c r="E37" s="33">
        <v>5</v>
      </c>
      <c r="F37" s="60">
        <v>3200</v>
      </c>
      <c r="G37" s="60">
        <f>+OtherClients[[#This Row],[Boxes / Pieces]]*OtherClients[[#This Row],[Unit Quantity]]</f>
        <v>16000</v>
      </c>
      <c r="H37" s="60" t="s">
        <v>868</v>
      </c>
      <c r="I37" s="60" t="s">
        <v>278</v>
      </c>
      <c r="J37" s="104"/>
      <c r="K37" s="33" t="s">
        <v>278</v>
      </c>
      <c r="L37" s="111"/>
      <c r="M37" s="33" t="s">
        <v>278</v>
      </c>
      <c r="N37" s="111"/>
      <c r="O37" s="33" t="s">
        <v>278</v>
      </c>
      <c r="P37" s="111"/>
      <c r="Q37" s="33" t="s">
        <v>587</v>
      </c>
      <c r="R37" s="111"/>
      <c r="S37" s="33" t="s">
        <v>278</v>
      </c>
      <c r="T37" s="111"/>
      <c r="U37" s="33" t="s">
        <v>278</v>
      </c>
      <c r="V37" s="111"/>
      <c r="W37" s="59" t="s">
        <v>548</v>
      </c>
      <c r="X37" s="33" t="str">
        <f>+VLOOKUP(OtherClients[[#This Row],[Part]],PartControl!$A$2:$E$564,5,FALSE)</f>
        <v>infasco</v>
      </c>
      <c r="Y37" s="108">
        <f>IF(OtherClients[[#This Row],[Re-certified or New]]&lt;&gt;"Re-certified",IF(OtherClients[[#This Row],[Client]]="infasco",VLOOKUP(OtherClients[[#This Row],[Part]],PartControl!$A$2:$E$564,2,FALSE),OtherClients[[#This Row],[Total Quantity]]*VLOOKUP(OtherClients[[#This Row],[Part]],PartControl!$A$2:$E$564,2,FALSE)),0)</f>
        <v>106.94</v>
      </c>
      <c r="Z37" s="108">
        <f>IF(OtherClients[[#This Row],[Re-certified or New]]&lt;&gt;"Re-certified",IF(OtherClients[[#This Row],[Client]]="infasco",VLOOKUP(OtherClients[[#This Row],[Part]],PartControl!$A$2:$E$564,2,FALSE),OtherClients[[#This Row],[Total Quantity]]*VLOOKUP(OtherClients[[#This Row],[Part]],PartControl!$A$2:$E$564,2,FALSE)),0)</f>
        <v>106.94</v>
      </c>
    </row>
    <row r="38" spans="1:26" ht="25.15" hidden="1" customHeight="1" x14ac:dyDescent="0.25">
      <c r="A38" s="112">
        <v>46237.572372685187</v>
      </c>
      <c r="B38" s="5" t="s">
        <v>249</v>
      </c>
      <c r="C38" s="5">
        <v>11612078</v>
      </c>
      <c r="D38" s="5">
        <v>707323</v>
      </c>
      <c r="E38" s="33">
        <v>6</v>
      </c>
      <c r="F38" s="60">
        <v>1850</v>
      </c>
      <c r="G38" s="60">
        <f>+OtherClients[[#This Row],[Boxes / Pieces]]*OtherClients[[#This Row],[Unit Quantity]]</f>
        <v>11100</v>
      </c>
      <c r="H38" s="60">
        <v>4</v>
      </c>
      <c r="I38" s="60" t="s">
        <v>278</v>
      </c>
      <c r="J38" s="104"/>
      <c r="K38" s="33" t="s">
        <v>278</v>
      </c>
      <c r="L38" s="111"/>
      <c r="M38" s="33" t="s">
        <v>278</v>
      </c>
      <c r="N38" s="111"/>
      <c r="O38" s="33" t="s">
        <v>278</v>
      </c>
      <c r="P38" s="111"/>
      <c r="Q38" s="33" t="s">
        <v>587</v>
      </c>
      <c r="R38" s="111"/>
      <c r="S38" s="33" t="s">
        <v>278</v>
      </c>
      <c r="T38" s="111"/>
      <c r="U38" s="33" t="s">
        <v>278</v>
      </c>
      <c r="V38" s="111"/>
      <c r="W38" s="59" t="s">
        <v>548</v>
      </c>
      <c r="X38" s="33" t="str">
        <f>+VLOOKUP(OtherClients[[#This Row],[Part]],PartControl!$A$2:$E$564,5,FALSE)</f>
        <v>infasco</v>
      </c>
      <c r="Y38" s="108">
        <f>IF(OtherClients[[#This Row],[Re-certified or New]]&lt;&gt;"Re-certified",IF(OtherClients[[#This Row],[Client]]="infasco",VLOOKUP(OtherClients[[#This Row],[Part]],PartControl!$A$2:$E$564,2,FALSE),OtherClients[[#This Row],[Total Quantity]]*VLOOKUP(OtherClients[[#This Row],[Part]],PartControl!$A$2:$E$564,2,FALSE)),0)</f>
        <v>247.64</v>
      </c>
      <c r="Z38" s="108">
        <f>IF(OtherClients[[#This Row],[Re-certified or New]]&lt;&gt;"Re-certified",IF(OtherClients[[#This Row],[Client]]="infasco",VLOOKUP(OtherClients[[#This Row],[Part]],PartControl!$A$2:$E$564,2,FALSE),OtherClients[[#This Row],[Total Quantity]]*VLOOKUP(OtherClients[[#This Row],[Part]],PartControl!$A$2:$E$564,2,FALSE)),0)</f>
        <v>247.64</v>
      </c>
    </row>
    <row r="39" spans="1:26" ht="25.15" hidden="1" customHeight="1" x14ac:dyDescent="0.25">
      <c r="A39" s="112">
        <v>46237.572372685187</v>
      </c>
      <c r="B39" s="5" t="s">
        <v>249</v>
      </c>
      <c r="C39" s="5">
        <v>11612078</v>
      </c>
      <c r="D39" s="5">
        <v>706812</v>
      </c>
      <c r="E39" s="33">
        <v>7</v>
      </c>
      <c r="F39" s="60">
        <v>1850</v>
      </c>
      <c r="G39" s="60">
        <f>+OtherClients[[#This Row],[Boxes / Pieces]]*OtherClients[[#This Row],[Unit Quantity]]</f>
        <v>12950</v>
      </c>
      <c r="H39" s="60">
        <v>4</v>
      </c>
      <c r="I39" s="60" t="s">
        <v>278</v>
      </c>
      <c r="J39" s="104"/>
      <c r="K39" s="33" t="s">
        <v>278</v>
      </c>
      <c r="L39" s="111"/>
      <c r="M39" s="33" t="s">
        <v>278</v>
      </c>
      <c r="N39" s="111"/>
      <c r="O39" s="33" t="s">
        <v>278</v>
      </c>
      <c r="P39" s="111"/>
      <c r="Q39" s="33" t="s">
        <v>587</v>
      </c>
      <c r="R39" s="111"/>
      <c r="S39" s="33" t="s">
        <v>278</v>
      </c>
      <c r="T39" s="111"/>
      <c r="U39" s="33" t="s">
        <v>278</v>
      </c>
      <c r="V39" s="111"/>
      <c r="W39" s="59" t="s">
        <v>633</v>
      </c>
      <c r="X39" s="33" t="str">
        <f>+VLOOKUP(OtherClients[[#This Row],[Part]],PartControl!$A$2:$E$564,5,FALSE)</f>
        <v>infasco</v>
      </c>
      <c r="Y39" s="108">
        <f>IF(OtherClients[[#This Row],[Re-certified or New]]&lt;&gt;"Re-certified",IF(OtherClients[[#This Row],[Client]]="infasco",VLOOKUP(OtherClients[[#This Row],[Part]],PartControl!$A$2:$E$564,2,FALSE),OtherClients[[#This Row],[Total Quantity]]*VLOOKUP(OtherClients[[#This Row],[Part]],PartControl!$A$2:$E$564,2,FALSE)),0)</f>
        <v>0</v>
      </c>
      <c r="Z39" s="108">
        <f>IF(OtherClients[[#This Row],[Re-certified or New]]&lt;&gt;"Re-certified",IF(OtherClients[[#This Row],[Client]]="infasco",VLOOKUP(OtherClients[[#This Row],[Part]],PartControl!$A$2:$E$564,2,FALSE),OtherClients[[#This Row],[Total Quantity]]*VLOOKUP(OtherClients[[#This Row],[Part]],PartControl!$A$2:$E$564,2,FALSE)),0)</f>
        <v>0</v>
      </c>
    </row>
    <row r="40" spans="1:26" ht="25.15" hidden="1" customHeight="1" x14ac:dyDescent="0.25">
      <c r="A40" s="112">
        <v>46237.572372685187</v>
      </c>
      <c r="B40" s="5" t="s">
        <v>342</v>
      </c>
      <c r="C40" s="5" t="s">
        <v>835</v>
      </c>
      <c r="D40" s="5">
        <v>714349</v>
      </c>
      <c r="E40" s="33">
        <v>17</v>
      </c>
      <c r="F40" s="60">
        <v>660</v>
      </c>
      <c r="G40" s="60">
        <f>+OtherClients[[#This Row],[Boxes / Pieces]]*OtherClients[[#This Row],[Unit Quantity]]</f>
        <v>11220</v>
      </c>
      <c r="H40" s="60" t="s">
        <v>866</v>
      </c>
      <c r="I40" s="60" t="s">
        <v>278</v>
      </c>
      <c r="J40" s="104"/>
      <c r="K40" s="33" t="s">
        <v>278</v>
      </c>
      <c r="L40" s="111"/>
      <c r="M40" s="33" t="s">
        <v>278</v>
      </c>
      <c r="N40" s="111"/>
      <c r="O40" s="33" t="s">
        <v>278</v>
      </c>
      <c r="P40" s="111"/>
      <c r="Q40" s="33" t="s">
        <v>587</v>
      </c>
      <c r="R40" s="111"/>
      <c r="S40" s="33" t="s">
        <v>278</v>
      </c>
      <c r="T40" s="111"/>
      <c r="U40" s="33" t="s">
        <v>278</v>
      </c>
      <c r="V40" s="111"/>
      <c r="W40" s="59" t="s">
        <v>548</v>
      </c>
      <c r="X40" s="33" t="str">
        <f>+VLOOKUP(OtherClients[[#This Row],[Part]],PartControl!$A$2:$E$564,5,FALSE)</f>
        <v>infasco</v>
      </c>
      <c r="Y40" s="108">
        <f>IF(OtherClients[[#This Row],[Re-certified or New]]&lt;&gt;"Re-certified",IF(OtherClients[[#This Row],[Client]]="infasco",VLOOKUP(OtherClients[[#This Row],[Part]],PartControl!$A$2:$E$564,2,FALSE),OtherClients[[#This Row],[Total Quantity]]*VLOOKUP(OtherClients[[#This Row],[Part]],PartControl!$A$2:$E$564,2,FALSE)),0)</f>
        <v>135.08000000000001</v>
      </c>
      <c r="Z40" s="108">
        <f>IF(OtherClients[[#This Row],[Re-certified or New]]&lt;&gt;"Re-certified",IF(OtherClients[[#This Row],[Client]]="infasco",VLOOKUP(OtherClients[[#This Row],[Part]],PartControl!$A$2:$E$564,2,FALSE),OtherClients[[#This Row],[Total Quantity]]*VLOOKUP(OtherClients[[#This Row],[Part]],PartControl!$A$2:$E$564,2,FALSE)),0)</f>
        <v>135.08000000000001</v>
      </c>
    </row>
    <row r="41" spans="1:26" ht="25.15" hidden="1" customHeight="1" x14ac:dyDescent="0.25">
      <c r="A41" s="112">
        <v>46237.572372685187</v>
      </c>
      <c r="B41" s="5" t="s">
        <v>342</v>
      </c>
      <c r="C41" s="5" t="s">
        <v>643</v>
      </c>
      <c r="D41" s="5">
        <v>712966</v>
      </c>
      <c r="E41" s="33">
        <v>30</v>
      </c>
      <c r="F41" s="60">
        <v>700</v>
      </c>
      <c r="G41" s="60">
        <f>+OtherClients[[#This Row],[Boxes / Pieces]]*OtherClients[[#This Row],[Unit Quantity]]</f>
        <v>21000</v>
      </c>
      <c r="H41" s="60" t="s">
        <v>866</v>
      </c>
      <c r="I41" s="60" t="s">
        <v>278</v>
      </c>
      <c r="J41" s="104"/>
      <c r="K41" s="33" t="s">
        <v>278</v>
      </c>
      <c r="L41" s="111"/>
      <c r="M41" s="33" t="s">
        <v>278</v>
      </c>
      <c r="N41" s="111"/>
      <c r="O41" s="33" t="s">
        <v>278</v>
      </c>
      <c r="P41" s="111"/>
      <c r="Q41" s="33" t="s">
        <v>587</v>
      </c>
      <c r="R41" s="111"/>
      <c r="S41" s="33" t="s">
        <v>278</v>
      </c>
      <c r="T41" s="111"/>
      <c r="U41" s="33" t="s">
        <v>278</v>
      </c>
      <c r="V41" s="111"/>
      <c r="W41" s="59" t="s">
        <v>548</v>
      </c>
      <c r="X41" s="33" t="str">
        <f>+VLOOKUP(OtherClients[[#This Row],[Part]],PartControl!$A$2:$E$564,5,FALSE)</f>
        <v>infasco</v>
      </c>
      <c r="Y41" s="108">
        <f>IF(OtherClients[[#This Row],[Re-certified or New]]&lt;&gt;"Re-certified",IF(OtherClients[[#This Row],[Client]]="infasco",VLOOKUP(OtherClients[[#This Row],[Part]],PartControl!$A$2:$E$564,2,FALSE),OtherClients[[#This Row],[Total Quantity]]*VLOOKUP(OtherClients[[#This Row],[Part]],PartControl!$A$2:$E$564,2,FALSE)),0)</f>
        <v>135.07999999999998</v>
      </c>
      <c r="Z41" s="108">
        <f>IF(OtherClients[[#This Row],[Re-certified or New]]&lt;&gt;"Re-certified",IF(OtherClients[[#This Row],[Client]]="infasco",VLOOKUP(OtherClients[[#This Row],[Part]],PartControl!$A$2:$E$564,2,FALSE),OtherClients[[#This Row],[Total Quantity]]*VLOOKUP(OtherClients[[#This Row],[Part]],PartControl!$A$2:$E$564,2,FALSE)),0)</f>
        <v>135.07999999999998</v>
      </c>
    </row>
    <row r="42" spans="1:26" ht="25.15" hidden="1" customHeight="1" x14ac:dyDescent="0.25">
      <c r="A42" s="112">
        <v>46237.572372685187</v>
      </c>
      <c r="B42" s="5" t="s">
        <v>342</v>
      </c>
      <c r="C42" s="5" t="s">
        <v>818</v>
      </c>
      <c r="D42" s="5">
        <v>714405</v>
      </c>
      <c r="E42" s="33">
        <v>28</v>
      </c>
      <c r="F42" s="60">
        <v>670</v>
      </c>
      <c r="G42" s="60">
        <f>+OtherClients[[#This Row],[Boxes / Pieces]]*OtherClients[[#This Row],[Unit Quantity]]</f>
        <v>18760</v>
      </c>
      <c r="H42" s="60" t="s">
        <v>866</v>
      </c>
      <c r="I42" s="60" t="s">
        <v>278</v>
      </c>
      <c r="J42" s="104"/>
      <c r="K42" s="33" t="s">
        <v>278</v>
      </c>
      <c r="L42" s="111"/>
      <c r="M42" s="33" t="s">
        <v>278</v>
      </c>
      <c r="N42" s="111"/>
      <c r="O42" s="33" t="s">
        <v>278</v>
      </c>
      <c r="P42" s="111"/>
      <c r="Q42" s="33" t="s">
        <v>587</v>
      </c>
      <c r="R42" s="111"/>
      <c r="S42" s="33" t="s">
        <v>278</v>
      </c>
      <c r="T42" s="111"/>
      <c r="U42" s="33" t="s">
        <v>278</v>
      </c>
      <c r="V42" s="111"/>
      <c r="W42" s="59" t="s">
        <v>548</v>
      </c>
      <c r="X42" s="33" t="str">
        <f>+VLOOKUP(OtherClients[[#This Row],[Part]],PartControl!$A$2:$E$564,5,FALSE)</f>
        <v>infasco</v>
      </c>
      <c r="Y42" s="108">
        <f>IF(OtherClients[[#This Row],[Re-certified or New]]&lt;&gt;"Re-certified",IF(OtherClients[[#This Row],[Client]]="infasco",VLOOKUP(OtherClients[[#This Row],[Part]],PartControl!$A$2:$E$564,2,FALSE),OtherClients[[#This Row],[Total Quantity]]*VLOOKUP(OtherClients[[#This Row],[Part]],PartControl!$A$2:$E$564,2,FALSE)),0)</f>
        <v>280.16000000000003</v>
      </c>
      <c r="Z42" s="108">
        <f>IF(OtherClients[[#This Row],[Re-certified or New]]&lt;&gt;"Re-certified",IF(OtherClients[[#This Row],[Client]]="infasco",VLOOKUP(OtherClients[[#This Row],[Part]],PartControl!$A$2:$E$564,2,FALSE),OtherClients[[#This Row],[Total Quantity]]*VLOOKUP(OtherClients[[#This Row],[Part]],PartControl!$A$2:$E$564,2,FALSE)),0)</f>
        <v>280.16000000000003</v>
      </c>
    </row>
    <row r="43" spans="1:26" ht="25.15" hidden="1" customHeight="1" x14ac:dyDescent="0.25">
      <c r="A43" s="112">
        <v>46237.572372685187</v>
      </c>
      <c r="B43" s="5" t="s">
        <v>342</v>
      </c>
      <c r="C43" s="5" t="s">
        <v>651</v>
      </c>
      <c r="D43" s="5">
        <v>714407</v>
      </c>
      <c r="E43" s="33">
        <v>26</v>
      </c>
      <c r="F43" s="60">
        <v>800</v>
      </c>
      <c r="G43" s="60">
        <f>+OtherClients[[#This Row],[Boxes / Pieces]]*OtherClients[[#This Row],[Unit Quantity]]</f>
        <v>20800</v>
      </c>
      <c r="H43" s="60" t="s">
        <v>866</v>
      </c>
      <c r="I43" s="60" t="s">
        <v>278</v>
      </c>
      <c r="J43" s="104"/>
      <c r="K43" s="33" t="s">
        <v>278</v>
      </c>
      <c r="L43" s="111"/>
      <c r="M43" s="33" t="s">
        <v>278</v>
      </c>
      <c r="N43" s="111"/>
      <c r="O43" s="33" t="s">
        <v>278</v>
      </c>
      <c r="P43" s="111"/>
      <c r="Q43" s="33" t="s">
        <v>587</v>
      </c>
      <c r="R43" s="111"/>
      <c r="S43" s="33" t="s">
        <v>278</v>
      </c>
      <c r="T43" s="111"/>
      <c r="U43" s="33" t="s">
        <v>278</v>
      </c>
      <c r="V43" s="111"/>
      <c r="W43" s="59" t="s">
        <v>548</v>
      </c>
      <c r="X43" s="33" t="str">
        <f>+VLOOKUP(OtherClients[[#This Row],[Part]],PartControl!$A$2:$E$564,5,FALSE)</f>
        <v>infasco</v>
      </c>
      <c r="Y43" s="108">
        <f>IF(OtherClients[[#This Row],[Re-certified or New]]&lt;&gt;"Re-certified",IF(OtherClients[[#This Row],[Client]]="infasco",VLOOKUP(OtherClients[[#This Row],[Part]],PartControl!$A$2:$E$564,2,FALSE),OtherClients[[#This Row],[Total Quantity]]*VLOOKUP(OtherClients[[#This Row],[Part]],PartControl!$A$2:$E$564,2,FALSE)),0)</f>
        <v>280.15999999999997</v>
      </c>
      <c r="Z43" s="108">
        <f>IF(OtherClients[[#This Row],[Re-certified or New]]&lt;&gt;"Re-certified",IF(OtherClients[[#This Row],[Client]]="infasco",VLOOKUP(OtherClients[[#This Row],[Part]],PartControl!$A$2:$E$564,2,FALSE),OtherClients[[#This Row],[Total Quantity]]*VLOOKUP(OtherClients[[#This Row],[Part]],PartControl!$A$2:$E$564,2,FALSE)),0)</f>
        <v>280.15999999999997</v>
      </c>
    </row>
    <row r="44" spans="1:26" ht="25.15" hidden="1" customHeight="1" x14ac:dyDescent="0.25">
      <c r="A44" s="112">
        <v>46237.572372685187</v>
      </c>
      <c r="B44" s="5" t="s">
        <v>342</v>
      </c>
      <c r="C44" s="5" t="s">
        <v>656</v>
      </c>
      <c r="D44" s="5">
        <v>713924</v>
      </c>
      <c r="E44" s="33">
        <v>20</v>
      </c>
      <c r="F44" s="60">
        <v>825</v>
      </c>
      <c r="G44" s="60">
        <f>+OtherClients[[#This Row],[Boxes / Pieces]]*OtherClients[[#This Row],[Unit Quantity]]</f>
        <v>16500</v>
      </c>
      <c r="H44" s="60" t="s">
        <v>866</v>
      </c>
      <c r="I44" s="60" t="s">
        <v>278</v>
      </c>
      <c r="J44" s="104"/>
      <c r="K44" s="33" t="s">
        <v>278</v>
      </c>
      <c r="L44" s="111"/>
      <c r="M44" s="33" t="s">
        <v>278</v>
      </c>
      <c r="N44" s="111"/>
      <c r="O44" s="33" t="s">
        <v>278</v>
      </c>
      <c r="P44" s="111"/>
      <c r="Q44" s="33" t="s">
        <v>587</v>
      </c>
      <c r="R44" s="111"/>
      <c r="S44" s="33" t="s">
        <v>278</v>
      </c>
      <c r="T44" s="111"/>
      <c r="U44" s="33" t="s">
        <v>278</v>
      </c>
      <c r="V44" s="111"/>
      <c r="W44" s="59" t="s">
        <v>548</v>
      </c>
      <c r="X44" s="33" t="str">
        <f>+VLOOKUP(OtherClients[[#This Row],[Part]],PartControl!$A$2:$E$564,5,FALSE)</f>
        <v>infasco</v>
      </c>
      <c r="Y44" s="108">
        <f>IF(OtherClients[[#This Row],[Re-certified or New]]&lt;&gt;"Re-certified",IF(OtherClients[[#This Row],[Client]]="infasco",VLOOKUP(OtherClients[[#This Row],[Part]],PartControl!$A$2:$E$564,2,FALSE),OtherClients[[#This Row],[Total Quantity]]*VLOOKUP(OtherClients[[#This Row],[Part]],PartControl!$A$2:$E$564,2,FALSE)),0)</f>
        <v>280.16000000000003</v>
      </c>
      <c r="Z44" s="108">
        <f>IF(OtherClients[[#This Row],[Re-certified or New]]&lt;&gt;"Re-certified",IF(OtherClients[[#This Row],[Client]]="infasco",VLOOKUP(OtherClients[[#This Row],[Part]],PartControl!$A$2:$E$564,2,FALSE),OtherClients[[#This Row],[Total Quantity]]*VLOOKUP(OtherClients[[#This Row],[Part]],PartControl!$A$2:$E$564,2,FALSE)),0)</f>
        <v>280.16000000000003</v>
      </c>
    </row>
    <row r="45" spans="1:26" ht="25.15" hidden="1" customHeight="1" x14ac:dyDescent="0.25">
      <c r="A45" s="112">
        <v>46237.572372685187</v>
      </c>
      <c r="B45" s="5" t="s">
        <v>342</v>
      </c>
      <c r="C45" s="5">
        <v>11549168</v>
      </c>
      <c r="D45" s="5">
        <v>712002</v>
      </c>
      <c r="E45" s="33">
        <v>8</v>
      </c>
      <c r="F45" s="60">
        <v>1000</v>
      </c>
      <c r="G45" s="60">
        <f>+OtherClients[[#This Row],[Boxes / Pieces]]*OtherClients[[#This Row],[Unit Quantity]]</f>
        <v>8000</v>
      </c>
      <c r="H45" s="60" t="s">
        <v>866</v>
      </c>
      <c r="I45" s="60" t="s">
        <v>278</v>
      </c>
      <c r="J45" s="104"/>
      <c r="K45" s="33" t="s">
        <v>278</v>
      </c>
      <c r="L45" s="111"/>
      <c r="M45" s="33" t="s">
        <v>278</v>
      </c>
      <c r="N45" s="111"/>
      <c r="O45" s="33" t="s">
        <v>278</v>
      </c>
      <c r="P45" s="111"/>
      <c r="Q45" s="33" t="s">
        <v>587</v>
      </c>
      <c r="R45" s="111"/>
      <c r="S45" s="33" t="s">
        <v>278</v>
      </c>
      <c r="T45" s="111"/>
      <c r="U45" s="33" t="s">
        <v>278</v>
      </c>
      <c r="V45" s="111"/>
      <c r="W45" s="59" t="s">
        <v>548</v>
      </c>
      <c r="X45" s="33" t="str">
        <f>+VLOOKUP(OtherClients[[#This Row],[Part]],PartControl!$A$2:$E$564,5,FALSE)</f>
        <v>INFASCO</v>
      </c>
      <c r="Y45" s="108">
        <f>IF(OtherClients[[#This Row],[Re-certified or New]]&lt;&gt;"Re-certified",IF(OtherClients[[#This Row],[Client]]="infasco",VLOOKUP(OtherClients[[#This Row],[Part]],PartControl!$A$2:$E$564,2,FALSE),OtherClients[[#This Row],[Total Quantity]]*VLOOKUP(OtherClients[[#This Row],[Part]],PartControl!$A$2:$E$564,2,FALSE)),0)</f>
        <v>106.94</v>
      </c>
      <c r="Z45" s="108">
        <f>IF(OtherClients[[#This Row],[Re-certified or New]]&lt;&gt;"Re-certified",IF(OtherClients[[#This Row],[Client]]="infasco",VLOOKUP(OtherClients[[#This Row],[Part]],PartControl!$A$2:$E$564,2,FALSE),OtherClients[[#This Row],[Total Quantity]]*VLOOKUP(OtherClients[[#This Row],[Part]],PartControl!$A$2:$E$564,2,FALSE)),0)</f>
        <v>106.94</v>
      </c>
    </row>
    <row r="46" spans="1:26" ht="25.15" hidden="1" customHeight="1" x14ac:dyDescent="0.25">
      <c r="A46" s="112">
        <v>46237.572372685187</v>
      </c>
      <c r="B46" s="5" t="s">
        <v>343</v>
      </c>
      <c r="C46" s="5" t="s">
        <v>856</v>
      </c>
      <c r="D46" s="5">
        <v>714164</v>
      </c>
      <c r="E46" s="33">
        <v>30</v>
      </c>
      <c r="F46" s="60">
        <v>440</v>
      </c>
      <c r="G46" s="60">
        <f>+OtherClients[[#This Row],[Boxes / Pieces]]*OtherClients[[#This Row],[Unit Quantity]]</f>
        <v>13200</v>
      </c>
      <c r="H46" s="60" t="s">
        <v>757</v>
      </c>
      <c r="I46" s="60" t="s">
        <v>278</v>
      </c>
      <c r="J46" s="104"/>
      <c r="K46" s="33" t="s">
        <v>278</v>
      </c>
      <c r="L46" s="111"/>
      <c r="M46" s="33" t="s">
        <v>278</v>
      </c>
      <c r="N46" s="111"/>
      <c r="O46" s="33" t="s">
        <v>278</v>
      </c>
      <c r="P46" s="111"/>
      <c r="Q46" s="33" t="s">
        <v>587</v>
      </c>
      <c r="R46" s="111"/>
      <c r="S46" s="33" t="s">
        <v>278</v>
      </c>
      <c r="T46" s="111"/>
      <c r="U46" s="33" t="s">
        <v>278</v>
      </c>
      <c r="V46" s="111"/>
      <c r="W46" s="59" t="s">
        <v>548</v>
      </c>
      <c r="X46" s="33" t="str">
        <f>+VLOOKUP(OtherClients[[#This Row],[Part]],PartControl!$A$2:$E$564,5,FALSE)</f>
        <v>infasco</v>
      </c>
      <c r="Y46" s="108">
        <f>IF(OtherClients[[#This Row],[Re-certified or New]]&lt;&gt;"Re-certified",IF(OtherClients[[#This Row],[Client]]="infasco",VLOOKUP(OtherClients[[#This Row],[Part]],PartControl!$A$2:$E$564,2,FALSE),OtherClients[[#This Row],[Total Quantity]]*VLOOKUP(OtherClients[[#This Row],[Part]],PartControl!$A$2:$E$564,2,FALSE)),0)</f>
        <v>106.94</v>
      </c>
      <c r="Z46" s="108">
        <f>IF(OtherClients[[#This Row],[Re-certified or New]]&lt;&gt;"Re-certified",IF(OtherClients[[#This Row],[Client]]="infasco",VLOOKUP(OtherClients[[#This Row],[Part]],PartControl!$A$2:$E$564,2,FALSE),OtherClients[[#This Row],[Total Quantity]]*VLOOKUP(OtherClients[[#This Row],[Part]],PartControl!$A$2:$E$564,2,FALSE)),0)</f>
        <v>106.94</v>
      </c>
    </row>
    <row r="47" spans="1:26" ht="25.15" hidden="1" customHeight="1" x14ac:dyDescent="0.25">
      <c r="A47" s="112">
        <v>46237.572372685187</v>
      </c>
      <c r="B47" s="5" t="s">
        <v>343</v>
      </c>
      <c r="C47" s="5" t="s">
        <v>656</v>
      </c>
      <c r="D47" s="5">
        <v>713927</v>
      </c>
      <c r="E47" s="33">
        <v>23</v>
      </c>
      <c r="F47" s="60">
        <v>825</v>
      </c>
      <c r="G47" s="60">
        <f>+OtherClients[[#This Row],[Boxes / Pieces]]*OtherClients[[#This Row],[Unit Quantity]]</f>
        <v>18975</v>
      </c>
      <c r="H47" s="60" t="s">
        <v>757</v>
      </c>
      <c r="I47" s="60" t="s">
        <v>278</v>
      </c>
      <c r="J47" s="104"/>
      <c r="K47" s="33" t="s">
        <v>278</v>
      </c>
      <c r="L47" s="111"/>
      <c r="M47" s="33" t="s">
        <v>278</v>
      </c>
      <c r="N47" s="111"/>
      <c r="O47" s="33" t="s">
        <v>278</v>
      </c>
      <c r="P47" s="111"/>
      <c r="Q47" s="33" t="s">
        <v>587</v>
      </c>
      <c r="R47" s="111"/>
      <c r="S47" s="33" t="s">
        <v>278</v>
      </c>
      <c r="T47" s="111"/>
      <c r="U47" s="33" t="s">
        <v>278</v>
      </c>
      <c r="V47" s="111"/>
      <c r="W47" s="59" t="s">
        <v>548</v>
      </c>
      <c r="X47" s="33" t="str">
        <f>+VLOOKUP(OtherClients[[#This Row],[Part]],PartControl!$A$2:$E$564,5,FALSE)</f>
        <v>infasco</v>
      </c>
      <c r="Y47" s="108">
        <f>IF(OtherClients[[#This Row],[Re-certified or New]]&lt;&gt;"Re-certified",IF(OtherClients[[#This Row],[Client]]="infasco",VLOOKUP(OtherClients[[#This Row],[Part]],PartControl!$A$2:$E$564,2,FALSE),OtherClients[[#This Row],[Total Quantity]]*VLOOKUP(OtherClients[[#This Row],[Part]],PartControl!$A$2:$E$564,2,FALSE)),0)</f>
        <v>280.16000000000003</v>
      </c>
      <c r="Z47" s="108">
        <f>IF(OtherClients[[#This Row],[Re-certified or New]]&lt;&gt;"Re-certified",IF(OtherClients[[#This Row],[Client]]="infasco",VLOOKUP(OtherClients[[#This Row],[Part]],PartControl!$A$2:$E$564,2,FALSE),OtherClients[[#This Row],[Total Quantity]]*VLOOKUP(OtherClients[[#This Row],[Part]],PartControl!$A$2:$E$564,2,FALSE)),0)</f>
        <v>280.16000000000003</v>
      </c>
    </row>
    <row r="48" spans="1:26" ht="25.15" hidden="1" customHeight="1" x14ac:dyDescent="0.25">
      <c r="A48" s="112">
        <v>46237.572372685187</v>
      </c>
      <c r="B48" s="5" t="s">
        <v>343</v>
      </c>
      <c r="C48" s="5" t="s">
        <v>818</v>
      </c>
      <c r="D48" s="5">
        <v>714404</v>
      </c>
      <c r="E48" s="33">
        <v>31</v>
      </c>
      <c r="F48" s="60">
        <v>670</v>
      </c>
      <c r="G48" s="60">
        <f>+OtherClients[[#This Row],[Boxes / Pieces]]*OtherClients[[#This Row],[Unit Quantity]]</f>
        <v>20770</v>
      </c>
      <c r="H48" s="60" t="s">
        <v>757</v>
      </c>
      <c r="I48" s="60" t="s">
        <v>278</v>
      </c>
      <c r="J48" s="104"/>
      <c r="K48" s="33" t="s">
        <v>278</v>
      </c>
      <c r="L48" s="111"/>
      <c r="M48" s="33" t="s">
        <v>278</v>
      </c>
      <c r="N48" s="111"/>
      <c r="O48" s="33" t="s">
        <v>278</v>
      </c>
      <c r="P48" s="111"/>
      <c r="Q48" s="33" t="s">
        <v>587</v>
      </c>
      <c r="R48" s="111"/>
      <c r="S48" s="33" t="s">
        <v>278</v>
      </c>
      <c r="T48" s="111"/>
      <c r="U48" s="33" t="s">
        <v>278</v>
      </c>
      <c r="V48" s="111"/>
      <c r="W48" s="59" t="s">
        <v>548</v>
      </c>
      <c r="X48" s="33" t="str">
        <f>+VLOOKUP(OtherClients[[#This Row],[Part]],PartControl!$A$2:$E$564,5,FALSE)</f>
        <v>infasco</v>
      </c>
      <c r="Y48" s="108">
        <f>IF(OtherClients[[#This Row],[Re-certified or New]]&lt;&gt;"Re-certified",IF(OtherClients[[#This Row],[Client]]="infasco",VLOOKUP(OtherClients[[#This Row],[Part]],PartControl!$A$2:$E$564,2,FALSE),OtherClients[[#This Row],[Total Quantity]]*VLOOKUP(OtherClients[[#This Row],[Part]],PartControl!$A$2:$E$564,2,FALSE)),0)</f>
        <v>280.16000000000003</v>
      </c>
      <c r="Z48" s="108">
        <f>IF(OtherClients[[#This Row],[Re-certified or New]]&lt;&gt;"Re-certified",IF(OtherClients[[#This Row],[Client]]="infasco",VLOOKUP(OtherClients[[#This Row],[Part]],PartControl!$A$2:$E$564,2,FALSE),OtherClients[[#This Row],[Total Quantity]]*VLOOKUP(OtherClients[[#This Row],[Part]],PartControl!$A$2:$E$564,2,FALSE)),0)</f>
        <v>280.16000000000003</v>
      </c>
    </row>
    <row r="49" spans="1:26" ht="25.15" hidden="1" customHeight="1" x14ac:dyDescent="0.25">
      <c r="A49" s="112">
        <v>46237.572372685187</v>
      </c>
      <c r="B49" s="5" t="s">
        <v>343</v>
      </c>
      <c r="C49" s="5" t="s">
        <v>720</v>
      </c>
      <c r="D49" s="5">
        <v>713046</v>
      </c>
      <c r="E49" s="33">
        <v>30</v>
      </c>
      <c r="F49" s="60">
        <v>200</v>
      </c>
      <c r="G49" s="60">
        <f>+OtherClients[[#This Row],[Boxes / Pieces]]*OtherClients[[#This Row],[Unit Quantity]]</f>
        <v>6000</v>
      </c>
      <c r="H49" s="60" t="s">
        <v>757</v>
      </c>
      <c r="I49" s="60" t="s">
        <v>278</v>
      </c>
      <c r="J49" s="104"/>
      <c r="K49" s="33" t="s">
        <v>278</v>
      </c>
      <c r="L49" s="111"/>
      <c r="M49" s="33" t="s">
        <v>278</v>
      </c>
      <c r="N49" s="111"/>
      <c r="O49" s="33" t="s">
        <v>278</v>
      </c>
      <c r="P49" s="111"/>
      <c r="Q49" s="33" t="s">
        <v>587</v>
      </c>
      <c r="R49" s="111"/>
      <c r="S49" s="33" t="s">
        <v>278</v>
      </c>
      <c r="T49" s="111"/>
      <c r="U49" s="33" t="s">
        <v>278</v>
      </c>
      <c r="V49" s="111"/>
      <c r="W49" s="59" t="s">
        <v>548</v>
      </c>
      <c r="X49" s="33" t="str">
        <f>+VLOOKUP(OtherClients[[#This Row],[Part]],PartControl!$A$2:$E$564,5,FALSE)</f>
        <v>infasco</v>
      </c>
      <c r="Y49" s="108">
        <f>IF(OtherClients[[#This Row],[Re-certified or New]]&lt;&gt;"Re-certified",IF(OtherClients[[#This Row],[Client]]="infasco",VLOOKUP(OtherClients[[#This Row],[Part]],PartControl!$A$2:$E$564,2,FALSE),OtherClients[[#This Row],[Total Quantity]]*VLOOKUP(OtherClients[[#This Row],[Part]],PartControl!$A$2:$E$564,2,FALSE)),0)</f>
        <v>129.44999999999999</v>
      </c>
      <c r="Z49" s="108">
        <f>IF(OtherClients[[#This Row],[Re-certified or New]]&lt;&gt;"Re-certified",IF(OtherClients[[#This Row],[Client]]="infasco",VLOOKUP(OtherClients[[#This Row],[Part]],PartControl!$A$2:$E$564,2,FALSE),OtherClients[[#This Row],[Total Quantity]]*VLOOKUP(OtherClients[[#This Row],[Part]],PartControl!$A$2:$E$564,2,FALSE)),0)</f>
        <v>129.44999999999999</v>
      </c>
    </row>
    <row r="50" spans="1:26" ht="25.15" hidden="1" customHeight="1" x14ac:dyDescent="0.25">
      <c r="A50" s="112">
        <v>46237.572372685187</v>
      </c>
      <c r="B50" s="5" t="s">
        <v>343</v>
      </c>
      <c r="C50" s="5">
        <v>91054</v>
      </c>
      <c r="D50" s="5">
        <v>711591</v>
      </c>
      <c r="E50" s="33">
        <v>35</v>
      </c>
      <c r="F50" s="60">
        <v>1700</v>
      </c>
      <c r="G50" s="60">
        <f>+OtherClients[[#This Row],[Boxes / Pieces]]*OtherClients[[#This Row],[Unit Quantity]]</f>
        <v>59500</v>
      </c>
      <c r="H50" s="60" t="s">
        <v>757</v>
      </c>
      <c r="I50" s="60" t="s">
        <v>278</v>
      </c>
      <c r="J50" s="104"/>
      <c r="K50" s="33" t="s">
        <v>278</v>
      </c>
      <c r="L50" s="111"/>
      <c r="M50" s="33" t="s">
        <v>278</v>
      </c>
      <c r="N50" s="111"/>
      <c r="O50" s="33" t="s">
        <v>278</v>
      </c>
      <c r="P50" s="111"/>
      <c r="Q50" s="33" t="s">
        <v>587</v>
      </c>
      <c r="R50" s="111"/>
      <c r="S50" s="33" t="s">
        <v>278</v>
      </c>
      <c r="T50" s="111"/>
      <c r="U50" s="33" t="s">
        <v>278</v>
      </c>
      <c r="V50" s="111"/>
      <c r="W50" s="59" t="s">
        <v>548</v>
      </c>
      <c r="X50" s="33" t="str">
        <f>+VLOOKUP(OtherClients[[#This Row],[Part]],PartControl!$A$2:$E$564,5,FALSE)</f>
        <v>infasco</v>
      </c>
      <c r="Y50" s="108">
        <f>IF(OtherClients[[#This Row],[Re-certified or New]]&lt;&gt;"Re-certified",IF(OtherClients[[#This Row],[Client]]="infasco",VLOOKUP(OtherClients[[#This Row],[Part]],PartControl!$A$2:$E$564,2,FALSE),OtherClients[[#This Row],[Total Quantity]]*VLOOKUP(OtherClients[[#This Row],[Part]],PartControl!$A$2:$E$564,2,FALSE)),0)</f>
        <v>106.94</v>
      </c>
      <c r="Z50" s="108">
        <f>IF(OtherClients[[#This Row],[Re-certified or New]]&lt;&gt;"Re-certified",IF(OtherClients[[#This Row],[Client]]="infasco",VLOOKUP(OtherClients[[#This Row],[Part]],PartControl!$A$2:$E$564,2,FALSE),OtherClients[[#This Row],[Total Quantity]]*VLOOKUP(OtherClients[[#This Row],[Part]],PartControl!$A$2:$E$564,2,FALSE)),0)</f>
        <v>106.94</v>
      </c>
    </row>
    <row r="51" spans="1:26" ht="25.15" hidden="1" customHeight="1" x14ac:dyDescent="0.25">
      <c r="A51" s="112">
        <v>46237.572372685187</v>
      </c>
      <c r="B51" s="5" t="s">
        <v>344</v>
      </c>
      <c r="C51" s="5" t="s">
        <v>835</v>
      </c>
      <c r="D51" s="5">
        <v>714344</v>
      </c>
      <c r="E51" s="33">
        <f>33-10</f>
        <v>23</v>
      </c>
      <c r="F51" s="60">
        <v>660</v>
      </c>
      <c r="G51" s="60">
        <f>+OtherClients[[#This Row],[Boxes / Pieces]]*OtherClients[[#This Row],[Unit Quantity]]</f>
        <v>15180</v>
      </c>
      <c r="H51" s="60" t="s">
        <v>816</v>
      </c>
      <c r="I51" s="60" t="s">
        <v>278</v>
      </c>
      <c r="J51" s="104"/>
      <c r="K51" s="33" t="s">
        <v>278</v>
      </c>
      <c r="L51" s="111"/>
      <c r="M51" s="33" t="s">
        <v>278</v>
      </c>
      <c r="N51" s="111"/>
      <c r="O51" s="33" t="s">
        <v>278</v>
      </c>
      <c r="P51" s="111"/>
      <c r="Q51" s="33" t="s">
        <v>587</v>
      </c>
      <c r="R51" s="111"/>
      <c r="S51" s="33" t="s">
        <v>278</v>
      </c>
      <c r="T51" s="111"/>
      <c r="U51" s="33" t="s">
        <v>278</v>
      </c>
      <c r="V51" s="111"/>
      <c r="W51" s="59" t="s">
        <v>548</v>
      </c>
      <c r="X51" s="33" t="str">
        <f>+VLOOKUP(OtherClients[[#This Row],[Part]],PartControl!$A$2:$E$564,5,FALSE)</f>
        <v>infasco</v>
      </c>
      <c r="Y51" s="108">
        <f>IF(OtherClients[[#This Row],[Re-certified or New]]&lt;&gt;"Re-certified",IF(OtherClients[[#This Row],[Client]]="infasco",VLOOKUP(OtherClients[[#This Row],[Part]],PartControl!$A$2:$E$564,2,FALSE),OtherClients[[#This Row],[Total Quantity]]*VLOOKUP(OtherClients[[#This Row],[Part]],PartControl!$A$2:$E$564,2,FALSE)),0)</f>
        <v>135.08000000000001</v>
      </c>
      <c r="Z51" s="108">
        <f>IF(OtherClients[[#This Row],[Re-certified or New]]&lt;&gt;"Re-certified",IF(OtherClients[[#This Row],[Client]]="infasco",VLOOKUP(OtherClients[[#This Row],[Part]],PartControl!$A$2:$E$564,2,FALSE),OtherClients[[#This Row],[Total Quantity]]*VLOOKUP(OtherClients[[#This Row],[Part]],PartControl!$A$2:$E$564,2,FALSE)),0)</f>
        <v>135.08000000000001</v>
      </c>
    </row>
    <row r="52" spans="1:26" ht="25.15" hidden="1" customHeight="1" x14ac:dyDescent="0.25">
      <c r="A52" s="112">
        <v>46237.572372685187</v>
      </c>
      <c r="B52" s="5" t="s">
        <v>344</v>
      </c>
      <c r="C52" s="5" t="s">
        <v>643</v>
      </c>
      <c r="D52" s="5">
        <v>712964</v>
      </c>
      <c r="E52" s="33">
        <v>36</v>
      </c>
      <c r="F52" s="60">
        <v>700</v>
      </c>
      <c r="G52" s="60">
        <f>+OtherClients[[#This Row],[Boxes / Pieces]]*OtherClients[[#This Row],[Unit Quantity]]</f>
        <v>25200</v>
      </c>
      <c r="H52" s="60" t="s">
        <v>816</v>
      </c>
      <c r="I52" s="60" t="s">
        <v>278</v>
      </c>
      <c r="J52" s="104"/>
      <c r="K52" s="33" t="s">
        <v>278</v>
      </c>
      <c r="L52" s="111"/>
      <c r="M52" s="33" t="s">
        <v>278</v>
      </c>
      <c r="N52" s="111"/>
      <c r="O52" s="33" t="s">
        <v>278</v>
      </c>
      <c r="P52" s="111"/>
      <c r="Q52" s="33" t="s">
        <v>587</v>
      </c>
      <c r="R52" s="111"/>
      <c r="S52" s="33" t="s">
        <v>278</v>
      </c>
      <c r="T52" s="111"/>
      <c r="U52" s="33" t="s">
        <v>278</v>
      </c>
      <c r="V52" s="111"/>
      <c r="W52" s="59" t="s">
        <v>548</v>
      </c>
      <c r="X52" s="33" t="str">
        <f>+VLOOKUP(OtherClients[[#This Row],[Part]],PartControl!$A$2:$E$564,5,FALSE)</f>
        <v>infasco</v>
      </c>
      <c r="Y52" s="108">
        <f>IF(OtherClients[[#This Row],[Re-certified or New]]&lt;&gt;"Re-certified",IF(OtherClients[[#This Row],[Client]]="infasco",VLOOKUP(OtherClients[[#This Row],[Part]],PartControl!$A$2:$E$564,2,FALSE),OtherClients[[#This Row],[Total Quantity]]*VLOOKUP(OtherClients[[#This Row],[Part]],PartControl!$A$2:$E$564,2,FALSE)),0)</f>
        <v>135.07999999999998</v>
      </c>
      <c r="Z52" s="108">
        <f>IF(OtherClients[[#This Row],[Re-certified or New]]&lt;&gt;"Re-certified",IF(OtherClients[[#This Row],[Client]]="infasco",VLOOKUP(OtherClients[[#This Row],[Part]],PartControl!$A$2:$E$564,2,FALSE),OtherClients[[#This Row],[Total Quantity]]*VLOOKUP(OtherClients[[#This Row],[Part]],PartControl!$A$2:$E$564,2,FALSE)),0)</f>
        <v>135.07999999999998</v>
      </c>
    </row>
    <row r="53" spans="1:26" ht="25.15" hidden="1" customHeight="1" x14ac:dyDescent="0.25">
      <c r="A53" s="112">
        <v>46237.572372685187</v>
      </c>
      <c r="B53" s="5" t="s">
        <v>344</v>
      </c>
      <c r="C53" s="5" t="s">
        <v>656</v>
      </c>
      <c r="D53" s="5">
        <v>713929</v>
      </c>
      <c r="E53" s="33">
        <v>19</v>
      </c>
      <c r="F53" s="60">
        <v>825</v>
      </c>
      <c r="G53" s="60">
        <f>+OtherClients[[#This Row],[Boxes / Pieces]]*OtherClients[[#This Row],[Unit Quantity]]</f>
        <v>15675</v>
      </c>
      <c r="H53" s="60" t="s">
        <v>816</v>
      </c>
      <c r="I53" s="60" t="s">
        <v>278</v>
      </c>
      <c r="J53" s="104"/>
      <c r="K53" s="33" t="s">
        <v>278</v>
      </c>
      <c r="L53" s="111"/>
      <c r="M53" s="33" t="s">
        <v>278</v>
      </c>
      <c r="N53" s="111"/>
      <c r="O53" s="33" t="s">
        <v>278</v>
      </c>
      <c r="P53" s="111"/>
      <c r="Q53" s="33" t="s">
        <v>587</v>
      </c>
      <c r="R53" s="111"/>
      <c r="S53" s="33" t="s">
        <v>278</v>
      </c>
      <c r="T53" s="111"/>
      <c r="U53" s="33" t="s">
        <v>278</v>
      </c>
      <c r="V53" s="111"/>
      <c r="W53" s="59" t="s">
        <v>548</v>
      </c>
      <c r="X53" s="33" t="str">
        <f>+VLOOKUP(OtherClients[[#This Row],[Part]],PartControl!$A$2:$E$564,5,FALSE)</f>
        <v>infasco</v>
      </c>
      <c r="Y53" s="108">
        <f>IF(OtherClients[[#This Row],[Re-certified or New]]&lt;&gt;"Re-certified",IF(OtherClients[[#This Row],[Client]]="infasco",VLOOKUP(OtherClients[[#This Row],[Part]],PartControl!$A$2:$E$564,2,FALSE),OtherClients[[#This Row],[Total Quantity]]*VLOOKUP(OtherClients[[#This Row],[Part]],PartControl!$A$2:$E$564,2,FALSE)),0)</f>
        <v>280.16000000000003</v>
      </c>
      <c r="Z53" s="108">
        <f>IF(OtherClients[[#This Row],[Re-certified or New]]&lt;&gt;"Re-certified",IF(OtherClients[[#This Row],[Client]]="infasco",VLOOKUP(OtherClients[[#This Row],[Part]],PartControl!$A$2:$E$564,2,FALSE),OtherClients[[#This Row],[Total Quantity]]*VLOOKUP(OtherClients[[#This Row],[Part]],PartControl!$A$2:$E$564,2,FALSE)),0)</f>
        <v>280.16000000000003</v>
      </c>
    </row>
    <row r="54" spans="1:26" ht="25.15" hidden="1" customHeight="1" x14ac:dyDescent="0.25">
      <c r="A54" s="112">
        <v>46237.572372685187</v>
      </c>
      <c r="B54" s="5" t="s">
        <v>344</v>
      </c>
      <c r="C54" s="5" t="s">
        <v>651</v>
      </c>
      <c r="D54" s="5">
        <v>714406</v>
      </c>
      <c r="E54" s="33">
        <v>23</v>
      </c>
      <c r="F54" s="60">
        <v>800</v>
      </c>
      <c r="G54" s="60">
        <f>+OtherClients[[#This Row],[Boxes / Pieces]]*OtherClients[[#This Row],[Unit Quantity]]</f>
        <v>18400</v>
      </c>
      <c r="H54" s="60" t="s">
        <v>816</v>
      </c>
      <c r="I54" s="60" t="s">
        <v>278</v>
      </c>
      <c r="J54" s="104"/>
      <c r="K54" s="33" t="s">
        <v>278</v>
      </c>
      <c r="L54" s="111"/>
      <c r="M54" s="33" t="s">
        <v>278</v>
      </c>
      <c r="N54" s="111"/>
      <c r="O54" s="33" t="s">
        <v>278</v>
      </c>
      <c r="P54" s="111"/>
      <c r="Q54" s="33" t="s">
        <v>587</v>
      </c>
      <c r="R54" s="111"/>
      <c r="S54" s="33" t="s">
        <v>278</v>
      </c>
      <c r="T54" s="111"/>
      <c r="U54" s="33" t="s">
        <v>278</v>
      </c>
      <c r="V54" s="111"/>
      <c r="W54" s="59" t="s">
        <v>548</v>
      </c>
      <c r="X54" s="33" t="str">
        <f>+VLOOKUP(OtherClients[[#This Row],[Part]],PartControl!$A$2:$E$564,5,FALSE)</f>
        <v>infasco</v>
      </c>
      <c r="Y54" s="108">
        <f>IF(OtherClients[[#This Row],[Re-certified or New]]&lt;&gt;"Re-certified",IF(OtherClients[[#This Row],[Client]]="infasco",VLOOKUP(OtherClients[[#This Row],[Part]],PartControl!$A$2:$E$564,2,FALSE),OtherClients[[#This Row],[Total Quantity]]*VLOOKUP(OtherClients[[#This Row],[Part]],PartControl!$A$2:$E$564,2,FALSE)),0)</f>
        <v>280.15999999999997</v>
      </c>
      <c r="Z54" s="108">
        <f>IF(OtherClients[[#This Row],[Re-certified or New]]&lt;&gt;"Re-certified",IF(OtherClients[[#This Row],[Client]]="infasco",VLOOKUP(OtherClients[[#This Row],[Part]],PartControl!$A$2:$E$564,2,FALSE),OtherClients[[#This Row],[Total Quantity]]*VLOOKUP(OtherClients[[#This Row],[Part]],PartControl!$A$2:$E$564,2,FALSE)),0)</f>
        <v>280.15999999999997</v>
      </c>
    </row>
    <row r="55" spans="1:26" ht="25.15" hidden="1" customHeight="1" x14ac:dyDescent="0.25">
      <c r="A55" s="112">
        <v>46237.572372685187</v>
      </c>
      <c r="B55" s="5" t="s">
        <v>344</v>
      </c>
      <c r="C55" s="5">
        <v>11549170</v>
      </c>
      <c r="D55" s="5">
        <v>713698</v>
      </c>
      <c r="E55" s="33">
        <v>36</v>
      </c>
      <c r="F55" s="60">
        <v>400</v>
      </c>
      <c r="G55" s="60">
        <f>+OtherClients[[#This Row],[Boxes / Pieces]]*OtherClients[[#This Row],[Unit Quantity]]</f>
        <v>14400</v>
      </c>
      <c r="H55" s="60" t="s">
        <v>816</v>
      </c>
      <c r="I55" s="60" t="s">
        <v>278</v>
      </c>
      <c r="J55" s="104"/>
      <c r="K55" s="33" t="s">
        <v>278</v>
      </c>
      <c r="L55" s="111"/>
      <c r="M55" s="33" t="s">
        <v>278</v>
      </c>
      <c r="N55" s="111"/>
      <c r="O55" s="33" t="s">
        <v>278</v>
      </c>
      <c r="P55" s="111"/>
      <c r="Q55" s="33" t="s">
        <v>587</v>
      </c>
      <c r="R55" s="111"/>
      <c r="S55" s="33" t="s">
        <v>278</v>
      </c>
      <c r="T55" s="111"/>
      <c r="U55" s="33" t="s">
        <v>278</v>
      </c>
      <c r="V55" s="111"/>
      <c r="W55" s="59" t="s">
        <v>548</v>
      </c>
      <c r="X55" s="33" t="str">
        <f>+VLOOKUP(OtherClients[[#This Row],[Part]],PartControl!$A$2:$E$564,5,FALSE)</f>
        <v>INFASCO</v>
      </c>
      <c r="Y55" s="108">
        <f>IF(OtherClients[[#This Row],[Re-certified or New]]&lt;&gt;"Re-certified",IF(OtherClients[[#This Row],[Client]]="infasco",VLOOKUP(OtherClients[[#This Row],[Part]],PartControl!$A$2:$E$564,2,FALSE),OtherClients[[#This Row],[Total Quantity]]*VLOOKUP(OtherClients[[#This Row],[Part]],PartControl!$A$2:$E$564,2,FALSE)),0)</f>
        <v>106.94</v>
      </c>
      <c r="Z55" s="108">
        <f>IF(OtherClients[[#This Row],[Re-certified or New]]&lt;&gt;"Re-certified",IF(OtherClients[[#This Row],[Client]]="infasco",VLOOKUP(OtherClients[[#This Row],[Part]],PartControl!$A$2:$E$564,2,FALSE),OtherClients[[#This Row],[Total Quantity]]*VLOOKUP(OtherClients[[#This Row],[Part]],PartControl!$A$2:$E$564,2,FALSE)),0)</f>
        <v>106.94</v>
      </c>
    </row>
    <row r="56" spans="1:26" ht="25.15" hidden="1" customHeight="1" x14ac:dyDescent="0.25">
      <c r="A56" s="112">
        <v>46237.572372685187</v>
      </c>
      <c r="B56" s="5" t="s">
        <v>344</v>
      </c>
      <c r="C56" s="5">
        <v>11549170</v>
      </c>
      <c r="D56" s="5">
        <v>713711</v>
      </c>
      <c r="E56" s="33">
        <v>36</v>
      </c>
      <c r="F56" s="60">
        <v>400</v>
      </c>
      <c r="G56" s="60">
        <f>+OtherClients[[#This Row],[Boxes / Pieces]]*OtherClients[[#This Row],[Unit Quantity]]</f>
        <v>14400</v>
      </c>
      <c r="H56" s="60" t="s">
        <v>816</v>
      </c>
      <c r="I56" s="60" t="s">
        <v>278</v>
      </c>
      <c r="J56" s="104"/>
      <c r="K56" s="33" t="s">
        <v>278</v>
      </c>
      <c r="L56" s="111"/>
      <c r="M56" s="33" t="s">
        <v>278</v>
      </c>
      <c r="N56" s="111"/>
      <c r="O56" s="33" t="s">
        <v>278</v>
      </c>
      <c r="P56" s="111"/>
      <c r="Q56" s="33" t="s">
        <v>587</v>
      </c>
      <c r="R56" s="111"/>
      <c r="S56" s="33" t="s">
        <v>278</v>
      </c>
      <c r="T56" s="111"/>
      <c r="U56" s="33" t="s">
        <v>278</v>
      </c>
      <c r="V56" s="111"/>
      <c r="W56" s="59" t="s">
        <v>548</v>
      </c>
      <c r="X56" s="33" t="str">
        <f>+VLOOKUP(OtherClients[[#This Row],[Part]],PartControl!$A$2:$E$564,5,FALSE)</f>
        <v>INFASCO</v>
      </c>
      <c r="Y56" s="108">
        <f>IF(OtherClients[[#This Row],[Re-certified or New]]&lt;&gt;"Re-certified",IF(OtherClients[[#This Row],[Client]]="infasco",VLOOKUP(OtherClients[[#This Row],[Part]],PartControl!$A$2:$E$564,2,FALSE),OtherClients[[#This Row],[Total Quantity]]*VLOOKUP(OtherClients[[#This Row],[Part]],PartControl!$A$2:$E$564,2,FALSE)),0)</f>
        <v>106.94</v>
      </c>
      <c r="Z56" s="108">
        <f>IF(OtherClients[[#This Row],[Re-certified or New]]&lt;&gt;"Re-certified",IF(OtherClients[[#This Row],[Client]]="infasco",VLOOKUP(OtherClients[[#This Row],[Part]],PartControl!$A$2:$E$564,2,FALSE),OtherClients[[#This Row],[Total Quantity]]*VLOOKUP(OtherClients[[#This Row],[Part]],PartControl!$A$2:$E$564,2,FALSE)),0)</f>
        <v>106.94</v>
      </c>
    </row>
    <row r="57" spans="1:26" ht="25.15" hidden="1" customHeight="1" x14ac:dyDescent="0.25">
      <c r="A57" s="112">
        <v>46237.572372685187</v>
      </c>
      <c r="B57" s="5" t="s">
        <v>344</v>
      </c>
      <c r="C57" s="5">
        <v>11549170</v>
      </c>
      <c r="D57" s="5">
        <v>713850</v>
      </c>
      <c r="E57" s="33">
        <v>36</v>
      </c>
      <c r="F57" s="60">
        <v>400</v>
      </c>
      <c r="G57" s="60">
        <f>+OtherClients[[#This Row],[Boxes / Pieces]]*OtherClients[[#This Row],[Unit Quantity]]</f>
        <v>14400</v>
      </c>
      <c r="H57" s="60" t="s">
        <v>816</v>
      </c>
      <c r="I57" s="60" t="s">
        <v>278</v>
      </c>
      <c r="J57" s="104"/>
      <c r="K57" s="33" t="s">
        <v>278</v>
      </c>
      <c r="L57" s="111"/>
      <c r="M57" s="33" t="s">
        <v>278</v>
      </c>
      <c r="N57" s="111"/>
      <c r="O57" s="33" t="s">
        <v>278</v>
      </c>
      <c r="P57" s="111"/>
      <c r="Q57" s="33" t="s">
        <v>587</v>
      </c>
      <c r="R57" s="111"/>
      <c r="S57" s="33" t="s">
        <v>278</v>
      </c>
      <c r="T57" s="111"/>
      <c r="U57" s="33" t="s">
        <v>278</v>
      </c>
      <c r="V57" s="111"/>
      <c r="W57" s="59" t="s">
        <v>548</v>
      </c>
      <c r="X57" s="33" t="str">
        <f>+VLOOKUP(OtherClients[[#This Row],[Part]],PartControl!$A$2:$E$564,5,FALSE)</f>
        <v>INFASCO</v>
      </c>
      <c r="Y57" s="108">
        <f>IF(OtherClients[[#This Row],[Re-certified or New]]&lt;&gt;"Re-certified",IF(OtherClients[[#This Row],[Client]]="infasco",VLOOKUP(OtherClients[[#This Row],[Part]],PartControl!$A$2:$E$564,2,FALSE),OtherClients[[#This Row],[Total Quantity]]*VLOOKUP(OtherClients[[#This Row],[Part]],PartControl!$A$2:$E$564,2,FALSE)),0)</f>
        <v>106.94</v>
      </c>
      <c r="Z57" s="108">
        <f>IF(OtherClients[[#This Row],[Re-certified or New]]&lt;&gt;"Re-certified",IF(OtherClients[[#This Row],[Client]]="infasco",VLOOKUP(OtherClients[[#This Row],[Part]],PartControl!$A$2:$E$564,2,FALSE),OtherClients[[#This Row],[Total Quantity]]*VLOOKUP(OtherClients[[#This Row],[Part]],PartControl!$A$2:$E$564,2,FALSE)),0)</f>
        <v>106.94</v>
      </c>
    </row>
    <row r="58" spans="1:26" ht="25.15" hidden="1" customHeight="1" x14ac:dyDescent="0.25">
      <c r="A58" s="112">
        <v>46237.572372685187</v>
      </c>
      <c r="B58" s="5" t="s">
        <v>839</v>
      </c>
      <c r="C58" s="5" t="s">
        <v>848</v>
      </c>
      <c r="D58" s="5">
        <v>713088</v>
      </c>
      <c r="E58" s="33">
        <v>12</v>
      </c>
      <c r="F58" s="60">
        <v>3200</v>
      </c>
      <c r="G58" s="60">
        <f>+OtherClients[[#This Row],[Boxes / Pieces]]*OtherClients[[#This Row],[Unit Quantity]]</f>
        <v>38400</v>
      </c>
      <c r="H58" s="60">
        <v>240</v>
      </c>
      <c r="I58" s="60" t="s">
        <v>278</v>
      </c>
      <c r="J58" s="104"/>
      <c r="K58" s="33" t="s">
        <v>278</v>
      </c>
      <c r="L58" s="111"/>
      <c r="M58" s="33" t="s">
        <v>278</v>
      </c>
      <c r="N58" s="111"/>
      <c r="O58" s="33" t="s">
        <v>278</v>
      </c>
      <c r="P58" s="111"/>
      <c r="Q58" s="33" t="s">
        <v>587</v>
      </c>
      <c r="R58" s="111"/>
      <c r="S58" s="33" t="s">
        <v>278</v>
      </c>
      <c r="T58" s="111"/>
      <c r="U58" s="33" t="s">
        <v>278</v>
      </c>
      <c r="V58" s="111"/>
      <c r="W58" s="59" t="s">
        <v>633</v>
      </c>
      <c r="X58" s="33" t="str">
        <f>+VLOOKUP(OtherClients[[#This Row],[Part]],PartControl!$A$2:$E$564,5,FALSE)</f>
        <v>infasco</v>
      </c>
      <c r="Y58" s="108">
        <f>IF(OtherClients[[#This Row],[Re-certified or New]]&lt;&gt;"Re-certified",IF(OtherClients[[#This Row],[Client]]="infasco",VLOOKUP(OtherClients[[#This Row],[Part]],PartControl!$A$2:$E$564,2,FALSE),OtherClients[[#This Row],[Total Quantity]]*VLOOKUP(OtherClients[[#This Row],[Part]],PartControl!$A$2:$E$564,2,FALSE)),0)</f>
        <v>0</v>
      </c>
      <c r="Z58" s="108">
        <f>IF(OtherClients[[#This Row],[Re-certified or New]]&lt;&gt;"Re-certified",IF(OtherClients[[#This Row],[Client]]="infasco",VLOOKUP(OtherClients[[#This Row],[Part]],PartControl!$A$2:$E$564,2,FALSE),OtherClients[[#This Row],[Total Quantity]]*VLOOKUP(OtherClients[[#This Row],[Part]],PartControl!$A$2:$E$564,2,FALSE)),0)</f>
        <v>0</v>
      </c>
    </row>
    <row r="59" spans="1:26" ht="25.15" hidden="1" customHeight="1" x14ac:dyDescent="0.25">
      <c r="A59" s="112">
        <v>46237.572372685187</v>
      </c>
      <c r="B59" s="5" t="s">
        <v>246</v>
      </c>
      <c r="C59" s="5" t="s">
        <v>732</v>
      </c>
      <c r="D59" s="5">
        <v>710686</v>
      </c>
      <c r="E59" s="33">
        <v>9</v>
      </c>
      <c r="F59" s="60">
        <v>1000</v>
      </c>
      <c r="G59" s="60">
        <f>+OtherClients[[#This Row],[Boxes / Pieces]]*OtherClients[[#This Row],[Unit Quantity]]</f>
        <v>9000</v>
      </c>
      <c r="H59" s="60">
        <v>272</v>
      </c>
      <c r="I59" s="60" t="s">
        <v>278</v>
      </c>
      <c r="J59" s="104"/>
      <c r="K59" s="33" t="s">
        <v>278</v>
      </c>
      <c r="L59" s="111"/>
      <c r="M59" s="33" t="s">
        <v>278</v>
      </c>
      <c r="N59" s="111"/>
      <c r="O59" s="33" t="s">
        <v>278</v>
      </c>
      <c r="P59" s="111"/>
      <c r="Q59" s="33" t="s">
        <v>587</v>
      </c>
      <c r="R59" s="111"/>
      <c r="S59" s="33" t="s">
        <v>278</v>
      </c>
      <c r="T59" s="111"/>
      <c r="U59" s="33" t="s">
        <v>278</v>
      </c>
      <c r="V59" s="111"/>
      <c r="W59" s="59" t="s">
        <v>548</v>
      </c>
      <c r="X59" s="33" t="str">
        <f>+VLOOKUP(OtherClients[[#This Row],[Part]],PartControl!$A$2:$E$564,5,FALSE)</f>
        <v>infasco</v>
      </c>
      <c r="Y59" s="108">
        <f>IF(OtherClients[[#This Row],[Re-certified or New]]&lt;&gt;"Re-certified",IF(OtherClients[[#This Row],[Client]]="infasco",VLOOKUP(OtherClients[[#This Row],[Part]],PartControl!$A$2:$E$564,2,FALSE),OtherClients[[#This Row],[Total Quantity]]*VLOOKUP(OtherClients[[#This Row],[Part]],PartControl!$A$2:$E$564,2,FALSE)),0)</f>
        <v>213.88</v>
      </c>
      <c r="Z59" s="108">
        <f>IF(OtherClients[[#This Row],[Re-certified or New]]&lt;&gt;"Re-certified",IF(OtherClients[[#This Row],[Client]]="infasco",VLOOKUP(OtherClients[[#This Row],[Part]],PartControl!$A$2:$E$564,2,FALSE),OtherClients[[#This Row],[Total Quantity]]*VLOOKUP(OtherClients[[#This Row],[Part]],PartControl!$A$2:$E$564,2,FALSE)),0)</f>
        <v>213.88</v>
      </c>
    </row>
    <row r="60" spans="1:26" ht="25.15" hidden="1" customHeight="1" x14ac:dyDescent="0.25">
      <c r="A60" s="112">
        <v>46237.572372685187</v>
      </c>
      <c r="B60" s="5" t="s">
        <v>246</v>
      </c>
      <c r="C60" s="5" t="s">
        <v>732</v>
      </c>
      <c r="D60" s="5">
        <v>711865</v>
      </c>
      <c r="E60" s="33">
        <v>36</v>
      </c>
      <c r="F60" s="60">
        <v>1000</v>
      </c>
      <c r="G60" s="60">
        <f>+OtherClients[[#This Row],[Boxes / Pieces]]*OtherClients[[#This Row],[Unit Quantity]]</f>
        <v>36000</v>
      </c>
      <c r="H60" s="60">
        <v>272</v>
      </c>
      <c r="I60" s="60" t="s">
        <v>278</v>
      </c>
      <c r="J60" s="104"/>
      <c r="K60" s="33" t="s">
        <v>278</v>
      </c>
      <c r="L60" s="111"/>
      <c r="M60" s="33" t="s">
        <v>278</v>
      </c>
      <c r="N60" s="111"/>
      <c r="O60" s="33" t="s">
        <v>278</v>
      </c>
      <c r="P60" s="111"/>
      <c r="Q60" s="33" t="s">
        <v>587</v>
      </c>
      <c r="R60" s="111"/>
      <c r="S60" s="33" t="s">
        <v>278</v>
      </c>
      <c r="T60" s="111"/>
      <c r="U60" s="33" t="s">
        <v>278</v>
      </c>
      <c r="V60" s="111"/>
      <c r="W60" s="59" t="s">
        <v>633</v>
      </c>
      <c r="X60" s="33" t="str">
        <f>+VLOOKUP(OtherClients[[#This Row],[Part]],PartControl!$A$2:$E$564,5,FALSE)</f>
        <v>infasco</v>
      </c>
      <c r="Y60" s="108">
        <f>IF(OtherClients[[#This Row],[Re-certified or New]]&lt;&gt;"Re-certified",IF(OtherClients[[#This Row],[Client]]="infasco",VLOOKUP(OtherClients[[#This Row],[Part]],PartControl!$A$2:$E$564,2,FALSE),OtherClients[[#This Row],[Total Quantity]]*VLOOKUP(OtherClients[[#This Row],[Part]],PartControl!$A$2:$E$564,2,FALSE)),0)</f>
        <v>0</v>
      </c>
      <c r="Z60" s="108">
        <f>IF(OtherClients[[#This Row],[Re-certified or New]]&lt;&gt;"Re-certified",IF(OtherClients[[#This Row],[Client]]="infasco",VLOOKUP(OtherClients[[#This Row],[Part]],PartControl!$A$2:$E$564,2,FALSE),OtherClients[[#This Row],[Total Quantity]]*VLOOKUP(OtherClients[[#This Row],[Part]],PartControl!$A$2:$E$564,2,FALSE)),0)</f>
        <v>0</v>
      </c>
    </row>
    <row r="61" spans="1:26" ht="25.15" hidden="1" customHeight="1" x14ac:dyDescent="0.25">
      <c r="A61" s="112">
        <v>46237.572372685187</v>
      </c>
      <c r="B61" s="5" t="s">
        <v>636</v>
      </c>
      <c r="C61" s="5" t="s">
        <v>645</v>
      </c>
      <c r="D61" s="5">
        <v>714514</v>
      </c>
      <c r="E61" s="33">
        <f>36-18</f>
        <v>18</v>
      </c>
      <c r="F61" s="60">
        <v>1000</v>
      </c>
      <c r="G61" s="60">
        <f>+OtherClients[[#This Row],[Boxes / Pieces]]*OtherClients[[#This Row],[Unit Quantity]]</f>
        <v>18000</v>
      </c>
      <c r="H61" s="60">
        <v>280</v>
      </c>
      <c r="I61" s="60" t="s">
        <v>278</v>
      </c>
      <c r="J61" s="104"/>
      <c r="K61" s="33" t="s">
        <v>278</v>
      </c>
      <c r="L61" s="111"/>
      <c r="M61" s="33" t="s">
        <v>278</v>
      </c>
      <c r="N61" s="111"/>
      <c r="O61" s="33" t="s">
        <v>278</v>
      </c>
      <c r="P61" s="111"/>
      <c r="Q61" s="33" t="s">
        <v>587</v>
      </c>
      <c r="R61" s="111"/>
      <c r="S61" s="33" t="s">
        <v>278</v>
      </c>
      <c r="T61" s="111"/>
      <c r="U61" s="33" t="s">
        <v>278</v>
      </c>
      <c r="V61" s="111"/>
      <c r="W61" s="59" t="s">
        <v>548</v>
      </c>
      <c r="X61" s="33" t="str">
        <f>+VLOOKUP(OtherClients[[#This Row],[Part]],PartControl!$A$2:$E$564,5,FALSE)</f>
        <v>infasco</v>
      </c>
      <c r="Y61" s="108">
        <f>IF(OtherClients[[#This Row],[Re-certified or New]]&lt;&gt;"Re-certified",IF(OtherClients[[#This Row],[Client]]="infasco",VLOOKUP(OtherClients[[#This Row],[Part]],PartControl!$A$2:$E$564,2,FALSE),OtherClients[[#This Row],[Total Quantity]]*VLOOKUP(OtherClients[[#This Row],[Part]],PartControl!$A$2:$E$564,2,FALSE)),0)</f>
        <v>106.94</v>
      </c>
      <c r="Z61" s="108">
        <f>IF(OtherClients[[#This Row],[Re-certified or New]]&lt;&gt;"Re-certified",IF(OtherClients[[#This Row],[Client]]="infasco",VLOOKUP(OtherClients[[#This Row],[Part]],PartControl!$A$2:$E$564,2,FALSE),OtherClients[[#This Row],[Total Quantity]]*VLOOKUP(OtherClients[[#This Row],[Part]],PartControl!$A$2:$E$564,2,FALSE)),0)</f>
        <v>106.94</v>
      </c>
    </row>
    <row r="62" spans="1:26" ht="25.15" hidden="1" customHeight="1" x14ac:dyDescent="0.25">
      <c r="A62" s="112">
        <v>46237.572372685187</v>
      </c>
      <c r="B62" s="5" t="s">
        <v>637</v>
      </c>
      <c r="C62" s="5" t="s">
        <v>728</v>
      </c>
      <c r="D62" s="5">
        <v>714144</v>
      </c>
      <c r="E62" s="33">
        <f>36-11</f>
        <v>25</v>
      </c>
      <c r="F62" s="60">
        <v>1500</v>
      </c>
      <c r="G62" s="60">
        <f>+OtherClients[[#This Row],[Boxes / Pieces]]*OtherClients[[#This Row],[Unit Quantity]]</f>
        <v>37500</v>
      </c>
      <c r="H62" s="60">
        <v>280</v>
      </c>
      <c r="I62" s="60" t="s">
        <v>278</v>
      </c>
      <c r="J62" s="104"/>
      <c r="K62" s="33" t="s">
        <v>278</v>
      </c>
      <c r="L62" s="111"/>
      <c r="M62" s="33" t="s">
        <v>278</v>
      </c>
      <c r="N62" s="111"/>
      <c r="O62" s="33" t="s">
        <v>278</v>
      </c>
      <c r="P62" s="111"/>
      <c r="Q62" s="33" t="s">
        <v>587</v>
      </c>
      <c r="R62" s="111"/>
      <c r="S62" s="33" t="s">
        <v>278</v>
      </c>
      <c r="T62" s="111"/>
      <c r="U62" s="33" t="s">
        <v>278</v>
      </c>
      <c r="V62" s="111"/>
      <c r="W62" s="59" t="s">
        <v>548</v>
      </c>
      <c r="X62" s="33" t="str">
        <f>+VLOOKUP(OtherClients[[#This Row],[Part]],PartControl!$A$2:$E$564,5,FALSE)</f>
        <v>infasco</v>
      </c>
      <c r="Y62" s="108">
        <f>IF(OtherClients[[#This Row],[Re-certified or New]]&lt;&gt;"Re-certified",IF(OtherClients[[#This Row],[Client]]="infasco",VLOOKUP(OtherClients[[#This Row],[Part]],PartControl!$A$2:$E$564,2,FALSE),OtherClients[[#This Row],[Total Quantity]]*VLOOKUP(OtherClients[[#This Row],[Part]],PartControl!$A$2:$E$564,2,FALSE)),0)</f>
        <v>106.94</v>
      </c>
      <c r="Z62" s="108">
        <f>IF(OtherClients[[#This Row],[Re-certified or New]]&lt;&gt;"Re-certified",IF(OtherClients[[#This Row],[Client]]="infasco",VLOOKUP(OtherClients[[#This Row],[Part]],PartControl!$A$2:$E$564,2,FALSE),OtherClients[[#This Row],[Total Quantity]]*VLOOKUP(OtherClients[[#This Row],[Part]],PartControl!$A$2:$E$564,2,FALSE)),0)</f>
        <v>106.94</v>
      </c>
    </row>
    <row r="63" spans="1:26" ht="25.15" hidden="1" customHeight="1" x14ac:dyDescent="0.25">
      <c r="A63" s="112">
        <v>46237.572372685187</v>
      </c>
      <c r="B63" s="5" t="s">
        <v>637</v>
      </c>
      <c r="C63" s="5" t="s">
        <v>728</v>
      </c>
      <c r="D63" s="5">
        <v>714147</v>
      </c>
      <c r="E63" s="33">
        <v>20</v>
      </c>
      <c r="F63" s="60">
        <v>1500</v>
      </c>
      <c r="G63" s="60">
        <f>+OtherClients[[#This Row],[Boxes / Pieces]]*OtherClients[[#This Row],[Unit Quantity]]</f>
        <v>30000</v>
      </c>
      <c r="H63" s="60">
        <v>280</v>
      </c>
      <c r="I63" s="60" t="s">
        <v>278</v>
      </c>
      <c r="J63" s="104"/>
      <c r="K63" s="33" t="s">
        <v>278</v>
      </c>
      <c r="L63" s="111"/>
      <c r="M63" s="33" t="s">
        <v>278</v>
      </c>
      <c r="N63" s="111"/>
      <c r="O63" s="33" t="s">
        <v>278</v>
      </c>
      <c r="P63" s="111"/>
      <c r="Q63" s="33" t="s">
        <v>587</v>
      </c>
      <c r="R63" s="111"/>
      <c r="S63" s="33" t="s">
        <v>278</v>
      </c>
      <c r="T63" s="111"/>
      <c r="U63" s="33" t="s">
        <v>278</v>
      </c>
      <c r="V63" s="111"/>
      <c r="W63" s="59" t="s">
        <v>633</v>
      </c>
      <c r="X63" s="33" t="str">
        <f>+VLOOKUP(OtherClients[[#This Row],[Part]],PartControl!$A$2:$E$564,5,FALSE)</f>
        <v>infasco</v>
      </c>
      <c r="Y63" s="108">
        <f>IF(OtherClients[[#This Row],[Re-certified or New]]&lt;&gt;"Re-certified",IF(OtherClients[[#This Row],[Client]]="infasco",VLOOKUP(OtherClients[[#This Row],[Part]],PartControl!$A$2:$E$564,2,FALSE),OtherClients[[#This Row],[Total Quantity]]*VLOOKUP(OtherClients[[#This Row],[Part]],PartControl!$A$2:$E$564,2,FALSE)),0)</f>
        <v>0</v>
      </c>
      <c r="Z63" s="108">
        <f>IF(OtherClients[[#This Row],[Re-certified or New]]&lt;&gt;"Re-certified",IF(OtherClients[[#This Row],[Client]]="infasco",VLOOKUP(OtherClients[[#This Row],[Part]],PartControl!$A$2:$E$564,2,FALSE),OtherClients[[#This Row],[Total Quantity]]*VLOOKUP(OtherClients[[#This Row],[Part]],PartControl!$A$2:$E$564,2,FALSE)),0)</f>
        <v>0</v>
      </c>
    </row>
    <row r="64" spans="1:26" ht="25.15" hidden="1" customHeight="1" x14ac:dyDescent="0.25">
      <c r="A64" s="112">
        <v>46237.572372685187</v>
      </c>
      <c r="B64" s="5" t="s">
        <v>834</v>
      </c>
      <c r="C64" s="5">
        <v>11546377</v>
      </c>
      <c r="D64" s="5">
        <v>714314</v>
      </c>
      <c r="E64" s="33">
        <f>16-4</f>
        <v>12</v>
      </c>
      <c r="F64" s="60">
        <v>2150</v>
      </c>
      <c r="G64" s="60">
        <f>+OtherClients[[#This Row],[Boxes / Pieces]]*OtherClients[[#This Row],[Unit Quantity]]</f>
        <v>25800</v>
      </c>
      <c r="H64" s="60">
        <v>280</v>
      </c>
      <c r="I64" s="60" t="s">
        <v>278</v>
      </c>
      <c r="J64" s="104"/>
      <c r="K64" s="33" t="s">
        <v>278</v>
      </c>
      <c r="L64" s="111"/>
      <c r="M64" s="33" t="s">
        <v>278</v>
      </c>
      <c r="N64" s="111"/>
      <c r="O64" s="33" t="s">
        <v>278</v>
      </c>
      <c r="P64" s="111"/>
      <c r="Q64" s="33" t="s">
        <v>587</v>
      </c>
      <c r="R64" s="111"/>
      <c r="S64" s="33" t="s">
        <v>278</v>
      </c>
      <c r="T64" s="111"/>
      <c r="U64" s="33" t="s">
        <v>278</v>
      </c>
      <c r="V64" s="111"/>
      <c r="W64" s="59" t="s">
        <v>548</v>
      </c>
      <c r="X64" s="33" t="str">
        <f>+VLOOKUP(OtherClients[[#This Row],[Part]],PartControl!$A$2:$E$564,5,FALSE)</f>
        <v>INFASCO</v>
      </c>
      <c r="Y64" s="108">
        <f>IF(OtherClients[[#This Row],[Re-certified or New]]&lt;&gt;"Re-certified",IF(OtherClients[[#This Row],[Client]]="infasco",VLOOKUP(OtherClients[[#This Row],[Part]],PartControl!$A$2:$E$564,2,FALSE),OtherClients[[#This Row],[Total Quantity]]*VLOOKUP(OtherClients[[#This Row],[Part]],PartControl!$A$2:$E$564,2,FALSE)),0)</f>
        <v>106.94</v>
      </c>
      <c r="Z64" s="108">
        <f>IF(OtherClients[[#This Row],[Re-certified or New]]&lt;&gt;"Re-certified",IF(OtherClients[[#This Row],[Client]]="infasco",VLOOKUP(OtherClients[[#This Row],[Part]],PartControl!$A$2:$E$564,2,FALSE),OtherClients[[#This Row],[Total Quantity]]*VLOOKUP(OtherClients[[#This Row],[Part]],PartControl!$A$2:$E$564,2,FALSE)),0)</f>
        <v>106.94</v>
      </c>
    </row>
    <row r="65" spans="1:26" ht="25.15" hidden="1" customHeight="1" x14ac:dyDescent="0.25">
      <c r="A65" s="112">
        <v>46237.572372685187</v>
      </c>
      <c r="B65" s="5" t="s">
        <v>357</v>
      </c>
      <c r="C65" s="5" t="s">
        <v>728</v>
      </c>
      <c r="D65" s="5">
        <v>714149</v>
      </c>
      <c r="E65" s="33">
        <f>36+21-16</f>
        <v>41</v>
      </c>
      <c r="F65" s="60">
        <v>1500</v>
      </c>
      <c r="G65" s="60">
        <f>+OtherClients[[#This Row],[Boxes / Pieces]]*OtherClients[[#This Row],[Unit Quantity]]</f>
        <v>61500</v>
      </c>
      <c r="H65" s="60">
        <v>280</v>
      </c>
      <c r="I65" s="60" t="s">
        <v>278</v>
      </c>
      <c r="J65" s="104"/>
      <c r="K65" s="33" t="s">
        <v>278</v>
      </c>
      <c r="L65" s="111"/>
      <c r="M65" s="33" t="s">
        <v>278</v>
      </c>
      <c r="N65" s="111"/>
      <c r="O65" s="33" t="s">
        <v>278</v>
      </c>
      <c r="P65" s="111"/>
      <c r="Q65" s="33" t="s">
        <v>587</v>
      </c>
      <c r="R65" s="111"/>
      <c r="S65" s="33" t="s">
        <v>278</v>
      </c>
      <c r="T65" s="111"/>
      <c r="U65" s="33" t="s">
        <v>278</v>
      </c>
      <c r="V65" s="111"/>
      <c r="W65" s="59" t="s">
        <v>548</v>
      </c>
      <c r="X65" s="33" t="str">
        <f>+VLOOKUP(OtherClients[[#This Row],[Part]],PartControl!$A$2:$E$564,5,FALSE)</f>
        <v>infasco</v>
      </c>
      <c r="Y65" s="108">
        <f>IF(OtherClients[[#This Row],[Re-certified or New]]&lt;&gt;"Re-certified",IF(OtherClients[[#This Row],[Client]]="infasco",VLOOKUP(OtherClients[[#This Row],[Part]],PartControl!$A$2:$E$564,2,FALSE),OtherClients[[#This Row],[Total Quantity]]*VLOOKUP(OtherClients[[#This Row],[Part]],PartControl!$A$2:$E$564,2,FALSE)),0)</f>
        <v>106.94</v>
      </c>
      <c r="Z65" s="108">
        <f>IF(OtherClients[[#This Row],[Re-certified or New]]&lt;&gt;"Re-certified",IF(OtherClients[[#This Row],[Client]]="infasco",VLOOKUP(OtherClients[[#This Row],[Part]],PartControl!$A$2:$E$564,2,FALSE),OtherClients[[#This Row],[Total Quantity]]*VLOOKUP(OtherClients[[#This Row],[Part]],PartControl!$A$2:$E$564,2,FALSE)),0)</f>
        <v>106.94</v>
      </c>
    </row>
    <row r="66" spans="1:26" ht="25.15" hidden="1" customHeight="1" x14ac:dyDescent="0.25">
      <c r="A66" s="112">
        <v>46237.572372685187</v>
      </c>
      <c r="B66" s="5" t="s">
        <v>357</v>
      </c>
      <c r="C66" s="5" t="s">
        <v>728</v>
      </c>
      <c r="D66" s="5">
        <v>714148</v>
      </c>
      <c r="E66" s="33">
        <v>15</v>
      </c>
      <c r="F66" s="60">
        <v>1500</v>
      </c>
      <c r="G66" s="60">
        <f>+OtherClients[[#This Row],[Boxes / Pieces]]*OtherClients[[#This Row],[Unit Quantity]]</f>
        <v>22500</v>
      </c>
      <c r="H66" s="60">
        <v>280</v>
      </c>
      <c r="I66" s="60" t="s">
        <v>278</v>
      </c>
      <c r="J66" s="104"/>
      <c r="K66" s="33" t="s">
        <v>278</v>
      </c>
      <c r="L66" s="111"/>
      <c r="M66" s="33" t="s">
        <v>278</v>
      </c>
      <c r="N66" s="111"/>
      <c r="O66" s="33" t="s">
        <v>278</v>
      </c>
      <c r="P66" s="111"/>
      <c r="Q66" s="33" t="s">
        <v>587</v>
      </c>
      <c r="R66" s="111"/>
      <c r="S66" s="33" t="s">
        <v>278</v>
      </c>
      <c r="T66" s="111"/>
      <c r="U66" s="33" t="s">
        <v>278</v>
      </c>
      <c r="V66" s="111"/>
      <c r="W66" s="59" t="s">
        <v>633</v>
      </c>
      <c r="X66" s="33" t="str">
        <f>+VLOOKUP(OtherClients[[#This Row],[Part]],PartControl!$A$2:$E$564,5,FALSE)</f>
        <v>infasco</v>
      </c>
      <c r="Y66" s="108">
        <f>IF(OtherClients[[#This Row],[Re-certified or New]]&lt;&gt;"Re-certified",IF(OtherClients[[#This Row],[Client]]="infasco",VLOOKUP(OtherClients[[#This Row],[Part]],PartControl!$A$2:$E$564,2,FALSE),OtherClients[[#This Row],[Total Quantity]]*VLOOKUP(OtherClients[[#This Row],[Part]],PartControl!$A$2:$E$564,2,FALSE)),0)</f>
        <v>0</v>
      </c>
      <c r="Z66" s="108">
        <f>IF(OtherClients[[#This Row],[Re-certified or New]]&lt;&gt;"Re-certified",IF(OtherClients[[#This Row],[Client]]="infasco",VLOOKUP(OtherClients[[#This Row],[Part]],PartControl!$A$2:$E$564,2,FALSE),OtherClients[[#This Row],[Total Quantity]]*VLOOKUP(OtherClients[[#This Row],[Part]],PartControl!$A$2:$E$564,2,FALSE)),0)</f>
        <v>0</v>
      </c>
    </row>
    <row r="67" spans="1:26" ht="25.15" hidden="1" customHeight="1" x14ac:dyDescent="0.25">
      <c r="A67" s="112">
        <v>46237.572372685187</v>
      </c>
      <c r="B67" s="5" t="s">
        <v>635</v>
      </c>
      <c r="C67" s="5">
        <v>11546389</v>
      </c>
      <c r="D67" s="5">
        <v>715608</v>
      </c>
      <c r="E67" s="33">
        <v>20</v>
      </c>
      <c r="F67" s="60">
        <v>4500</v>
      </c>
      <c r="G67" s="60">
        <f>+OtherClients[[#This Row],[Boxes / Pieces]]*OtherClients[[#This Row],[Unit Quantity]]</f>
        <v>90000</v>
      </c>
      <c r="H67" s="60">
        <v>280</v>
      </c>
      <c r="I67" s="60" t="s">
        <v>278</v>
      </c>
      <c r="J67" s="104"/>
      <c r="K67" s="33" t="s">
        <v>278</v>
      </c>
      <c r="L67" s="111"/>
      <c r="M67" s="33" t="s">
        <v>278</v>
      </c>
      <c r="N67" s="111"/>
      <c r="O67" s="33" t="s">
        <v>278</v>
      </c>
      <c r="P67" s="111"/>
      <c r="Q67" s="33" t="s">
        <v>587</v>
      </c>
      <c r="R67" s="111"/>
      <c r="S67" s="33" t="s">
        <v>278</v>
      </c>
      <c r="T67" s="111"/>
      <c r="U67" s="33" t="s">
        <v>278</v>
      </c>
      <c r="V67" s="111"/>
      <c r="W67" s="59" t="s">
        <v>633</v>
      </c>
      <c r="X67" s="33" t="str">
        <f>+VLOOKUP(OtherClients[[#This Row],[Part]],PartControl!$A$2:$E$564,5,FALSE)</f>
        <v>INFASCO</v>
      </c>
      <c r="Y67" s="108">
        <f>IF(OtherClients[[#This Row],[Re-certified or New]]&lt;&gt;"Re-certified",IF(OtherClients[[#This Row],[Client]]="infasco",VLOOKUP(OtherClients[[#This Row],[Part]],PartControl!$A$2:$E$564,2,FALSE),OtherClients[[#This Row],[Total Quantity]]*VLOOKUP(OtherClients[[#This Row],[Part]],PartControl!$A$2:$E$564,2,FALSE)),0)</f>
        <v>0</v>
      </c>
      <c r="Z67" s="108">
        <f>IF(OtherClients[[#This Row],[Re-certified or New]]&lt;&gt;"Re-certified",IF(OtherClients[[#This Row],[Client]]="infasco",VLOOKUP(OtherClients[[#This Row],[Part]],PartControl!$A$2:$E$564,2,FALSE),OtherClients[[#This Row],[Total Quantity]]*VLOOKUP(OtherClients[[#This Row],[Part]],PartControl!$A$2:$E$564,2,FALSE)),0)</f>
        <v>0</v>
      </c>
    </row>
    <row r="68" spans="1:26" ht="25.15" hidden="1" customHeight="1" x14ac:dyDescent="0.25">
      <c r="A68" s="112">
        <v>46237.572372685187</v>
      </c>
      <c r="B68" s="5" t="s">
        <v>634</v>
      </c>
      <c r="C68" s="5" t="s">
        <v>700</v>
      </c>
      <c r="D68" s="5">
        <v>714023</v>
      </c>
      <c r="E68" s="33">
        <v>22</v>
      </c>
      <c r="F68" s="60">
        <v>1000</v>
      </c>
      <c r="G68" s="60">
        <f>+OtherClients[[#This Row],[Boxes / Pieces]]*OtherClients[[#This Row],[Unit Quantity]]</f>
        <v>22000</v>
      </c>
      <c r="H68" s="60">
        <v>280</v>
      </c>
      <c r="I68" s="60" t="s">
        <v>278</v>
      </c>
      <c r="J68" s="104"/>
      <c r="K68" s="33" t="s">
        <v>278</v>
      </c>
      <c r="L68" s="111"/>
      <c r="M68" s="33" t="s">
        <v>278</v>
      </c>
      <c r="N68" s="111"/>
      <c r="O68" s="33" t="s">
        <v>278</v>
      </c>
      <c r="P68" s="111"/>
      <c r="Q68" s="33" t="s">
        <v>587</v>
      </c>
      <c r="R68" s="111"/>
      <c r="S68" s="33" t="s">
        <v>278</v>
      </c>
      <c r="T68" s="111"/>
      <c r="U68" s="33" t="s">
        <v>278</v>
      </c>
      <c r="V68" s="111"/>
      <c r="W68" s="59" t="s">
        <v>633</v>
      </c>
      <c r="X68" s="33" t="str">
        <f>+VLOOKUP(OtherClients[[#This Row],[Part]],PartControl!$A$2:$E$564,5,FALSE)</f>
        <v>infasco</v>
      </c>
      <c r="Y68" s="108">
        <f>IF(OtherClients[[#This Row],[Re-certified or New]]&lt;&gt;"Re-certified",IF(OtherClients[[#This Row],[Client]]="infasco",VLOOKUP(OtherClients[[#This Row],[Part]],PartControl!$A$2:$E$564,2,FALSE),OtherClients[[#This Row],[Total Quantity]]*VLOOKUP(OtherClients[[#This Row],[Part]],PartControl!$A$2:$E$564,2,FALSE)),0)</f>
        <v>0</v>
      </c>
      <c r="Z68" s="108">
        <f>IF(OtherClients[[#This Row],[Re-certified or New]]&lt;&gt;"Re-certified",IF(OtherClients[[#This Row],[Client]]="infasco",VLOOKUP(OtherClients[[#This Row],[Part]],PartControl!$A$2:$E$564,2,FALSE),OtherClients[[#This Row],[Total Quantity]]*VLOOKUP(OtherClients[[#This Row],[Part]],PartControl!$A$2:$E$564,2,FALSE)),0)</f>
        <v>0</v>
      </c>
    </row>
    <row r="69" spans="1:26" ht="25.15" hidden="1" customHeight="1" x14ac:dyDescent="0.25">
      <c r="A69" s="112">
        <v>46237.572372685187</v>
      </c>
      <c r="B69" s="5" t="s">
        <v>237</v>
      </c>
      <c r="C69" s="5">
        <v>11546440</v>
      </c>
      <c r="D69" s="5">
        <v>714505</v>
      </c>
      <c r="E69" s="33">
        <f>36-5</f>
        <v>31</v>
      </c>
      <c r="F69" s="60">
        <v>1550</v>
      </c>
      <c r="G69" s="60">
        <f>+OtherClients[[#This Row],[Boxes / Pieces]]*OtherClients[[#This Row],[Unit Quantity]]</f>
        <v>48050</v>
      </c>
      <c r="H69" s="60">
        <v>290</v>
      </c>
      <c r="I69" s="60" t="s">
        <v>278</v>
      </c>
      <c r="J69" s="104"/>
      <c r="K69" s="33" t="s">
        <v>278</v>
      </c>
      <c r="L69" s="111"/>
      <c r="M69" s="33" t="s">
        <v>278</v>
      </c>
      <c r="N69" s="111"/>
      <c r="O69" s="33" t="s">
        <v>278</v>
      </c>
      <c r="P69" s="111"/>
      <c r="Q69" s="33" t="s">
        <v>587</v>
      </c>
      <c r="R69" s="111"/>
      <c r="S69" s="33" t="s">
        <v>278</v>
      </c>
      <c r="T69" s="111"/>
      <c r="U69" s="33" t="s">
        <v>278</v>
      </c>
      <c r="V69" s="111"/>
      <c r="W69" s="59" t="s">
        <v>548</v>
      </c>
      <c r="X69" s="33" t="str">
        <f>+VLOOKUP(OtherClients[[#This Row],[Part]],PartControl!$A$2:$E$564,5,FALSE)</f>
        <v>Infasco</v>
      </c>
      <c r="Y69" s="108">
        <f>IF(OtherClients[[#This Row],[Re-certified or New]]&lt;&gt;"Re-certified",IF(OtherClients[[#This Row],[Client]]="infasco",VLOOKUP(OtherClients[[#This Row],[Part]],PartControl!$A$2:$E$564,2,FALSE),OtherClients[[#This Row],[Total Quantity]]*VLOOKUP(OtherClients[[#This Row],[Part]],PartControl!$A$2:$E$564,2,FALSE)),0)</f>
        <v>106.94</v>
      </c>
      <c r="Z69" s="108">
        <f>IF(OtherClients[[#This Row],[Re-certified or New]]&lt;&gt;"Re-certified",IF(OtherClients[[#This Row],[Client]]="infasco",VLOOKUP(OtherClients[[#This Row],[Part]],PartControl!$A$2:$E$564,2,FALSE),OtherClients[[#This Row],[Total Quantity]]*VLOOKUP(OtherClients[[#This Row],[Part]],PartControl!$A$2:$E$564,2,FALSE)),0)</f>
        <v>106.94</v>
      </c>
    </row>
    <row r="70" spans="1:26" ht="25.15" hidden="1" customHeight="1" x14ac:dyDescent="0.25">
      <c r="A70" s="112">
        <v>46237.572372685187</v>
      </c>
      <c r="B70" s="5" t="s">
        <v>237</v>
      </c>
      <c r="C70" s="5">
        <v>11546440</v>
      </c>
      <c r="D70" s="5">
        <v>714504</v>
      </c>
      <c r="E70" s="33">
        <v>15</v>
      </c>
      <c r="F70" s="60">
        <v>1550</v>
      </c>
      <c r="G70" s="60">
        <f>+OtherClients[[#This Row],[Boxes / Pieces]]*OtherClients[[#This Row],[Unit Quantity]]</f>
        <v>23250</v>
      </c>
      <c r="H70" s="60">
        <v>290</v>
      </c>
      <c r="I70" s="60" t="s">
        <v>278</v>
      </c>
      <c r="J70" s="104"/>
      <c r="K70" s="33" t="s">
        <v>278</v>
      </c>
      <c r="L70" s="111"/>
      <c r="M70" s="33" t="s">
        <v>278</v>
      </c>
      <c r="N70" s="111"/>
      <c r="O70" s="33" t="s">
        <v>278</v>
      </c>
      <c r="P70" s="111"/>
      <c r="Q70" s="33" t="s">
        <v>587</v>
      </c>
      <c r="R70" s="111"/>
      <c r="S70" s="33" t="s">
        <v>278</v>
      </c>
      <c r="T70" s="111"/>
      <c r="U70" s="33" t="s">
        <v>278</v>
      </c>
      <c r="V70" s="111"/>
      <c r="W70" s="59" t="s">
        <v>633</v>
      </c>
      <c r="X70" s="33" t="str">
        <f>+VLOOKUP(OtherClients[[#This Row],[Part]],PartControl!$A$2:$E$564,5,FALSE)</f>
        <v>Infasco</v>
      </c>
      <c r="Y70" s="108">
        <f>IF(OtherClients[[#This Row],[Re-certified or New]]&lt;&gt;"Re-certified",IF(OtherClients[[#This Row],[Client]]="infasco",VLOOKUP(OtherClients[[#This Row],[Part]],PartControl!$A$2:$E$564,2,FALSE),OtherClients[[#This Row],[Total Quantity]]*VLOOKUP(OtherClients[[#This Row],[Part]],PartControl!$A$2:$E$564,2,FALSE)),0)</f>
        <v>0</v>
      </c>
      <c r="Z70" s="108">
        <f>IF(OtherClients[[#This Row],[Re-certified or New]]&lt;&gt;"Re-certified",IF(OtherClients[[#This Row],[Client]]="infasco",VLOOKUP(OtherClients[[#This Row],[Part]],PartControl!$A$2:$E$564,2,FALSE),OtherClients[[#This Row],[Total Quantity]]*VLOOKUP(OtherClients[[#This Row],[Part]],PartControl!$A$2:$E$564,2,FALSE)),0)</f>
        <v>0</v>
      </c>
    </row>
    <row r="71" spans="1:26" ht="25.15" hidden="1" customHeight="1" x14ac:dyDescent="0.25">
      <c r="A71" s="112">
        <v>46237.572372685187</v>
      </c>
      <c r="B71" s="5" t="s">
        <v>250</v>
      </c>
      <c r="C71" s="5" t="s">
        <v>703</v>
      </c>
      <c r="D71" s="5">
        <v>714115</v>
      </c>
      <c r="E71" s="33">
        <f>36-14</f>
        <v>22</v>
      </c>
      <c r="F71" s="60">
        <v>700</v>
      </c>
      <c r="G71" s="60">
        <f>+OtherClients[[#This Row],[Boxes / Pieces]]*OtherClients[[#This Row],[Unit Quantity]]</f>
        <v>15400</v>
      </c>
      <c r="H71" s="60">
        <v>290</v>
      </c>
      <c r="I71" s="60" t="s">
        <v>278</v>
      </c>
      <c r="J71" s="104"/>
      <c r="K71" s="33" t="s">
        <v>278</v>
      </c>
      <c r="L71" s="111"/>
      <c r="M71" s="33" t="s">
        <v>278</v>
      </c>
      <c r="N71" s="111"/>
      <c r="O71" s="33" t="s">
        <v>278</v>
      </c>
      <c r="P71" s="111"/>
      <c r="Q71" s="33" t="s">
        <v>587</v>
      </c>
      <c r="R71" s="111"/>
      <c r="S71" s="33" t="s">
        <v>278</v>
      </c>
      <c r="T71" s="111"/>
      <c r="U71" s="33" t="s">
        <v>278</v>
      </c>
      <c r="V71" s="111"/>
      <c r="W71" s="59" t="s">
        <v>548</v>
      </c>
      <c r="X71" s="33" t="str">
        <f>+VLOOKUP(OtherClients[[#This Row],[Part]],PartControl!$A$2:$E$564,5,FALSE)</f>
        <v>infasco</v>
      </c>
      <c r="Y71" s="108">
        <f>IF(OtherClients[[#This Row],[Re-certified or New]]&lt;&gt;"Re-certified",IF(OtherClients[[#This Row],[Client]]="infasco",VLOOKUP(OtherClients[[#This Row],[Part]],PartControl!$A$2:$E$564,2,FALSE),OtherClients[[#This Row],[Total Quantity]]*VLOOKUP(OtherClients[[#This Row],[Part]],PartControl!$A$2:$E$564,2,FALSE)),0)</f>
        <v>106.94</v>
      </c>
      <c r="Z71" s="108">
        <f>IF(OtherClients[[#This Row],[Re-certified or New]]&lt;&gt;"Re-certified",IF(OtherClients[[#This Row],[Client]]="infasco",VLOOKUP(OtherClients[[#This Row],[Part]],PartControl!$A$2:$E$564,2,FALSE),OtherClients[[#This Row],[Total Quantity]]*VLOOKUP(OtherClients[[#This Row],[Part]],PartControl!$A$2:$E$564,2,FALSE)),0)</f>
        <v>106.94</v>
      </c>
    </row>
    <row r="72" spans="1:26" ht="25.15" hidden="1" customHeight="1" x14ac:dyDescent="0.25">
      <c r="A72" s="112">
        <v>46237.572372685187</v>
      </c>
      <c r="B72" s="5" t="s">
        <v>250</v>
      </c>
      <c r="C72" s="5" t="s">
        <v>703</v>
      </c>
      <c r="D72" s="5">
        <v>714106</v>
      </c>
      <c r="E72" s="33">
        <v>25</v>
      </c>
      <c r="F72" s="60">
        <v>700</v>
      </c>
      <c r="G72" s="60">
        <f>+OtherClients[[#This Row],[Boxes / Pieces]]*OtherClients[[#This Row],[Unit Quantity]]</f>
        <v>17500</v>
      </c>
      <c r="H72" s="60">
        <v>290</v>
      </c>
      <c r="I72" s="60" t="s">
        <v>278</v>
      </c>
      <c r="J72" s="104"/>
      <c r="K72" s="33" t="s">
        <v>278</v>
      </c>
      <c r="L72" s="111"/>
      <c r="M72" s="33" t="s">
        <v>278</v>
      </c>
      <c r="N72" s="111"/>
      <c r="O72" s="33" t="s">
        <v>278</v>
      </c>
      <c r="P72" s="111"/>
      <c r="Q72" s="33" t="s">
        <v>587</v>
      </c>
      <c r="R72" s="111"/>
      <c r="S72" s="33" t="s">
        <v>278</v>
      </c>
      <c r="T72" s="111"/>
      <c r="U72" s="33" t="s">
        <v>278</v>
      </c>
      <c r="V72" s="111"/>
      <c r="W72" s="59" t="s">
        <v>633</v>
      </c>
      <c r="X72" s="33" t="str">
        <f>+VLOOKUP(OtherClients[[#This Row],[Part]],PartControl!$A$2:$E$564,5,FALSE)</f>
        <v>infasco</v>
      </c>
      <c r="Y72" s="108">
        <f>IF(OtherClients[[#This Row],[Re-certified or New]]&lt;&gt;"Re-certified",IF(OtherClients[[#This Row],[Client]]="infasco",VLOOKUP(OtherClients[[#This Row],[Part]],PartControl!$A$2:$E$564,2,FALSE),OtherClients[[#This Row],[Total Quantity]]*VLOOKUP(OtherClients[[#This Row],[Part]],PartControl!$A$2:$E$564,2,FALSE)),0)</f>
        <v>0</v>
      </c>
      <c r="Z72" s="108">
        <f>IF(OtherClients[[#This Row],[Re-certified or New]]&lt;&gt;"Re-certified",IF(OtherClients[[#This Row],[Client]]="infasco",VLOOKUP(OtherClients[[#This Row],[Part]],PartControl!$A$2:$E$564,2,FALSE),OtherClients[[#This Row],[Total Quantity]]*VLOOKUP(OtherClients[[#This Row],[Part]],PartControl!$A$2:$E$564,2,FALSE)),0)</f>
        <v>0</v>
      </c>
    </row>
    <row r="73" spans="1:26" ht="25.15" hidden="1" customHeight="1" x14ac:dyDescent="0.25">
      <c r="A73" s="112">
        <v>46237.572372685187</v>
      </c>
      <c r="B73" s="5" t="s">
        <v>235</v>
      </c>
      <c r="C73" s="5" t="s">
        <v>656</v>
      </c>
      <c r="D73" s="5">
        <v>714412</v>
      </c>
      <c r="E73" s="33">
        <f>25-5</f>
        <v>20</v>
      </c>
      <c r="F73" s="60">
        <v>825</v>
      </c>
      <c r="G73" s="60">
        <f>+OtherClients[[#This Row],[Boxes / Pieces]]*OtherClients[[#This Row],[Unit Quantity]]</f>
        <v>16500</v>
      </c>
      <c r="H73" s="60">
        <v>290</v>
      </c>
      <c r="I73" s="60" t="s">
        <v>278</v>
      </c>
      <c r="J73" s="104"/>
      <c r="K73" s="33" t="s">
        <v>278</v>
      </c>
      <c r="L73" s="111"/>
      <c r="M73" s="33" t="s">
        <v>278</v>
      </c>
      <c r="N73" s="111"/>
      <c r="O73" s="33" t="s">
        <v>278</v>
      </c>
      <c r="P73" s="111"/>
      <c r="Q73" s="33" t="s">
        <v>587</v>
      </c>
      <c r="R73" s="111"/>
      <c r="S73" s="33" t="s">
        <v>278</v>
      </c>
      <c r="T73" s="111"/>
      <c r="U73" s="33" t="s">
        <v>278</v>
      </c>
      <c r="V73" s="111"/>
      <c r="W73" s="59" t="s">
        <v>548</v>
      </c>
      <c r="X73" s="33" t="str">
        <f>+VLOOKUP(OtherClients[[#This Row],[Part]],PartControl!$A$2:$E$564,5,FALSE)</f>
        <v>infasco</v>
      </c>
      <c r="Y73" s="108">
        <f>IF(OtherClients[[#This Row],[Re-certified or New]]&lt;&gt;"Re-certified",IF(OtherClients[[#This Row],[Client]]="infasco",VLOOKUP(OtherClients[[#This Row],[Part]],PartControl!$A$2:$E$564,2,FALSE),OtherClients[[#This Row],[Total Quantity]]*VLOOKUP(OtherClients[[#This Row],[Part]],PartControl!$A$2:$E$564,2,FALSE)),0)</f>
        <v>280.16000000000003</v>
      </c>
      <c r="Z73" s="108">
        <f>IF(OtherClients[[#This Row],[Re-certified or New]]&lt;&gt;"Re-certified",IF(OtherClients[[#This Row],[Client]]="infasco",VLOOKUP(OtherClients[[#This Row],[Part]],PartControl!$A$2:$E$564,2,FALSE),OtherClients[[#This Row],[Total Quantity]]*VLOOKUP(OtherClients[[#This Row],[Part]],PartControl!$A$2:$E$564,2,FALSE)),0)</f>
        <v>280.16000000000003</v>
      </c>
    </row>
    <row r="74" spans="1:26" ht="25.15" hidden="1" customHeight="1" x14ac:dyDescent="0.25">
      <c r="A74" s="112">
        <v>46237.572372685187</v>
      </c>
      <c r="B74" s="5" t="s">
        <v>235</v>
      </c>
      <c r="C74" s="5" t="s">
        <v>656</v>
      </c>
      <c r="D74" s="5">
        <v>714413</v>
      </c>
      <c r="E74" s="33">
        <v>2</v>
      </c>
      <c r="F74" s="60">
        <v>825</v>
      </c>
      <c r="G74" s="60">
        <f>+OtherClients[[#This Row],[Boxes / Pieces]]*OtherClients[[#This Row],[Unit Quantity]]</f>
        <v>1650</v>
      </c>
      <c r="H74" s="60">
        <v>290</v>
      </c>
      <c r="I74" s="60" t="s">
        <v>278</v>
      </c>
      <c r="J74" s="104"/>
      <c r="K74" s="33" t="s">
        <v>278</v>
      </c>
      <c r="L74" s="111"/>
      <c r="M74" s="33" t="s">
        <v>278</v>
      </c>
      <c r="N74" s="111"/>
      <c r="O74" s="33" t="s">
        <v>278</v>
      </c>
      <c r="P74" s="111"/>
      <c r="Q74" s="33" t="s">
        <v>587</v>
      </c>
      <c r="R74" s="111"/>
      <c r="S74" s="33" t="s">
        <v>278</v>
      </c>
      <c r="T74" s="111"/>
      <c r="U74" s="33" t="s">
        <v>278</v>
      </c>
      <c r="V74" s="111"/>
      <c r="W74" s="59" t="s">
        <v>633</v>
      </c>
      <c r="X74" s="33" t="str">
        <f>+VLOOKUP(OtherClients[[#This Row],[Part]],PartControl!$A$2:$E$564,5,FALSE)</f>
        <v>infasco</v>
      </c>
      <c r="Y74" s="108">
        <f>IF(OtherClients[[#This Row],[Re-certified or New]]&lt;&gt;"Re-certified",IF(OtherClients[[#This Row],[Client]]="infasco",VLOOKUP(OtherClients[[#This Row],[Part]],PartControl!$A$2:$E$564,2,FALSE),OtherClients[[#This Row],[Total Quantity]]*VLOOKUP(OtherClients[[#This Row],[Part]],PartControl!$A$2:$E$564,2,FALSE)),0)</f>
        <v>0</v>
      </c>
      <c r="Z74" s="108">
        <f>IF(OtherClients[[#This Row],[Re-certified or New]]&lt;&gt;"Re-certified",IF(OtherClients[[#This Row],[Client]]="infasco",VLOOKUP(OtherClients[[#This Row],[Part]],PartControl!$A$2:$E$564,2,FALSE),OtherClients[[#This Row],[Total Quantity]]*VLOOKUP(OtherClients[[#This Row],[Part]],PartControl!$A$2:$E$564,2,FALSE)),0)</f>
        <v>0</v>
      </c>
    </row>
    <row r="75" spans="1:26" ht="25.15" hidden="1" customHeight="1" x14ac:dyDescent="0.25">
      <c r="A75" s="112">
        <v>46237.572372685187</v>
      </c>
      <c r="B75" s="5" t="s">
        <v>236</v>
      </c>
      <c r="C75" s="5" t="s">
        <v>728</v>
      </c>
      <c r="D75" s="5">
        <v>714142</v>
      </c>
      <c r="E75" s="33">
        <f>36+18-14</f>
        <v>40</v>
      </c>
      <c r="F75" s="60">
        <v>1500</v>
      </c>
      <c r="G75" s="60">
        <f>+OtherClients[[#This Row],[Boxes / Pieces]]*OtherClients[[#This Row],[Unit Quantity]]</f>
        <v>60000</v>
      </c>
      <c r="H75" s="60">
        <v>290</v>
      </c>
      <c r="I75" s="60" t="s">
        <v>278</v>
      </c>
      <c r="J75" s="104"/>
      <c r="K75" s="33" t="s">
        <v>278</v>
      </c>
      <c r="L75" s="111"/>
      <c r="M75" s="33" t="s">
        <v>278</v>
      </c>
      <c r="N75" s="111"/>
      <c r="O75" s="33" t="s">
        <v>278</v>
      </c>
      <c r="P75" s="111"/>
      <c r="Q75" s="33" t="s">
        <v>587</v>
      </c>
      <c r="R75" s="111"/>
      <c r="S75" s="33" t="s">
        <v>278</v>
      </c>
      <c r="T75" s="111"/>
      <c r="U75" s="33" t="s">
        <v>278</v>
      </c>
      <c r="V75" s="111"/>
      <c r="W75" s="59" t="s">
        <v>633</v>
      </c>
      <c r="X75" s="33" t="str">
        <f>+VLOOKUP(OtherClients[[#This Row],[Part]],PartControl!$A$2:$E$564,5,FALSE)</f>
        <v>infasco</v>
      </c>
      <c r="Y75" s="108">
        <f>IF(OtherClients[[#This Row],[Re-certified or New]]&lt;&gt;"Re-certified",IF(OtherClients[[#This Row],[Client]]="infasco",VLOOKUP(OtherClients[[#This Row],[Part]],PartControl!$A$2:$E$564,2,FALSE),OtherClients[[#This Row],[Total Quantity]]*VLOOKUP(OtherClients[[#This Row],[Part]],PartControl!$A$2:$E$564,2,FALSE)),0)</f>
        <v>0</v>
      </c>
      <c r="Z75" s="108">
        <f>IF(OtherClients[[#This Row],[Re-certified or New]]&lt;&gt;"Re-certified",IF(OtherClients[[#This Row],[Client]]="infasco",VLOOKUP(OtherClients[[#This Row],[Part]],PartControl!$A$2:$E$564,2,FALSE),OtherClients[[#This Row],[Total Quantity]]*VLOOKUP(OtherClients[[#This Row],[Part]],PartControl!$A$2:$E$564,2,FALSE)),0)</f>
        <v>0</v>
      </c>
    </row>
    <row r="76" spans="1:26" ht="25.15" hidden="1" customHeight="1" x14ac:dyDescent="0.25">
      <c r="A76" s="112">
        <v>46237.572372685187</v>
      </c>
      <c r="B76" s="5" t="s">
        <v>239</v>
      </c>
      <c r="C76" s="5" t="s">
        <v>703</v>
      </c>
      <c r="D76" s="5">
        <v>714116</v>
      </c>
      <c r="E76" s="33">
        <f>36-18</f>
        <v>18</v>
      </c>
      <c r="F76" s="60">
        <v>700</v>
      </c>
      <c r="G76" s="60">
        <f>+OtherClients[[#This Row],[Boxes / Pieces]]*OtherClients[[#This Row],[Unit Quantity]]</f>
        <v>12600</v>
      </c>
      <c r="H76" s="60">
        <v>290</v>
      </c>
      <c r="I76" s="60" t="s">
        <v>278</v>
      </c>
      <c r="J76" s="104"/>
      <c r="K76" s="33" t="s">
        <v>278</v>
      </c>
      <c r="L76" s="111"/>
      <c r="M76" s="33" t="s">
        <v>278</v>
      </c>
      <c r="N76" s="111"/>
      <c r="O76" s="33" t="s">
        <v>278</v>
      </c>
      <c r="P76" s="111"/>
      <c r="Q76" s="33" t="s">
        <v>587</v>
      </c>
      <c r="R76" s="111"/>
      <c r="S76" s="33" t="s">
        <v>278</v>
      </c>
      <c r="T76" s="111"/>
      <c r="U76" s="33" t="s">
        <v>278</v>
      </c>
      <c r="V76" s="111"/>
      <c r="W76" s="59" t="s">
        <v>548</v>
      </c>
      <c r="X76" s="33" t="str">
        <f>+VLOOKUP(OtherClients[[#This Row],[Part]],PartControl!$A$2:$E$564,5,FALSE)</f>
        <v>infasco</v>
      </c>
      <c r="Y76" s="108">
        <f>IF(OtherClients[[#This Row],[Re-certified or New]]&lt;&gt;"Re-certified",IF(OtherClients[[#This Row],[Client]]="infasco",VLOOKUP(OtherClients[[#This Row],[Part]],PartControl!$A$2:$E$564,2,FALSE),OtherClients[[#This Row],[Total Quantity]]*VLOOKUP(OtherClients[[#This Row],[Part]],PartControl!$A$2:$E$564,2,FALSE)),0)</f>
        <v>106.94</v>
      </c>
      <c r="Z76" s="108">
        <f>IF(OtherClients[[#This Row],[Re-certified or New]]&lt;&gt;"Re-certified",IF(OtherClients[[#This Row],[Client]]="infasco",VLOOKUP(OtherClients[[#This Row],[Part]],PartControl!$A$2:$E$564,2,FALSE),OtherClients[[#This Row],[Total Quantity]]*VLOOKUP(OtherClients[[#This Row],[Part]],PartControl!$A$2:$E$564,2,FALSE)),0)</f>
        <v>106.94</v>
      </c>
    </row>
    <row r="77" spans="1:26" ht="25.15" hidden="1" customHeight="1" x14ac:dyDescent="0.25">
      <c r="A77" s="112">
        <v>46237.572372685187</v>
      </c>
      <c r="B77" s="5" t="s">
        <v>239</v>
      </c>
      <c r="C77" s="5" t="s">
        <v>703</v>
      </c>
      <c r="D77" s="5">
        <v>714107</v>
      </c>
      <c r="E77" s="33">
        <v>34</v>
      </c>
      <c r="F77" s="60">
        <v>700</v>
      </c>
      <c r="G77" s="60">
        <f>+OtherClients[[#This Row],[Boxes / Pieces]]*OtherClients[[#This Row],[Unit Quantity]]</f>
        <v>23800</v>
      </c>
      <c r="H77" s="60">
        <v>290</v>
      </c>
      <c r="I77" s="60" t="s">
        <v>278</v>
      </c>
      <c r="J77" s="104"/>
      <c r="K77" s="33" t="s">
        <v>278</v>
      </c>
      <c r="L77" s="111"/>
      <c r="M77" s="33" t="s">
        <v>278</v>
      </c>
      <c r="N77" s="111"/>
      <c r="O77" s="33" t="s">
        <v>278</v>
      </c>
      <c r="P77" s="111"/>
      <c r="Q77" s="33" t="s">
        <v>587</v>
      </c>
      <c r="R77" s="111"/>
      <c r="S77" s="33" t="s">
        <v>278</v>
      </c>
      <c r="T77" s="111"/>
      <c r="U77" s="33" t="s">
        <v>278</v>
      </c>
      <c r="V77" s="111"/>
      <c r="W77" s="59" t="s">
        <v>548</v>
      </c>
      <c r="X77" s="33" t="str">
        <f>+VLOOKUP(OtherClients[[#This Row],[Part]],PartControl!$A$2:$E$564,5,FALSE)</f>
        <v>infasco</v>
      </c>
      <c r="Y77" s="108">
        <f>IF(OtherClients[[#This Row],[Re-certified or New]]&lt;&gt;"Re-certified",IF(OtherClients[[#This Row],[Client]]="infasco",VLOOKUP(OtherClients[[#This Row],[Part]],PartControl!$A$2:$E$564,2,FALSE),OtherClients[[#This Row],[Total Quantity]]*VLOOKUP(OtherClients[[#This Row],[Part]],PartControl!$A$2:$E$564,2,FALSE)),0)</f>
        <v>106.94</v>
      </c>
      <c r="Z77" s="108">
        <f>IF(OtherClients[[#This Row],[Re-certified or New]]&lt;&gt;"Re-certified",IF(OtherClients[[#This Row],[Client]]="infasco",VLOOKUP(OtherClients[[#This Row],[Part]],PartControl!$A$2:$E$564,2,FALSE),OtherClients[[#This Row],[Total Quantity]]*VLOOKUP(OtherClients[[#This Row],[Part]],PartControl!$A$2:$E$564,2,FALSE)),0)</f>
        <v>106.94</v>
      </c>
    </row>
    <row r="78" spans="1:26" ht="25.15" hidden="1" customHeight="1" x14ac:dyDescent="0.25">
      <c r="A78" s="112">
        <v>46237.572372685187</v>
      </c>
      <c r="B78" s="5" t="s">
        <v>239</v>
      </c>
      <c r="C78" s="5">
        <v>11549170</v>
      </c>
      <c r="D78" s="5">
        <v>713835</v>
      </c>
      <c r="E78" s="33">
        <v>6</v>
      </c>
      <c r="F78" s="60">
        <v>400</v>
      </c>
      <c r="G78" s="60">
        <f>+OtherClients[[#This Row],[Boxes / Pieces]]*OtherClients[[#This Row],[Unit Quantity]]</f>
        <v>2400</v>
      </c>
      <c r="H78" s="60">
        <v>290</v>
      </c>
      <c r="I78" s="60" t="s">
        <v>278</v>
      </c>
      <c r="J78" s="104"/>
      <c r="K78" s="33" t="s">
        <v>278</v>
      </c>
      <c r="L78" s="111"/>
      <c r="M78" s="33" t="s">
        <v>278</v>
      </c>
      <c r="N78" s="111"/>
      <c r="O78" s="33" t="s">
        <v>278</v>
      </c>
      <c r="P78" s="111"/>
      <c r="Q78" s="33" t="s">
        <v>587</v>
      </c>
      <c r="R78" s="111"/>
      <c r="S78" s="33" t="s">
        <v>278</v>
      </c>
      <c r="T78" s="111"/>
      <c r="U78" s="33" t="s">
        <v>278</v>
      </c>
      <c r="V78" s="111"/>
      <c r="W78" s="59" t="s">
        <v>633</v>
      </c>
      <c r="X78" s="33" t="str">
        <f>+VLOOKUP(OtherClients[[#This Row],[Part]],PartControl!$A$2:$E$564,5,FALSE)</f>
        <v>INFASCO</v>
      </c>
      <c r="Y78" s="108">
        <f>IF(OtherClients[[#This Row],[Re-certified or New]]&lt;&gt;"Re-certified",IF(OtherClients[[#This Row],[Client]]="infasco",VLOOKUP(OtherClients[[#This Row],[Part]],PartControl!$A$2:$E$564,2,FALSE),OtherClients[[#This Row],[Total Quantity]]*VLOOKUP(OtherClients[[#This Row],[Part]],PartControl!$A$2:$E$564,2,FALSE)),0)</f>
        <v>0</v>
      </c>
      <c r="Z78" s="108">
        <f>IF(OtherClients[[#This Row],[Re-certified or New]]&lt;&gt;"Re-certified",IF(OtherClients[[#This Row],[Client]]="infasco",VLOOKUP(OtherClients[[#This Row],[Part]],PartControl!$A$2:$E$564,2,FALSE),OtherClients[[#This Row],[Total Quantity]]*VLOOKUP(OtherClients[[#This Row],[Part]],PartControl!$A$2:$E$564,2,FALSE)),0)</f>
        <v>0</v>
      </c>
    </row>
    <row r="79" spans="1:26" ht="25.15" hidden="1" customHeight="1" x14ac:dyDescent="0.25">
      <c r="A79" s="112">
        <v>46237.572372685187</v>
      </c>
      <c r="B79" s="5" t="s">
        <v>240</v>
      </c>
      <c r="C79" s="5" t="s">
        <v>645</v>
      </c>
      <c r="D79" s="5">
        <v>714508</v>
      </c>
      <c r="E79" s="33">
        <f>36-20</f>
        <v>16</v>
      </c>
      <c r="F79" s="60">
        <v>1000</v>
      </c>
      <c r="G79" s="60">
        <f>+OtherClients[[#This Row],[Boxes / Pieces]]*OtherClients[[#This Row],[Unit Quantity]]</f>
        <v>16000</v>
      </c>
      <c r="H79" s="60">
        <v>290</v>
      </c>
      <c r="I79" s="60" t="s">
        <v>278</v>
      </c>
      <c r="J79" s="104"/>
      <c r="K79" s="33" t="s">
        <v>278</v>
      </c>
      <c r="L79" s="111"/>
      <c r="M79" s="33" t="s">
        <v>278</v>
      </c>
      <c r="N79" s="111"/>
      <c r="O79" s="33" t="s">
        <v>278</v>
      </c>
      <c r="P79" s="111"/>
      <c r="Q79" s="33" t="s">
        <v>587</v>
      </c>
      <c r="R79" s="111"/>
      <c r="S79" s="33" t="s">
        <v>278</v>
      </c>
      <c r="T79" s="111"/>
      <c r="U79" s="33" t="s">
        <v>278</v>
      </c>
      <c r="V79" s="111"/>
      <c r="W79" s="59" t="s">
        <v>548</v>
      </c>
      <c r="X79" s="33" t="str">
        <f>+VLOOKUP(OtherClients[[#This Row],[Part]],PartControl!$A$2:$E$564,5,FALSE)</f>
        <v>infasco</v>
      </c>
      <c r="Y79" s="108">
        <f>IF(OtherClients[[#This Row],[Re-certified or New]]&lt;&gt;"Re-certified",IF(OtherClients[[#This Row],[Client]]="infasco",VLOOKUP(OtherClients[[#This Row],[Part]],PartControl!$A$2:$E$564,2,FALSE),OtherClients[[#This Row],[Total Quantity]]*VLOOKUP(OtherClients[[#This Row],[Part]],PartControl!$A$2:$E$564,2,FALSE)),0)</f>
        <v>106.94</v>
      </c>
      <c r="Z79" s="108">
        <f>IF(OtherClients[[#This Row],[Re-certified or New]]&lt;&gt;"Re-certified",IF(OtherClients[[#This Row],[Client]]="infasco",VLOOKUP(OtherClients[[#This Row],[Part]],PartControl!$A$2:$E$564,2,FALSE),OtherClients[[#This Row],[Total Quantity]]*VLOOKUP(OtherClients[[#This Row],[Part]],PartControl!$A$2:$E$564,2,FALSE)),0)</f>
        <v>106.94</v>
      </c>
    </row>
    <row r="80" spans="1:26" ht="25.15" hidden="1" customHeight="1" x14ac:dyDescent="0.25">
      <c r="A80" s="112">
        <v>46237.572372685187</v>
      </c>
      <c r="B80" s="5" t="s">
        <v>240</v>
      </c>
      <c r="C80" s="5" t="s">
        <v>645</v>
      </c>
      <c r="D80" s="5">
        <v>714512</v>
      </c>
      <c r="E80" s="33">
        <f>36+4</f>
        <v>40</v>
      </c>
      <c r="F80" s="60">
        <v>1000</v>
      </c>
      <c r="G80" s="60">
        <f>+OtherClients[[#This Row],[Boxes / Pieces]]*OtherClients[[#This Row],[Unit Quantity]]</f>
        <v>40000</v>
      </c>
      <c r="H80" s="60">
        <v>290</v>
      </c>
      <c r="I80" s="60" t="s">
        <v>278</v>
      </c>
      <c r="J80" s="104"/>
      <c r="K80" s="33" t="s">
        <v>278</v>
      </c>
      <c r="L80" s="111"/>
      <c r="M80" s="33" t="s">
        <v>278</v>
      </c>
      <c r="N80" s="111"/>
      <c r="O80" s="33" t="s">
        <v>278</v>
      </c>
      <c r="P80" s="111"/>
      <c r="Q80" s="33" t="s">
        <v>587</v>
      </c>
      <c r="R80" s="111"/>
      <c r="S80" s="33" t="s">
        <v>278</v>
      </c>
      <c r="T80" s="111"/>
      <c r="U80" s="33" t="s">
        <v>278</v>
      </c>
      <c r="V80" s="111"/>
      <c r="W80" s="59" t="s">
        <v>633</v>
      </c>
      <c r="X80" s="33" t="str">
        <f>+VLOOKUP(OtherClients[[#This Row],[Part]],PartControl!$A$2:$E$564,5,FALSE)</f>
        <v>infasco</v>
      </c>
      <c r="Y80" s="108">
        <f>IF(OtherClients[[#This Row],[Re-certified or New]]&lt;&gt;"Re-certified",IF(OtherClients[[#This Row],[Client]]="infasco",VLOOKUP(OtherClients[[#This Row],[Part]],PartControl!$A$2:$E$564,2,FALSE),OtherClients[[#This Row],[Total Quantity]]*VLOOKUP(OtherClients[[#This Row],[Part]],PartControl!$A$2:$E$564,2,FALSE)),0)</f>
        <v>0</v>
      </c>
      <c r="Z80" s="108">
        <f>IF(OtherClients[[#This Row],[Re-certified or New]]&lt;&gt;"Re-certified",IF(OtherClients[[#This Row],[Client]]="infasco",VLOOKUP(OtherClients[[#This Row],[Part]],PartControl!$A$2:$E$564,2,FALSE),OtherClients[[#This Row],[Total Quantity]]*VLOOKUP(OtherClients[[#This Row],[Part]],PartControl!$A$2:$E$564,2,FALSE)),0)</f>
        <v>0</v>
      </c>
    </row>
    <row r="81" spans="1:26" ht="25.15" hidden="1" customHeight="1" x14ac:dyDescent="0.25">
      <c r="A81" s="112">
        <v>46237.572372685187</v>
      </c>
      <c r="B81" s="5" t="s">
        <v>345</v>
      </c>
      <c r="C81" s="5">
        <v>11549168</v>
      </c>
      <c r="D81" s="5">
        <v>712008</v>
      </c>
      <c r="E81" s="33">
        <v>31</v>
      </c>
      <c r="F81" s="60">
        <v>1000</v>
      </c>
      <c r="G81" s="60">
        <f>+OtherClients[[#This Row],[Boxes / Pieces]]*OtherClients[[#This Row],[Unit Quantity]]</f>
        <v>31000</v>
      </c>
      <c r="H81" s="60" t="s">
        <v>849</v>
      </c>
      <c r="I81" s="60" t="s">
        <v>278</v>
      </c>
      <c r="J81" s="104"/>
      <c r="K81" s="33" t="s">
        <v>278</v>
      </c>
      <c r="L81" s="111"/>
      <c r="M81" s="33" t="s">
        <v>278</v>
      </c>
      <c r="N81" s="111"/>
      <c r="O81" s="33" t="s">
        <v>278</v>
      </c>
      <c r="P81" s="111"/>
      <c r="Q81" s="33" t="s">
        <v>587</v>
      </c>
      <c r="R81" s="111"/>
      <c r="S81" s="33" t="s">
        <v>278</v>
      </c>
      <c r="T81" s="111"/>
      <c r="U81" s="33" t="s">
        <v>278</v>
      </c>
      <c r="V81" s="111"/>
      <c r="W81" s="59" t="s">
        <v>548</v>
      </c>
      <c r="X81" s="33" t="str">
        <f>+VLOOKUP(OtherClients[[#This Row],[Part]],PartControl!$A$2:$E$564,5,FALSE)</f>
        <v>INFASCO</v>
      </c>
      <c r="Y81" s="108">
        <f>IF(OtherClients[[#This Row],[Re-certified or New]]&lt;&gt;"Re-certified",IF(OtherClients[[#This Row],[Client]]="infasco",VLOOKUP(OtherClients[[#This Row],[Part]],PartControl!$A$2:$E$564,2,FALSE),OtherClients[[#This Row],[Total Quantity]]*VLOOKUP(OtherClients[[#This Row],[Part]],PartControl!$A$2:$E$564,2,FALSE)),0)</f>
        <v>106.94</v>
      </c>
      <c r="Z81" s="108">
        <f>IF(OtherClients[[#This Row],[Re-certified or New]]&lt;&gt;"Re-certified",IF(OtherClients[[#This Row],[Client]]="infasco",VLOOKUP(OtherClients[[#This Row],[Part]],PartControl!$A$2:$E$564,2,FALSE),OtherClients[[#This Row],[Total Quantity]]*VLOOKUP(OtherClients[[#This Row],[Part]],PartControl!$A$2:$E$564,2,FALSE)),0)</f>
        <v>106.94</v>
      </c>
    </row>
    <row r="82" spans="1:26" ht="25.15" hidden="1" customHeight="1" x14ac:dyDescent="0.25">
      <c r="A82" s="112">
        <v>46237.572372685187</v>
      </c>
      <c r="B82" s="5" t="s">
        <v>345</v>
      </c>
      <c r="C82" s="5" t="s">
        <v>656</v>
      </c>
      <c r="D82" s="5">
        <v>713928</v>
      </c>
      <c r="E82" s="33">
        <v>30</v>
      </c>
      <c r="F82" s="60">
        <v>825</v>
      </c>
      <c r="G82" s="60">
        <f>+OtherClients[[#This Row],[Boxes / Pieces]]*OtherClients[[#This Row],[Unit Quantity]]</f>
        <v>24750</v>
      </c>
      <c r="H82" s="60" t="s">
        <v>849</v>
      </c>
      <c r="I82" s="60" t="s">
        <v>278</v>
      </c>
      <c r="J82" s="104"/>
      <c r="K82" s="33" t="s">
        <v>278</v>
      </c>
      <c r="L82" s="111"/>
      <c r="M82" s="33" t="s">
        <v>278</v>
      </c>
      <c r="N82" s="111"/>
      <c r="O82" s="33" t="s">
        <v>278</v>
      </c>
      <c r="P82" s="111"/>
      <c r="Q82" s="33" t="s">
        <v>587</v>
      </c>
      <c r="R82" s="111"/>
      <c r="S82" s="33" t="s">
        <v>278</v>
      </c>
      <c r="T82" s="111"/>
      <c r="U82" s="33" t="s">
        <v>278</v>
      </c>
      <c r="V82" s="111"/>
      <c r="W82" s="59" t="s">
        <v>548</v>
      </c>
      <c r="X82" s="33" t="str">
        <f>+VLOOKUP(OtherClients[[#This Row],[Part]],PartControl!$A$2:$E$564,5,FALSE)</f>
        <v>infasco</v>
      </c>
      <c r="Y82" s="108">
        <f>IF(OtherClients[[#This Row],[Re-certified or New]]&lt;&gt;"Re-certified",IF(OtherClients[[#This Row],[Client]]="infasco",VLOOKUP(OtherClients[[#This Row],[Part]],PartControl!$A$2:$E$564,2,FALSE),OtherClients[[#This Row],[Total Quantity]]*VLOOKUP(OtherClients[[#This Row],[Part]],PartControl!$A$2:$E$564,2,FALSE)),0)</f>
        <v>280.16000000000003</v>
      </c>
      <c r="Z82" s="108">
        <f>IF(OtherClients[[#This Row],[Re-certified or New]]&lt;&gt;"Re-certified",IF(OtherClients[[#This Row],[Client]]="infasco",VLOOKUP(OtherClients[[#This Row],[Part]],PartControl!$A$2:$E$564,2,FALSE),OtherClients[[#This Row],[Total Quantity]]*VLOOKUP(OtherClients[[#This Row],[Part]],PartControl!$A$2:$E$564,2,FALSE)),0)</f>
        <v>280.16000000000003</v>
      </c>
    </row>
    <row r="83" spans="1:26" ht="25.15" hidden="1" customHeight="1" x14ac:dyDescent="0.25">
      <c r="A83" s="112">
        <v>46237.572372685187</v>
      </c>
      <c r="B83" s="5" t="s">
        <v>345</v>
      </c>
      <c r="C83" s="5" t="s">
        <v>835</v>
      </c>
      <c r="D83" s="5">
        <v>714388</v>
      </c>
      <c r="E83" s="33">
        <v>39</v>
      </c>
      <c r="F83" s="60">
        <v>660</v>
      </c>
      <c r="G83" s="60">
        <f>+OtherClients[[#This Row],[Boxes / Pieces]]*OtherClients[[#This Row],[Unit Quantity]]</f>
        <v>25740</v>
      </c>
      <c r="H83" s="60" t="s">
        <v>849</v>
      </c>
      <c r="I83" s="60" t="s">
        <v>278</v>
      </c>
      <c r="J83" s="104"/>
      <c r="K83" s="33" t="s">
        <v>278</v>
      </c>
      <c r="L83" s="111"/>
      <c r="M83" s="33" t="s">
        <v>278</v>
      </c>
      <c r="N83" s="111"/>
      <c r="O83" s="33" t="s">
        <v>278</v>
      </c>
      <c r="P83" s="111"/>
      <c r="Q83" s="33" t="s">
        <v>587</v>
      </c>
      <c r="R83" s="111"/>
      <c r="S83" s="33" t="s">
        <v>278</v>
      </c>
      <c r="T83" s="111"/>
      <c r="U83" s="33" t="s">
        <v>278</v>
      </c>
      <c r="V83" s="111"/>
      <c r="W83" s="59" t="s">
        <v>548</v>
      </c>
      <c r="X83" s="33" t="str">
        <f>+VLOOKUP(OtherClients[[#This Row],[Part]],PartControl!$A$2:$E$564,5,FALSE)</f>
        <v>infasco</v>
      </c>
      <c r="Y83" s="108">
        <f>IF(OtherClients[[#This Row],[Re-certified or New]]&lt;&gt;"Re-certified",IF(OtherClients[[#This Row],[Client]]="infasco",VLOOKUP(OtherClients[[#This Row],[Part]],PartControl!$A$2:$E$564,2,FALSE),OtherClients[[#This Row],[Total Quantity]]*VLOOKUP(OtherClients[[#This Row],[Part]],PartControl!$A$2:$E$564,2,FALSE)),0)</f>
        <v>135.08000000000001</v>
      </c>
      <c r="Z83" s="108">
        <f>IF(OtherClients[[#This Row],[Re-certified or New]]&lt;&gt;"Re-certified",IF(OtherClients[[#This Row],[Client]]="infasco",VLOOKUP(OtherClients[[#This Row],[Part]],PartControl!$A$2:$E$564,2,FALSE),OtherClients[[#This Row],[Total Quantity]]*VLOOKUP(OtherClients[[#This Row],[Part]],PartControl!$A$2:$E$564,2,FALSE)),0)</f>
        <v>135.08000000000001</v>
      </c>
    </row>
    <row r="84" spans="1:26" ht="25.15" hidden="1" customHeight="1" x14ac:dyDescent="0.25">
      <c r="A84" s="112">
        <v>46237.572372685187</v>
      </c>
      <c r="B84" s="5" t="s">
        <v>345</v>
      </c>
      <c r="C84" s="5">
        <v>11549168</v>
      </c>
      <c r="D84" s="5">
        <v>712778</v>
      </c>
      <c r="E84" s="33">
        <v>35</v>
      </c>
      <c r="F84" s="60">
        <v>1000</v>
      </c>
      <c r="G84" s="60">
        <f>+OtherClients[[#This Row],[Boxes / Pieces]]*OtherClients[[#This Row],[Unit Quantity]]</f>
        <v>35000</v>
      </c>
      <c r="H84" s="60" t="s">
        <v>849</v>
      </c>
      <c r="I84" s="60" t="s">
        <v>278</v>
      </c>
      <c r="J84" s="104"/>
      <c r="K84" s="33" t="s">
        <v>278</v>
      </c>
      <c r="L84" s="111"/>
      <c r="M84" s="33" t="s">
        <v>278</v>
      </c>
      <c r="N84" s="111"/>
      <c r="O84" s="33" t="s">
        <v>278</v>
      </c>
      <c r="P84" s="111"/>
      <c r="Q84" s="33" t="s">
        <v>587</v>
      </c>
      <c r="R84" s="111"/>
      <c r="S84" s="33" t="s">
        <v>278</v>
      </c>
      <c r="T84" s="111"/>
      <c r="U84" s="33" t="s">
        <v>278</v>
      </c>
      <c r="V84" s="111"/>
      <c r="W84" s="59" t="s">
        <v>548</v>
      </c>
      <c r="X84" s="33" t="str">
        <f>+VLOOKUP(OtherClients[[#This Row],[Part]],PartControl!$A$2:$E$564,5,FALSE)</f>
        <v>INFASCO</v>
      </c>
      <c r="Y84" s="108">
        <f>IF(OtherClients[[#This Row],[Re-certified or New]]&lt;&gt;"Re-certified",IF(OtherClients[[#This Row],[Client]]="infasco",VLOOKUP(OtherClients[[#This Row],[Part]],PartControl!$A$2:$E$564,2,FALSE),OtherClients[[#This Row],[Total Quantity]]*VLOOKUP(OtherClients[[#This Row],[Part]],PartControl!$A$2:$E$564,2,FALSE)),0)</f>
        <v>106.94</v>
      </c>
      <c r="Z84" s="108">
        <f>IF(OtherClients[[#This Row],[Re-certified or New]]&lt;&gt;"Re-certified",IF(OtherClients[[#This Row],[Client]]="infasco",VLOOKUP(OtherClients[[#This Row],[Part]],PartControl!$A$2:$E$564,2,FALSE),OtherClients[[#This Row],[Total Quantity]]*VLOOKUP(OtherClients[[#This Row],[Part]],PartControl!$A$2:$E$564,2,FALSE)),0)</f>
        <v>106.94</v>
      </c>
    </row>
    <row r="85" spans="1:26" ht="25.15" hidden="1" customHeight="1" x14ac:dyDescent="0.25">
      <c r="A85" s="112">
        <v>46237.572372685187</v>
      </c>
      <c r="B85" s="5" t="s">
        <v>345</v>
      </c>
      <c r="C85" s="5">
        <v>11549168</v>
      </c>
      <c r="D85" s="5">
        <v>712008</v>
      </c>
      <c r="E85" s="33">
        <v>13</v>
      </c>
      <c r="F85" s="60">
        <v>1000</v>
      </c>
      <c r="G85" s="60">
        <f>+OtherClients[[#This Row],[Boxes / Pieces]]*OtherClients[[#This Row],[Unit Quantity]]</f>
        <v>13000</v>
      </c>
      <c r="H85" s="60" t="s">
        <v>849</v>
      </c>
      <c r="I85" s="60" t="s">
        <v>278</v>
      </c>
      <c r="J85" s="104"/>
      <c r="K85" s="33" t="s">
        <v>278</v>
      </c>
      <c r="L85" s="111"/>
      <c r="M85" s="33" t="s">
        <v>278</v>
      </c>
      <c r="N85" s="111"/>
      <c r="O85" s="33" t="s">
        <v>278</v>
      </c>
      <c r="P85" s="111"/>
      <c r="Q85" s="33" t="s">
        <v>587</v>
      </c>
      <c r="R85" s="111"/>
      <c r="S85" s="33" t="s">
        <v>278</v>
      </c>
      <c r="T85" s="111"/>
      <c r="U85" s="33" t="s">
        <v>278</v>
      </c>
      <c r="V85" s="111"/>
      <c r="W85" s="59" t="s">
        <v>548</v>
      </c>
      <c r="X85" s="33" t="str">
        <f>+VLOOKUP(OtherClients[[#This Row],[Part]],PartControl!$A$2:$E$564,5,FALSE)</f>
        <v>INFASCO</v>
      </c>
      <c r="Y85" s="108">
        <f>IF(OtherClients[[#This Row],[Re-certified or New]]&lt;&gt;"Re-certified",IF(OtherClients[[#This Row],[Client]]="infasco",VLOOKUP(OtherClients[[#This Row],[Part]],PartControl!$A$2:$E$564,2,FALSE),OtherClients[[#This Row],[Total Quantity]]*VLOOKUP(OtherClients[[#This Row],[Part]],PartControl!$A$2:$E$564,2,FALSE)),0)</f>
        <v>106.94</v>
      </c>
      <c r="Z85" s="108">
        <f>IF(OtherClients[[#This Row],[Re-certified or New]]&lt;&gt;"Re-certified",IF(OtherClients[[#This Row],[Client]]="infasco",VLOOKUP(OtherClients[[#This Row],[Part]],PartControl!$A$2:$E$564,2,FALSE),OtherClients[[#This Row],[Total Quantity]]*VLOOKUP(OtherClients[[#This Row],[Part]],PartControl!$A$2:$E$564,2,FALSE)),0)</f>
        <v>106.94</v>
      </c>
    </row>
    <row r="86" spans="1:26" ht="25.15" hidden="1" customHeight="1" x14ac:dyDescent="0.25">
      <c r="A86" s="112">
        <v>46237.572372685187</v>
      </c>
      <c r="B86" s="5" t="s">
        <v>345</v>
      </c>
      <c r="C86" s="5">
        <v>11549170</v>
      </c>
      <c r="D86" s="5">
        <v>713697</v>
      </c>
      <c r="E86" s="33">
        <v>17</v>
      </c>
      <c r="F86" s="60">
        <v>400</v>
      </c>
      <c r="G86" s="60">
        <f>+OtherClients[[#This Row],[Boxes / Pieces]]*OtherClients[[#This Row],[Unit Quantity]]</f>
        <v>6800</v>
      </c>
      <c r="H86" s="60" t="s">
        <v>849</v>
      </c>
      <c r="I86" s="60" t="s">
        <v>278</v>
      </c>
      <c r="J86" s="104"/>
      <c r="K86" s="33" t="s">
        <v>278</v>
      </c>
      <c r="L86" s="111"/>
      <c r="M86" s="33" t="s">
        <v>278</v>
      </c>
      <c r="N86" s="111"/>
      <c r="O86" s="33" t="s">
        <v>278</v>
      </c>
      <c r="P86" s="111"/>
      <c r="Q86" s="33" t="s">
        <v>587</v>
      </c>
      <c r="R86" s="111"/>
      <c r="S86" s="33" t="s">
        <v>278</v>
      </c>
      <c r="T86" s="111"/>
      <c r="U86" s="33" t="s">
        <v>278</v>
      </c>
      <c r="V86" s="111"/>
      <c r="W86" s="59" t="s">
        <v>633</v>
      </c>
      <c r="X86" s="33" t="str">
        <f>+VLOOKUP(OtherClients[[#This Row],[Part]],PartControl!$A$2:$E$564,5,FALSE)</f>
        <v>INFASCO</v>
      </c>
      <c r="Y86" s="108">
        <f>IF(OtherClients[[#This Row],[Re-certified or New]]&lt;&gt;"Re-certified",IF(OtherClients[[#This Row],[Client]]="infasco",VLOOKUP(OtherClients[[#This Row],[Part]],PartControl!$A$2:$E$564,2,FALSE),OtherClients[[#This Row],[Total Quantity]]*VLOOKUP(OtherClients[[#This Row],[Part]],PartControl!$A$2:$E$564,2,FALSE)),0)</f>
        <v>0</v>
      </c>
      <c r="Z86" s="108">
        <f>IF(OtherClients[[#This Row],[Re-certified or New]]&lt;&gt;"Re-certified",IF(OtherClients[[#This Row],[Client]]="infasco",VLOOKUP(OtherClients[[#This Row],[Part]],PartControl!$A$2:$E$564,2,FALSE),OtherClients[[#This Row],[Total Quantity]]*VLOOKUP(OtherClients[[#This Row],[Part]],PartControl!$A$2:$E$564,2,FALSE)),0)</f>
        <v>0</v>
      </c>
    </row>
    <row r="87" spans="1:26" ht="25.15" hidden="1" customHeight="1" x14ac:dyDescent="0.25">
      <c r="A87" s="112">
        <v>46237.572372685187</v>
      </c>
      <c r="B87" s="5" t="s">
        <v>347</v>
      </c>
      <c r="C87" s="5" t="s">
        <v>856</v>
      </c>
      <c r="D87" s="5">
        <v>714165</v>
      </c>
      <c r="E87" s="33">
        <f>19-8</f>
        <v>11</v>
      </c>
      <c r="F87" s="60">
        <v>440</v>
      </c>
      <c r="G87" s="60">
        <f>+OtherClients[[#This Row],[Boxes / Pieces]]*OtherClients[[#This Row],[Unit Quantity]]</f>
        <v>4840</v>
      </c>
      <c r="H87" s="60" t="s">
        <v>655</v>
      </c>
      <c r="I87" s="60" t="s">
        <v>278</v>
      </c>
      <c r="J87" s="104"/>
      <c r="K87" s="33" t="s">
        <v>278</v>
      </c>
      <c r="L87" s="111"/>
      <c r="M87" s="33" t="s">
        <v>278</v>
      </c>
      <c r="N87" s="111"/>
      <c r="O87" s="33" t="s">
        <v>278</v>
      </c>
      <c r="P87" s="111"/>
      <c r="Q87" s="33" t="s">
        <v>587</v>
      </c>
      <c r="R87" s="111"/>
      <c r="S87" s="33" t="s">
        <v>278</v>
      </c>
      <c r="T87" s="111"/>
      <c r="U87" s="33" t="s">
        <v>278</v>
      </c>
      <c r="V87" s="111"/>
      <c r="W87" s="59" t="s">
        <v>548</v>
      </c>
      <c r="X87" s="33" t="str">
        <f>+VLOOKUP(OtherClients[[#This Row],[Part]],PartControl!$A$2:$E$564,5,FALSE)</f>
        <v>infasco</v>
      </c>
      <c r="Y87" s="108">
        <f>IF(OtherClients[[#This Row],[Re-certified or New]]&lt;&gt;"Re-certified",IF(OtherClients[[#This Row],[Client]]="infasco",VLOOKUP(OtherClients[[#This Row],[Part]],PartControl!$A$2:$E$564,2,FALSE),OtherClients[[#This Row],[Total Quantity]]*VLOOKUP(OtherClients[[#This Row],[Part]],PartControl!$A$2:$E$564,2,FALSE)),0)</f>
        <v>106.94</v>
      </c>
      <c r="Z87" s="108">
        <f>IF(OtherClients[[#This Row],[Re-certified or New]]&lt;&gt;"Re-certified",IF(OtherClients[[#This Row],[Client]]="infasco",VLOOKUP(OtherClients[[#This Row],[Part]],PartControl!$A$2:$E$564,2,FALSE),OtherClients[[#This Row],[Total Quantity]]*VLOOKUP(OtherClients[[#This Row],[Part]],PartControl!$A$2:$E$564,2,FALSE)),0)</f>
        <v>106.94</v>
      </c>
    </row>
    <row r="88" spans="1:26" ht="25.15" hidden="1" customHeight="1" x14ac:dyDescent="0.25">
      <c r="A88" s="112">
        <v>46237.572372685187</v>
      </c>
      <c r="B88" s="5" t="s">
        <v>347</v>
      </c>
      <c r="C88" s="5" t="s">
        <v>835</v>
      </c>
      <c r="D88" s="5">
        <v>714346</v>
      </c>
      <c r="E88" s="33">
        <v>28</v>
      </c>
      <c r="F88" s="60">
        <v>660</v>
      </c>
      <c r="G88" s="60">
        <f>+OtherClients[[#This Row],[Boxes / Pieces]]*OtherClients[[#This Row],[Unit Quantity]]</f>
        <v>18480</v>
      </c>
      <c r="H88" s="60" t="s">
        <v>655</v>
      </c>
      <c r="I88" s="60" t="s">
        <v>278</v>
      </c>
      <c r="J88" s="104"/>
      <c r="K88" s="33" t="s">
        <v>278</v>
      </c>
      <c r="L88" s="111"/>
      <c r="M88" s="33" t="s">
        <v>278</v>
      </c>
      <c r="N88" s="111"/>
      <c r="O88" s="33" t="s">
        <v>278</v>
      </c>
      <c r="P88" s="111"/>
      <c r="Q88" s="33" t="s">
        <v>587</v>
      </c>
      <c r="R88" s="111"/>
      <c r="S88" s="33" t="s">
        <v>278</v>
      </c>
      <c r="T88" s="111"/>
      <c r="U88" s="33" t="s">
        <v>278</v>
      </c>
      <c r="V88" s="111"/>
      <c r="W88" s="59" t="s">
        <v>548</v>
      </c>
      <c r="X88" s="33" t="str">
        <f>+VLOOKUP(OtherClients[[#This Row],[Part]],PartControl!$A$2:$E$564,5,FALSE)</f>
        <v>infasco</v>
      </c>
      <c r="Y88" s="108">
        <f>IF(OtherClients[[#This Row],[Re-certified or New]]&lt;&gt;"Re-certified",IF(OtherClients[[#This Row],[Client]]="infasco",VLOOKUP(OtherClients[[#This Row],[Part]],PartControl!$A$2:$E$564,2,FALSE),OtherClients[[#This Row],[Total Quantity]]*VLOOKUP(OtherClients[[#This Row],[Part]],PartControl!$A$2:$E$564,2,FALSE)),0)</f>
        <v>135.08000000000001</v>
      </c>
      <c r="Z88" s="108">
        <f>IF(OtherClients[[#This Row],[Re-certified or New]]&lt;&gt;"Re-certified",IF(OtherClients[[#This Row],[Client]]="infasco",VLOOKUP(OtherClients[[#This Row],[Part]],PartControl!$A$2:$E$564,2,FALSE),OtherClients[[#This Row],[Total Quantity]]*VLOOKUP(OtherClients[[#This Row],[Part]],PartControl!$A$2:$E$564,2,FALSE)),0)</f>
        <v>135.08000000000001</v>
      </c>
    </row>
    <row r="89" spans="1:26" ht="25.15" hidden="1" customHeight="1" x14ac:dyDescent="0.25">
      <c r="A89" s="112">
        <v>46237.572372685187</v>
      </c>
      <c r="B89" s="5" t="s">
        <v>347</v>
      </c>
      <c r="C89" s="5" t="s">
        <v>656</v>
      </c>
      <c r="D89" s="5">
        <v>713926</v>
      </c>
      <c r="E89" s="33">
        <v>33</v>
      </c>
      <c r="F89" s="60">
        <v>825</v>
      </c>
      <c r="G89" s="60">
        <f>+OtherClients[[#This Row],[Boxes / Pieces]]*OtherClients[[#This Row],[Unit Quantity]]</f>
        <v>27225</v>
      </c>
      <c r="H89" s="60" t="s">
        <v>655</v>
      </c>
      <c r="I89" s="60" t="s">
        <v>278</v>
      </c>
      <c r="J89" s="104"/>
      <c r="K89" s="33" t="s">
        <v>278</v>
      </c>
      <c r="L89" s="111"/>
      <c r="M89" s="33" t="s">
        <v>278</v>
      </c>
      <c r="N89" s="111"/>
      <c r="O89" s="33" t="s">
        <v>278</v>
      </c>
      <c r="P89" s="111"/>
      <c r="Q89" s="33" t="s">
        <v>587</v>
      </c>
      <c r="R89" s="111"/>
      <c r="S89" s="33" t="s">
        <v>278</v>
      </c>
      <c r="T89" s="111"/>
      <c r="U89" s="33" t="s">
        <v>278</v>
      </c>
      <c r="V89" s="111"/>
      <c r="W89" s="59" t="s">
        <v>548</v>
      </c>
      <c r="X89" s="33" t="str">
        <f>+VLOOKUP(OtherClients[[#This Row],[Part]],PartControl!$A$2:$E$564,5,FALSE)</f>
        <v>infasco</v>
      </c>
      <c r="Y89" s="108">
        <f>IF(OtherClients[[#This Row],[Re-certified or New]]&lt;&gt;"Re-certified",IF(OtherClients[[#This Row],[Client]]="infasco",VLOOKUP(OtherClients[[#This Row],[Part]],PartControl!$A$2:$E$564,2,FALSE),OtherClients[[#This Row],[Total Quantity]]*VLOOKUP(OtherClients[[#This Row],[Part]],PartControl!$A$2:$E$564,2,FALSE)),0)</f>
        <v>280.16000000000003</v>
      </c>
      <c r="Z89" s="108">
        <f>IF(OtherClients[[#This Row],[Re-certified or New]]&lt;&gt;"Re-certified",IF(OtherClients[[#This Row],[Client]]="infasco",VLOOKUP(OtherClients[[#This Row],[Part]],PartControl!$A$2:$E$564,2,FALSE),OtherClients[[#This Row],[Total Quantity]]*VLOOKUP(OtherClients[[#This Row],[Part]],PartControl!$A$2:$E$564,2,FALSE)),0)</f>
        <v>280.16000000000003</v>
      </c>
    </row>
    <row r="90" spans="1:26" ht="25.15" hidden="1" customHeight="1" x14ac:dyDescent="0.25">
      <c r="A90" s="112">
        <v>46237.572372685187</v>
      </c>
      <c r="B90" s="5" t="s">
        <v>347</v>
      </c>
      <c r="C90" s="5" t="s">
        <v>705</v>
      </c>
      <c r="D90" s="5">
        <v>713342</v>
      </c>
      <c r="E90" s="33">
        <v>36</v>
      </c>
      <c r="F90" s="60">
        <v>450</v>
      </c>
      <c r="G90" s="60">
        <f>+OtherClients[[#This Row],[Boxes / Pieces]]*OtherClients[[#This Row],[Unit Quantity]]</f>
        <v>16200</v>
      </c>
      <c r="H90" s="60" t="s">
        <v>655</v>
      </c>
      <c r="I90" s="60" t="s">
        <v>278</v>
      </c>
      <c r="J90" s="104"/>
      <c r="K90" s="33" t="s">
        <v>278</v>
      </c>
      <c r="L90" s="111"/>
      <c r="M90" s="33" t="s">
        <v>278</v>
      </c>
      <c r="N90" s="111"/>
      <c r="O90" s="33" t="s">
        <v>278</v>
      </c>
      <c r="P90" s="111"/>
      <c r="Q90" s="33" t="s">
        <v>587</v>
      </c>
      <c r="R90" s="111"/>
      <c r="S90" s="33" t="s">
        <v>278</v>
      </c>
      <c r="T90" s="111"/>
      <c r="U90" s="33" t="s">
        <v>278</v>
      </c>
      <c r="V90" s="111"/>
      <c r="W90" s="59" t="s">
        <v>548</v>
      </c>
      <c r="X90" s="33" t="str">
        <f>+VLOOKUP(OtherClients[[#This Row],[Part]],PartControl!$A$2:$E$564,5,FALSE)</f>
        <v>infasco</v>
      </c>
      <c r="Y90" s="108">
        <f>IF(OtherClients[[#This Row],[Re-certified or New]]&lt;&gt;"Re-certified",IF(OtherClients[[#This Row],[Client]]="infasco",VLOOKUP(OtherClients[[#This Row],[Part]],PartControl!$A$2:$E$564,2,FALSE),OtherClients[[#This Row],[Total Quantity]]*VLOOKUP(OtherClients[[#This Row],[Part]],PartControl!$A$2:$E$564,2,FALSE)),0)</f>
        <v>106.94</v>
      </c>
      <c r="Z90" s="108">
        <f>IF(OtherClients[[#This Row],[Re-certified or New]]&lt;&gt;"Re-certified",IF(OtherClients[[#This Row],[Client]]="infasco",VLOOKUP(OtherClients[[#This Row],[Part]],PartControl!$A$2:$E$564,2,FALSE),OtherClients[[#This Row],[Total Quantity]]*VLOOKUP(OtherClients[[#This Row],[Part]],PartControl!$A$2:$E$564,2,FALSE)),0)</f>
        <v>106.94</v>
      </c>
    </row>
    <row r="91" spans="1:26" ht="25.15" hidden="1" customHeight="1" x14ac:dyDescent="0.25">
      <c r="A91" s="112">
        <v>46237.572372685187</v>
      </c>
      <c r="B91" s="5" t="s">
        <v>347</v>
      </c>
      <c r="C91" s="5">
        <v>91054</v>
      </c>
      <c r="D91" s="5">
        <v>711580</v>
      </c>
      <c r="E91" s="33">
        <v>17</v>
      </c>
      <c r="F91" s="60">
        <v>1700</v>
      </c>
      <c r="G91" s="60">
        <f>+OtherClients[[#This Row],[Boxes / Pieces]]*OtherClients[[#This Row],[Unit Quantity]]</f>
        <v>28900</v>
      </c>
      <c r="H91" s="60" t="s">
        <v>655</v>
      </c>
      <c r="I91" s="60" t="s">
        <v>278</v>
      </c>
      <c r="J91" s="104"/>
      <c r="K91" s="33" t="s">
        <v>278</v>
      </c>
      <c r="L91" s="111"/>
      <c r="M91" s="33" t="s">
        <v>278</v>
      </c>
      <c r="N91" s="111"/>
      <c r="O91" s="33" t="s">
        <v>278</v>
      </c>
      <c r="P91" s="111"/>
      <c r="Q91" s="33" t="s">
        <v>587</v>
      </c>
      <c r="R91" s="111"/>
      <c r="S91" s="33" t="s">
        <v>278</v>
      </c>
      <c r="T91" s="111"/>
      <c r="U91" s="33" t="s">
        <v>278</v>
      </c>
      <c r="V91" s="111"/>
      <c r="W91" s="59" t="s">
        <v>633</v>
      </c>
      <c r="X91" s="33" t="str">
        <f>+VLOOKUP(OtherClients[[#This Row],[Part]],PartControl!$A$2:$E$564,5,FALSE)</f>
        <v>infasco</v>
      </c>
      <c r="Y91" s="108">
        <f>IF(OtherClients[[#This Row],[Re-certified or New]]&lt;&gt;"Re-certified",IF(OtherClients[[#This Row],[Client]]="infasco",VLOOKUP(OtherClients[[#This Row],[Part]],PartControl!$A$2:$E$564,2,FALSE),OtherClients[[#This Row],[Total Quantity]]*VLOOKUP(OtherClients[[#This Row],[Part]],PartControl!$A$2:$E$564,2,FALSE)),0)</f>
        <v>0</v>
      </c>
      <c r="Z91" s="108">
        <f>IF(OtherClients[[#This Row],[Re-certified or New]]&lt;&gt;"Re-certified",IF(OtherClients[[#This Row],[Client]]="infasco",VLOOKUP(OtherClients[[#This Row],[Part]],PartControl!$A$2:$E$564,2,FALSE),OtherClients[[#This Row],[Total Quantity]]*VLOOKUP(OtherClients[[#This Row],[Part]],PartControl!$A$2:$E$564,2,FALSE)),0)</f>
        <v>0</v>
      </c>
    </row>
    <row r="92" spans="1:26" ht="25.15" hidden="1" customHeight="1" x14ac:dyDescent="0.25">
      <c r="A92" s="112">
        <v>46238.691782407404</v>
      </c>
      <c r="B92" s="5" t="s">
        <v>234</v>
      </c>
      <c r="C92" s="5" t="s">
        <v>728</v>
      </c>
      <c r="D92" s="5">
        <v>714150</v>
      </c>
      <c r="E92" s="33">
        <v>26</v>
      </c>
      <c r="F92" s="60">
        <v>1500</v>
      </c>
      <c r="G92" s="60">
        <v>39000</v>
      </c>
      <c r="H92" s="60">
        <v>275</v>
      </c>
      <c r="I92" s="117" t="s">
        <v>278</v>
      </c>
      <c r="J92" s="118"/>
      <c r="K92" s="33" t="s">
        <v>278</v>
      </c>
      <c r="L92" s="116"/>
      <c r="M92" s="33" t="s">
        <v>278</v>
      </c>
      <c r="N92" s="116"/>
      <c r="O92" s="33" t="s">
        <v>278</v>
      </c>
      <c r="P92" s="116"/>
      <c r="Q92" s="33" t="s">
        <v>587</v>
      </c>
      <c r="R92" s="116"/>
      <c r="S92" s="33" t="s">
        <v>278</v>
      </c>
      <c r="T92" s="116"/>
      <c r="U92" s="33" t="s">
        <v>278</v>
      </c>
      <c r="V92" s="116"/>
      <c r="W92" s="119" t="s">
        <v>548</v>
      </c>
      <c r="X92" s="33" t="str">
        <f>+VLOOKUP(OtherClients[[#This Row],[Part]],PartControl!$A$2:$E$564,5,FALSE)</f>
        <v>infasco</v>
      </c>
      <c r="Y92" s="116">
        <v>106.94</v>
      </c>
      <c r="Z92" s="108">
        <f>IF(OtherClients[[#This Row],[Re-certified or New]]&lt;&gt;"Re-certified",IF(OtherClients[[#This Row],[Client]]="infasco",VLOOKUP(OtherClients[[#This Row],[Part]],PartControl!$A$2:$E$564,2,FALSE),OtherClients[[#This Row],[Total Quantity]]*VLOOKUP(OtherClients[[#This Row],[Part]],PartControl!$A$2:$E$564,2,FALSE)),0)</f>
        <v>106.94</v>
      </c>
    </row>
    <row r="93" spans="1:26" ht="25.15" hidden="1" customHeight="1" x14ac:dyDescent="0.25">
      <c r="A93" s="112">
        <v>46238.691782407404</v>
      </c>
      <c r="B93" s="5" t="s">
        <v>234</v>
      </c>
      <c r="C93" s="5" t="s">
        <v>728</v>
      </c>
      <c r="D93" s="5">
        <v>714145</v>
      </c>
      <c r="E93" s="33">
        <v>16</v>
      </c>
      <c r="F93" s="60">
        <v>1500</v>
      </c>
      <c r="G93" s="60">
        <f>+OtherClients[[#This Row],[Boxes / Pieces]]*OtherClients[[#This Row],[Unit Quantity]]</f>
        <v>24000</v>
      </c>
      <c r="H93" s="60">
        <v>275</v>
      </c>
      <c r="I93" s="117" t="s">
        <v>278</v>
      </c>
      <c r="J93" s="118"/>
      <c r="K93" s="33" t="s">
        <v>278</v>
      </c>
      <c r="L93" s="116"/>
      <c r="M93" s="33" t="s">
        <v>278</v>
      </c>
      <c r="N93" s="116"/>
      <c r="O93" s="33" t="s">
        <v>278</v>
      </c>
      <c r="P93" s="116"/>
      <c r="Q93" s="33" t="s">
        <v>587</v>
      </c>
      <c r="R93" s="116"/>
      <c r="S93" s="33" t="s">
        <v>278</v>
      </c>
      <c r="T93" s="116"/>
      <c r="U93" s="33" t="s">
        <v>278</v>
      </c>
      <c r="V93" s="116"/>
      <c r="W93" s="59" t="s">
        <v>633</v>
      </c>
      <c r="X93" s="33" t="str">
        <f>+VLOOKUP(OtherClients[[#This Row],[Part]],PartControl!$A$2:$E$564,5,FALSE)</f>
        <v>infasco</v>
      </c>
      <c r="Y93" s="108">
        <f>IF(OtherClients[[#This Row],[Re-certified or New]]&lt;&gt;"Re-certified",IF(OtherClients[[#This Row],[Client]]="infasco",VLOOKUP(OtherClients[[#This Row],[Part]],PartControl!$A$2:$E$564,2,FALSE),OtherClients[[#This Row],[Total Quantity]]*VLOOKUP(OtherClients[[#This Row],[Part]],PartControl!$A$2:$E$564,2,FALSE)),0)</f>
        <v>0</v>
      </c>
      <c r="Z93" s="108">
        <f>IF(OtherClients[[#This Row],[Re-certified or New]]&lt;&gt;"Re-certified",IF(OtherClients[[#This Row],[Client]]="infasco",VLOOKUP(OtherClients[[#This Row],[Part]],PartControl!$A$2:$E$564,2,FALSE),OtherClients[[#This Row],[Total Quantity]]*VLOOKUP(OtherClients[[#This Row],[Part]],PartControl!$A$2:$E$564,2,FALSE)),0)</f>
        <v>0</v>
      </c>
    </row>
    <row r="94" spans="1:26" ht="25.15" hidden="1" customHeight="1" x14ac:dyDescent="0.25">
      <c r="A94" s="112">
        <v>46238.691782407404</v>
      </c>
      <c r="B94" s="5" t="s">
        <v>863</v>
      </c>
      <c r="C94" s="5" t="s">
        <v>835</v>
      </c>
      <c r="D94" s="5">
        <v>714340</v>
      </c>
      <c r="E94" s="33">
        <f>36-23</f>
        <v>13</v>
      </c>
      <c r="F94" s="60">
        <v>660</v>
      </c>
      <c r="G94" s="60">
        <f>+OtherClients[[#This Row],[Boxes / Pieces]]*OtherClients[[#This Row],[Unit Quantity]]</f>
        <v>8580</v>
      </c>
      <c r="H94" s="60">
        <v>275</v>
      </c>
      <c r="I94" s="117" t="s">
        <v>278</v>
      </c>
      <c r="J94" s="118"/>
      <c r="K94" s="33" t="s">
        <v>278</v>
      </c>
      <c r="L94" s="116"/>
      <c r="M94" s="33" t="s">
        <v>278</v>
      </c>
      <c r="N94" s="116"/>
      <c r="O94" s="33" t="s">
        <v>278</v>
      </c>
      <c r="P94" s="116"/>
      <c r="Q94" s="33" t="s">
        <v>587</v>
      </c>
      <c r="R94" s="116"/>
      <c r="S94" s="33" t="s">
        <v>278</v>
      </c>
      <c r="T94" s="116"/>
      <c r="U94" s="33" t="s">
        <v>278</v>
      </c>
      <c r="V94" s="116"/>
      <c r="W94" s="59" t="s">
        <v>548</v>
      </c>
      <c r="X94" s="33" t="str">
        <f>+VLOOKUP(OtherClients[[#This Row],[Part]],PartControl!$A$2:$E$564,5,FALSE)</f>
        <v>infasco</v>
      </c>
      <c r="Y94" s="108">
        <f>IF(OtherClients[[#This Row],[Re-certified or New]]&lt;&gt;"Re-certified",IF(OtherClients[[#This Row],[Client]]="infasco",VLOOKUP(OtherClients[[#This Row],[Part]],PartControl!$A$2:$E$564,2,FALSE),OtherClients[[#This Row],[Total Quantity]]*VLOOKUP(OtherClients[[#This Row],[Part]],PartControl!$A$2:$E$564,2,FALSE)),0)</f>
        <v>135.08000000000001</v>
      </c>
      <c r="Z94" s="108">
        <f>IF(OtherClients[[#This Row],[Re-certified or New]]&lt;&gt;"Re-certified",IF(OtherClients[[#This Row],[Client]]="infasco",VLOOKUP(OtherClients[[#This Row],[Part]],PartControl!$A$2:$E$564,2,FALSE),OtherClients[[#This Row],[Total Quantity]]*VLOOKUP(OtherClients[[#This Row],[Part]],PartControl!$A$2:$E$564,2,FALSE)),0)</f>
        <v>135.08000000000001</v>
      </c>
    </row>
    <row r="95" spans="1:26" ht="25.15" hidden="1" customHeight="1" x14ac:dyDescent="0.25">
      <c r="A95" s="112">
        <v>46238.691782407404</v>
      </c>
      <c r="B95" s="5" t="s">
        <v>863</v>
      </c>
      <c r="C95" s="5" t="s">
        <v>835</v>
      </c>
      <c r="D95" s="5">
        <v>714348</v>
      </c>
      <c r="E95" s="33">
        <v>24</v>
      </c>
      <c r="F95" s="60">
        <v>660</v>
      </c>
      <c r="G95" s="60">
        <f>+OtherClients[[#This Row],[Boxes / Pieces]]*OtherClients[[#This Row],[Unit Quantity]]</f>
        <v>15840</v>
      </c>
      <c r="H95" s="60">
        <v>275</v>
      </c>
      <c r="I95" s="117" t="s">
        <v>278</v>
      </c>
      <c r="J95" s="118"/>
      <c r="K95" s="33" t="s">
        <v>278</v>
      </c>
      <c r="L95" s="116"/>
      <c r="M95" s="33" t="s">
        <v>278</v>
      </c>
      <c r="N95" s="116"/>
      <c r="O95" s="33" t="s">
        <v>278</v>
      </c>
      <c r="P95" s="116"/>
      <c r="Q95" s="33" t="s">
        <v>587</v>
      </c>
      <c r="R95" s="116"/>
      <c r="S95" s="33" t="s">
        <v>278</v>
      </c>
      <c r="T95" s="116"/>
      <c r="U95" s="33" t="s">
        <v>278</v>
      </c>
      <c r="V95" s="116"/>
      <c r="W95" s="59" t="s">
        <v>633</v>
      </c>
      <c r="X95" s="33" t="str">
        <f>+VLOOKUP(OtherClients[[#This Row],[Part]],PartControl!$A$2:$E$564,5,FALSE)</f>
        <v>infasco</v>
      </c>
      <c r="Y95" s="108">
        <f>IF(OtherClients[[#This Row],[Re-certified or New]]&lt;&gt;"Re-certified",IF(OtherClients[[#This Row],[Client]]="infasco",VLOOKUP(OtherClients[[#This Row],[Part]],PartControl!$A$2:$E$564,2,FALSE),OtherClients[[#This Row],[Total Quantity]]*VLOOKUP(OtherClients[[#This Row],[Part]],PartControl!$A$2:$E$564,2,FALSE)),0)</f>
        <v>0</v>
      </c>
      <c r="Z95" s="108">
        <f>IF(OtherClients[[#This Row],[Re-certified or New]]&lt;&gt;"Re-certified",IF(OtherClients[[#This Row],[Client]]="infasco",VLOOKUP(OtherClients[[#This Row],[Part]],PartControl!$A$2:$E$564,2,FALSE),OtherClients[[#This Row],[Total Quantity]]*VLOOKUP(OtherClients[[#This Row],[Part]],PartControl!$A$2:$E$564,2,FALSE)),0)</f>
        <v>0</v>
      </c>
    </row>
    <row r="96" spans="1:26" ht="25.15" hidden="1" customHeight="1" x14ac:dyDescent="0.25">
      <c r="A96" s="112">
        <v>46238.691782407404</v>
      </c>
      <c r="B96" s="5" t="s">
        <v>242</v>
      </c>
      <c r="C96" s="5" t="s">
        <v>306</v>
      </c>
      <c r="D96" s="5">
        <v>714471</v>
      </c>
      <c r="E96" s="33">
        <v>1</v>
      </c>
      <c r="F96" s="60">
        <f>46500-26000</f>
        <v>20500</v>
      </c>
      <c r="G96" s="60">
        <f>+OtherClients[[#This Row],[Boxes / Pieces]]*OtherClients[[#This Row],[Unit Quantity]]</f>
        <v>20500</v>
      </c>
      <c r="H96" s="60">
        <v>275</v>
      </c>
      <c r="I96" s="117" t="s">
        <v>278</v>
      </c>
      <c r="J96" s="118"/>
      <c r="K96" s="33" t="s">
        <v>278</v>
      </c>
      <c r="L96" s="116"/>
      <c r="M96" s="33" t="s">
        <v>278</v>
      </c>
      <c r="N96" s="116"/>
      <c r="O96" s="33" t="s">
        <v>278</v>
      </c>
      <c r="P96" s="116"/>
      <c r="Q96" s="33" t="s">
        <v>587</v>
      </c>
      <c r="R96" s="116"/>
      <c r="S96" s="33" t="s">
        <v>278</v>
      </c>
      <c r="T96" s="116"/>
      <c r="U96" s="33" t="s">
        <v>278</v>
      </c>
      <c r="V96" s="116"/>
      <c r="W96" s="59" t="s">
        <v>548</v>
      </c>
      <c r="X96" s="33" t="str">
        <f>+VLOOKUP(OtherClients[[#This Row],[Part]],PartControl!$A$2:$E$564,5,FALSE)</f>
        <v>INFASCO</v>
      </c>
      <c r="Y96" s="108">
        <f>IF(OtherClients[[#This Row],[Re-certified or New]]&lt;&gt;"Re-certified",IF(OtherClients[[#This Row],[Client]]="infasco",VLOOKUP(OtherClients[[#This Row],[Part]],PartControl!$A$2:$E$564,2,FALSE),OtherClients[[#This Row],[Total Quantity]]*VLOOKUP(OtherClients[[#This Row],[Part]],PartControl!$A$2:$E$564,2,FALSE)),0)</f>
        <v>129.44999999999999</v>
      </c>
      <c r="Z96" s="108">
        <f>IF(OtherClients[[#This Row],[Re-certified or New]]&lt;&gt;"Re-certified",IF(OtherClients[[#This Row],[Client]]="infasco",VLOOKUP(OtherClients[[#This Row],[Part]],PartControl!$A$2:$E$564,2,FALSE),OtherClients[[#This Row],[Total Quantity]]*VLOOKUP(OtherClients[[#This Row],[Part]],PartControl!$A$2:$E$564,2,FALSE)),0)</f>
        <v>129.44999999999999</v>
      </c>
    </row>
    <row r="97" spans="1:26" ht="25.15" hidden="1" customHeight="1" x14ac:dyDescent="0.25">
      <c r="A97" s="112">
        <v>46238.691782407404</v>
      </c>
      <c r="B97" s="5" t="s">
        <v>242</v>
      </c>
      <c r="C97" s="5">
        <v>11549170</v>
      </c>
      <c r="D97" s="5">
        <v>713845</v>
      </c>
      <c r="E97" s="33">
        <v>33</v>
      </c>
      <c r="F97" s="60">
        <v>400</v>
      </c>
      <c r="G97" s="60">
        <f>+OtherClients[[#This Row],[Boxes / Pieces]]*OtherClients[[#This Row],[Unit Quantity]]</f>
        <v>13200</v>
      </c>
      <c r="H97" s="60">
        <v>275</v>
      </c>
      <c r="I97" s="117" t="s">
        <v>278</v>
      </c>
      <c r="J97" s="118"/>
      <c r="K97" s="33" t="s">
        <v>278</v>
      </c>
      <c r="L97" s="116"/>
      <c r="M97" s="33" t="s">
        <v>278</v>
      </c>
      <c r="N97" s="116"/>
      <c r="O97" s="33" t="s">
        <v>278</v>
      </c>
      <c r="P97" s="116"/>
      <c r="Q97" s="33" t="s">
        <v>587</v>
      </c>
      <c r="R97" s="116"/>
      <c r="S97" s="33" t="s">
        <v>278</v>
      </c>
      <c r="T97" s="116"/>
      <c r="U97" s="33" t="s">
        <v>278</v>
      </c>
      <c r="V97" s="116"/>
      <c r="W97" s="59" t="s">
        <v>633</v>
      </c>
      <c r="X97" s="33" t="str">
        <f>+VLOOKUP(OtherClients[[#This Row],[Part]],PartControl!$A$2:$E$564,5,FALSE)</f>
        <v>INFASCO</v>
      </c>
      <c r="Y97" s="108">
        <f>IF(OtherClients[[#This Row],[Re-certified or New]]&lt;&gt;"Re-certified",IF(OtherClients[[#This Row],[Client]]="infasco",VLOOKUP(OtherClients[[#This Row],[Part]],PartControl!$A$2:$E$564,2,FALSE),OtherClients[[#This Row],[Total Quantity]]*VLOOKUP(OtherClients[[#This Row],[Part]],PartControl!$A$2:$E$564,2,FALSE)),0)</f>
        <v>0</v>
      </c>
      <c r="Z97" s="108">
        <f>IF(OtherClients[[#This Row],[Re-certified or New]]&lt;&gt;"Re-certified",IF(OtherClients[[#This Row],[Client]]="infasco",VLOOKUP(OtherClients[[#This Row],[Part]],PartControl!$A$2:$E$564,2,FALSE),OtherClients[[#This Row],[Total Quantity]]*VLOOKUP(OtherClients[[#This Row],[Part]],PartControl!$A$2:$E$564,2,FALSE)),0)</f>
        <v>0</v>
      </c>
    </row>
    <row r="98" spans="1:26" ht="25.15" hidden="1" customHeight="1" x14ac:dyDescent="0.25">
      <c r="A98" s="112">
        <v>46238.691782407404</v>
      </c>
      <c r="B98" s="5" t="s">
        <v>252</v>
      </c>
      <c r="C98" s="5">
        <v>11546389</v>
      </c>
      <c r="D98" s="5">
        <v>715609</v>
      </c>
      <c r="E98" s="33">
        <f>22-18</f>
        <v>4</v>
      </c>
      <c r="F98" s="60">
        <v>4500</v>
      </c>
      <c r="G98" s="60">
        <f>+OtherClients[[#This Row],[Boxes / Pieces]]*OtherClients[[#This Row],[Unit Quantity]]</f>
        <v>18000</v>
      </c>
      <c r="H98" s="60">
        <v>275</v>
      </c>
      <c r="I98" s="117" t="s">
        <v>278</v>
      </c>
      <c r="J98" s="118"/>
      <c r="K98" s="33" t="s">
        <v>278</v>
      </c>
      <c r="L98" s="116"/>
      <c r="M98" s="33" t="s">
        <v>278</v>
      </c>
      <c r="N98" s="116"/>
      <c r="O98" s="33" t="s">
        <v>278</v>
      </c>
      <c r="P98" s="116"/>
      <c r="Q98" s="33" t="s">
        <v>587</v>
      </c>
      <c r="R98" s="116"/>
      <c r="S98" s="33" t="s">
        <v>278</v>
      </c>
      <c r="T98" s="116"/>
      <c r="U98" s="33" t="s">
        <v>278</v>
      </c>
      <c r="V98" s="116"/>
      <c r="W98" s="59" t="s">
        <v>548</v>
      </c>
      <c r="X98" s="33" t="str">
        <f>+VLOOKUP(OtherClients[[#This Row],[Part]],PartControl!$A$2:$E$564,5,FALSE)</f>
        <v>INFASCO</v>
      </c>
      <c r="Y98" s="108">
        <f>IF(OtherClients[[#This Row],[Re-certified or New]]&lt;&gt;"Re-certified",IF(OtherClients[[#This Row],[Client]]="infasco",VLOOKUP(OtherClients[[#This Row],[Part]],PartControl!$A$2:$E$564,2,FALSE),OtherClients[[#This Row],[Total Quantity]]*VLOOKUP(OtherClients[[#This Row],[Part]],PartControl!$A$2:$E$564,2,FALSE)),0)</f>
        <v>106.94</v>
      </c>
      <c r="Z98" s="108">
        <f>IF(OtherClients[[#This Row],[Re-certified or New]]&lt;&gt;"Re-certified",IF(OtherClients[[#This Row],[Client]]="infasco",VLOOKUP(OtherClients[[#This Row],[Part]],PartControl!$A$2:$E$564,2,FALSE),OtherClients[[#This Row],[Total Quantity]]*VLOOKUP(OtherClients[[#This Row],[Part]],PartControl!$A$2:$E$564,2,FALSE)),0)</f>
        <v>106.94</v>
      </c>
    </row>
    <row r="99" spans="1:26" ht="25.15" hidden="1" customHeight="1" x14ac:dyDescent="0.25">
      <c r="A99" s="112">
        <v>46238.691782407404</v>
      </c>
      <c r="B99" s="5" t="s">
        <v>252</v>
      </c>
      <c r="C99" s="5" t="s">
        <v>859</v>
      </c>
      <c r="D99" s="5">
        <v>715611</v>
      </c>
      <c r="E99" s="33">
        <v>21</v>
      </c>
      <c r="F99" s="60">
        <v>3900</v>
      </c>
      <c r="G99" s="60">
        <f>+OtherClients[[#This Row],[Boxes / Pieces]]*OtherClients[[#This Row],[Unit Quantity]]</f>
        <v>81900</v>
      </c>
      <c r="H99" s="60">
        <v>275</v>
      </c>
      <c r="I99" s="117" t="s">
        <v>278</v>
      </c>
      <c r="J99" s="118"/>
      <c r="K99" s="33" t="s">
        <v>278</v>
      </c>
      <c r="L99" s="116"/>
      <c r="M99" s="33" t="s">
        <v>278</v>
      </c>
      <c r="N99" s="116"/>
      <c r="O99" s="33" t="s">
        <v>278</v>
      </c>
      <c r="P99" s="116"/>
      <c r="Q99" s="33" t="s">
        <v>587</v>
      </c>
      <c r="R99" s="116"/>
      <c r="S99" s="33" t="s">
        <v>278</v>
      </c>
      <c r="T99" s="116"/>
      <c r="U99" s="33" t="s">
        <v>278</v>
      </c>
      <c r="V99" s="116"/>
      <c r="W99" s="59" t="s">
        <v>548</v>
      </c>
      <c r="X99" s="33" t="str">
        <f>+VLOOKUP(OtherClients[[#This Row],[Part]],PartControl!$A$2:$E$564,5,FALSE)</f>
        <v>INFASCO</v>
      </c>
      <c r="Y99" s="108">
        <f>IF(OtherClients[[#This Row],[Re-certified or New]]&lt;&gt;"Re-certified",IF(OtherClients[[#This Row],[Client]]="infasco",VLOOKUP(OtherClients[[#This Row],[Part]],PartControl!$A$2:$E$564,2,FALSE),OtherClients[[#This Row],[Total Quantity]]*VLOOKUP(OtherClients[[#This Row],[Part]],PartControl!$A$2:$E$564,2,FALSE)),0)</f>
        <v>106.94</v>
      </c>
      <c r="Z99" s="108">
        <f>IF(OtherClients[[#This Row],[Re-certified or New]]&lt;&gt;"Re-certified",IF(OtherClients[[#This Row],[Client]]="infasco",VLOOKUP(OtherClients[[#This Row],[Part]],PartControl!$A$2:$E$564,2,FALSE),OtherClients[[#This Row],[Total Quantity]]*VLOOKUP(OtherClients[[#This Row],[Part]],PartControl!$A$2:$E$564,2,FALSE)),0)</f>
        <v>106.94</v>
      </c>
    </row>
    <row r="100" spans="1:26" ht="25.15" hidden="1" customHeight="1" x14ac:dyDescent="0.25">
      <c r="A100" s="112">
        <v>46238.691782407404</v>
      </c>
      <c r="B100" s="5" t="s">
        <v>232</v>
      </c>
      <c r="C100" s="5" t="s">
        <v>728</v>
      </c>
      <c r="D100" s="5">
        <v>714151</v>
      </c>
      <c r="E100" s="33">
        <f>72-44</f>
        <v>28</v>
      </c>
      <c r="F100" s="60">
        <v>1500</v>
      </c>
      <c r="G100" s="60">
        <f>+OtherClients[[#This Row],[Boxes / Pieces]]*OtherClients[[#This Row],[Unit Quantity]]</f>
        <v>42000</v>
      </c>
      <c r="H100" s="60">
        <v>275</v>
      </c>
      <c r="I100" s="117" t="s">
        <v>278</v>
      </c>
      <c r="J100" s="118"/>
      <c r="K100" s="33" t="s">
        <v>278</v>
      </c>
      <c r="L100" s="116"/>
      <c r="M100" s="33" t="s">
        <v>278</v>
      </c>
      <c r="N100" s="116"/>
      <c r="O100" s="33" t="s">
        <v>278</v>
      </c>
      <c r="P100" s="116"/>
      <c r="Q100" s="33" t="s">
        <v>587</v>
      </c>
      <c r="R100" s="116"/>
      <c r="S100" s="33" t="s">
        <v>278</v>
      </c>
      <c r="T100" s="116"/>
      <c r="U100" s="33" t="s">
        <v>278</v>
      </c>
      <c r="V100" s="116"/>
      <c r="W100" s="59" t="s">
        <v>548</v>
      </c>
      <c r="X100" s="33" t="str">
        <f>+VLOOKUP(OtherClients[[#This Row],[Part]],PartControl!$A$2:$E$564,5,FALSE)</f>
        <v>infasco</v>
      </c>
      <c r="Y100" s="108">
        <f>IF(OtherClients[[#This Row],[Re-certified or New]]&lt;&gt;"Re-certified",IF(OtherClients[[#This Row],[Client]]="infasco",VLOOKUP(OtherClients[[#This Row],[Part]],PartControl!$A$2:$E$564,2,FALSE),OtherClients[[#This Row],[Total Quantity]]*VLOOKUP(OtherClients[[#This Row],[Part]],PartControl!$A$2:$E$564,2,FALSE)),0)</f>
        <v>106.94</v>
      </c>
      <c r="Z100" s="108">
        <f>IF(OtherClients[[#This Row],[Re-certified or New]]&lt;&gt;"Re-certified",IF(OtherClients[[#This Row],[Client]]="infasco",VLOOKUP(OtherClients[[#This Row],[Part]],PartControl!$A$2:$E$564,2,FALSE),OtherClients[[#This Row],[Total Quantity]]*VLOOKUP(OtherClients[[#This Row],[Part]],PartControl!$A$2:$E$564,2,FALSE)),0)</f>
        <v>106.94</v>
      </c>
    </row>
    <row r="101" spans="1:26" ht="25.15" hidden="1" customHeight="1" x14ac:dyDescent="0.25">
      <c r="A101" s="112">
        <v>46238.691782407404</v>
      </c>
      <c r="B101" s="5" t="s">
        <v>232</v>
      </c>
      <c r="C101" s="5" t="s">
        <v>728</v>
      </c>
      <c r="D101" s="5">
        <v>714141</v>
      </c>
      <c r="E101" s="33">
        <v>41</v>
      </c>
      <c r="F101" s="60">
        <v>1500</v>
      </c>
      <c r="G101" s="60">
        <f>+OtherClients[[#This Row],[Boxes / Pieces]]*OtherClients[[#This Row],[Unit Quantity]]</f>
        <v>61500</v>
      </c>
      <c r="H101" s="60">
        <v>275</v>
      </c>
      <c r="I101" s="117" t="s">
        <v>278</v>
      </c>
      <c r="J101" s="118"/>
      <c r="K101" s="33" t="s">
        <v>278</v>
      </c>
      <c r="L101" s="116"/>
      <c r="M101" s="33" t="s">
        <v>278</v>
      </c>
      <c r="N101" s="116"/>
      <c r="O101" s="33" t="s">
        <v>278</v>
      </c>
      <c r="P101" s="116"/>
      <c r="Q101" s="33" t="s">
        <v>587</v>
      </c>
      <c r="R101" s="116"/>
      <c r="S101" s="33" t="s">
        <v>278</v>
      </c>
      <c r="T101" s="116"/>
      <c r="U101" s="33" t="s">
        <v>278</v>
      </c>
      <c r="V101" s="116"/>
      <c r="W101" s="59" t="s">
        <v>633</v>
      </c>
      <c r="X101" s="33" t="str">
        <f>+VLOOKUP(OtherClients[[#This Row],[Part]],PartControl!$A$2:$E$564,5,FALSE)</f>
        <v>infasco</v>
      </c>
      <c r="Y101" s="108">
        <f>IF(OtherClients[[#This Row],[Re-certified or New]]&lt;&gt;"Re-certified",IF(OtherClients[[#This Row],[Client]]="infasco",VLOOKUP(OtherClients[[#This Row],[Part]],PartControl!$A$2:$E$564,2,FALSE),OtherClients[[#This Row],[Total Quantity]]*VLOOKUP(OtherClients[[#This Row],[Part]],PartControl!$A$2:$E$564,2,FALSE)),0)</f>
        <v>0</v>
      </c>
      <c r="Z101" s="108">
        <f>IF(OtherClients[[#This Row],[Re-certified or New]]&lt;&gt;"Re-certified",IF(OtherClients[[#This Row],[Client]]="infasco",VLOOKUP(OtherClients[[#This Row],[Part]],PartControl!$A$2:$E$564,2,FALSE),OtherClients[[#This Row],[Total Quantity]]*VLOOKUP(OtherClients[[#This Row],[Part]],PartControl!$A$2:$E$564,2,FALSE)),0)</f>
        <v>0</v>
      </c>
    </row>
    <row r="102" spans="1:26" ht="25.15" hidden="1" customHeight="1" x14ac:dyDescent="0.25">
      <c r="A102" s="112">
        <v>46238.691782407404</v>
      </c>
      <c r="B102" s="5" t="s">
        <v>233</v>
      </c>
      <c r="C102" s="5">
        <v>11546377</v>
      </c>
      <c r="D102" s="5">
        <v>714313</v>
      </c>
      <c r="E102" s="33">
        <f>36+8-20</f>
        <v>24</v>
      </c>
      <c r="F102" s="60">
        <v>2150</v>
      </c>
      <c r="G102" s="60">
        <f>+OtherClients[[#This Row],[Boxes / Pieces]]*OtherClients[[#This Row],[Unit Quantity]]</f>
        <v>51600</v>
      </c>
      <c r="H102" s="60">
        <v>275</v>
      </c>
      <c r="I102" s="117" t="s">
        <v>278</v>
      </c>
      <c r="J102" s="118"/>
      <c r="K102" s="33" t="s">
        <v>278</v>
      </c>
      <c r="L102" s="116"/>
      <c r="M102" s="33" t="s">
        <v>278</v>
      </c>
      <c r="N102" s="116"/>
      <c r="O102" s="33" t="s">
        <v>278</v>
      </c>
      <c r="P102" s="116"/>
      <c r="Q102" s="33" t="s">
        <v>587</v>
      </c>
      <c r="R102" s="116"/>
      <c r="S102" s="33" t="s">
        <v>278</v>
      </c>
      <c r="T102" s="116"/>
      <c r="U102" s="33" t="s">
        <v>278</v>
      </c>
      <c r="V102" s="116"/>
      <c r="W102" s="59" t="s">
        <v>548</v>
      </c>
      <c r="X102" s="33" t="str">
        <f>+VLOOKUP(OtherClients[[#This Row],[Part]],PartControl!$A$2:$E$564,5,FALSE)</f>
        <v>INFASCO</v>
      </c>
      <c r="Y102" s="108">
        <f>IF(OtherClients[[#This Row],[Re-certified or New]]&lt;&gt;"Re-certified",IF(OtherClients[[#This Row],[Client]]="infasco",VLOOKUP(OtherClients[[#This Row],[Part]],PartControl!$A$2:$E$564,2,FALSE),OtherClients[[#This Row],[Total Quantity]]*VLOOKUP(OtherClients[[#This Row],[Part]],PartControl!$A$2:$E$564,2,FALSE)),0)</f>
        <v>106.94</v>
      </c>
      <c r="Z102" s="108">
        <f>IF(OtherClients[[#This Row],[Re-certified or New]]&lt;&gt;"Re-certified",IF(OtherClients[[#This Row],[Client]]="infasco",VLOOKUP(OtherClients[[#This Row],[Part]],PartControl!$A$2:$E$564,2,FALSE),OtherClients[[#This Row],[Total Quantity]]*VLOOKUP(OtherClients[[#This Row],[Part]],PartControl!$A$2:$E$564,2,FALSE)),0)</f>
        <v>106.94</v>
      </c>
    </row>
    <row r="103" spans="1:26" ht="25.15" hidden="1" customHeight="1" x14ac:dyDescent="0.25">
      <c r="A103" s="112">
        <v>46238.691782407404</v>
      </c>
      <c r="B103" s="5" t="s">
        <v>233</v>
      </c>
      <c r="C103" s="5">
        <v>11546456</v>
      </c>
      <c r="D103" s="5">
        <v>715619</v>
      </c>
      <c r="E103" s="33">
        <v>11</v>
      </c>
      <c r="F103" s="60">
        <v>2700</v>
      </c>
      <c r="G103" s="60">
        <f>+OtherClients[[#This Row],[Boxes / Pieces]]*OtherClients[[#This Row],[Unit Quantity]]</f>
        <v>29700</v>
      </c>
      <c r="H103" s="60">
        <v>275</v>
      </c>
      <c r="I103" s="117" t="s">
        <v>278</v>
      </c>
      <c r="J103" s="118"/>
      <c r="K103" s="33" t="s">
        <v>278</v>
      </c>
      <c r="L103" s="116"/>
      <c r="M103" s="33" t="s">
        <v>278</v>
      </c>
      <c r="N103" s="116"/>
      <c r="O103" s="33" t="s">
        <v>278</v>
      </c>
      <c r="P103" s="116"/>
      <c r="Q103" s="33" t="s">
        <v>587</v>
      </c>
      <c r="R103" s="116"/>
      <c r="S103" s="33" t="s">
        <v>278</v>
      </c>
      <c r="T103" s="116"/>
      <c r="U103" s="33" t="s">
        <v>278</v>
      </c>
      <c r="V103" s="116"/>
      <c r="W103" s="59" t="s">
        <v>633</v>
      </c>
      <c r="X103" s="33" t="str">
        <f>+VLOOKUP(OtherClients[[#This Row],[Part]],PartControl!$A$2:$E$564,5,FALSE)</f>
        <v>INFASCO</v>
      </c>
      <c r="Y103" s="108">
        <f>IF(OtherClients[[#This Row],[Re-certified or New]]&lt;&gt;"Re-certified",IF(OtherClients[[#This Row],[Client]]="infasco",VLOOKUP(OtherClients[[#This Row],[Part]],PartControl!$A$2:$E$564,2,FALSE),OtherClients[[#This Row],[Total Quantity]]*VLOOKUP(OtherClients[[#This Row],[Part]],PartControl!$A$2:$E$564,2,FALSE)),0)</f>
        <v>0</v>
      </c>
      <c r="Z103" s="108">
        <f>IF(OtherClients[[#This Row],[Re-certified or New]]&lt;&gt;"Re-certified",IF(OtherClients[[#This Row],[Client]]="infasco",VLOOKUP(OtherClients[[#This Row],[Part]],PartControl!$A$2:$E$564,2,FALSE),OtherClients[[#This Row],[Total Quantity]]*VLOOKUP(OtherClients[[#This Row],[Part]],PartControl!$A$2:$E$564,2,FALSE)),0)</f>
        <v>0</v>
      </c>
    </row>
    <row r="104" spans="1:26" ht="25.15" hidden="1" customHeight="1" x14ac:dyDescent="0.25">
      <c r="A104" s="112">
        <v>46238.691782407404</v>
      </c>
      <c r="B104" s="5" t="s">
        <v>238</v>
      </c>
      <c r="C104" s="5">
        <v>11549170</v>
      </c>
      <c r="D104" s="5">
        <v>713828</v>
      </c>
      <c r="E104" s="33">
        <f>36-12</f>
        <v>24</v>
      </c>
      <c r="F104" s="60">
        <v>400</v>
      </c>
      <c r="G104" s="60">
        <f>+OtherClients[[#This Row],[Boxes / Pieces]]*OtherClients[[#This Row],[Unit Quantity]]</f>
        <v>9600</v>
      </c>
      <c r="H104" s="60">
        <v>275</v>
      </c>
      <c r="I104" s="117" t="s">
        <v>278</v>
      </c>
      <c r="J104" s="118"/>
      <c r="K104" s="33" t="s">
        <v>278</v>
      </c>
      <c r="L104" s="116"/>
      <c r="M104" s="33" t="s">
        <v>278</v>
      </c>
      <c r="N104" s="116"/>
      <c r="O104" s="33" t="s">
        <v>278</v>
      </c>
      <c r="P104" s="116"/>
      <c r="Q104" s="33" t="s">
        <v>587</v>
      </c>
      <c r="R104" s="116"/>
      <c r="S104" s="33" t="s">
        <v>278</v>
      </c>
      <c r="T104" s="116"/>
      <c r="U104" s="33" t="s">
        <v>278</v>
      </c>
      <c r="V104" s="116"/>
      <c r="W104" s="59" t="s">
        <v>548</v>
      </c>
      <c r="X104" s="33" t="str">
        <f>+VLOOKUP(OtherClients[[#This Row],[Part]],PartControl!$A$2:$E$564,5,FALSE)</f>
        <v>INFASCO</v>
      </c>
      <c r="Y104" s="108">
        <f>IF(OtherClients[[#This Row],[Re-certified or New]]&lt;&gt;"Re-certified",IF(OtherClients[[#This Row],[Client]]="infasco",VLOOKUP(OtherClients[[#This Row],[Part]],PartControl!$A$2:$E$564,2,FALSE),OtherClients[[#This Row],[Total Quantity]]*VLOOKUP(OtherClients[[#This Row],[Part]],PartControl!$A$2:$E$564,2,FALSE)),0)</f>
        <v>106.94</v>
      </c>
      <c r="Z104" s="108">
        <f>IF(OtherClients[[#This Row],[Re-certified or New]]&lt;&gt;"Re-certified",IF(OtherClients[[#This Row],[Client]]="infasco",VLOOKUP(OtherClients[[#This Row],[Part]],PartControl!$A$2:$E$564,2,FALSE),OtherClients[[#This Row],[Total Quantity]]*VLOOKUP(OtherClients[[#This Row],[Part]],PartControl!$A$2:$E$564,2,FALSE)),0)</f>
        <v>106.94</v>
      </c>
    </row>
    <row r="105" spans="1:26" ht="25.15" hidden="1" customHeight="1" x14ac:dyDescent="0.25">
      <c r="A105" s="112">
        <v>46238.691782407404</v>
      </c>
      <c r="B105" s="5" t="s">
        <v>238</v>
      </c>
      <c r="C105" s="5">
        <v>11549170</v>
      </c>
      <c r="D105" s="5">
        <v>713830</v>
      </c>
      <c r="E105" s="33">
        <v>36</v>
      </c>
      <c r="F105" s="60">
        <v>400</v>
      </c>
      <c r="G105" s="60">
        <f>+OtherClients[[#This Row],[Boxes / Pieces]]*OtherClients[[#This Row],[Unit Quantity]]</f>
        <v>14400</v>
      </c>
      <c r="H105" s="60">
        <v>275</v>
      </c>
      <c r="I105" s="117" t="s">
        <v>278</v>
      </c>
      <c r="J105" s="118"/>
      <c r="K105" s="33" t="s">
        <v>278</v>
      </c>
      <c r="L105" s="116"/>
      <c r="M105" s="33" t="s">
        <v>278</v>
      </c>
      <c r="N105" s="116"/>
      <c r="O105" s="33" t="s">
        <v>278</v>
      </c>
      <c r="P105" s="116"/>
      <c r="Q105" s="33" t="s">
        <v>587</v>
      </c>
      <c r="R105" s="116"/>
      <c r="S105" s="33" t="s">
        <v>278</v>
      </c>
      <c r="T105" s="116"/>
      <c r="U105" s="33" t="s">
        <v>278</v>
      </c>
      <c r="V105" s="116"/>
      <c r="W105" s="59" t="s">
        <v>548</v>
      </c>
      <c r="X105" s="33" t="str">
        <f>+VLOOKUP(OtherClients[[#This Row],[Part]],PartControl!$A$2:$E$564,5,FALSE)</f>
        <v>INFASCO</v>
      </c>
      <c r="Y105" s="108">
        <f>IF(OtherClients[[#This Row],[Re-certified or New]]&lt;&gt;"Re-certified",IF(OtherClients[[#This Row],[Client]]="infasco",VLOOKUP(OtherClients[[#This Row],[Part]],PartControl!$A$2:$E$564,2,FALSE),OtherClients[[#This Row],[Total Quantity]]*VLOOKUP(OtherClients[[#This Row],[Part]],PartControl!$A$2:$E$564,2,FALSE)),0)</f>
        <v>106.94</v>
      </c>
      <c r="Z105" s="108">
        <f>IF(OtherClients[[#This Row],[Re-certified or New]]&lt;&gt;"Re-certified",IF(OtherClients[[#This Row],[Client]]="infasco",VLOOKUP(OtherClients[[#This Row],[Part]],PartControl!$A$2:$E$564,2,FALSE),OtherClients[[#This Row],[Total Quantity]]*VLOOKUP(OtherClients[[#This Row],[Part]],PartControl!$A$2:$E$564,2,FALSE)),0)</f>
        <v>106.94</v>
      </c>
    </row>
    <row r="106" spans="1:26" ht="25.15" hidden="1" customHeight="1" x14ac:dyDescent="0.25">
      <c r="A106" s="112">
        <v>46238.691782407404</v>
      </c>
      <c r="B106" s="5" t="s">
        <v>238</v>
      </c>
      <c r="C106" s="5">
        <v>11549170</v>
      </c>
      <c r="D106" s="5">
        <v>713848</v>
      </c>
      <c r="E106" s="33">
        <v>15</v>
      </c>
      <c r="F106" s="60">
        <v>400</v>
      </c>
      <c r="G106" s="60">
        <f>+OtherClients[[#This Row],[Boxes / Pieces]]*OtherClients[[#This Row],[Unit Quantity]]</f>
        <v>6000</v>
      </c>
      <c r="H106" s="60">
        <v>275</v>
      </c>
      <c r="I106" s="117" t="s">
        <v>278</v>
      </c>
      <c r="J106" s="118"/>
      <c r="K106" s="33" t="s">
        <v>278</v>
      </c>
      <c r="L106" s="116"/>
      <c r="M106" s="33" t="s">
        <v>278</v>
      </c>
      <c r="N106" s="116"/>
      <c r="O106" s="33" t="s">
        <v>278</v>
      </c>
      <c r="P106" s="116"/>
      <c r="Q106" s="33" t="s">
        <v>587</v>
      </c>
      <c r="R106" s="116"/>
      <c r="S106" s="33" t="s">
        <v>278</v>
      </c>
      <c r="T106" s="116"/>
      <c r="U106" s="33" t="s">
        <v>278</v>
      </c>
      <c r="V106" s="116"/>
      <c r="W106" s="59" t="s">
        <v>633</v>
      </c>
      <c r="X106" s="33" t="str">
        <f>+VLOOKUP(OtherClients[[#This Row],[Part]],PartControl!$A$2:$E$564,5,FALSE)</f>
        <v>INFASCO</v>
      </c>
      <c r="Y106" s="108">
        <f>IF(OtherClients[[#This Row],[Re-certified or New]]&lt;&gt;"Re-certified",IF(OtherClients[[#This Row],[Client]]="infasco",VLOOKUP(OtherClients[[#This Row],[Part]],PartControl!$A$2:$E$564,2,FALSE),OtherClients[[#This Row],[Total Quantity]]*VLOOKUP(OtherClients[[#This Row],[Part]],PartControl!$A$2:$E$564,2,FALSE)),0)</f>
        <v>0</v>
      </c>
      <c r="Z106" s="108">
        <f>IF(OtherClients[[#This Row],[Re-certified or New]]&lt;&gt;"Re-certified",IF(OtherClients[[#This Row],[Client]]="infasco",VLOOKUP(OtherClients[[#This Row],[Part]],PartControl!$A$2:$E$564,2,FALSE),OtherClients[[#This Row],[Total Quantity]]*VLOOKUP(OtherClients[[#This Row],[Part]],PartControl!$A$2:$E$564,2,FALSE)),0)</f>
        <v>0</v>
      </c>
    </row>
    <row r="107" spans="1:26" ht="25.15" hidden="1" customHeight="1" x14ac:dyDescent="0.25">
      <c r="A107" s="112">
        <v>46238.691782407404</v>
      </c>
      <c r="B107" s="5" t="s">
        <v>357</v>
      </c>
      <c r="C107" s="5" t="s">
        <v>728</v>
      </c>
      <c r="D107" s="5">
        <v>714148</v>
      </c>
      <c r="E107" s="33">
        <f>36-15</f>
        <v>21</v>
      </c>
      <c r="F107" s="60">
        <v>1500</v>
      </c>
      <c r="G107" s="60">
        <f>+OtherClients[[#This Row],[Boxes / Pieces]]*OtherClients[[#This Row],[Unit Quantity]]</f>
        <v>31500</v>
      </c>
      <c r="H107" s="60">
        <v>280</v>
      </c>
      <c r="I107" s="117" t="s">
        <v>278</v>
      </c>
      <c r="J107" s="118"/>
      <c r="K107" s="33" t="s">
        <v>278</v>
      </c>
      <c r="L107" s="116"/>
      <c r="M107" s="33" t="s">
        <v>278</v>
      </c>
      <c r="N107" s="116"/>
      <c r="O107" s="33" t="s">
        <v>278</v>
      </c>
      <c r="P107" s="116"/>
      <c r="Q107" s="33" t="s">
        <v>587</v>
      </c>
      <c r="R107" s="116"/>
      <c r="S107" s="33" t="s">
        <v>278</v>
      </c>
      <c r="T107" s="116"/>
      <c r="U107" s="33" t="s">
        <v>278</v>
      </c>
      <c r="V107" s="116"/>
      <c r="W107" s="59" t="s">
        <v>548</v>
      </c>
      <c r="X107" s="33" t="str">
        <f>+VLOOKUP(OtherClients[[#This Row],[Part]],PartControl!$A$2:$E$564,5,FALSE)</f>
        <v>infasco</v>
      </c>
      <c r="Y107" s="108">
        <f>IF(OtherClients[[#This Row],[Re-certified or New]]&lt;&gt;"Re-certified",IF(OtherClients[[#This Row],[Client]]="infasco",VLOOKUP(OtherClients[[#This Row],[Part]],PartControl!$A$2:$E$564,2,FALSE),OtherClients[[#This Row],[Total Quantity]]*VLOOKUP(OtherClients[[#This Row],[Part]],PartControl!$A$2:$E$564,2,FALSE)),0)</f>
        <v>106.94</v>
      </c>
      <c r="Z107" s="108">
        <f>IF(OtherClients[[#This Row],[Re-certified or New]]&lt;&gt;"Re-certified",IF(OtherClients[[#This Row],[Client]]="infasco",VLOOKUP(OtherClients[[#This Row],[Part]],PartControl!$A$2:$E$564,2,FALSE),OtherClients[[#This Row],[Total Quantity]]*VLOOKUP(OtherClients[[#This Row],[Part]],PartControl!$A$2:$E$564,2,FALSE)),0)</f>
        <v>106.94</v>
      </c>
    </row>
    <row r="108" spans="1:26" ht="25.15" hidden="1" customHeight="1" x14ac:dyDescent="0.25">
      <c r="A108" s="112">
        <v>46238.691782407404</v>
      </c>
      <c r="B108" s="5" t="s">
        <v>357</v>
      </c>
      <c r="C108" s="5" t="s">
        <v>728</v>
      </c>
      <c r="D108" s="5">
        <v>714140</v>
      </c>
      <c r="E108" s="33">
        <v>60</v>
      </c>
      <c r="F108" s="60">
        <v>1500</v>
      </c>
      <c r="G108" s="60">
        <f>+OtherClients[[#This Row],[Boxes / Pieces]]*OtherClients[[#This Row],[Unit Quantity]]</f>
        <v>90000</v>
      </c>
      <c r="H108" s="60">
        <v>280</v>
      </c>
      <c r="I108" s="117" t="s">
        <v>278</v>
      </c>
      <c r="J108" s="118"/>
      <c r="K108" s="33" t="s">
        <v>278</v>
      </c>
      <c r="L108" s="116"/>
      <c r="M108" s="33" t="s">
        <v>278</v>
      </c>
      <c r="N108" s="116"/>
      <c r="O108" s="33" t="s">
        <v>278</v>
      </c>
      <c r="P108" s="116"/>
      <c r="Q108" s="33" t="s">
        <v>587</v>
      </c>
      <c r="R108" s="116"/>
      <c r="S108" s="33" t="s">
        <v>278</v>
      </c>
      <c r="T108" s="116"/>
      <c r="U108" s="33" t="s">
        <v>278</v>
      </c>
      <c r="V108" s="116"/>
      <c r="W108" s="59" t="s">
        <v>633</v>
      </c>
      <c r="X108" s="33" t="str">
        <f>+VLOOKUP(OtherClients[[#This Row],[Part]],PartControl!$A$2:$E$564,5,FALSE)</f>
        <v>infasco</v>
      </c>
      <c r="Y108" s="108">
        <f>IF(OtherClients[[#This Row],[Re-certified or New]]&lt;&gt;"Re-certified",IF(OtherClients[[#This Row],[Client]]="infasco",VLOOKUP(OtherClients[[#This Row],[Part]],PartControl!$A$2:$E$564,2,FALSE),OtherClients[[#This Row],[Total Quantity]]*VLOOKUP(OtherClients[[#This Row],[Part]],PartControl!$A$2:$E$564,2,FALSE)),0)</f>
        <v>0</v>
      </c>
      <c r="Z108" s="108">
        <f>IF(OtherClients[[#This Row],[Re-certified or New]]&lt;&gt;"Re-certified",IF(OtherClients[[#This Row],[Client]]="infasco",VLOOKUP(OtherClients[[#This Row],[Part]],PartControl!$A$2:$E$564,2,FALSE),OtherClients[[#This Row],[Total Quantity]]*VLOOKUP(OtherClients[[#This Row],[Part]],PartControl!$A$2:$E$564,2,FALSE)),0)</f>
        <v>0</v>
      </c>
    </row>
    <row r="109" spans="1:26" ht="25.15" hidden="1" customHeight="1" x14ac:dyDescent="0.25">
      <c r="A109" s="112">
        <v>46238.691782407404</v>
      </c>
      <c r="B109" s="5" t="s">
        <v>636</v>
      </c>
      <c r="C109" s="5" t="s">
        <v>645</v>
      </c>
      <c r="D109" s="5">
        <v>714514</v>
      </c>
      <c r="E109" s="33">
        <v>13</v>
      </c>
      <c r="F109" s="60">
        <v>1000</v>
      </c>
      <c r="G109" s="60">
        <f>+OtherClients[[#This Row],[Boxes / Pieces]]*OtherClients[[#This Row],[Unit Quantity]]</f>
        <v>13000</v>
      </c>
      <c r="H109" s="60">
        <v>280</v>
      </c>
      <c r="I109" s="117" t="s">
        <v>278</v>
      </c>
      <c r="J109" s="118"/>
      <c r="K109" s="33" t="s">
        <v>278</v>
      </c>
      <c r="L109" s="116"/>
      <c r="M109" s="33" t="s">
        <v>278</v>
      </c>
      <c r="N109" s="116"/>
      <c r="O109" s="33" t="s">
        <v>278</v>
      </c>
      <c r="P109" s="116"/>
      <c r="Q109" s="33" t="s">
        <v>587</v>
      </c>
      <c r="R109" s="116"/>
      <c r="S109" s="33" t="s">
        <v>278</v>
      </c>
      <c r="T109" s="116"/>
      <c r="U109" s="33" t="s">
        <v>278</v>
      </c>
      <c r="V109" s="116"/>
      <c r="W109" s="59" t="s">
        <v>548</v>
      </c>
      <c r="X109" s="33" t="str">
        <f>+VLOOKUP(OtherClients[[#This Row],[Part]],PartControl!$A$2:$E$564,5,FALSE)</f>
        <v>infasco</v>
      </c>
      <c r="Y109" s="108">
        <f>IF(OtherClients[[#This Row],[Re-certified or New]]&lt;&gt;"Re-certified",IF(OtherClients[[#This Row],[Client]]="infasco",VLOOKUP(OtherClients[[#This Row],[Part]],PartControl!$A$2:$E$564,2,FALSE),OtherClients[[#This Row],[Total Quantity]]*VLOOKUP(OtherClients[[#This Row],[Part]],PartControl!$A$2:$E$564,2,FALSE)),0)</f>
        <v>106.94</v>
      </c>
      <c r="Z109" s="108">
        <f>IF(OtherClients[[#This Row],[Re-certified or New]]&lt;&gt;"Re-certified",IF(OtherClients[[#This Row],[Client]]="infasco",VLOOKUP(OtherClients[[#This Row],[Part]],PartControl!$A$2:$E$564,2,FALSE),OtherClients[[#This Row],[Total Quantity]]*VLOOKUP(OtherClients[[#This Row],[Part]],PartControl!$A$2:$E$564,2,FALSE)),0)</f>
        <v>106.94</v>
      </c>
    </row>
    <row r="110" spans="1:26" ht="25.15" hidden="1" customHeight="1" x14ac:dyDescent="0.25">
      <c r="A110" s="112">
        <v>46238.691782407404</v>
      </c>
      <c r="B110" s="5" t="s">
        <v>636</v>
      </c>
      <c r="C110" s="5">
        <v>11546367</v>
      </c>
      <c r="D110" s="5">
        <v>714552</v>
      </c>
      <c r="E110" s="33">
        <v>28</v>
      </c>
      <c r="F110" s="60">
        <v>700</v>
      </c>
      <c r="G110" s="60">
        <f>+OtherClients[[#This Row],[Boxes / Pieces]]*OtherClients[[#This Row],[Unit Quantity]]</f>
        <v>19600</v>
      </c>
      <c r="H110" s="60">
        <v>280</v>
      </c>
      <c r="I110" s="117" t="s">
        <v>278</v>
      </c>
      <c r="J110" s="118"/>
      <c r="K110" s="33" t="s">
        <v>278</v>
      </c>
      <c r="L110" s="116"/>
      <c r="M110" s="33" t="s">
        <v>278</v>
      </c>
      <c r="N110" s="116"/>
      <c r="O110" s="33" t="s">
        <v>278</v>
      </c>
      <c r="P110" s="116"/>
      <c r="Q110" s="33" t="s">
        <v>587</v>
      </c>
      <c r="R110" s="116"/>
      <c r="S110" s="33" t="s">
        <v>278</v>
      </c>
      <c r="T110" s="116"/>
      <c r="U110" s="33" t="s">
        <v>278</v>
      </c>
      <c r="V110" s="116"/>
      <c r="W110" s="59" t="s">
        <v>633</v>
      </c>
      <c r="X110" s="33" t="str">
        <f>+VLOOKUP(OtherClients[[#This Row],[Part]],PartControl!$A$2:$E$564,5,FALSE)</f>
        <v>infasco</v>
      </c>
      <c r="Y110" s="108">
        <f>IF(OtherClients[[#This Row],[Re-certified or New]]&lt;&gt;"Re-certified",IF(OtherClients[[#This Row],[Client]]="infasco",VLOOKUP(OtherClients[[#This Row],[Part]],PartControl!$A$2:$E$564,2,FALSE),OtherClients[[#This Row],[Total Quantity]]*VLOOKUP(OtherClients[[#This Row],[Part]],PartControl!$A$2:$E$564,2,FALSE)),0)</f>
        <v>0</v>
      </c>
      <c r="Z110" s="108">
        <f>IF(OtherClients[[#This Row],[Re-certified or New]]&lt;&gt;"Re-certified",IF(OtherClients[[#This Row],[Client]]="infasco",VLOOKUP(OtherClients[[#This Row],[Part]],PartControl!$A$2:$E$564,2,FALSE),OtherClients[[#This Row],[Total Quantity]]*VLOOKUP(OtherClients[[#This Row],[Part]],PartControl!$A$2:$E$564,2,FALSE)),0)</f>
        <v>0</v>
      </c>
    </row>
    <row r="111" spans="1:26" ht="25.15" hidden="1" customHeight="1" x14ac:dyDescent="0.25">
      <c r="A111" s="112">
        <v>46238.691782407404</v>
      </c>
      <c r="B111" s="5" t="s">
        <v>637</v>
      </c>
      <c r="C111" s="5" t="s">
        <v>728</v>
      </c>
      <c r="D111" s="5">
        <v>714147</v>
      </c>
      <c r="E111" s="33">
        <f>36-20</f>
        <v>16</v>
      </c>
      <c r="F111" s="60">
        <v>1500</v>
      </c>
      <c r="G111" s="60">
        <f>+OtherClients[[#This Row],[Boxes / Pieces]]*OtherClients[[#This Row],[Unit Quantity]]</f>
        <v>24000</v>
      </c>
      <c r="H111" s="60">
        <v>280</v>
      </c>
      <c r="I111" s="117" t="s">
        <v>278</v>
      </c>
      <c r="J111" s="118"/>
      <c r="K111" s="33" t="s">
        <v>278</v>
      </c>
      <c r="L111" s="116"/>
      <c r="M111" s="33" t="s">
        <v>278</v>
      </c>
      <c r="N111" s="116"/>
      <c r="O111" s="33" t="s">
        <v>278</v>
      </c>
      <c r="P111" s="116"/>
      <c r="Q111" s="33" t="s">
        <v>587</v>
      </c>
      <c r="R111" s="116"/>
      <c r="S111" s="33" t="s">
        <v>278</v>
      </c>
      <c r="T111" s="116"/>
      <c r="U111" s="33" t="s">
        <v>278</v>
      </c>
      <c r="V111" s="116"/>
      <c r="W111" s="59" t="s">
        <v>548</v>
      </c>
      <c r="X111" s="33" t="str">
        <f>+VLOOKUP(OtherClients[[#This Row],[Part]],PartControl!$A$2:$E$564,5,FALSE)</f>
        <v>infasco</v>
      </c>
      <c r="Y111" s="108">
        <f>IF(OtherClients[[#This Row],[Re-certified or New]]&lt;&gt;"Re-certified",IF(OtherClients[[#This Row],[Client]]="infasco",VLOOKUP(OtherClients[[#This Row],[Part]],PartControl!$A$2:$E$564,2,FALSE),OtherClients[[#This Row],[Total Quantity]]*VLOOKUP(OtherClients[[#This Row],[Part]],PartControl!$A$2:$E$564,2,FALSE)),0)</f>
        <v>106.94</v>
      </c>
      <c r="Z111" s="108">
        <f>IF(OtherClients[[#This Row],[Re-certified or New]]&lt;&gt;"Re-certified",IF(OtherClients[[#This Row],[Client]]="infasco",VLOOKUP(OtherClients[[#This Row],[Part]],PartControl!$A$2:$E$564,2,FALSE),OtherClients[[#This Row],[Total Quantity]]*VLOOKUP(OtherClients[[#This Row],[Part]],PartControl!$A$2:$E$564,2,FALSE)),0)</f>
        <v>106.94</v>
      </c>
    </row>
    <row r="112" spans="1:26" ht="25.15" hidden="1" customHeight="1" x14ac:dyDescent="0.25">
      <c r="A112" s="112">
        <v>46238.691782407404</v>
      </c>
      <c r="B112" s="5" t="s">
        <v>637</v>
      </c>
      <c r="C112" s="5" t="s">
        <v>728</v>
      </c>
      <c r="D112" s="5">
        <v>714143</v>
      </c>
      <c r="E112" s="33">
        <v>58</v>
      </c>
      <c r="F112" s="60">
        <v>1500</v>
      </c>
      <c r="G112" s="60">
        <f>+OtherClients[[#This Row],[Boxes / Pieces]]*OtherClients[[#This Row],[Unit Quantity]]</f>
        <v>87000</v>
      </c>
      <c r="H112" s="60">
        <v>280</v>
      </c>
      <c r="I112" s="117" t="s">
        <v>278</v>
      </c>
      <c r="J112" s="118"/>
      <c r="K112" s="33" t="s">
        <v>278</v>
      </c>
      <c r="L112" s="116"/>
      <c r="M112" s="33" t="s">
        <v>278</v>
      </c>
      <c r="N112" s="116"/>
      <c r="O112" s="33" t="s">
        <v>278</v>
      </c>
      <c r="P112" s="116"/>
      <c r="Q112" s="33" t="s">
        <v>587</v>
      </c>
      <c r="R112" s="116"/>
      <c r="S112" s="33" t="s">
        <v>278</v>
      </c>
      <c r="T112" s="116"/>
      <c r="U112" s="33" t="s">
        <v>278</v>
      </c>
      <c r="V112" s="116"/>
      <c r="W112" s="59" t="s">
        <v>548</v>
      </c>
      <c r="X112" s="33" t="str">
        <f>+VLOOKUP(OtherClients[[#This Row],[Part]],PartControl!$A$2:$E$564,5,FALSE)</f>
        <v>infasco</v>
      </c>
      <c r="Y112" s="108">
        <f>IF(OtherClients[[#This Row],[Re-certified or New]]&lt;&gt;"Re-certified",IF(OtherClients[[#This Row],[Client]]="infasco",VLOOKUP(OtherClients[[#This Row],[Part]],PartControl!$A$2:$E$564,2,FALSE),OtherClients[[#This Row],[Total Quantity]]*VLOOKUP(OtherClients[[#This Row],[Part]],PartControl!$A$2:$E$564,2,FALSE)),0)</f>
        <v>106.94</v>
      </c>
      <c r="Z112" s="108">
        <f>IF(OtherClients[[#This Row],[Re-certified or New]]&lt;&gt;"Re-certified",IF(OtherClients[[#This Row],[Client]]="infasco",VLOOKUP(OtherClients[[#This Row],[Part]],PartControl!$A$2:$E$564,2,FALSE),OtherClients[[#This Row],[Total Quantity]]*VLOOKUP(OtherClients[[#This Row],[Part]],PartControl!$A$2:$E$564,2,FALSE)),0)</f>
        <v>106.94</v>
      </c>
    </row>
    <row r="113" spans="1:26" ht="25.15" hidden="1" customHeight="1" x14ac:dyDescent="0.25">
      <c r="A113" s="112">
        <v>46238.691782407404</v>
      </c>
      <c r="B113" s="5" t="s">
        <v>637</v>
      </c>
      <c r="C113" s="5">
        <v>11546456</v>
      </c>
      <c r="D113" s="5">
        <v>715618</v>
      </c>
      <c r="E113" s="33">
        <v>28</v>
      </c>
      <c r="F113" s="60">
        <v>2700</v>
      </c>
      <c r="G113" s="60">
        <f>+OtherClients[[#This Row],[Boxes / Pieces]]*OtherClients[[#This Row],[Unit Quantity]]</f>
        <v>75600</v>
      </c>
      <c r="H113" s="60">
        <v>280</v>
      </c>
      <c r="I113" s="117" t="s">
        <v>278</v>
      </c>
      <c r="J113" s="118"/>
      <c r="K113" s="33" t="s">
        <v>278</v>
      </c>
      <c r="L113" s="116"/>
      <c r="M113" s="33" t="s">
        <v>278</v>
      </c>
      <c r="N113" s="116"/>
      <c r="O113" s="33" t="s">
        <v>278</v>
      </c>
      <c r="P113" s="116"/>
      <c r="Q113" s="33" t="s">
        <v>587</v>
      </c>
      <c r="R113" s="116"/>
      <c r="S113" s="33" t="s">
        <v>278</v>
      </c>
      <c r="T113" s="116"/>
      <c r="U113" s="33" t="s">
        <v>278</v>
      </c>
      <c r="V113" s="116"/>
      <c r="W113" s="59" t="s">
        <v>548</v>
      </c>
      <c r="X113" s="33" t="str">
        <f>+VLOOKUP(OtherClients[[#This Row],[Part]],PartControl!$A$2:$E$564,5,FALSE)</f>
        <v>INFASCO</v>
      </c>
      <c r="Y113" s="108">
        <f>IF(OtherClients[[#This Row],[Re-certified or New]]&lt;&gt;"Re-certified",IF(OtherClients[[#This Row],[Client]]="infasco",VLOOKUP(OtherClients[[#This Row],[Part]],PartControl!$A$2:$E$564,2,FALSE),OtherClients[[#This Row],[Total Quantity]]*VLOOKUP(OtherClients[[#This Row],[Part]],PartControl!$A$2:$E$564,2,FALSE)),0)</f>
        <v>106.94</v>
      </c>
      <c r="Z113" s="108">
        <f>IF(OtherClients[[#This Row],[Re-certified or New]]&lt;&gt;"Re-certified",IF(OtherClients[[#This Row],[Client]]="infasco",VLOOKUP(OtherClients[[#This Row],[Part]],PartControl!$A$2:$E$564,2,FALSE),OtherClients[[#This Row],[Total Quantity]]*VLOOKUP(OtherClients[[#This Row],[Part]],PartControl!$A$2:$E$564,2,FALSE)),0)</f>
        <v>106.94</v>
      </c>
    </row>
    <row r="114" spans="1:26" ht="25.15" hidden="1" customHeight="1" x14ac:dyDescent="0.25">
      <c r="A114" s="112">
        <v>46238.691782407404</v>
      </c>
      <c r="B114" s="5" t="s">
        <v>635</v>
      </c>
      <c r="C114" s="5">
        <v>11546389</v>
      </c>
      <c r="D114" s="5">
        <v>715608</v>
      </c>
      <c r="E114" s="33">
        <f>29-20</f>
        <v>9</v>
      </c>
      <c r="F114" s="60">
        <v>4500</v>
      </c>
      <c r="G114" s="60">
        <f>+OtherClients[[#This Row],[Boxes / Pieces]]*OtherClients[[#This Row],[Unit Quantity]]</f>
        <v>40500</v>
      </c>
      <c r="H114" s="60">
        <v>280</v>
      </c>
      <c r="I114" s="117" t="s">
        <v>278</v>
      </c>
      <c r="J114" s="118"/>
      <c r="K114" s="33" t="s">
        <v>278</v>
      </c>
      <c r="L114" s="116"/>
      <c r="M114" s="33" t="s">
        <v>278</v>
      </c>
      <c r="N114" s="116"/>
      <c r="O114" s="33" t="s">
        <v>278</v>
      </c>
      <c r="P114" s="116"/>
      <c r="Q114" s="33" t="s">
        <v>587</v>
      </c>
      <c r="R114" s="116"/>
      <c r="S114" s="33" t="s">
        <v>278</v>
      </c>
      <c r="T114" s="116"/>
      <c r="U114" s="33" t="s">
        <v>278</v>
      </c>
      <c r="V114" s="116"/>
      <c r="W114" s="59" t="s">
        <v>548</v>
      </c>
      <c r="X114" s="33" t="str">
        <f>+VLOOKUP(OtherClients[[#This Row],[Part]],PartControl!$A$2:$E$564,5,FALSE)</f>
        <v>INFASCO</v>
      </c>
      <c r="Y114" s="108">
        <f>IF(OtherClients[[#This Row],[Re-certified or New]]&lt;&gt;"Re-certified",IF(OtherClients[[#This Row],[Client]]="infasco",VLOOKUP(OtherClients[[#This Row],[Part]],PartControl!$A$2:$E$564,2,FALSE),OtherClients[[#This Row],[Total Quantity]]*VLOOKUP(OtherClients[[#This Row],[Part]],PartControl!$A$2:$E$564,2,FALSE)),0)</f>
        <v>106.94</v>
      </c>
      <c r="Z114" s="108">
        <f>IF(OtherClients[[#This Row],[Re-certified or New]]&lt;&gt;"Re-certified",IF(OtherClients[[#This Row],[Client]]="infasco",VLOOKUP(OtherClients[[#This Row],[Part]],PartControl!$A$2:$E$564,2,FALSE),OtherClients[[#This Row],[Total Quantity]]*VLOOKUP(OtherClients[[#This Row],[Part]],PartControl!$A$2:$E$564,2,FALSE)),0)</f>
        <v>106.94</v>
      </c>
    </row>
    <row r="115" spans="1:26" ht="25.15" hidden="1" customHeight="1" x14ac:dyDescent="0.25">
      <c r="A115" s="112">
        <v>46238.691782407404</v>
      </c>
      <c r="B115" s="5" t="s">
        <v>635</v>
      </c>
      <c r="C115" s="5" t="s">
        <v>700</v>
      </c>
      <c r="D115" s="5">
        <v>714024</v>
      </c>
      <c r="E115" s="33">
        <v>24</v>
      </c>
      <c r="F115" s="60">
        <v>1000</v>
      </c>
      <c r="G115" s="60">
        <f>+OtherClients[[#This Row],[Boxes / Pieces]]*OtherClients[[#This Row],[Unit Quantity]]</f>
        <v>24000</v>
      </c>
      <c r="H115" s="60">
        <v>280</v>
      </c>
      <c r="I115" s="117" t="s">
        <v>278</v>
      </c>
      <c r="J115" s="118"/>
      <c r="K115" s="33" t="s">
        <v>278</v>
      </c>
      <c r="L115" s="116"/>
      <c r="M115" s="33" t="s">
        <v>278</v>
      </c>
      <c r="N115" s="116"/>
      <c r="O115" s="33" t="s">
        <v>278</v>
      </c>
      <c r="P115" s="116"/>
      <c r="Q115" s="33" t="s">
        <v>587</v>
      </c>
      <c r="R115" s="116"/>
      <c r="S115" s="33" t="s">
        <v>278</v>
      </c>
      <c r="T115" s="116"/>
      <c r="U115" s="33" t="s">
        <v>278</v>
      </c>
      <c r="V115" s="116"/>
      <c r="W115" s="59" t="s">
        <v>633</v>
      </c>
      <c r="X115" s="33" t="str">
        <f>+VLOOKUP(OtherClients[[#This Row],[Part]],PartControl!$A$2:$E$564,5,FALSE)</f>
        <v>infasco</v>
      </c>
      <c r="Y115" s="108">
        <f>IF(OtherClients[[#This Row],[Re-certified or New]]&lt;&gt;"Re-certified",IF(OtherClients[[#This Row],[Client]]="infasco",VLOOKUP(OtherClients[[#This Row],[Part]],PartControl!$A$2:$E$564,2,FALSE),OtherClients[[#This Row],[Total Quantity]]*VLOOKUP(OtherClients[[#This Row],[Part]],PartControl!$A$2:$E$564,2,FALSE)),0)</f>
        <v>0</v>
      </c>
      <c r="Z115" s="108">
        <f>IF(OtherClients[[#This Row],[Re-certified or New]]&lt;&gt;"Re-certified",IF(OtherClients[[#This Row],[Client]]="infasco",VLOOKUP(OtherClients[[#This Row],[Part]],PartControl!$A$2:$E$564,2,FALSE),OtherClients[[#This Row],[Total Quantity]]*VLOOKUP(OtherClients[[#This Row],[Part]],PartControl!$A$2:$E$564,2,FALSE)),0)</f>
        <v>0</v>
      </c>
    </row>
    <row r="116" spans="1:26" ht="25.15" hidden="1" customHeight="1" x14ac:dyDescent="0.25">
      <c r="A116" s="112">
        <v>46238.691782407404</v>
      </c>
      <c r="B116" s="5" t="s">
        <v>634</v>
      </c>
      <c r="C116" s="5" t="s">
        <v>700</v>
      </c>
      <c r="D116" s="5">
        <v>714023</v>
      </c>
      <c r="E116" s="33">
        <f>36-22</f>
        <v>14</v>
      </c>
      <c r="F116" s="60">
        <v>1000</v>
      </c>
      <c r="G116" s="60">
        <f>+OtherClients[[#This Row],[Boxes / Pieces]]*OtherClients[[#This Row],[Unit Quantity]]</f>
        <v>14000</v>
      </c>
      <c r="H116" s="60">
        <v>280</v>
      </c>
      <c r="I116" s="117" t="s">
        <v>278</v>
      </c>
      <c r="J116" s="118"/>
      <c r="K116" s="33" t="s">
        <v>278</v>
      </c>
      <c r="L116" s="116"/>
      <c r="M116" s="33" t="s">
        <v>278</v>
      </c>
      <c r="N116" s="116"/>
      <c r="O116" s="33" t="s">
        <v>278</v>
      </c>
      <c r="P116" s="116"/>
      <c r="Q116" s="33" t="s">
        <v>587</v>
      </c>
      <c r="R116" s="116"/>
      <c r="S116" s="33" t="s">
        <v>278</v>
      </c>
      <c r="T116" s="116"/>
      <c r="U116" s="33" t="s">
        <v>278</v>
      </c>
      <c r="V116" s="116"/>
      <c r="W116" s="59" t="s">
        <v>548</v>
      </c>
      <c r="X116" s="33" t="str">
        <f>+VLOOKUP(OtherClients[[#This Row],[Part]],PartControl!$A$2:$E$564,5,FALSE)</f>
        <v>infasco</v>
      </c>
      <c r="Y116" s="108">
        <f>IF(OtherClients[[#This Row],[Re-certified or New]]&lt;&gt;"Re-certified",IF(OtherClients[[#This Row],[Client]]="infasco",VLOOKUP(OtherClients[[#This Row],[Part]],PartControl!$A$2:$E$564,2,FALSE),OtherClients[[#This Row],[Total Quantity]]*VLOOKUP(OtherClients[[#This Row],[Part]],PartControl!$A$2:$E$564,2,FALSE)),0)</f>
        <v>106.94</v>
      </c>
      <c r="Z116" s="108">
        <f>IF(OtherClients[[#This Row],[Re-certified or New]]&lt;&gt;"Re-certified",IF(OtherClients[[#This Row],[Client]]="infasco",VLOOKUP(OtherClients[[#This Row],[Part]],PartControl!$A$2:$E$564,2,FALSE),OtherClients[[#This Row],[Total Quantity]]*VLOOKUP(OtherClients[[#This Row],[Part]],PartControl!$A$2:$E$564,2,FALSE)),0)</f>
        <v>106.94</v>
      </c>
    </row>
    <row r="117" spans="1:26" ht="25.15" hidden="1" customHeight="1" x14ac:dyDescent="0.25">
      <c r="A117" s="112">
        <v>46238.691782407404</v>
      </c>
      <c r="B117" s="5" t="s">
        <v>634</v>
      </c>
      <c r="C117" s="5" t="s">
        <v>700</v>
      </c>
      <c r="D117" s="5">
        <v>714025</v>
      </c>
      <c r="E117" s="33">
        <v>25</v>
      </c>
      <c r="F117" s="60">
        <v>1000</v>
      </c>
      <c r="G117" s="60">
        <f>+OtherClients[[#This Row],[Boxes / Pieces]]*OtherClients[[#This Row],[Unit Quantity]]</f>
        <v>25000</v>
      </c>
      <c r="H117" s="60">
        <v>280</v>
      </c>
      <c r="I117" s="117" t="s">
        <v>278</v>
      </c>
      <c r="J117" s="118"/>
      <c r="K117" s="33" t="s">
        <v>278</v>
      </c>
      <c r="L117" s="116"/>
      <c r="M117" s="33" t="s">
        <v>278</v>
      </c>
      <c r="N117" s="116"/>
      <c r="O117" s="33" t="s">
        <v>278</v>
      </c>
      <c r="P117" s="116"/>
      <c r="Q117" s="33" t="s">
        <v>587</v>
      </c>
      <c r="R117" s="116"/>
      <c r="S117" s="33" t="s">
        <v>278</v>
      </c>
      <c r="T117" s="116"/>
      <c r="U117" s="33" t="s">
        <v>278</v>
      </c>
      <c r="V117" s="116"/>
      <c r="W117" s="59" t="s">
        <v>633</v>
      </c>
      <c r="X117" s="33" t="str">
        <f>+VLOOKUP(OtherClients[[#This Row],[Part]],PartControl!$A$2:$E$564,5,FALSE)</f>
        <v>infasco</v>
      </c>
      <c r="Y117" s="108">
        <f>IF(OtherClients[[#This Row],[Re-certified or New]]&lt;&gt;"Re-certified",IF(OtherClients[[#This Row],[Client]]="infasco",VLOOKUP(OtherClients[[#This Row],[Part]],PartControl!$A$2:$E$564,2,FALSE),OtherClients[[#This Row],[Total Quantity]]*VLOOKUP(OtherClients[[#This Row],[Part]],PartControl!$A$2:$E$564,2,FALSE)),0)</f>
        <v>0</v>
      </c>
      <c r="Z117" s="108">
        <f>IF(OtherClients[[#This Row],[Re-certified or New]]&lt;&gt;"Re-certified",IF(OtherClients[[#This Row],[Client]]="infasco",VLOOKUP(OtherClients[[#This Row],[Part]],PartControl!$A$2:$E$564,2,FALSE),OtherClients[[#This Row],[Total Quantity]]*VLOOKUP(OtherClients[[#This Row],[Part]],PartControl!$A$2:$E$564,2,FALSE)),0)</f>
        <v>0</v>
      </c>
    </row>
    <row r="118" spans="1:26" ht="25.15" hidden="1" customHeight="1" x14ac:dyDescent="0.25">
      <c r="A118" s="112">
        <v>46238.691782407404</v>
      </c>
      <c r="B118" s="5" t="s">
        <v>240</v>
      </c>
      <c r="C118" s="5" t="s">
        <v>645</v>
      </c>
      <c r="D118" s="5">
        <v>714512</v>
      </c>
      <c r="E118" s="33">
        <f>47-(36+4)</f>
        <v>7</v>
      </c>
      <c r="F118" s="60">
        <v>1000</v>
      </c>
      <c r="G118" s="60">
        <f>+OtherClients[[#This Row],[Boxes / Pieces]]*OtherClients[[#This Row],[Unit Quantity]]</f>
        <v>7000</v>
      </c>
      <c r="H118" s="60">
        <v>290</v>
      </c>
      <c r="I118" s="117" t="s">
        <v>278</v>
      </c>
      <c r="J118" s="118"/>
      <c r="K118" s="33" t="s">
        <v>278</v>
      </c>
      <c r="L118" s="116"/>
      <c r="M118" s="33" t="s">
        <v>278</v>
      </c>
      <c r="N118" s="116"/>
      <c r="O118" s="33" t="s">
        <v>278</v>
      </c>
      <c r="P118" s="116"/>
      <c r="Q118" s="33" t="s">
        <v>587</v>
      </c>
      <c r="R118" s="116"/>
      <c r="S118" s="33" t="s">
        <v>278</v>
      </c>
      <c r="T118" s="116"/>
      <c r="U118" s="33" t="s">
        <v>278</v>
      </c>
      <c r="V118" s="116"/>
      <c r="W118" s="59" t="s">
        <v>548</v>
      </c>
      <c r="X118" s="33" t="str">
        <f>+VLOOKUP(OtherClients[[#This Row],[Part]],PartControl!$A$2:$E$564,5,FALSE)</f>
        <v>infasco</v>
      </c>
      <c r="Y118" s="108">
        <f>IF(OtherClients[[#This Row],[Re-certified or New]]&lt;&gt;"Re-certified",IF(OtherClients[[#This Row],[Client]]="infasco",VLOOKUP(OtherClients[[#This Row],[Part]],PartControl!$A$2:$E$564,2,FALSE),OtherClients[[#This Row],[Total Quantity]]*VLOOKUP(OtherClients[[#This Row],[Part]],PartControl!$A$2:$E$564,2,FALSE)),0)</f>
        <v>106.94</v>
      </c>
      <c r="Z118" s="108">
        <f>IF(OtherClients[[#This Row],[Re-certified or New]]&lt;&gt;"Re-certified",IF(OtherClients[[#This Row],[Client]]="infasco",VLOOKUP(OtherClients[[#This Row],[Part]],PartControl!$A$2:$E$564,2,FALSE),OtherClients[[#This Row],[Total Quantity]]*VLOOKUP(OtherClients[[#This Row],[Part]],PartControl!$A$2:$E$564,2,FALSE)),0)</f>
        <v>106.94</v>
      </c>
    </row>
    <row r="119" spans="1:26" ht="25.15" hidden="1" customHeight="1" x14ac:dyDescent="0.25">
      <c r="A119" s="112">
        <v>46238.691782407404</v>
      </c>
      <c r="B119" s="5" t="s">
        <v>240</v>
      </c>
      <c r="C119" s="5" t="s">
        <v>645</v>
      </c>
      <c r="D119" s="5">
        <v>714509</v>
      </c>
      <c r="E119" s="33">
        <v>39</v>
      </c>
      <c r="F119" s="60">
        <v>1000</v>
      </c>
      <c r="G119" s="60">
        <f>+OtherClients[[#This Row],[Boxes / Pieces]]*OtherClients[[#This Row],[Unit Quantity]]</f>
        <v>39000</v>
      </c>
      <c r="H119" s="60">
        <v>290</v>
      </c>
      <c r="I119" s="117" t="s">
        <v>278</v>
      </c>
      <c r="J119" s="118"/>
      <c r="K119" s="33" t="s">
        <v>278</v>
      </c>
      <c r="L119" s="116"/>
      <c r="M119" s="33" t="s">
        <v>278</v>
      </c>
      <c r="N119" s="116"/>
      <c r="O119" s="33" t="s">
        <v>278</v>
      </c>
      <c r="P119" s="116"/>
      <c r="Q119" s="33" t="s">
        <v>587</v>
      </c>
      <c r="R119" s="116"/>
      <c r="S119" s="33" t="s">
        <v>278</v>
      </c>
      <c r="T119" s="116"/>
      <c r="U119" s="33" t="s">
        <v>278</v>
      </c>
      <c r="V119" s="116"/>
      <c r="W119" s="59" t="s">
        <v>548</v>
      </c>
      <c r="X119" s="33" t="str">
        <f>+VLOOKUP(OtherClients[[#This Row],[Part]],PartControl!$A$2:$E$564,5,FALSE)</f>
        <v>infasco</v>
      </c>
      <c r="Y119" s="108">
        <f>IF(OtherClients[[#This Row],[Re-certified or New]]&lt;&gt;"Re-certified",IF(OtherClients[[#This Row],[Client]]="infasco",VLOOKUP(OtherClients[[#This Row],[Part]],PartControl!$A$2:$E$564,2,FALSE),OtherClients[[#This Row],[Total Quantity]]*VLOOKUP(OtherClients[[#This Row],[Part]],PartControl!$A$2:$E$564,2,FALSE)),0)</f>
        <v>106.94</v>
      </c>
      <c r="Z119" s="108">
        <f>IF(OtherClients[[#This Row],[Re-certified or New]]&lt;&gt;"Re-certified",IF(OtherClients[[#This Row],[Client]]="infasco",VLOOKUP(OtherClients[[#This Row],[Part]],PartControl!$A$2:$E$564,2,FALSE),OtherClients[[#This Row],[Total Quantity]]*VLOOKUP(OtherClients[[#This Row],[Part]],PartControl!$A$2:$E$564,2,FALSE)),0)</f>
        <v>106.94</v>
      </c>
    </row>
    <row r="120" spans="1:26" ht="25.15" hidden="1" customHeight="1" x14ac:dyDescent="0.25">
      <c r="A120" s="112">
        <v>46238.691782407404</v>
      </c>
      <c r="B120" s="5" t="s">
        <v>240</v>
      </c>
      <c r="C120" s="5" t="s">
        <v>703</v>
      </c>
      <c r="D120" s="5">
        <v>714543</v>
      </c>
      <c r="E120" s="33">
        <v>36</v>
      </c>
      <c r="F120" s="60">
        <v>700</v>
      </c>
      <c r="G120" s="60">
        <f>+OtherClients[[#This Row],[Boxes / Pieces]]*OtherClients[[#This Row],[Unit Quantity]]</f>
        <v>25200</v>
      </c>
      <c r="H120" s="60">
        <v>290</v>
      </c>
      <c r="I120" s="117" t="s">
        <v>278</v>
      </c>
      <c r="J120" s="118"/>
      <c r="K120" s="33" t="s">
        <v>278</v>
      </c>
      <c r="L120" s="116"/>
      <c r="M120" s="33" t="s">
        <v>278</v>
      </c>
      <c r="N120" s="116"/>
      <c r="O120" s="33" t="s">
        <v>278</v>
      </c>
      <c r="P120" s="116"/>
      <c r="Q120" s="33" t="s">
        <v>587</v>
      </c>
      <c r="R120" s="116"/>
      <c r="S120" s="33" t="s">
        <v>278</v>
      </c>
      <c r="T120" s="116"/>
      <c r="U120" s="33" t="s">
        <v>278</v>
      </c>
      <c r="V120" s="116"/>
      <c r="W120" s="59" t="s">
        <v>548</v>
      </c>
      <c r="X120" s="33" t="str">
        <f>+VLOOKUP(OtherClients[[#This Row],[Part]],PartControl!$A$2:$E$564,5,FALSE)</f>
        <v>infasco</v>
      </c>
      <c r="Y120" s="108">
        <f>IF(OtherClients[[#This Row],[Re-certified or New]]&lt;&gt;"Re-certified",IF(OtherClients[[#This Row],[Client]]="infasco",VLOOKUP(OtherClients[[#This Row],[Part]],PartControl!$A$2:$E$564,2,FALSE),OtherClients[[#This Row],[Total Quantity]]*VLOOKUP(OtherClients[[#This Row],[Part]],PartControl!$A$2:$E$564,2,FALSE)),0)</f>
        <v>106.94</v>
      </c>
      <c r="Z120" s="108">
        <f>IF(OtherClients[[#This Row],[Re-certified or New]]&lt;&gt;"Re-certified",IF(OtherClients[[#This Row],[Client]]="infasco",VLOOKUP(OtherClients[[#This Row],[Part]],PartControl!$A$2:$E$564,2,FALSE),OtherClients[[#This Row],[Total Quantity]]*VLOOKUP(OtherClients[[#This Row],[Part]],PartControl!$A$2:$E$564,2,FALSE)),0)</f>
        <v>106.94</v>
      </c>
    </row>
    <row r="121" spans="1:26" ht="25.15" hidden="1" customHeight="1" x14ac:dyDescent="0.25">
      <c r="A121" s="112">
        <v>46238.691782407404</v>
      </c>
      <c r="B121" s="5" t="s">
        <v>237</v>
      </c>
      <c r="C121" s="5">
        <v>11546440</v>
      </c>
      <c r="D121" s="5">
        <v>714504</v>
      </c>
      <c r="E121" s="33">
        <f>36-15</f>
        <v>21</v>
      </c>
      <c r="F121" s="60">
        <v>1550</v>
      </c>
      <c r="G121" s="60">
        <f>+OtherClients[[#This Row],[Boxes / Pieces]]*OtherClients[[#This Row],[Unit Quantity]]</f>
        <v>32550</v>
      </c>
      <c r="H121" s="60">
        <v>290</v>
      </c>
      <c r="I121" s="117" t="s">
        <v>278</v>
      </c>
      <c r="J121" s="118"/>
      <c r="K121" s="33" t="s">
        <v>278</v>
      </c>
      <c r="L121" s="116"/>
      <c r="M121" s="33" t="s">
        <v>278</v>
      </c>
      <c r="N121" s="116"/>
      <c r="O121" s="33" t="s">
        <v>278</v>
      </c>
      <c r="P121" s="116"/>
      <c r="Q121" s="33" t="s">
        <v>587</v>
      </c>
      <c r="R121" s="116"/>
      <c r="S121" s="33" t="s">
        <v>278</v>
      </c>
      <c r="T121" s="116"/>
      <c r="U121" s="33" t="s">
        <v>278</v>
      </c>
      <c r="V121" s="116"/>
      <c r="W121" s="59" t="s">
        <v>548</v>
      </c>
      <c r="X121" s="33" t="str">
        <f>+VLOOKUP(OtherClients[[#This Row],[Part]],PartControl!$A$2:$E$564,5,FALSE)</f>
        <v>Infasco</v>
      </c>
      <c r="Y121" s="108">
        <f>IF(OtherClients[[#This Row],[Re-certified or New]]&lt;&gt;"Re-certified",IF(OtherClients[[#This Row],[Client]]="infasco",VLOOKUP(OtherClients[[#This Row],[Part]],PartControl!$A$2:$E$564,2,FALSE),OtherClients[[#This Row],[Total Quantity]]*VLOOKUP(OtherClients[[#This Row],[Part]],PartControl!$A$2:$E$564,2,FALSE)),0)</f>
        <v>106.94</v>
      </c>
      <c r="Z121" s="108">
        <f>IF(OtherClients[[#This Row],[Re-certified or New]]&lt;&gt;"Re-certified",IF(OtherClients[[#This Row],[Client]]="infasco",VLOOKUP(OtherClients[[#This Row],[Part]],PartControl!$A$2:$E$564,2,FALSE),OtherClients[[#This Row],[Total Quantity]]*VLOOKUP(OtherClients[[#This Row],[Part]],PartControl!$A$2:$E$564,2,FALSE)),0)</f>
        <v>106.94</v>
      </c>
    </row>
    <row r="122" spans="1:26" ht="25.15" hidden="1" customHeight="1" x14ac:dyDescent="0.25">
      <c r="A122" s="112">
        <v>46238.691782407404</v>
      </c>
      <c r="B122" s="5" t="s">
        <v>237</v>
      </c>
      <c r="C122" s="5">
        <v>11549170</v>
      </c>
      <c r="D122" s="5">
        <v>713840</v>
      </c>
      <c r="E122" s="33">
        <v>36</v>
      </c>
      <c r="F122" s="60">
        <v>400</v>
      </c>
      <c r="G122" s="60">
        <f>+OtherClients[[#This Row],[Boxes / Pieces]]*OtherClients[[#This Row],[Unit Quantity]]</f>
        <v>14400</v>
      </c>
      <c r="H122" s="60">
        <v>290</v>
      </c>
      <c r="I122" s="117" t="s">
        <v>278</v>
      </c>
      <c r="J122" s="118"/>
      <c r="K122" s="33" t="s">
        <v>278</v>
      </c>
      <c r="L122" s="116"/>
      <c r="M122" s="33" t="s">
        <v>278</v>
      </c>
      <c r="N122" s="116"/>
      <c r="O122" s="33" t="s">
        <v>278</v>
      </c>
      <c r="P122" s="116"/>
      <c r="Q122" s="33" t="s">
        <v>587</v>
      </c>
      <c r="R122" s="116"/>
      <c r="S122" s="33" t="s">
        <v>278</v>
      </c>
      <c r="T122" s="116"/>
      <c r="U122" s="33" t="s">
        <v>278</v>
      </c>
      <c r="V122" s="116"/>
      <c r="W122" s="59" t="s">
        <v>548</v>
      </c>
      <c r="X122" s="33" t="str">
        <f>+VLOOKUP(OtherClients[[#This Row],[Part]],PartControl!$A$2:$E$564,5,FALSE)</f>
        <v>INFASCO</v>
      </c>
      <c r="Y122" s="108">
        <f>IF(OtherClients[[#This Row],[Re-certified or New]]&lt;&gt;"Re-certified",IF(OtherClients[[#This Row],[Client]]="infasco",VLOOKUP(OtherClients[[#This Row],[Part]],PartControl!$A$2:$E$564,2,FALSE),OtherClients[[#This Row],[Total Quantity]]*VLOOKUP(OtherClients[[#This Row],[Part]],PartControl!$A$2:$E$564,2,FALSE)),0)</f>
        <v>106.94</v>
      </c>
      <c r="Z122" s="108">
        <f>IF(OtherClients[[#This Row],[Re-certified or New]]&lt;&gt;"Re-certified",IF(OtherClients[[#This Row],[Client]]="infasco",VLOOKUP(OtherClients[[#This Row],[Part]],PartControl!$A$2:$E$564,2,FALSE),OtherClients[[#This Row],[Total Quantity]]*VLOOKUP(OtherClients[[#This Row],[Part]],PartControl!$A$2:$E$564,2,FALSE)),0)</f>
        <v>106.94</v>
      </c>
    </row>
    <row r="123" spans="1:26" ht="25.15" hidden="1" customHeight="1" x14ac:dyDescent="0.25">
      <c r="A123" s="112">
        <v>46238.691782407404</v>
      </c>
      <c r="B123" s="5" t="s">
        <v>237</v>
      </c>
      <c r="C123" s="5">
        <v>11549170</v>
      </c>
      <c r="D123" s="5">
        <v>713829</v>
      </c>
      <c r="E123" s="33">
        <f>36+8</f>
        <v>44</v>
      </c>
      <c r="F123" s="60">
        <v>400</v>
      </c>
      <c r="G123" s="60">
        <f>+OtherClients[[#This Row],[Boxes / Pieces]]*OtherClients[[#This Row],[Unit Quantity]]</f>
        <v>17600</v>
      </c>
      <c r="H123" s="60">
        <v>290</v>
      </c>
      <c r="I123" s="117" t="s">
        <v>278</v>
      </c>
      <c r="J123" s="118"/>
      <c r="K123" s="33" t="s">
        <v>278</v>
      </c>
      <c r="L123" s="116"/>
      <c r="M123" s="33" t="s">
        <v>278</v>
      </c>
      <c r="N123" s="116"/>
      <c r="O123" s="33" t="s">
        <v>278</v>
      </c>
      <c r="P123" s="116"/>
      <c r="Q123" s="33" t="s">
        <v>587</v>
      </c>
      <c r="R123" s="116"/>
      <c r="S123" s="33" t="s">
        <v>278</v>
      </c>
      <c r="T123" s="116"/>
      <c r="U123" s="33" t="s">
        <v>278</v>
      </c>
      <c r="V123" s="116"/>
      <c r="W123" s="59" t="s">
        <v>548</v>
      </c>
      <c r="X123" s="33" t="str">
        <f>+VLOOKUP(OtherClients[[#This Row],[Part]],PartControl!$A$2:$E$564,5,FALSE)</f>
        <v>INFASCO</v>
      </c>
      <c r="Y123" s="108">
        <f>IF(OtherClients[[#This Row],[Re-certified or New]]&lt;&gt;"Re-certified",IF(OtherClients[[#This Row],[Client]]="infasco",VLOOKUP(OtherClients[[#This Row],[Part]],PartControl!$A$2:$E$564,2,FALSE),OtherClients[[#This Row],[Total Quantity]]*VLOOKUP(OtherClients[[#This Row],[Part]],PartControl!$A$2:$E$564,2,FALSE)),0)</f>
        <v>106.94</v>
      </c>
      <c r="Z123" s="108">
        <f>IF(OtherClients[[#This Row],[Re-certified or New]]&lt;&gt;"Re-certified",IF(OtherClients[[#This Row],[Client]]="infasco",VLOOKUP(OtherClients[[#This Row],[Part]],PartControl!$A$2:$E$564,2,FALSE),OtherClients[[#This Row],[Total Quantity]]*VLOOKUP(OtherClients[[#This Row],[Part]],PartControl!$A$2:$E$564,2,FALSE)),0)</f>
        <v>106.94</v>
      </c>
    </row>
    <row r="124" spans="1:26" ht="25.15" hidden="1" customHeight="1" x14ac:dyDescent="0.25">
      <c r="A124" s="112">
        <v>46238.691782407404</v>
      </c>
      <c r="B124" s="5" t="s">
        <v>237</v>
      </c>
      <c r="C124" s="5">
        <v>11549170</v>
      </c>
      <c r="D124" s="5">
        <v>713825</v>
      </c>
      <c r="E124" s="33">
        <v>24</v>
      </c>
      <c r="F124" s="60">
        <v>400</v>
      </c>
      <c r="G124" s="60">
        <f>+OtherClients[[#This Row],[Boxes / Pieces]]*OtherClients[[#This Row],[Unit Quantity]]</f>
        <v>9600</v>
      </c>
      <c r="H124" s="60">
        <v>290</v>
      </c>
      <c r="I124" s="117" t="s">
        <v>278</v>
      </c>
      <c r="J124" s="118"/>
      <c r="K124" s="33" t="s">
        <v>278</v>
      </c>
      <c r="L124" s="116"/>
      <c r="M124" s="33" t="s">
        <v>278</v>
      </c>
      <c r="N124" s="116"/>
      <c r="O124" s="33" t="s">
        <v>278</v>
      </c>
      <c r="P124" s="116"/>
      <c r="Q124" s="33" t="s">
        <v>587</v>
      </c>
      <c r="R124" s="116"/>
      <c r="S124" s="33" t="s">
        <v>278</v>
      </c>
      <c r="T124" s="116"/>
      <c r="U124" s="33" t="s">
        <v>278</v>
      </c>
      <c r="V124" s="116"/>
      <c r="W124" s="59" t="s">
        <v>633</v>
      </c>
      <c r="X124" s="33" t="str">
        <f>+VLOOKUP(OtherClients[[#This Row],[Part]],PartControl!$A$2:$E$564,5,FALSE)</f>
        <v>INFASCO</v>
      </c>
      <c r="Y124" s="108">
        <f>IF(OtherClients[[#This Row],[Re-certified or New]]&lt;&gt;"Re-certified",IF(OtherClients[[#This Row],[Client]]="infasco",VLOOKUP(OtherClients[[#This Row],[Part]],PartControl!$A$2:$E$564,2,FALSE),OtherClients[[#This Row],[Total Quantity]]*VLOOKUP(OtherClients[[#This Row],[Part]],PartControl!$A$2:$E$564,2,FALSE)),0)</f>
        <v>0</v>
      </c>
      <c r="Z124" s="108">
        <f>IF(OtherClients[[#This Row],[Re-certified or New]]&lt;&gt;"Re-certified",IF(OtherClients[[#This Row],[Client]]="infasco",VLOOKUP(OtherClients[[#This Row],[Part]],PartControl!$A$2:$E$564,2,FALSE),OtherClients[[#This Row],[Total Quantity]]*VLOOKUP(OtherClients[[#This Row],[Part]],PartControl!$A$2:$E$564,2,FALSE)),0)</f>
        <v>0</v>
      </c>
    </row>
    <row r="125" spans="1:26" ht="25.15" hidden="1" customHeight="1" x14ac:dyDescent="0.25">
      <c r="A125" s="112">
        <v>46238.691782407404</v>
      </c>
      <c r="B125" s="5" t="s">
        <v>250</v>
      </c>
      <c r="C125" s="5" t="s">
        <v>703</v>
      </c>
      <c r="D125" s="5">
        <v>714106</v>
      </c>
      <c r="E125" s="33">
        <f>36-25</f>
        <v>11</v>
      </c>
      <c r="F125" s="60">
        <v>700</v>
      </c>
      <c r="G125" s="60">
        <f>+OtherClients[[#This Row],[Boxes / Pieces]]*OtherClients[[#This Row],[Unit Quantity]]</f>
        <v>7700</v>
      </c>
      <c r="H125" s="60">
        <v>290</v>
      </c>
      <c r="I125" s="117" t="s">
        <v>278</v>
      </c>
      <c r="J125" s="118"/>
      <c r="K125" s="33" t="s">
        <v>278</v>
      </c>
      <c r="L125" s="116"/>
      <c r="M125" s="33" t="s">
        <v>278</v>
      </c>
      <c r="N125" s="116"/>
      <c r="O125" s="33" t="s">
        <v>278</v>
      </c>
      <c r="P125" s="116"/>
      <c r="Q125" s="33" t="s">
        <v>587</v>
      </c>
      <c r="R125" s="116"/>
      <c r="S125" s="33" t="s">
        <v>278</v>
      </c>
      <c r="T125" s="116"/>
      <c r="U125" s="33" t="s">
        <v>278</v>
      </c>
      <c r="V125" s="116"/>
      <c r="W125" s="59" t="s">
        <v>548</v>
      </c>
      <c r="X125" s="33" t="str">
        <f>+VLOOKUP(OtherClients[[#This Row],[Part]],PartControl!$A$2:$E$564,5,FALSE)</f>
        <v>infasco</v>
      </c>
      <c r="Y125" s="108">
        <f>IF(OtherClients[[#This Row],[Re-certified or New]]&lt;&gt;"Re-certified",IF(OtherClients[[#This Row],[Client]]="infasco",VLOOKUP(OtherClients[[#This Row],[Part]],PartControl!$A$2:$E$564,2,FALSE),OtherClients[[#This Row],[Total Quantity]]*VLOOKUP(OtherClients[[#This Row],[Part]],PartControl!$A$2:$E$564,2,FALSE)),0)</f>
        <v>106.94</v>
      </c>
      <c r="Z125" s="108">
        <f>IF(OtherClients[[#This Row],[Re-certified or New]]&lt;&gt;"Re-certified",IF(OtherClients[[#This Row],[Client]]="infasco",VLOOKUP(OtherClients[[#This Row],[Part]],PartControl!$A$2:$E$564,2,FALSE),OtherClients[[#This Row],[Total Quantity]]*VLOOKUP(OtherClients[[#This Row],[Part]],PartControl!$A$2:$E$564,2,FALSE)),0)</f>
        <v>106.94</v>
      </c>
    </row>
    <row r="126" spans="1:26" ht="25.15" hidden="1" customHeight="1" x14ac:dyDescent="0.25">
      <c r="A126" s="112">
        <v>46238.691782407404</v>
      </c>
      <c r="B126" s="5" t="s">
        <v>250</v>
      </c>
      <c r="C126" s="5" t="s">
        <v>703</v>
      </c>
      <c r="D126" s="5">
        <v>714550</v>
      </c>
      <c r="E126" s="33">
        <v>36</v>
      </c>
      <c r="F126" s="60">
        <v>700</v>
      </c>
      <c r="G126" s="60">
        <f>+OtherClients[[#This Row],[Boxes / Pieces]]*OtherClients[[#This Row],[Unit Quantity]]</f>
        <v>25200</v>
      </c>
      <c r="H126" s="60">
        <v>290</v>
      </c>
      <c r="I126" s="117" t="s">
        <v>278</v>
      </c>
      <c r="J126" s="118"/>
      <c r="K126" s="33" t="s">
        <v>278</v>
      </c>
      <c r="L126" s="116"/>
      <c r="M126" s="33" t="s">
        <v>278</v>
      </c>
      <c r="N126" s="116"/>
      <c r="O126" s="33" t="s">
        <v>278</v>
      </c>
      <c r="P126" s="116"/>
      <c r="Q126" s="33" t="s">
        <v>587</v>
      </c>
      <c r="R126" s="116"/>
      <c r="S126" s="33" t="s">
        <v>278</v>
      </c>
      <c r="T126" s="116"/>
      <c r="U126" s="33" t="s">
        <v>278</v>
      </c>
      <c r="V126" s="116"/>
      <c r="W126" s="59" t="s">
        <v>548</v>
      </c>
      <c r="X126" s="33" t="str">
        <f>+VLOOKUP(OtherClients[[#This Row],[Part]],PartControl!$A$2:$E$564,5,FALSE)</f>
        <v>infasco</v>
      </c>
      <c r="Y126" s="108">
        <f>IF(OtherClients[[#This Row],[Re-certified or New]]&lt;&gt;"Re-certified",IF(OtherClients[[#This Row],[Client]]="infasco",VLOOKUP(OtherClients[[#This Row],[Part]],PartControl!$A$2:$E$564,2,FALSE),OtherClients[[#This Row],[Total Quantity]]*VLOOKUP(OtherClients[[#This Row],[Part]],PartControl!$A$2:$E$564,2,FALSE)),0)</f>
        <v>106.94</v>
      </c>
      <c r="Z126" s="108">
        <f>IF(OtherClients[[#This Row],[Re-certified or New]]&lt;&gt;"Re-certified",IF(OtherClients[[#This Row],[Client]]="infasco",VLOOKUP(OtherClients[[#This Row],[Part]],PartControl!$A$2:$E$564,2,FALSE),OtherClients[[#This Row],[Total Quantity]]*VLOOKUP(OtherClients[[#This Row],[Part]],PartControl!$A$2:$E$564,2,FALSE)),0)</f>
        <v>106.94</v>
      </c>
    </row>
    <row r="127" spans="1:26" ht="25.15" hidden="1" customHeight="1" x14ac:dyDescent="0.25">
      <c r="A127" s="112">
        <v>46238.691782407404</v>
      </c>
      <c r="B127" s="5" t="s">
        <v>250</v>
      </c>
      <c r="C127" s="5" t="s">
        <v>703</v>
      </c>
      <c r="D127" s="5">
        <v>714546</v>
      </c>
      <c r="E127" s="33">
        <v>5</v>
      </c>
      <c r="F127" s="60">
        <v>700</v>
      </c>
      <c r="G127" s="60">
        <f>+OtherClients[[#This Row],[Boxes / Pieces]]*OtherClients[[#This Row],[Unit Quantity]]</f>
        <v>3500</v>
      </c>
      <c r="H127" s="60">
        <v>290</v>
      </c>
      <c r="I127" s="117" t="s">
        <v>278</v>
      </c>
      <c r="J127" s="118"/>
      <c r="K127" s="33" t="s">
        <v>278</v>
      </c>
      <c r="L127" s="116"/>
      <c r="M127" s="33" t="s">
        <v>278</v>
      </c>
      <c r="N127" s="116"/>
      <c r="O127" s="33" t="s">
        <v>278</v>
      </c>
      <c r="P127" s="116"/>
      <c r="Q127" s="33" t="s">
        <v>587</v>
      </c>
      <c r="R127" s="116"/>
      <c r="S127" s="33" t="s">
        <v>278</v>
      </c>
      <c r="T127" s="116"/>
      <c r="U127" s="33" t="s">
        <v>278</v>
      </c>
      <c r="V127" s="116"/>
      <c r="W127" s="59" t="s">
        <v>633</v>
      </c>
      <c r="X127" s="33" t="str">
        <f>+VLOOKUP(OtherClients[[#This Row],[Part]],PartControl!$A$2:$E$564,5,FALSE)</f>
        <v>infasco</v>
      </c>
      <c r="Y127" s="108">
        <f>IF(OtherClients[[#This Row],[Re-certified or New]]&lt;&gt;"Re-certified",IF(OtherClients[[#This Row],[Client]]="infasco",VLOOKUP(OtherClients[[#This Row],[Part]],PartControl!$A$2:$E$564,2,FALSE),OtherClients[[#This Row],[Total Quantity]]*VLOOKUP(OtherClients[[#This Row],[Part]],PartControl!$A$2:$E$564,2,FALSE)),0)</f>
        <v>0</v>
      </c>
      <c r="Z127" s="108">
        <f>IF(OtherClients[[#This Row],[Re-certified or New]]&lt;&gt;"Re-certified",IF(OtherClients[[#This Row],[Client]]="infasco",VLOOKUP(OtherClients[[#This Row],[Part]],PartControl!$A$2:$E$564,2,FALSE),OtherClients[[#This Row],[Total Quantity]]*VLOOKUP(OtherClients[[#This Row],[Part]],PartControl!$A$2:$E$564,2,FALSE)),0)</f>
        <v>0</v>
      </c>
    </row>
    <row r="128" spans="1:26" ht="25.15" hidden="1" customHeight="1" x14ac:dyDescent="0.25">
      <c r="A128" s="112">
        <v>46238.691782407404</v>
      </c>
      <c r="B128" s="5" t="s">
        <v>235</v>
      </c>
      <c r="C128" s="5" t="s">
        <v>656</v>
      </c>
      <c r="D128" s="5">
        <v>714413</v>
      </c>
      <c r="E128" s="33">
        <f>23-2</f>
        <v>21</v>
      </c>
      <c r="F128" s="60">
        <v>825</v>
      </c>
      <c r="G128" s="60">
        <f>+OtherClients[[#This Row],[Boxes / Pieces]]*OtherClients[[#This Row],[Unit Quantity]]</f>
        <v>17325</v>
      </c>
      <c r="H128" s="60">
        <v>290</v>
      </c>
      <c r="I128" s="117" t="s">
        <v>278</v>
      </c>
      <c r="J128" s="118"/>
      <c r="K128" s="33" t="s">
        <v>278</v>
      </c>
      <c r="L128" s="116"/>
      <c r="M128" s="33" t="s">
        <v>278</v>
      </c>
      <c r="N128" s="116"/>
      <c r="O128" s="33" t="s">
        <v>278</v>
      </c>
      <c r="P128" s="116"/>
      <c r="Q128" s="33" t="s">
        <v>587</v>
      </c>
      <c r="R128" s="116"/>
      <c r="S128" s="33" t="s">
        <v>278</v>
      </c>
      <c r="T128" s="116"/>
      <c r="U128" s="33" t="s">
        <v>278</v>
      </c>
      <c r="V128" s="116"/>
      <c r="W128" s="59" t="s">
        <v>548</v>
      </c>
      <c r="X128" s="33" t="str">
        <f>+VLOOKUP(OtherClients[[#This Row],[Part]],PartControl!$A$2:$E$564,5,FALSE)</f>
        <v>infasco</v>
      </c>
      <c r="Y128" s="108">
        <f>IF(OtherClients[[#This Row],[Re-certified or New]]&lt;&gt;"Re-certified",IF(OtherClients[[#This Row],[Client]]="infasco",VLOOKUP(OtherClients[[#This Row],[Part]],PartControl!$A$2:$E$564,2,FALSE),OtherClients[[#This Row],[Total Quantity]]*VLOOKUP(OtherClients[[#This Row],[Part]],PartControl!$A$2:$E$564,2,FALSE)),0)</f>
        <v>280.16000000000003</v>
      </c>
      <c r="Z128" s="108">
        <f>IF(OtherClients[[#This Row],[Re-certified or New]]&lt;&gt;"Re-certified",IF(OtherClients[[#This Row],[Client]]="infasco",VLOOKUP(OtherClients[[#This Row],[Part]],PartControl!$A$2:$E$564,2,FALSE),OtherClients[[#This Row],[Total Quantity]]*VLOOKUP(OtherClients[[#This Row],[Part]],PartControl!$A$2:$E$564,2,FALSE)),0)</f>
        <v>280.16000000000003</v>
      </c>
    </row>
    <row r="129" spans="1:26" ht="25.15" hidden="1" customHeight="1" x14ac:dyDescent="0.25">
      <c r="A129" s="112">
        <v>46238.691782407404</v>
      </c>
      <c r="B129" s="5" t="s">
        <v>236</v>
      </c>
      <c r="C129" s="5" t="s">
        <v>728</v>
      </c>
      <c r="D129" s="5">
        <v>714142</v>
      </c>
      <c r="E129" s="33">
        <f>21-18</f>
        <v>3</v>
      </c>
      <c r="F129" s="60">
        <v>1500</v>
      </c>
      <c r="G129" s="60">
        <f>+OtherClients[[#This Row],[Boxes / Pieces]]*OtherClients[[#This Row],[Unit Quantity]]</f>
        <v>4500</v>
      </c>
      <c r="H129" s="60">
        <v>290</v>
      </c>
      <c r="I129" s="117" t="s">
        <v>278</v>
      </c>
      <c r="J129" s="118"/>
      <c r="K129" s="33" t="s">
        <v>278</v>
      </c>
      <c r="L129" s="116"/>
      <c r="M129" s="33" t="s">
        <v>278</v>
      </c>
      <c r="N129" s="116"/>
      <c r="O129" s="33" t="s">
        <v>278</v>
      </c>
      <c r="P129" s="116"/>
      <c r="Q129" s="33" t="s">
        <v>587</v>
      </c>
      <c r="R129" s="116"/>
      <c r="S129" s="33" t="s">
        <v>278</v>
      </c>
      <c r="T129" s="116"/>
      <c r="U129" s="33" t="s">
        <v>278</v>
      </c>
      <c r="V129" s="116"/>
      <c r="W129" s="59" t="s">
        <v>548</v>
      </c>
      <c r="X129" s="33" t="str">
        <f>+VLOOKUP(OtherClients[[#This Row],[Part]],PartControl!$A$2:$E$564,5,FALSE)</f>
        <v>infasco</v>
      </c>
      <c r="Y129" s="108">
        <f>IF(OtherClients[[#This Row],[Re-certified or New]]&lt;&gt;"Re-certified",IF(OtherClients[[#This Row],[Client]]="infasco",VLOOKUP(OtherClients[[#This Row],[Part]],PartControl!$A$2:$E$564,2,FALSE),OtherClients[[#This Row],[Total Quantity]]*VLOOKUP(OtherClients[[#This Row],[Part]],PartControl!$A$2:$E$564,2,FALSE)),0)</f>
        <v>106.94</v>
      </c>
      <c r="Z129" s="108">
        <f>IF(OtherClients[[#This Row],[Re-certified or New]]&lt;&gt;"Re-certified",IF(OtherClients[[#This Row],[Client]]="infasco",VLOOKUP(OtherClients[[#This Row],[Part]],PartControl!$A$2:$E$564,2,FALSE),OtherClients[[#This Row],[Total Quantity]]*VLOOKUP(OtherClients[[#This Row],[Part]],PartControl!$A$2:$E$564,2,FALSE)),0)</f>
        <v>106.94</v>
      </c>
    </row>
    <row r="130" spans="1:26" ht="25.15" hidden="1" customHeight="1" x14ac:dyDescent="0.25">
      <c r="A130" s="112">
        <v>46238.691782407404</v>
      </c>
      <c r="B130" s="5" t="s">
        <v>236</v>
      </c>
      <c r="C130" s="5" t="s">
        <v>728</v>
      </c>
      <c r="D130" s="5">
        <v>714146</v>
      </c>
      <c r="E130" s="33">
        <f>36+15</f>
        <v>51</v>
      </c>
      <c r="F130" s="60">
        <v>1500</v>
      </c>
      <c r="G130" s="60">
        <f>+OtherClients[[#This Row],[Boxes / Pieces]]*OtherClients[[#This Row],[Unit Quantity]]</f>
        <v>76500</v>
      </c>
      <c r="H130" s="60">
        <v>290</v>
      </c>
      <c r="I130" s="117" t="s">
        <v>278</v>
      </c>
      <c r="J130" s="118"/>
      <c r="K130" s="33" t="s">
        <v>278</v>
      </c>
      <c r="L130" s="116"/>
      <c r="M130" s="33" t="s">
        <v>278</v>
      </c>
      <c r="N130" s="116"/>
      <c r="O130" s="33" t="s">
        <v>278</v>
      </c>
      <c r="P130" s="116"/>
      <c r="Q130" s="33" t="s">
        <v>587</v>
      </c>
      <c r="R130" s="116"/>
      <c r="S130" s="33" t="s">
        <v>278</v>
      </c>
      <c r="T130" s="116"/>
      <c r="U130" s="33" t="s">
        <v>278</v>
      </c>
      <c r="V130" s="116"/>
      <c r="W130" s="59" t="s">
        <v>633</v>
      </c>
      <c r="X130" s="33" t="str">
        <f>+VLOOKUP(OtherClients[[#This Row],[Part]],PartControl!$A$2:$E$564,5,FALSE)</f>
        <v>infasco</v>
      </c>
      <c r="Y130" s="108">
        <f>IF(OtherClients[[#This Row],[Re-certified or New]]&lt;&gt;"Re-certified",IF(OtherClients[[#This Row],[Client]]="infasco",VLOOKUP(OtherClients[[#This Row],[Part]],PartControl!$A$2:$E$564,2,FALSE),OtherClients[[#This Row],[Total Quantity]]*VLOOKUP(OtherClients[[#This Row],[Part]],PartControl!$A$2:$E$564,2,FALSE)),0)</f>
        <v>0</v>
      </c>
      <c r="Z130" s="108">
        <f>IF(OtherClients[[#This Row],[Re-certified or New]]&lt;&gt;"Re-certified",IF(OtherClients[[#This Row],[Client]]="infasco",VLOOKUP(OtherClients[[#This Row],[Part]],PartControl!$A$2:$E$564,2,FALSE),OtherClients[[#This Row],[Total Quantity]]*VLOOKUP(OtherClients[[#This Row],[Part]],PartControl!$A$2:$E$564,2,FALSE)),0)</f>
        <v>0</v>
      </c>
    </row>
    <row r="131" spans="1:26" ht="25.15" hidden="1" customHeight="1" x14ac:dyDescent="0.25">
      <c r="A131" s="112">
        <v>46238.691782407404</v>
      </c>
      <c r="B131" s="5" t="s">
        <v>239</v>
      </c>
      <c r="C131" s="5">
        <v>11549170</v>
      </c>
      <c r="D131" s="5">
        <v>713835</v>
      </c>
      <c r="E131" s="33">
        <f>36-6</f>
        <v>30</v>
      </c>
      <c r="F131" s="60">
        <v>400</v>
      </c>
      <c r="G131" s="60">
        <f>+OtherClients[[#This Row],[Boxes / Pieces]]*OtherClients[[#This Row],[Unit Quantity]]</f>
        <v>12000</v>
      </c>
      <c r="H131" s="60">
        <v>290</v>
      </c>
      <c r="I131" s="117" t="s">
        <v>278</v>
      </c>
      <c r="J131" s="118"/>
      <c r="K131" s="33" t="s">
        <v>278</v>
      </c>
      <c r="L131" s="116"/>
      <c r="M131" s="33" t="s">
        <v>278</v>
      </c>
      <c r="N131" s="116"/>
      <c r="O131" s="33" t="s">
        <v>278</v>
      </c>
      <c r="P131" s="116"/>
      <c r="Q131" s="33" t="s">
        <v>587</v>
      </c>
      <c r="R131" s="116"/>
      <c r="S131" s="33" t="s">
        <v>278</v>
      </c>
      <c r="T131" s="116"/>
      <c r="U131" s="33" t="s">
        <v>278</v>
      </c>
      <c r="V131" s="116"/>
      <c r="W131" s="59" t="s">
        <v>548</v>
      </c>
      <c r="X131" s="33" t="str">
        <f>+VLOOKUP(OtherClients[[#This Row],[Part]],PartControl!$A$2:$E$564,5,FALSE)</f>
        <v>INFASCO</v>
      </c>
      <c r="Y131" s="108">
        <f>IF(OtherClients[[#This Row],[Re-certified or New]]&lt;&gt;"Re-certified",IF(OtherClients[[#This Row],[Client]]="infasco",VLOOKUP(OtherClients[[#This Row],[Part]],PartControl!$A$2:$E$564,2,FALSE),OtherClients[[#This Row],[Total Quantity]]*VLOOKUP(OtherClients[[#This Row],[Part]],PartControl!$A$2:$E$564,2,FALSE)),0)</f>
        <v>106.94</v>
      </c>
      <c r="Z131" s="108">
        <f>IF(OtherClients[[#This Row],[Re-certified or New]]&lt;&gt;"Re-certified",IF(OtherClients[[#This Row],[Client]]="infasco",VLOOKUP(OtherClients[[#This Row],[Part]],PartControl!$A$2:$E$564,2,FALSE),OtherClients[[#This Row],[Total Quantity]]*VLOOKUP(OtherClients[[#This Row],[Part]],PartControl!$A$2:$E$564,2,FALSE)),0)</f>
        <v>106.94</v>
      </c>
    </row>
    <row r="132" spans="1:26" ht="25.15" hidden="1" customHeight="1" x14ac:dyDescent="0.25">
      <c r="A132" s="112">
        <v>46238.691782407404</v>
      </c>
      <c r="B132" s="5" t="s">
        <v>239</v>
      </c>
      <c r="C132" s="5">
        <v>11549170</v>
      </c>
      <c r="D132" s="5">
        <v>713841</v>
      </c>
      <c r="E132" s="33">
        <v>36</v>
      </c>
      <c r="F132" s="60">
        <v>400</v>
      </c>
      <c r="G132" s="60">
        <f>+OtherClients[[#This Row],[Boxes / Pieces]]*OtherClients[[#This Row],[Unit Quantity]]</f>
        <v>14400</v>
      </c>
      <c r="H132" s="60">
        <v>290</v>
      </c>
      <c r="I132" s="117" t="s">
        <v>278</v>
      </c>
      <c r="J132" s="118"/>
      <c r="K132" s="33" t="s">
        <v>278</v>
      </c>
      <c r="L132" s="116"/>
      <c r="M132" s="33" t="s">
        <v>278</v>
      </c>
      <c r="N132" s="116"/>
      <c r="O132" s="33" t="s">
        <v>278</v>
      </c>
      <c r="P132" s="116"/>
      <c r="Q132" s="33" t="s">
        <v>587</v>
      </c>
      <c r="R132" s="116"/>
      <c r="S132" s="33" t="s">
        <v>278</v>
      </c>
      <c r="T132" s="116"/>
      <c r="U132" s="33" t="s">
        <v>278</v>
      </c>
      <c r="V132" s="116"/>
      <c r="W132" s="59" t="s">
        <v>548</v>
      </c>
      <c r="X132" s="33" t="str">
        <f>+VLOOKUP(OtherClients[[#This Row],[Part]],PartControl!$A$2:$E$564,5,FALSE)</f>
        <v>INFASCO</v>
      </c>
      <c r="Y132" s="108">
        <f>IF(OtherClients[[#This Row],[Re-certified or New]]&lt;&gt;"Re-certified",IF(OtherClients[[#This Row],[Client]]="infasco",VLOOKUP(OtherClients[[#This Row],[Part]],PartControl!$A$2:$E$564,2,FALSE),OtherClients[[#This Row],[Total Quantity]]*VLOOKUP(OtherClients[[#This Row],[Part]],PartControl!$A$2:$E$564,2,FALSE)),0)</f>
        <v>106.94</v>
      </c>
      <c r="Z132" s="108">
        <f>IF(OtherClients[[#This Row],[Re-certified or New]]&lt;&gt;"Re-certified",IF(OtherClients[[#This Row],[Client]]="infasco",VLOOKUP(OtherClients[[#This Row],[Part]],PartControl!$A$2:$E$564,2,FALSE),OtherClients[[#This Row],[Total Quantity]]*VLOOKUP(OtherClients[[#This Row],[Part]],PartControl!$A$2:$E$564,2,FALSE)),0)</f>
        <v>106.94</v>
      </c>
    </row>
    <row r="133" spans="1:26" ht="25.15" hidden="1" customHeight="1" x14ac:dyDescent="0.25">
      <c r="A133" s="112">
        <v>46238.691782407404</v>
      </c>
      <c r="B133" s="5" t="s">
        <v>239</v>
      </c>
      <c r="C133" s="5">
        <v>11549170</v>
      </c>
      <c r="D133" s="5">
        <v>713833</v>
      </c>
      <c r="E133" s="33">
        <v>60</v>
      </c>
      <c r="F133" s="60">
        <v>400</v>
      </c>
      <c r="G133" s="60">
        <f>+OtherClients[[#This Row],[Boxes / Pieces]]*OtherClients[[#This Row],[Unit Quantity]]</f>
        <v>24000</v>
      </c>
      <c r="H133" s="60">
        <v>290</v>
      </c>
      <c r="I133" s="117" t="s">
        <v>278</v>
      </c>
      <c r="J133" s="118"/>
      <c r="K133" s="33" t="s">
        <v>278</v>
      </c>
      <c r="L133" s="116"/>
      <c r="M133" s="33" t="s">
        <v>278</v>
      </c>
      <c r="N133" s="116"/>
      <c r="O133" s="33" t="s">
        <v>278</v>
      </c>
      <c r="P133" s="116"/>
      <c r="Q133" s="33" t="s">
        <v>587</v>
      </c>
      <c r="R133" s="116"/>
      <c r="S133" s="33" t="s">
        <v>278</v>
      </c>
      <c r="T133" s="116"/>
      <c r="U133" s="33" t="s">
        <v>278</v>
      </c>
      <c r="V133" s="116"/>
      <c r="W133" s="59" t="s">
        <v>548</v>
      </c>
      <c r="X133" s="33" t="str">
        <f>+VLOOKUP(OtherClients[[#This Row],[Part]],PartControl!$A$2:$E$564,5,FALSE)</f>
        <v>INFASCO</v>
      </c>
      <c r="Y133" s="108">
        <f>IF(OtherClients[[#This Row],[Re-certified or New]]&lt;&gt;"Re-certified",IF(OtherClients[[#This Row],[Client]]="infasco",VLOOKUP(OtherClients[[#This Row],[Part]],PartControl!$A$2:$E$564,2,FALSE),OtherClients[[#This Row],[Total Quantity]]*VLOOKUP(OtherClients[[#This Row],[Part]],PartControl!$A$2:$E$564,2,FALSE)),0)</f>
        <v>106.94</v>
      </c>
      <c r="Z133" s="108">
        <f>IF(OtherClients[[#This Row],[Re-certified or New]]&lt;&gt;"Re-certified",IF(OtherClients[[#This Row],[Client]]="infasco",VLOOKUP(OtherClients[[#This Row],[Part]],PartControl!$A$2:$E$564,2,FALSE),OtherClients[[#This Row],[Total Quantity]]*VLOOKUP(OtherClients[[#This Row],[Part]],PartControl!$A$2:$E$564,2,FALSE)),0)</f>
        <v>106.94</v>
      </c>
    </row>
    <row r="134" spans="1:26" ht="25.15" hidden="1" customHeight="1" x14ac:dyDescent="0.25">
      <c r="A134" s="112">
        <v>46238.691782407404</v>
      </c>
      <c r="B134" s="5" t="s">
        <v>239</v>
      </c>
      <c r="C134" s="5">
        <v>11549170</v>
      </c>
      <c r="D134" s="5">
        <v>713837</v>
      </c>
      <c r="E134" s="33">
        <v>8</v>
      </c>
      <c r="F134" s="60">
        <v>400</v>
      </c>
      <c r="G134" s="60">
        <f>+OtherClients[[#This Row],[Boxes / Pieces]]*OtherClients[[#This Row],[Unit Quantity]]</f>
        <v>3200</v>
      </c>
      <c r="H134" s="60">
        <v>290</v>
      </c>
      <c r="I134" s="117" t="s">
        <v>278</v>
      </c>
      <c r="J134" s="118"/>
      <c r="K134" s="33" t="s">
        <v>278</v>
      </c>
      <c r="L134" s="116"/>
      <c r="M134" s="33" t="s">
        <v>278</v>
      </c>
      <c r="N134" s="116"/>
      <c r="O134" s="33" t="s">
        <v>278</v>
      </c>
      <c r="P134" s="116"/>
      <c r="Q134" s="33" t="s">
        <v>587</v>
      </c>
      <c r="R134" s="116"/>
      <c r="S134" s="33" t="s">
        <v>278</v>
      </c>
      <c r="T134" s="116"/>
      <c r="U134" s="33" t="s">
        <v>278</v>
      </c>
      <c r="V134" s="116"/>
      <c r="W134" s="59" t="s">
        <v>633</v>
      </c>
      <c r="X134" s="33" t="str">
        <f>+VLOOKUP(OtherClients[[#This Row],[Part]],PartControl!$A$2:$E$564,5,FALSE)</f>
        <v>INFASCO</v>
      </c>
      <c r="Y134" s="108">
        <f>IF(OtherClients[[#This Row],[Re-certified or New]]&lt;&gt;"Re-certified",IF(OtherClients[[#This Row],[Client]]="infasco",VLOOKUP(OtherClients[[#This Row],[Part]],PartControl!$A$2:$E$564,2,FALSE),OtherClients[[#This Row],[Total Quantity]]*VLOOKUP(OtherClients[[#This Row],[Part]],PartControl!$A$2:$E$564,2,FALSE)),0)</f>
        <v>0</v>
      </c>
      <c r="Z134" s="108">
        <f>IF(OtherClients[[#This Row],[Re-certified or New]]&lt;&gt;"Re-certified",IF(OtherClients[[#This Row],[Client]]="infasco",VLOOKUP(OtherClients[[#This Row],[Part]],PartControl!$A$2:$E$564,2,FALSE),OtherClients[[#This Row],[Total Quantity]]*VLOOKUP(OtherClients[[#This Row],[Part]],PartControl!$A$2:$E$564,2,FALSE)),0)</f>
        <v>0</v>
      </c>
    </row>
    <row r="135" spans="1:26" ht="25.15" hidden="1" customHeight="1" x14ac:dyDescent="0.25">
      <c r="A135" s="112">
        <v>46238.691782407404</v>
      </c>
      <c r="B135" s="5" t="s">
        <v>243</v>
      </c>
      <c r="C135" s="5" t="s">
        <v>666</v>
      </c>
      <c r="D135" s="5">
        <v>714502</v>
      </c>
      <c r="E135" s="33">
        <f>30-5</f>
        <v>25</v>
      </c>
      <c r="F135" s="60">
        <v>2000</v>
      </c>
      <c r="G135" s="60">
        <f>+OtherClients[[#This Row],[Boxes / Pieces]]*OtherClients[[#This Row],[Unit Quantity]]</f>
        <v>50000</v>
      </c>
      <c r="H135" s="60">
        <v>4</v>
      </c>
      <c r="I135" s="117" t="s">
        <v>278</v>
      </c>
      <c r="J135" s="118"/>
      <c r="K135" s="33" t="s">
        <v>278</v>
      </c>
      <c r="L135" s="116"/>
      <c r="M135" s="33" t="s">
        <v>278</v>
      </c>
      <c r="N135" s="116"/>
      <c r="O135" s="33" t="s">
        <v>278</v>
      </c>
      <c r="P135" s="116"/>
      <c r="Q135" s="33" t="s">
        <v>587</v>
      </c>
      <c r="R135" s="116"/>
      <c r="S135" s="33" t="s">
        <v>278</v>
      </c>
      <c r="T135" s="116"/>
      <c r="U135" s="33" t="s">
        <v>278</v>
      </c>
      <c r="V135" s="116"/>
      <c r="W135" s="59" t="s">
        <v>548</v>
      </c>
      <c r="X135" s="33" t="str">
        <f>+VLOOKUP(OtherClients[[#This Row],[Part]],PartControl!$A$2:$E$564,5,FALSE)</f>
        <v>infasco</v>
      </c>
      <c r="Y135" s="108">
        <f>IF(OtherClients[[#This Row],[Re-certified or New]]&lt;&gt;"Re-certified",IF(OtherClients[[#This Row],[Client]]="infasco",VLOOKUP(OtherClients[[#This Row],[Part]],PartControl!$A$2:$E$564,2,FALSE),OtherClients[[#This Row],[Total Quantity]]*VLOOKUP(OtherClients[[#This Row],[Part]],PartControl!$A$2:$E$564,2,FALSE)),0)</f>
        <v>106.94</v>
      </c>
      <c r="Z135" s="108">
        <f>IF(OtherClients[[#This Row],[Re-certified or New]]&lt;&gt;"Re-certified",IF(OtherClients[[#This Row],[Client]]="infasco",VLOOKUP(OtherClients[[#This Row],[Part]],PartControl!$A$2:$E$564,2,FALSE),OtherClients[[#This Row],[Total Quantity]]*VLOOKUP(OtherClients[[#This Row],[Part]],PartControl!$A$2:$E$564,2,FALSE)),0)</f>
        <v>106.94</v>
      </c>
    </row>
    <row r="136" spans="1:26" ht="25.15" hidden="1" customHeight="1" x14ac:dyDescent="0.25">
      <c r="A136" s="112">
        <v>46238.691782407404</v>
      </c>
      <c r="B136" s="5" t="s">
        <v>623</v>
      </c>
      <c r="C136" s="5">
        <v>11549168</v>
      </c>
      <c r="D136" s="5">
        <v>713691</v>
      </c>
      <c r="E136" s="33">
        <f>36+12-16</f>
        <v>32</v>
      </c>
      <c r="F136" s="60">
        <v>1000</v>
      </c>
      <c r="G136" s="60">
        <f>+OtherClients[[#This Row],[Boxes / Pieces]]*OtherClients[[#This Row],[Unit Quantity]]</f>
        <v>32000</v>
      </c>
      <c r="H136" s="60">
        <v>4</v>
      </c>
      <c r="I136" s="117" t="s">
        <v>278</v>
      </c>
      <c r="J136" s="118"/>
      <c r="K136" s="33" t="s">
        <v>278</v>
      </c>
      <c r="L136" s="116"/>
      <c r="M136" s="33" t="s">
        <v>278</v>
      </c>
      <c r="N136" s="116"/>
      <c r="O136" s="33" t="s">
        <v>278</v>
      </c>
      <c r="P136" s="116"/>
      <c r="Q136" s="33" t="s">
        <v>587</v>
      </c>
      <c r="R136" s="116"/>
      <c r="S136" s="33" t="s">
        <v>278</v>
      </c>
      <c r="T136" s="116"/>
      <c r="U136" s="33" t="s">
        <v>278</v>
      </c>
      <c r="V136" s="116"/>
      <c r="W136" s="59" t="s">
        <v>548</v>
      </c>
      <c r="X136" s="33" t="str">
        <f>+VLOOKUP(OtherClients[[#This Row],[Part]],PartControl!$A$2:$E$564,5,FALSE)</f>
        <v>INFASCO</v>
      </c>
      <c r="Y136" s="108">
        <f>IF(OtherClients[[#This Row],[Re-certified or New]]&lt;&gt;"Re-certified",IF(OtherClients[[#This Row],[Client]]="infasco",VLOOKUP(OtherClients[[#This Row],[Part]],PartControl!$A$2:$E$564,2,FALSE),OtherClients[[#This Row],[Total Quantity]]*VLOOKUP(OtherClients[[#This Row],[Part]],PartControl!$A$2:$E$564,2,FALSE)),0)</f>
        <v>106.94</v>
      </c>
      <c r="Z136" s="108">
        <f>IF(OtherClients[[#This Row],[Re-certified or New]]&lt;&gt;"Re-certified",IF(OtherClients[[#This Row],[Client]]="infasco",VLOOKUP(OtherClients[[#This Row],[Part]],PartControl!$A$2:$E$564,2,FALSE),OtherClients[[#This Row],[Total Quantity]]*VLOOKUP(OtherClients[[#This Row],[Part]],PartControl!$A$2:$E$564,2,FALSE)),0)</f>
        <v>106.94</v>
      </c>
    </row>
    <row r="137" spans="1:26" ht="25.15" hidden="1" customHeight="1" x14ac:dyDescent="0.25">
      <c r="A137" s="112">
        <v>46238.691782407404</v>
      </c>
      <c r="B137" s="5" t="s">
        <v>623</v>
      </c>
      <c r="C137" s="5">
        <v>11549168</v>
      </c>
      <c r="D137" s="5">
        <v>712774</v>
      </c>
      <c r="E137" s="33">
        <v>45</v>
      </c>
      <c r="F137" s="60">
        <v>1000</v>
      </c>
      <c r="G137" s="60">
        <f>+OtherClients[[#This Row],[Boxes / Pieces]]*OtherClients[[#This Row],[Unit Quantity]]</f>
        <v>45000</v>
      </c>
      <c r="H137" s="60">
        <v>4</v>
      </c>
      <c r="I137" s="117" t="s">
        <v>278</v>
      </c>
      <c r="J137" s="118"/>
      <c r="K137" s="33" t="s">
        <v>278</v>
      </c>
      <c r="L137" s="116"/>
      <c r="M137" s="33" t="s">
        <v>278</v>
      </c>
      <c r="N137" s="116"/>
      <c r="O137" s="33" t="s">
        <v>278</v>
      </c>
      <c r="P137" s="116"/>
      <c r="Q137" s="33" t="s">
        <v>587</v>
      </c>
      <c r="R137" s="116"/>
      <c r="S137" s="33" t="s">
        <v>278</v>
      </c>
      <c r="T137" s="116"/>
      <c r="U137" s="33" t="s">
        <v>278</v>
      </c>
      <c r="V137" s="116"/>
      <c r="W137" s="59" t="s">
        <v>548</v>
      </c>
      <c r="X137" s="33" t="str">
        <f>+VLOOKUP(OtherClients[[#This Row],[Part]],PartControl!$A$2:$E$564,5,FALSE)</f>
        <v>INFASCO</v>
      </c>
      <c r="Y137" s="108">
        <f>IF(OtherClients[[#This Row],[Re-certified or New]]&lt;&gt;"Re-certified",IF(OtherClients[[#This Row],[Client]]="infasco",VLOOKUP(OtherClients[[#This Row],[Part]],PartControl!$A$2:$E$564,2,FALSE),OtherClients[[#This Row],[Total Quantity]]*VLOOKUP(OtherClients[[#This Row],[Part]],PartControl!$A$2:$E$564,2,FALSE)),0)</f>
        <v>106.94</v>
      </c>
      <c r="Z137" s="108">
        <f>IF(OtherClients[[#This Row],[Re-certified or New]]&lt;&gt;"Re-certified",IF(OtherClients[[#This Row],[Client]]="infasco",VLOOKUP(OtherClients[[#This Row],[Part]],PartControl!$A$2:$E$564,2,FALSE),OtherClients[[#This Row],[Total Quantity]]*VLOOKUP(OtherClients[[#This Row],[Part]],PartControl!$A$2:$E$564,2,FALSE)),0)</f>
        <v>106.94</v>
      </c>
    </row>
    <row r="138" spans="1:26" ht="25.15" hidden="1" customHeight="1" x14ac:dyDescent="0.25">
      <c r="A138" s="112">
        <v>46238.691782407404</v>
      </c>
      <c r="B138" s="5" t="s">
        <v>623</v>
      </c>
      <c r="C138" s="5">
        <v>11549168</v>
      </c>
      <c r="D138" s="5">
        <v>712773</v>
      </c>
      <c r="E138" s="33">
        <v>14</v>
      </c>
      <c r="F138" s="60">
        <v>1000</v>
      </c>
      <c r="G138" s="60">
        <f>+OtherClients[[#This Row],[Boxes / Pieces]]*OtherClients[[#This Row],[Unit Quantity]]</f>
        <v>14000</v>
      </c>
      <c r="H138" s="60">
        <v>4</v>
      </c>
      <c r="I138" s="117" t="s">
        <v>278</v>
      </c>
      <c r="J138" s="118"/>
      <c r="K138" s="33" t="s">
        <v>278</v>
      </c>
      <c r="L138" s="116"/>
      <c r="M138" s="33" t="s">
        <v>278</v>
      </c>
      <c r="N138" s="116"/>
      <c r="O138" s="33" t="s">
        <v>278</v>
      </c>
      <c r="P138" s="116"/>
      <c r="Q138" s="33" t="s">
        <v>587</v>
      </c>
      <c r="R138" s="116"/>
      <c r="S138" s="33" t="s">
        <v>278</v>
      </c>
      <c r="T138" s="116"/>
      <c r="U138" s="33" t="s">
        <v>278</v>
      </c>
      <c r="V138" s="116"/>
      <c r="W138" s="59" t="s">
        <v>633</v>
      </c>
      <c r="X138" s="33" t="str">
        <f>+VLOOKUP(OtherClients[[#This Row],[Part]],PartControl!$A$2:$E$564,5,FALSE)</f>
        <v>INFASCO</v>
      </c>
      <c r="Y138" s="108">
        <f>IF(OtherClients[[#This Row],[Re-certified or New]]&lt;&gt;"Re-certified",IF(OtherClients[[#This Row],[Client]]="infasco",VLOOKUP(OtherClients[[#This Row],[Part]],PartControl!$A$2:$E$564,2,FALSE),OtherClients[[#This Row],[Total Quantity]]*VLOOKUP(OtherClients[[#This Row],[Part]],PartControl!$A$2:$E$564,2,FALSE)),0)</f>
        <v>0</v>
      </c>
      <c r="Z138" s="108">
        <f>IF(OtherClients[[#This Row],[Re-certified or New]]&lt;&gt;"Re-certified",IF(OtherClients[[#This Row],[Client]]="infasco",VLOOKUP(OtherClients[[#This Row],[Part]],PartControl!$A$2:$E$564,2,FALSE),OtherClients[[#This Row],[Total Quantity]]*VLOOKUP(OtherClients[[#This Row],[Part]],PartControl!$A$2:$E$564,2,FALSE)),0)</f>
        <v>0</v>
      </c>
    </row>
    <row r="139" spans="1:26" ht="25.15" hidden="1" customHeight="1" x14ac:dyDescent="0.25">
      <c r="A139" s="112">
        <v>46238.691782407404</v>
      </c>
      <c r="B139" s="5" t="s">
        <v>624</v>
      </c>
      <c r="C139" s="5" t="s">
        <v>703</v>
      </c>
      <c r="D139" s="5">
        <v>714117</v>
      </c>
      <c r="E139" s="33">
        <f>36+2-8</f>
        <v>30</v>
      </c>
      <c r="F139" s="60">
        <v>700</v>
      </c>
      <c r="G139" s="60">
        <f>+OtherClients[[#This Row],[Boxes / Pieces]]*OtherClients[[#This Row],[Unit Quantity]]</f>
        <v>21000</v>
      </c>
      <c r="H139" s="60">
        <v>4</v>
      </c>
      <c r="I139" s="117" t="s">
        <v>278</v>
      </c>
      <c r="J139" s="118"/>
      <c r="K139" s="33" t="s">
        <v>278</v>
      </c>
      <c r="L139" s="116"/>
      <c r="M139" s="33" t="s">
        <v>278</v>
      </c>
      <c r="N139" s="116"/>
      <c r="O139" s="33" t="s">
        <v>278</v>
      </c>
      <c r="P139" s="116"/>
      <c r="Q139" s="33" t="s">
        <v>587</v>
      </c>
      <c r="R139" s="116"/>
      <c r="S139" s="33" t="s">
        <v>278</v>
      </c>
      <c r="T139" s="116"/>
      <c r="U139" s="33" t="s">
        <v>278</v>
      </c>
      <c r="V139" s="116"/>
      <c r="W139" s="59" t="s">
        <v>548</v>
      </c>
      <c r="X139" s="33" t="str">
        <f>+VLOOKUP(OtherClients[[#This Row],[Part]],PartControl!$A$2:$E$564,5,FALSE)</f>
        <v>infasco</v>
      </c>
      <c r="Y139" s="108">
        <f>IF(OtherClients[[#This Row],[Re-certified or New]]&lt;&gt;"Re-certified",IF(OtherClients[[#This Row],[Client]]="infasco",VLOOKUP(OtherClients[[#This Row],[Part]],PartControl!$A$2:$E$564,2,FALSE),OtherClients[[#This Row],[Total Quantity]]*VLOOKUP(OtherClients[[#This Row],[Part]],PartControl!$A$2:$E$564,2,FALSE)),0)</f>
        <v>106.94</v>
      </c>
      <c r="Z139" s="108">
        <f>IF(OtherClients[[#This Row],[Re-certified or New]]&lt;&gt;"Re-certified",IF(OtherClients[[#This Row],[Client]]="infasco",VLOOKUP(OtherClients[[#This Row],[Part]],PartControl!$A$2:$E$564,2,FALSE),OtherClients[[#This Row],[Total Quantity]]*VLOOKUP(OtherClients[[#This Row],[Part]],PartControl!$A$2:$E$564,2,FALSE)),0)</f>
        <v>106.94</v>
      </c>
    </row>
    <row r="140" spans="1:26" ht="25.15" hidden="1" customHeight="1" x14ac:dyDescent="0.25">
      <c r="A140" s="112">
        <v>46238.691782407404</v>
      </c>
      <c r="B140" s="5" t="s">
        <v>624</v>
      </c>
      <c r="C140" s="5" t="s">
        <v>703</v>
      </c>
      <c r="D140" s="5">
        <v>714553</v>
      </c>
      <c r="E140" s="33">
        <v>36</v>
      </c>
      <c r="F140" s="60">
        <v>700</v>
      </c>
      <c r="G140" s="60">
        <f>+OtherClients[[#This Row],[Boxes / Pieces]]*OtherClients[[#This Row],[Unit Quantity]]</f>
        <v>25200</v>
      </c>
      <c r="H140" s="60">
        <v>4</v>
      </c>
      <c r="I140" s="117" t="s">
        <v>278</v>
      </c>
      <c r="J140" s="118"/>
      <c r="K140" s="33" t="s">
        <v>278</v>
      </c>
      <c r="L140" s="116"/>
      <c r="M140" s="33" t="s">
        <v>278</v>
      </c>
      <c r="N140" s="116"/>
      <c r="O140" s="33" t="s">
        <v>278</v>
      </c>
      <c r="P140" s="116"/>
      <c r="Q140" s="33" t="s">
        <v>587</v>
      </c>
      <c r="R140" s="116"/>
      <c r="S140" s="33" t="s">
        <v>278</v>
      </c>
      <c r="T140" s="116"/>
      <c r="U140" s="33" t="s">
        <v>278</v>
      </c>
      <c r="V140" s="116"/>
      <c r="W140" s="59" t="s">
        <v>548</v>
      </c>
      <c r="X140" s="33" t="str">
        <f>+VLOOKUP(OtherClients[[#This Row],[Part]],PartControl!$A$2:$E$564,5,FALSE)</f>
        <v>infasco</v>
      </c>
      <c r="Y140" s="108">
        <f>IF(OtherClients[[#This Row],[Re-certified or New]]&lt;&gt;"Re-certified",IF(OtherClients[[#This Row],[Client]]="infasco",VLOOKUP(OtherClients[[#This Row],[Part]],PartControl!$A$2:$E$564,2,FALSE),OtherClients[[#This Row],[Total Quantity]]*VLOOKUP(OtherClients[[#This Row],[Part]],PartControl!$A$2:$E$564,2,FALSE)),0)</f>
        <v>106.94</v>
      </c>
      <c r="Z140" s="108">
        <f>IF(OtherClients[[#This Row],[Re-certified or New]]&lt;&gt;"Re-certified",IF(OtherClients[[#This Row],[Client]]="infasco",VLOOKUP(OtherClients[[#This Row],[Part]],PartControl!$A$2:$E$564,2,FALSE),OtherClients[[#This Row],[Total Quantity]]*VLOOKUP(OtherClients[[#This Row],[Part]],PartControl!$A$2:$E$564,2,FALSE)),0)</f>
        <v>106.94</v>
      </c>
    </row>
    <row r="141" spans="1:26" ht="25.15" hidden="1" customHeight="1" x14ac:dyDescent="0.25">
      <c r="A141" s="112">
        <v>46238.691782407404</v>
      </c>
      <c r="B141" s="5" t="s">
        <v>624</v>
      </c>
      <c r="C141" s="5" t="s">
        <v>703</v>
      </c>
      <c r="D141" s="5">
        <v>714548</v>
      </c>
      <c r="E141" s="33">
        <v>36</v>
      </c>
      <c r="F141" s="60">
        <v>700</v>
      </c>
      <c r="G141" s="60">
        <f>+OtherClients[[#This Row],[Boxes / Pieces]]*OtherClients[[#This Row],[Unit Quantity]]</f>
        <v>25200</v>
      </c>
      <c r="H141" s="60">
        <v>4</v>
      </c>
      <c r="I141" s="117" t="s">
        <v>278</v>
      </c>
      <c r="J141" s="118"/>
      <c r="K141" s="33" t="s">
        <v>278</v>
      </c>
      <c r="L141" s="116"/>
      <c r="M141" s="33" t="s">
        <v>278</v>
      </c>
      <c r="N141" s="116"/>
      <c r="O141" s="33" t="s">
        <v>278</v>
      </c>
      <c r="P141" s="116"/>
      <c r="Q141" s="33" t="s">
        <v>587</v>
      </c>
      <c r="R141" s="116"/>
      <c r="S141" s="33" t="s">
        <v>278</v>
      </c>
      <c r="T141" s="116"/>
      <c r="U141" s="33" t="s">
        <v>278</v>
      </c>
      <c r="V141" s="116"/>
      <c r="W141" s="59" t="s">
        <v>548</v>
      </c>
      <c r="X141" s="33" t="str">
        <f>+VLOOKUP(OtherClients[[#This Row],[Part]],PartControl!$A$2:$E$564,5,FALSE)</f>
        <v>infasco</v>
      </c>
      <c r="Y141" s="108">
        <f>IF(OtherClients[[#This Row],[Re-certified or New]]&lt;&gt;"Re-certified",IF(OtherClients[[#This Row],[Client]]="infasco",VLOOKUP(OtherClients[[#This Row],[Part]],PartControl!$A$2:$E$564,2,FALSE),OtherClients[[#This Row],[Total Quantity]]*VLOOKUP(OtherClients[[#This Row],[Part]],PartControl!$A$2:$E$564,2,FALSE)),0)</f>
        <v>106.94</v>
      </c>
      <c r="Z141" s="108">
        <f>IF(OtherClients[[#This Row],[Re-certified or New]]&lt;&gt;"Re-certified",IF(OtherClients[[#This Row],[Client]]="infasco",VLOOKUP(OtherClients[[#This Row],[Part]],PartControl!$A$2:$E$564,2,FALSE),OtherClients[[#This Row],[Total Quantity]]*VLOOKUP(OtherClients[[#This Row],[Part]],PartControl!$A$2:$E$564,2,FALSE)),0)</f>
        <v>106.94</v>
      </c>
    </row>
    <row r="142" spans="1:26" ht="25.15" hidden="1" customHeight="1" x14ac:dyDescent="0.25">
      <c r="A142" s="112">
        <v>46238.691782407404</v>
      </c>
      <c r="B142" s="5" t="s">
        <v>624</v>
      </c>
      <c r="C142" s="5" t="s">
        <v>703</v>
      </c>
      <c r="D142" s="5">
        <v>714549</v>
      </c>
      <c r="E142" s="33">
        <v>36</v>
      </c>
      <c r="F142" s="60">
        <v>700</v>
      </c>
      <c r="G142" s="60">
        <f>+OtherClients[[#This Row],[Boxes / Pieces]]*OtherClients[[#This Row],[Unit Quantity]]</f>
        <v>25200</v>
      </c>
      <c r="H142" s="60">
        <v>4</v>
      </c>
      <c r="I142" s="117" t="s">
        <v>278</v>
      </c>
      <c r="J142" s="118"/>
      <c r="K142" s="33" t="s">
        <v>278</v>
      </c>
      <c r="L142" s="116"/>
      <c r="M142" s="33" t="s">
        <v>278</v>
      </c>
      <c r="N142" s="116"/>
      <c r="O142" s="33" t="s">
        <v>278</v>
      </c>
      <c r="P142" s="116"/>
      <c r="Q142" s="33" t="s">
        <v>587</v>
      </c>
      <c r="R142" s="116"/>
      <c r="S142" s="33" t="s">
        <v>278</v>
      </c>
      <c r="T142" s="116"/>
      <c r="U142" s="33" t="s">
        <v>278</v>
      </c>
      <c r="V142" s="116"/>
      <c r="W142" s="59" t="s">
        <v>548</v>
      </c>
      <c r="X142" s="33" t="str">
        <f>+VLOOKUP(OtherClients[[#This Row],[Part]],PartControl!$A$2:$E$564,5,FALSE)</f>
        <v>infasco</v>
      </c>
      <c r="Y142" s="108">
        <f>IF(OtherClients[[#This Row],[Re-certified or New]]&lt;&gt;"Re-certified",IF(OtherClients[[#This Row],[Client]]="infasco",VLOOKUP(OtherClients[[#This Row],[Part]],PartControl!$A$2:$E$564,2,FALSE),OtherClients[[#This Row],[Total Quantity]]*VLOOKUP(OtherClients[[#This Row],[Part]],PartControl!$A$2:$E$564,2,FALSE)),0)</f>
        <v>106.94</v>
      </c>
      <c r="Z142" s="108">
        <f>IF(OtherClients[[#This Row],[Re-certified or New]]&lt;&gt;"Re-certified",IF(OtherClients[[#This Row],[Client]]="infasco",VLOOKUP(OtherClients[[#This Row],[Part]],PartControl!$A$2:$E$564,2,FALSE),OtherClients[[#This Row],[Total Quantity]]*VLOOKUP(OtherClients[[#This Row],[Part]],PartControl!$A$2:$E$564,2,FALSE)),0)</f>
        <v>106.94</v>
      </c>
    </row>
    <row r="143" spans="1:26" ht="25.15" hidden="1" customHeight="1" x14ac:dyDescent="0.25">
      <c r="A143" s="112">
        <v>46238.691782407404</v>
      </c>
      <c r="B143" s="5" t="s">
        <v>244</v>
      </c>
      <c r="C143" s="5" t="s">
        <v>803</v>
      </c>
      <c r="D143" s="5">
        <v>714029</v>
      </c>
      <c r="E143" s="33">
        <f>35-11</f>
        <v>24</v>
      </c>
      <c r="F143" s="60">
        <v>1250</v>
      </c>
      <c r="G143" s="60">
        <f>+OtherClients[[#This Row],[Boxes / Pieces]]*OtherClients[[#This Row],[Unit Quantity]]</f>
        <v>30000</v>
      </c>
      <c r="H143" s="60">
        <v>4</v>
      </c>
      <c r="I143" s="117" t="s">
        <v>278</v>
      </c>
      <c r="J143" s="118"/>
      <c r="K143" s="33" t="s">
        <v>278</v>
      </c>
      <c r="L143" s="116"/>
      <c r="M143" s="33" t="s">
        <v>278</v>
      </c>
      <c r="N143" s="116"/>
      <c r="O143" s="33" t="s">
        <v>278</v>
      </c>
      <c r="P143" s="116"/>
      <c r="Q143" s="33" t="s">
        <v>587</v>
      </c>
      <c r="R143" s="116"/>
      <c r="S143" s="33" t="s">
        <v>278</v>
      </c>
      <c r="T143" s="116"/>
      <c r="U143" s="33" t="s">
        <v>278</v>
      </c>
      <c r="V143" s="116"/>
      <c r="W143" s="59" t="s">
        <v>548</v>
      </c>
      <c r="X143" s="33" t="str">
        <f>+VLOOKUP(OtherClients[[#This Row],[Part]],PartControl!$A$2:$E$564,5,FALSE)</f>
        <v>infasco</v>
      </c>
      <c r="Y143" s="108">
        <f>IF(OtherClients[[#This Row],[Re-certified or New]]&lt;&gt;"Re-certified",IF(OtherClients[[#This Row],[Client]]="infasco",VLOOKUP(OtherClients[[#This Row],[Part]],PartControl!$A$2:$E$564,2,FALSE),OtherClients[[#This Row],[Total Quantity]]*VLOOKUP(OtherClients[[#This Row],[Part]],PartControl!$A$2:$E$564,2,FALSE)),0)</f>
        <v>106.94</v>
      </c>
      <c r="Z143" s="108">
        <f>IF(OtherClients[[#This Row],[Re-certified or New]]&lt;&gt;"Re-certified",IF(OtherClients[[#This Row],[Client]]="infasco",VLOOKUP(OtherClients[[#This Row],[Part]],PartControl!$A$2:$E$564,2,FALSE),OtherClients[[#This Row],[Total Quantity]]*VLOOKUP(OtherClients[[#This Row],[Part]],PartControl!$A$2:$E$564,2,FALSE)),0)</f>
        <v>106.94</v>
      </c>
    </row>
    <row r="144" spans="1:26" ht="25.15" hidden="1" customHeight="1" x14ac:dyDescent="0.25">
      <c r="A144" s="112">
        <v>46238.691782407404</v>
      </c>
      <c r="B144" s="5" t="s">
        <v>251</v>
      </c>
      <c r="C144" s="5" t="s">
        <v>645</v>
      </c>
      <c r="D144" s="5">
        <v>714511</v>
      </c>
      <c r="E144" s="33">
        <f>36-29</f>
        <v>7</v>
      </c>
      <c r="F144" s="60">
        <v>1000</v>
      </c>
      <c r="G144" s="60">
        <f>+OtherClients[[#This Row],[Boxes / Pieces]]*OtherClients[[#This Row],[Unit Quantity]]</f>
        <v>7000</v>
      </c>
      <c r="H144" s="60">
        <v>4</v>
      </c>
      <c r="I144" s="117" t="s">
        <v>278</v>
      </c>
      <c r="J144" s="118"/>
      <c r="K144" s="33" t="s">
        <v>278</v>
      </c>
      <c r="L144" s="116"/>
      <c r="M144" s="33" t="s">
        <v>278</v>
      </c>
      <c r="N144" s="116"/>
      <c r="O144" s="33" t="s">
        <v>278</v>
      </c>
      <c r="P144" s="116"/>
      <c r="Q144" s="33" t="s">
        <v>587</v>
      </c>
      <c r="R144" s="116"/>
      <c r="S144" s="33" t="s">
        <v>278</v>
      </c>
      <c r="T144" s="116"/>
      <c r="U144" s="33" t="s">
        <v>278</v>
      </c>
      <c r="V144" s="116"/>
      <c r="W144" s="59" t="s">
        <v>548</v>
      </c>
      <c r="X144" s="33" t="str">
        <f>+VLOOKUP(OtherClients[[#This Row],[Part]],PartControl!$A$2:$E$564,5,FALSE)</f>
        <v>infasco</v>
      </c>
      <c r="Y144" s="108">
        <f>IF(OtherClients[[#This Row],[Re-certified or New]]&lt;&gt;"Re-certified",IF(OtherClients[[#This Row],[Client]]="infasco",VLOOKUP(OtherClients[[#This Row],[Part]],PartControl!$A$2:$E$564,2,FALSE),OtherClients[[#This Row],[Total Quantity]]*VLOOKUP(OtherClients[[#This Row],[Part]],PartControl!$A$2:$E$564,2,FALSE)),0)</f>
        <v>106.94</v>
      </c>
      <c r="Z144" s="108">
        <f>IF(OtherClients[[#This Row],[Re-certified or New]]&lt;&gt;"Re-certified",IF(OtherClients[[#This Row],[Client]]="infasco",VLOOKUP(OtherClients[[#This Row],[Part]],PartControl!$A$2:$E$564,2,FALSE),OtherClients[[#This Row],[Total Quantity]]*VLOOKUP(OtherClients[[#This Row],[Part]],PartControl!$A$2:$E$564,2,FALSE)),0)</f>
        <v>106.94</v>
      </c>
    </row>
    <row r="145" spans="1:26" ht="25.15" hidden="1" customHeight="1" x14ac:dyDescent="0.25">
      <c r="A145" s="112">
        <v>46238.691782407404</v>
      </c>
      <c r="B145" s="5" t="s">
        <v>251</v>
      </c>
      <c r="C145" s="5" t="s">
        <v>645</v>
      </c>
      <c r="D145" s="5">
        <v>714506</v>
      </c>
      <c r="E145" s="33">
        <v>12</v>
      </c>
      <c r="F145" s="60">
        <v>1000</v>
      </c>
      <c r="G145" s="60">
        <f>+OtherClients[[#This Row],[Boxes / Pieces]]*OtherClients[[#This Row],[Unit Quantity]]</f>
        <v>12000</v>
      </c>
      <c r="H145" s="60">
        <v>4</v>
      </c>
      <c r="I145" s="117" t="s">
        <v>278</v>
      </c>
      <c r="J145" s="118"/>
      <c r="K145" s="33" t="s">
        <v>278</v>
      </c>
      <c r="L145" s="116"/>
      <c r="M145" s="33" t="s">
        <v>278</v>
      </c>
      <c r="N145" s="116"/>
      <c r="O145" s="33" t="s">
        <v>278</v>
      </c>
      <c r="P145" s="116"/>
      <c r="Q145" s="33" t="s">
        <v>587</v>
      </c>
      <c r="R145" s="116"/>
      <c r="S145" s="33" t="s">
        <v>278</v>
      </c>
      <c r="T145" s="116"/>
      <c r="U145" s="33" t="s">
        <v>278</v>
      </c>
      <c r="V145" s="116"/>
      <c r="W145" s="59" t="s">
        <v>633</v>
      </c>
      <c r="X145" s="33" t="str">
        <f>+VLOOKUP(OtherClients[[#This Row],[Part]],PartControl!$A$2:$E$564,5,FALSE)</f>
        <v>infasco</v>
      </c>
      <c r="Y145" s="108">
        <f>IF(OtherClients[[#This Row],[Re-certified or New]]&lt;&gt;"Re-certified",IF(OtherClients[[#This Row],[Client]]="infasco",VLOOKUP(OtherClients[[#This Row],[Part]],PartControl!$A$2:$E$564,2,FALSE),OtherClients[[#This Row],[Total Quantity]]*VLOOKUP(OtherClients[[#This Row],[Part]],PartControl!$A$2:$E$564,2,FALSE)),0)</f>
        <v>0</v>
      </c>
      <c r="Z145" s="108">
        <f>IF(OtherClients[[#This Row],[Re-certified or New]]&lt;&gt;"Re-certified",IF(OtherClients[[#This Row],[Client]]="infasco",VLOOKUP(OtherClients[[#This Row],[Part]],PartControl!$A$2:$E$564,2,FALSE),OtherClients[[#This Row],[Total Quantity]]*VLOOKUP(OtherClients[[#This Row],[Part]],PartControl!$A$2:$E$564,2,FALSE)),0)</f>
        <v>0</v>
      </c>
    </row>
    <row r="146" spans="1:26" ht="25.15" hidden="1" customHeight="1" x14ac:dyDescent="0.25">
      <c r="A146" s="112">
        <v>46238.691782407404</v>
      </c>
      <c r="B146" s="5" t="s">
        <v>245</v>
      </c>
      <c r="C146" s="5" t="s">
        <v>303</v>
      </c>
      <c r="D146" s="5">
        <v>713727</v>
      </c>
      <c r="E146" s="33">
        <v>1</v>
      </c>
      <c r="F146" s="60">
        <v>3861</v>
      </c>
      <c r="G146" s="60">
        <f>+OtherClients[[#This Row],[Boxes / Pieces]]*OtherClients[[#This Row],[Unit Quantity]]</f>
        <v>3861</v>
      </c>
      <c r="H146" s="60">
        <v>4</v>
      </c>
      <c r="I146" s="117" t="s">
        <v>278</v>
      </c>
      <c r="J146" s="118"/>
      <c r="K146" s="33" t="s">
        <v>278</v>
      </c>
      <c r="L146" s="116"/>
      <c r="M146" s="33" t="s">
        <v>278</v>
      </c>
      <c r="N146" s="116"/>
      <c r="O146" s="33" t="s">
        <v>278</v>
      </c>
      <c r="P146" s="116"/>
      <c r="Q146" s="33" t="s">
        <v>587</v>
      </c>
      <c r="R146" s="116"/>
      <c r="S146" s="33" t="s">
        <v>278</v>
      </c>
      <c r="T146" s="116"/>
      <c r="U146" s="33" t="s">
        <v>278</v>
      </c>
      <c r="V146" s="116"/>
      <c r="W146" s="59" t="s">
        <v>548</v>
      </c>
      <c r="X146" s="33" t="str">
        <f>+VLOOKUP(OtherClients[[#This Row],[Part]],PartControl!$A$2:$E$564,5,FALSE)</f>
        <v>INFASCO</v>
      </c>
      <c r="Y146" s="108">
        <f>IF(OtherClients[[#This Row],[Re-certified or New]]&lt;&gt;"Re-certified",IF(OtherClients[[#This Row],[Client]]="infasco",VLOOKUP(OtherClients[[#This Row],[Part]],PartControl!$A$2:$E$564,2,FALSE),OtherClients[[#This Row],[Total Quantity]]*VLOOKUP(OtherClients[[#This Row],[Part]],PartControl!$A$2:$E$564,2,FALSE)),0)</f>
        <v>129.44999999999999</v>
      </c>
      <c r="Z146" s="108">
        <f>IF(OtherClients[[#This Row],[Re-certified or New]]&lt;&gt;"Re-certified",IF(OtherClients[[#This Row],[Client]]="infasco",VLOOKUP(OtherClients[[#This Row],[Part]],PartControl!$A$2:$E$564,2,FALSE),OtherClients[[#This Row],[Total Quantity]]*VLOOKUP(OtherClients[[#This Row],[Part]],PartControl!$A$2:$E$564,2,FALSE)),0)</f>
        <v>129.44999999999999</v>
      </c>
    </row>
    <row r="147" spans="1:26" ht="25.15" hidden="1" customHeight="1" x14ac:dyDescent="0.25">
      <c r="A147" s="112">
        <v>46238.691782407404</v>
      </c>
      <c r="B147" s="5" t="s">
        <v>245</v>
      </c>
      <c r="C147" s="5">
        <v>11546456</v>
      </c>
      <c r="D147" s="5">
        <v>715616</v>
      </c>
      <c r="E147" s="33">
        <v>20</v>
      </c>
      <c r="F147" s="60">
        <v>2700</v>
      </c>
      <c r="G147" s="60">
        <f>+OtherClients[[#This Row],[Boxes / Pieces]]*OtherClients[[#This Row],[Unit Quantity]]</f>
        <v>54000</v>
      </c>
      <c r="H147" s="60">
        <v>4</v>
      </c>
      <c r="I147" s="117" t="s">
        <v>278</v>
      </c>
      <c r="J147" s="118"/>
      <c r="K147" s="33" t="s">
        <v>278</v>
      </c>
      <c r="L147" s="116"/>
      <c r="M147" s="33" t="s">
        <v>278</v>
      </c>
      <c r="N147" s="116"/>
      <c r="O147" s="33" t="s">
        <v>278</v>
      </c>
      <c r="P147" s="116"/>
      <c r="Q147" s="33" t="s">
        <v>587</v>
      </c>
      <c r="R147" s="116"/>
      <c r="S147" s="33" t="s">
        <v>278</v>
      </c>
      <c r="T147" s="116"/>
      <c r="U147" s="33" t="s">
        <v>278</v>
      </c>
      <c r="V147" s="116"/>
      <c r="W147" s="59" t="s">
        <v>633</v>
      </c>
      <c r="X147" s="33" t="str">
        <f>+VLOOKUP(OtherClients[[#This Row],[Part]],PartControl!$A$2:$E$564,5,FALSE)</f>
        <v>INFASCO</v>
      </c>
      <c r="Y147" s="108">
        <f>IF(OtherClients[[#This Row],[Re-certified or New]]&lt;&gt;"Re-certified",IF(OtherClients[[#This Row],[Client]]="infasco",VLOOKUP(OtherClients[[#This Row],[Part]],PartControl!$A$2:$E$564,2,FALSE),OtherClients[[#This Row],[Total Quantity]]*VLOOKUP(OtherClients[[#This Row],[Part]],PartControl!$A$2:$E$564,2,FALSE)),0)</f>
        <v>0</v>
      </c>
      <c r="Z147" s="108">
        <f>IF(OtherClients[[#This Row],[Re-certified or New]]&lt;&gt;"Re-certified",IF(OtherClients[[#This Row],[Client]]="infasco",VLOOKUP(OtherClients[[#This Row],[Part]],PartControl!$A$2:$E$564,2,FALSE),OtherClients[[#This Row],[Total Quantity]]*VLOOKUP(OtherClients[[#This Row],[Part]],PartControl!$A$2:$E$564,2,FALSE)),0)</f>
        <v>0</v>
      </c>
    </row>
    <row r="148" spans="1:26" ht="25.15" hidden="1" customHeight="1" x14ac:dyDescent="0.25">
      <c r="A148" s="112">
        <v>46238.691782407404</v>
      </c>
      <c r="B148" s="5" t="s">
        <v>347</v>
      </c>
      <c r="C148" s="5">
        <v>91054</v>
      </c>
      <c r="D148" s="5">
        <v>711580</v>
      </c>
      <c r="E148" s="33">
        <f>36+1-17</f>
        <v>20</v>
      </c>
      <c r="F148" s="60">
        <v>1700</v>
      </c>
      <c r="G148" s="60">
        <f>+OtherClients[[#This Row],[Boxes / Pieces]]*OtherClients[[#This Row],[Unit Quantity]]</f>
        <v>34000</v>
      </c>
      <c r="H148" s="60" t="s">
        <v>655</v>
      </c>
      <c r="I148" s="117" t="s">
        <v>278</v>
      </c>
      <c r="J148" s="118"/>
      <c r="K148" s="33" t="s">
        <v>278</v>
      </c>
      <c r="L148" s="116"/>
      <c r="M148" s="33" t="s">
        <v>278</v>
      </c>
      <c r="N148" s="116"/>
      <c r="O148" s="33" t="s">
        <v>278</v>
      </c>
      <c r="P148" s="116"/>
      <c r="Q148" s="33" t="s">
        <v>587</v>
      </c>
      <c r="R148" s="116"/>
      <c r="S148" s="33" t="s">
        <v>278</v>
      </c>
      <c r="T148" s="116"/>
      <c r="U148" s="33" t="s">
        <v>278</v>
      </c>
      <c r="V148" s="116"/>
      <c r="W148" s="59" t="s">
        <v>548</v>
      </c>
      <c r="X148" s="33" t="str">
        <f>+VLOOKUP(OtherClients[[#This Row],[Part]],PartControl!$A$2:$E$564,5,FALSE)</f>
        <v>infasco</v>
      </c>
      <c r="Y148" s="108">
        <f>IF(OtherClients[[#This Row],[Re-certified or New]]&lt;&gt;"Re-certified",IF(OtherClients[[#This Row],[Client]]="infasco",VLOOKUP(OtherClients[[#This Row],[Part]],PartControl!$A$2:$E$564,2,FALSE),OtherClients[[#This Row],[Total Quantity]]*VLOOKUP(OtherClients[[#This Row],[Part]],PartControl!$A$2:$E$564,2,FALSE)),0)</f>
        <v>106.94</v>
      </c>
      <c r="Z148" s="108">
        <f>IF(OtherClients[[#This Row],[Re-certified or New]]&lt;&gt;"Re-certified",IF(OtherClients[[#This Row],[Client]]="infasco",VLOOKUP(OtherClients[[#This Row],[Part]],PartControl!$A$2:$E$564,2,FALSE),OtherClients[[#This Row],[Total Quantity]]*VLOOKUP(OtherClients[[#This Row],[Part]],PartControl!$A$2:$E$564,2,FALSE)),0)</f>
        <v>106.94</v>
      </c>
    </row>
    <row r="149" spans="1:26" ht="25.15" hidden="1" customHeight="1" x14ac:dyDescent="0.25">
      <c r="A149" s="112">
        <v>46238.691782407404</v>
      </c>
      <c r="B149" s="5" t="s">
        <v>347</v>
      </c>
      <c r="C149" s="5" t="s">
        <v>815</v>
      </c>
      <c r="D149" s="5">
        <v>705865</v>
      </c>
      <c r="E149" s="33">
        <v>32</v>
      </c>
      <c r="F149" s="60">
        <v>700</v>
      </c>
      <c r="G149" s="60">
        <f>+OtherClients[[#This Row],[Boxes / Pieces]]*OtherClients[[#This Row],[Unit Quantity]]</f>
        <v>22400</v>
      </c>
      <c r="H149" s="60" t="s">
        <v>655</v>
      </c>
      <c r="I149" s="117" t="s">
        <v>278</v>
      </c>
      <c r="J149" s="118"/>
      <c r="K149" s="33" t="s">
        <v>278</v>
      </c>
      <c r="L149" s="116"/>
      <c r="M149" s="33" t="s">
        <v>278</v>
      </c>
      <c r="N149" s="116"/>
      <c r="O149" s="33" t="s">
        <v>278</v>
      </c>
      <c r="P149" s="116"/>
      <c r="Q149" s="33" t="s">
        <v>587</v>
      </c>
      <c r="R149" s="116"/>
      <c r="S149" s="33" t="s">
        <v>278</v>
      </c>
      <c r="T149" s="116"/>
      <c r="U149" s="33" t="s">
        <v>278</v>
      </c>
      <c r="V149" s="116"/>
      <c r="W149" s="59" t="s">
        <v>548</v>
      </c>
      <c r="X149" s="33" t="str">
        <f>+VLOOKUP(OtherClients[[#This Row],[Part]],PartControl!$A$2:$E$564,5,FALSE)</f>
        <v>infasco</v>
      </c>
      <c r="Y149" s="108">
        <f>IF(OtherClients[[#This Row],[Re-certified or New]]&lt;&gt;"Re-certified",IF(OtherClients[[#This Row],[Client]]="infasco",VLOOKUP(OtherClients[[#This Row],[Part]],PartControl!$A$2:$E$564,2,FALSE),OtherClients[[#This Row],[Total Quantity]]*VLOOKUP(OtherClients[[#This Row],[Part]],PartControl!$A$2:$E$564,2,FALSE)),0)</f>
        <v>106.94</v>
      </c>
      <c r="Z149" s="108">
        <f>IF(OtherClients[[#This Row],[Re-certified or New]]&lt;&gt;"Re-certified",IF(OtherClients[[#This Row],[Client]]="infasco",VLOOKUP(OtherClients[[#This Row],[Part]],PartControl!$A$2:$E$564,2,FALSE),OtherClients[[#This Row],[Total Quantity]]*VLOOKUP(OtherClients[[#This Row],[Part]],PartControl!$A$2:$E$564,2,FALSE)),0)</f>
        <v>106.94</v>
      </c>
    </row>
    <row r="150" spans="1:26" ht="25.15" hidden="1" customHeight="1" x14ac:dyDescent="0.25">
      <c r="A150" s="112">
        <v>46238.691782407404</v>
      </c>
      <c r="B150" s="5" t="s">
        <v>347</v>
      </c>
      <c r="C150" s="5" t="s">
        <v>732</v>
      </c>
      <c r="D150" s="5">
        <v>710691</v>
      </c>
      <c r="E150" s="33">
        <v>10</v>
      </c>
      <c r="F150" s="60">
        <v>1000</v>
      </c>
      <c r="G150" s="60">
        <f>+OtherClients[[#This Row],[Boxes / Pieces]]*OtherClients[[#This Row],[Unit Quantity]]</f>
        <v>10000</v>
      </c>
      <c r="H150" s="60" t="s">
        <v>655</v>
      </c>
      <c r="I150" s="117" t="s">
        <v>278</v>
      </c>
      <c r="J150" s="118"/>
      <c r="K150" s="33" t="s">
        <v>278</v>
      </c>
      <c r="L150" s="116"/>
      <c r="M150" s="33" t="s">
        <v>278</v>
      </c>
      <c r="N150" s="116"/>
      <c r="O150" s="33" t="s">
        <v>278</v>
      </c>
      <c r="P150" s="116"/>
      <c r="Q150" s="33" t="s">
        <v>587</v>
      </c>
      <c r="R150" s="116"/>
      <c r="S150" s="33" t="s">
        <v>278</v>
      </c>
      <c r="T150" s="116"/>
      <c r="U150" s="33" t="s">
        <v>278</v>
      </c>
      <c r="V150" s="116"/>
      <c r="W150" s="59" t="s">
        <v>633</v>
      </c>
      <c r="X150" s="33" t="str">
        <f>+VLOOKUP(OtherClients[[#This Row],[Part]],PartControl!$A$2:$E$564,5,FALSE)</f>
        <v>infasco</v>
      </c>
      <c r="Y150" s="108">
        <f>IF(OtherClients[[#This Row],[Re-certified or New]]&lt;&gt;"Re-certified",IF(OtherClients[[#This Row],[Client]]="infasco",VLOOKUP(OtherClients[[#This Row],[Part]],PartControl!$A$2:$E$564,2,FALSE),OtherClients[[#This Row],[Total Quantity]]*VLOOKUP(OtherClients[[#This Row],[Part]],PartControl!$A$2:$E$564,2,FALSE)),0)</f>
        <v>0</v>
      </c>
      <c r="Z150" s="108">
        <f>IF(OtherClients[[#This Row],[Re-certified or New]]&lt;&gt;"Re-certified",IF(OtherClients[[#This Row],[Client]]="infasco",VLOOKUP(OtherClients[[#This Row],[Part]],PartControl!$A$2:$E$564,2,FALSE),OtherClients[[#This Row],[Total Quantity]]*VLOOKUP(OtherClients[[#This Row],[Part]],PartControl!$A$2:$E$564,2,FALSE)),0)</f>
        <v>0</v>
      </c>
    </row>
    <row r="151" spans="1:26" ht="25.15" hidden="1" customHeight="1" x14ac:dyDescent="0.25">
      <c r="A151" s="112">
        <v>46238.691782407404</v>
      </c>
      <c r="B151" s="5" t="s">
        <v>246</v>
      </c>
      <c r="C151" s="5" t="s">
        <v>732</v>
      </c>
      <c r="D151" s="5">
        <v>708738</v>
      </c>
      <c r="E151" s="33">
        <v>36</v>
      </c>
      <c r="F151" s="60">
        <v>1000</v>
      </c>
      <c r="G151" s="60">
        <f>+OtherClients[[#This Row],[Boxes / Pieces]]*OtherClients[[#This Row],[Unit Quantity]]</f>
        <v>36000</v>
      </c>
      <c r="H151" s="60">
        <v>272</v>
      </c>
      <c r="I151" s="117" t="s">
        <v>278</v>
      </c>
      <c r="J151" s="118"/>
      <c r="K151" s="33" t="s">
        <v>278</v>
      </c>
      <c r="L151" s="116"/>
      <c r="M151" s="33" t="s">
        <v>278</v>
      </c>
      <c r="N151" s="116"/>
      <c r="O151" s="33" t="s">
        <v>278</v>
      </c>
      <c r="P151" s="116"/>
      <c r="Q151" s="33" t="s">
        <v>587</v>
      </c>
      <c r="R151" s="116"/>
      <c r="S151" s="33" t="s">
        <v>278</v>
      </c>
      <c r="T151" s="116"/>
      <c r="U151" s="33" t="s">
        <v>278</v>
      </c>
      <c r="V151" s="116"/>
      <c r="W151" s="59" t="s">
        <v>548</v>
      </c>
      <c r="X151" s="33" t="str">
        <f>+VLOOKUP(OtherClients[[#This Row],[Part]],PartControl!$A$2:$E$564,5,FALSE)</f>
        <v>infasco</v>
      </c>
      <c r="Y151" s="108">
        <f>IF(OtherClients[[#This Row],[Re-certified or New]]&lt;&gt;"Re-certified",IF(OtherClients[[#This Row],[Client]]="infasco",VLOOKUP(OtherClients[[#This Row],[Part]],PartControl!$A$2:$E$564,2,FALSE),OtherClients[[#This Row],[Total Quantity]]*VLOOKUP(OtherClients[[#This Row],[Part]],PartControl!$A$2:$E$564,2,FALSE)),0)</f>
        <v>213.88</v>
      </c>
      <c r="Z151" s="108">
        <f>IF(OtherClients[[#This Row],[Re-certified or New]]&lt;&gt;"Re-certified",IF(OtherClients[[#This Row],[Client]]="infasco",VLOOKUP(OtherClients[[#This Row],[Part]],PartControl!$A$2:$E$564,2,FALSE),OtherClients[[#This Row],[Total Quantity]]*VLOOKUP(OtherClients[[#This Row],[Part]],PartControl!$A$2:$E$564,2,FALSE)),0)</f>
        <v>213.88</v>
      </c>
    </row>
    <row r="152" spans="1:26" ht="25.15" hidden="1" customHeight="1" x14ac:dyDescent="0.25">
      <c r="A152" s="112">
        <v>46238.691782407404</v>
      </c>
      <c r="B152" s="5" t="s">
        <v>246</v>
      </c>
      <c r="C152" s="5" t="s">
        <v>732</v>
      </c>
      <c r="D152" s="5">
        <v>708737</v>
      </c>
      <c r="E152" s="33">
        <v>36</v>
      </c>
      <c r="F152" s="60">
        <v>1000</v>
      </c>
      <c r="G152" s="60">
        <f>+OtherClients[[#This Row],[Boxes / Pieces]]*OtherClients[[#This Row],[Unit Quantity]]</f>
        <v>36000</v>
      </c>
      <c r="H152" s="60">
        <v>272</v>
      </c>
      <c r="I152" s="117" t="s">
        <v>278</v>
      </c>
      <c r="J152" s="118"/>
      <c r="K152" s="33" t="s">
        <v>278</v>
      </c>
      <c r="L152" s="116"/>
      <c r="M152" s="33" t="s">
        <v>278</v>
      </c>
      <c r="N152" s="116"/>
      <c r="O152" s="33" t="s">
        <v>278</v>
      </c>
      <c r="P152" s="116"/>
      <c r="Q152" s="33" t="s">
        <v>587</v>
      </c>
      <c r="R152" s="116"/>
      <c r="S152" s="33" t="s">
        <v>278</v>
      </c>
      <c r="T152" s="116"/>
      <c r="U152" s="33" t="s">
        <v>278</v>
      </c>
      <c r="V152" s="116"/>
      <c r="W152" s="59" t="s">
        <v>633</v>
      </c>
      <c r="X152" s="33" t="str">
        <f>+VLOOKUP(OtherClients[[#This Row],[Part]],PartControl!$A$2:$E$564,5,FALSE)</f>
        <v>infasco</v>
      </c>
      <c r="Y152" s="108">
        <f>IF(OtherClients[[#This Row],[Re-certified or New]]&lt;&gt;"Re-certified",IF(OtherClients[[#This Row],[Client]]="infasco",VLOOKUP(OtherClients[[#This Row],[Part]],PartControl!$A$2:$E$564,2,FALSE),OtherClients[[#This Row],[Total Quantity]]*VLOOKUP(OtherClients[[#This Row],[Part]],PartControl!$A$2:$E$564,2,FALSE)),0)</f>
        <v>0</v>
      </c>
      <c r="Z152" s="108">
        <f>IF(OtherClients[[#This Row],[Re-certified or New]]&lt;&gt;"Re-certified",IF(OtherClients[[#This Row],[Client]]="infasco",VLOOKUP(OtherClients[[#This Row],[Part]],PartControl!$A$2:$E$564,2,FALSE),OtherClients[[#This Row],[Total Quantity]]*VLOOKUP(OtherClients[[#This Row],[Part]],PartControl!$A$2:$E$564,2,FALSE)),0)</f>
        <v>0</v>
      </c>
    </row>
    <row r="153" spans="1:26" ht="25.15" hidden="1" customHeight="1" x14ac:dyDescent="0.25">
      <c r="A153" s="112">
        <v>46238.691782407404</v>
      </c>
      <c r="B153" s="5" t="s">
        <v>249</v>
      </c>
      <c r="C153" s="5">
        <v>11612078</v>
      </c>
      <c r="D153" s="5">
        <v>706812</v>
      </c>
      <c r="E153" s="33">
        <v>21</v>
      </c>
      <c r="F153" s="60">
        <v>1850</v>
      </c>
      <c r="G153" s="60">
        <f>+OtherClients[[#This Row],[Boxes / Pieces]]*OtherClients[[#This Row],[Unit Quantity]]</f>
        <v>38850</v>
      </c>
      <c r="H153" s="60">
        <v>240</v>
      </c>
      <c r="I153" s="117" t="s">
        <v>278</v>
      </c>
      <c r="J153" s="118"/>
      <c r="K153" s="33" t="s">
        <v>278</v>
      </c>
      <c r="L153" s="116"/>
      <c r="M153" s="33" t="s">
        <v>278</v>
      </c>
      <c r="N153" s="116"/>
      <c r="O153" s="33" t="s">
        <v>278</v>
      </c>
      <c r="P153" s="116"/>
      <c r="Q153" s="33" t="s">
        <v>587</v>
      </c>
      <c r="R153" s="116"/>
      <c r="S153" s="33" t="s">
        <v>278</v>
      </c>
      <c r="T153" s="116"/>
      <c r="U153" s="33" t="s">
        <v>278</v>
      </c>
      <c r="V153" s="116"/>
      <c r="W153" s="59" t="s">
        <v>633</v>
      </c>
      <c r="X153" s="33" t="str">
        <f>+VLOOKUP(OtherClients[[#This Row],[Part]],PartControl!$A$2:$E$564,5,FALSE)</f>
        <v>infasco</v>
      </c>
      <c r="Y153" s="108">
        <f>IF(OtherClients[[#This Row],[Re-certified or New]]&lt;&gt;"Re-certified",IF(OtherClients[[#This Row],[Client]]="infasco",VLOOKUP(OtherClients[[#This Row],[Part]],PartControl!$A$2:$E$564,2,FALSE),OtherClients[[#This Row],[Total Quantity]]*VLOOKUP(OtherClients[[#This Row],[Part]],PartControl!$A$2:$E$564,2,FALSE)),0)</f>
        <v>0</v>
      </c>
      <c r="Z153" s="108">
        <f>IF(OtherClients[[#This Row],[Re-certified or New]]&lt;&gt;"Re-certified",IF(OtherClients[[#This Row],[Client]]="infasco",VLOOKUP(OtherClients[[#This Row],[Part]],PartControl!$A$2:$E$564,2,FALSE),OtherClients[[#This Row],[Total Quantity]]*VLOOKUP(OtherClients[[#This Row],[Part]],PartControl!$A$2:$E$564,2,FALSE)),0)</f>
        <v>0</v>
      </c>
    </row>
    <row r="154" spans="1:26" ht="25.15" hidden="1" customHeight="1" x14ac:dyDescent="0.25">
      <c r="A154" s="112">
        <v>46238.691782407404</v>
      </c>
      <c r="B154" s="5" t="s">
        <v>346</v>
      </c>
      <c r="C154" s="5" t="s">
        <v>848</v>
      </c>
      <c r="D154" s="5">
        <v>713386</v>
      </c>
      <c r="E154" s="33">
        <v>16</v>
      </c>
      <c r="F154" s="60">
        <v>3200</v>
      </c>
      <c r="G154" s="60">
        <f>+OtherClients[[#This Row],[Boxes / Pieces]]*OtherClients[[#This Row],[Unit Quantity]]</f>
        <v>51200</v>
      </c>
      <c r="H154" s="60">
        <v>11</v>
      </c>
      <c r="I154" s="117" t="s">
        <v>278</v>
      </c>
      <c r="J154" s="118"/>
      <c r="K154" s="33" t="s">
        <v>278</v>
      </c>
      <c r="L154" s="116"/>
      <c r="M154" s="33" t="s">
        <v>278</v>
      </c>
      <c r="N154" s="116"/>
      <c r="O154" s="33" t="s">
        <v>278</v>
      </c>
      <c r="P154" s="116"/>
      <c r="Q154" s="33" t="s">
        <v>587</v>
      </c>
      <c r="R154" s="116"/>
      <c r="S154" s="33" t="s">
        <v>278</v>
      </c>
      <c r="T154" s="116"/>
      <c r="U154" s="33" t="s">
        <v>278</v>
      </c>
      <c r="V154" s="116"/>
      <c r="W154" s="59" t="s">
        <v>548</v>
      </c>
      <c r="X154" s="33" t="str">
        <f>+VLOOKUP(OtherClients[[#This Row],[Part]],PartControl!$A$2:$E$564,5,FALSE)</f>
        <v>infasco</v>
      </c>
      <c r="Y154" s="108">
        <f>IF(OtherClients[[#This Row],[Re-certified or New]]&lt;&gt;"Re-certified",IF(OtherClients[[#This Row],[Client]]="infasco",VLOOKUP(OtherClients[[#This Row],[Part]],PartControl!$A$2:$E$564,2,FALSE),OtherClients[[#This Row],[Total Quantity]]*VLOOKUP(OtherClients[[#This Row],[Part]],PartControl!$A$2:$E$564,2,FALSE)),0)</f>
        <v>106.94</v>
      </c>
      <c r="Z154" s="108">
        <f>IF(OtherClients[[#This Row],[Re-certified or New]]&lt;&gt;"Re-certified",IF(OtherClients[[#This Row],[Client]]="infasco",VLOOKUP(OtherClients[[#This Row],[Part]],PartControl!$A$2:$E$564,2,FALSE),OtherClients[[#This Row],[Total Quantity]]*VLOOKUP(OtherClients[[#This Row],[Part]],PartControl!$A$2:$E$564,2,FALSE)),0)</f>
        <v>106.94</v>
      </c>
    </row>
    <row r="155" spans="1:26" ht="25.15" hidden="1" customHeight="1" x14ac:dyDescent="0.25">
      <c r="A155" s="112">
        <v>46238.691782407404</v>
      </c>
      <c r="B155" s="5" t="s">
        <v>346</v>
      </c>
      <c r="C155" s="5">
        <v>11549170</v>
      </c>
      <c r="D155" s="5">
        <v>713836</v>
      </c>
      <c r="E155" s="33">
        <v>38</v>
      </c>
      <c r="F155" s="60">
        <v>400</v>
      </c>
      <c r="G155" s="60">
        <f>+OtherClients[[#This Row],[Boxes / Pieces]]*OtherClients[[#This Row],[Unit Quantity]]</f>
        <v>15200</v>
      </c>
      <c r="H155" s="60">
        <v>11</v>
      </c>
      <c r="I155" s="117" t="s">
        <v>278</v>
      </c>
      <c r="J155" s="118"/>
      <c r="K155" s="33" t="s">
        <v>278</v>
      </c>
      <c r="L155" s="116"/>
      <c r="M155" s="33" t="s">
        <v>278</v>
      </c>
      <c r="N155" s="116"/>
      <c r="O155" s="33" t="s">
        <v>278</v>
      </c>
      <c r="P155" s="116"/>
      <c r="Q155" s="33" t="s">
        <v>587</v>
      </c>
      <c r="R155" s="116"/>
      <c r="S155" s="33" t="s">
        <v>278</v>
      </c>
      <c r="T155" s="116"/>
      <c r="U155" s="33" t="s">
        <v>278</v>
      </c>
      <c r="V155" s="116"/>
      <c r="W155" s="59" t="s">
        <v>548</v>
      </c>
      <c r="X155" s="33" t="str">
        <f>+VLOOKUP(OtherClients[[#This Row],[Part]],PartControl!$A$2:$E$564,5,FALSE)</f>
        <v>INFASCO</v>
      </c>
      <c r="Y155" s="108">
        <f>IF(OtherClients[[#This Row],[Re-certified or New]]&lt;&gt;"Re-certified",IF(OtherClients[[#This Row],[Client]]="infasco",VLOOKUP(OtherClients[[#This Row],[Part]],PartControl!$A$2:$E$564,2,FALSE),OtherClients[[#This Row],[Total Quantity]]*VLOOKUP(OtherClients[[#This Row],[Part]],PartControl!$A$2:$E$564,2,FALSE)),0)</f>
        <v>106.94</v>
      </c>
      <c r="Z155" s="108">
        <f>IF(OtherClients[[#This Row],[Re-certified or New]]&lt;&gt;"Re-certified",IF(OtherClients[[#This Row],[Client]]="infasco",VLOOKUP(OtherClients[[#This Row],[Part]],PartControl!$A$2:$E$564,2,FALSE),OtherClients[[#This Row],[Total Quantity]]*VLOOKUP(OtherClients[[#This Row],[Part]],PartControl!$A$2:$E$564,2,FALSE)),0)</f>
        <v>106.94</v>
      </c>
    </row>
    <row r="156" spans="1:26" ht="25.15" hidden="1" customHeight="1" x14ac:dyDescent="0.25">
      <c r="A156" s="112">
        <v>46238.691782407404</v>
      </c>
      <c r="B156" s="5" t="s">
        <v>346</v>
      </c>
      <c r="C156" s="5" t="s">
        <v>815</v>
      </c>
      <c r="D156" s="5">
        <v>707150</v>
      </c>
      <c r="E156" s="33">
        <v>17</v>
      </c>
      <c r="F156" s="60">
        <v>700</v>
      </c>
      <c r="G156" s="60">
        <f>+OtherClients[[#This Row],[Boxes / Pieces]]*OtherClients[[#This Row],[Unit Quantity]]</f>
        <v>11900</v>
      </c>
      <c r="H156" s="60">
        <v>11</v>
      </c>
      <c r="I156" s="117" t="s">
        <v>278</v>
      </c>
      <c r="J156" s="118"/>
      <c r="K156" s="33" t="s">
        <v>278</v>
      </c>
      <c r="L156" s="116"/>
      <c r="M156" s="33" t="s">
        <v>278</v>
      </c>
      <c r="N156" s="116"/>
      <c r="O156" s="33" t="s">
        <v>278</v>
      </c>
      <c r="P156" s="116"/>
      <c r="Q156" s="33" t="s">
        <v>587</v>
      </c>
      <c r="R156" s="116"/>
      <c r="S156" s="33" t="s">
        <v>278</v>
      </c>
      <c r="T156" s="116"/>
      <c r="U156" s="33" t="s">
        <v>278</v>
      </c>
      <c r="V156" s="116"/>
      <c r="W156" s="59" t="s">
        <v>633</v>
      </c>
      <c r="X156" s="33" t="str">
        <f>+VLOOKUP(OtherClients[[#This Row],[Part]],PartControl!$A$2:$E$564,5,FALSE)</f>
        <v>infasco</v>
      </c>
      <c r="Y156" s="108">
        <f>IF(OtherClients[[#This Row],[Re-certified or New]]&lt;&gt;"Re-certified",IF(OtherClients[[#This Row],[Client]]="infasco",VLOOKUP(OtherClients[[#This Row],[Part]],PartControl!$A$2:$E$564,2,FALSE),OtherClients[[#This Row],[Total Quantity]]*VLOOKUP(OtherClients[[#This Row],[Part]],PartControl!$A$2:$E$564,2,FALSE)),0)</f>
        <v>0</v>
      </c>
      <c r="Z156" s="108">
        <f>IF(OtherClients[[#This Row],[Re-certified or New]]&lt;&gt;"Re-certified",IF(OtherClients[[#This Row],[Client]]="infasco",VLOOKUP(OtherClients[[#This Row],[Part]],PartControl!$A$2:$E$564,2,FALSE),OtherClients[[#This Row],[Total Quantity]]*VLOOKUP(OtherClients[[#This Row],[Part]],PartControl!$A$2:$E$564,2,FALSE)),0)</f>
        <v>0</v>
      </c>
    </row>
    <row r="157" spans="1:26" ht="25.15" hidden="1" customHeight="1" x14ac:dyDescent="0.25">
      <c r="A157" s="112">
        <v>46238.691782407404</v>
      </c>
      <c r="B157" s="5" t="s">
        <v>345</v>
      </c>
      <c r="C157" s="5">
        <v>11549170</v>
      </c>
      <c r="D157" s="5">
        <v>713697</v>
      </c>
      <c r="E157" s="33">
        <f>36+4-17</f>
        <v>23</v>
      </c>
      <c r="F157" s="60">
        <v>400</v>
      </c>
      <c r="G157" s="60">
        <f>+OtherClients[[#This Row],[Boxes / Pieces]]*OtherClients[[#This Row],[Unit Quantity]]</f>
        <v>9200</v>
      </c>
      <c r="H157" s="60" t="s">
        <v>849</v>
      </c>
      <c r="I157" s="117" t="s">
        <v>278</v>
      </c>
      <c r="J157" s="118"/>
      <c r="K157" s="33" t="s">
        <v>278</v>
      </c>
      <c r="L157" s="116"/>
      <c r="M157" s="33" t="s">
        <v>278</v>
      </c>
      <c r="N157" s="116"/>
      <c r="O157" s="33" t="s">
        <v>278</v>
      </c>
      <c r="P157" s="116"/>
      <c r="Q157" s="33" t="s">
        <v>587</v>
      </c>
      <c r="R157" s="116"/>
      <c r="S157" s="33" t="s">
        <v>278</v>
      </c>
      <c r="T157" s="116"/>
      <c r="U157" s="33" t="s">
        <v>278</v>
      </c>
      <c r="V157" s="116"/>
      <c r="W157" s="59" t="s">
        <v>548</v>
      </c>
      <c r="X157" s="33" t="str">
        <f>+VLOOKUP(OtherClients[[#This Row],[Part]],PartControl!$A$2:$E$564,5,FALSE)</f>
        <v>INFASCO</v>
      </c>
      <c r="Y157" s="108">
        <f>IF(OtherClients[[#This Row],[Re-certified or New]]&lt;&gt;"Re-certified",IF(OtherClients[[#This Row],[Client]]="infasco",VLOOKUP(OtherClients[[#This Row],[Part]],PartControl!$A$2:$E$564,2,FALSE),OtherClients[[#This Row],[Total Quantity]]*VLOOKUP(OtherClients[[#This Row],[Part]],PartControl!$A$2:$E$564,2,FALSE)),0)</f>
        <v>106.94</v>
      </c>
      <c r="Z157" s="108">
        <f>IF(OtherClients[[#This Row],[Re-certified or New]]&lt;&gt;"Re-certified",IF(OtherClients[[#This Row],[Client]]="infasco",VLOOKUP(OtherClients[[#This Row],[Part]],PartControl!$A$2:$E$564,2,FALSE),OtherClients[[#This Row],[Total Quantity]]*VLOOKUP(OtherClients[[#This Row],[Part]],PartControl!$A$2:$E$564,2,FALSE)),0)</f>
        <v>106.94</v>
      </c>
    </row>
    <row r="158" spans="1:26" ht="25.15" hidden="1" customHeight="1" x14ac:dyDescent="0.25">
      <c r="A158" s="112">
        <v>46238.691782407404</v>
      </c>
      <c r="B158" s="5" t="s">
        <v>345</v>
      </c>
      <c r="C158" s="5">
        <v>11549170</v>
      </c>
      <c r="D158" s="5">
        <v>713704</v>
      </c>
      <c r="E158" s="33">
        <v>40</v>
      </c>
      <c r="F158" s="60">
        <v>400</v>
      </c>
      <c r="G158" s="60">
        <f>+OtherClients[[#This Row],[Boxes / Pieces]]*OtherClients[[#This Row],[Unit Quantity]]</f>
        <v>16000</v>
      </c>
      <c r="H158" s="60" t="s">
        <v>849</v>
      </c>
      <c r="I158" s="117" t="s">
        <v>278</v>
      </c>
      <c r="J158" s="118"/>
      <c r="K158" s="33" t="s">
        <v>278</v>
      </c>
      <c r="L158" s="116"/>
      <c r="M158" s="33" t="s">
        <v>278</v>
      </c>
      <c r="N158" s="116"/>
      <c r="O158" s="33" t="s">
        <v>278</v>
      </c>
      <c r="P158" s="116"/>
      <c r="Q158" s="33" t="s">
        <v>587</v>
      </c>
      <c r="R158" s="116"/>
      <c r="S158" s="33" t="s">
        <v>278</v>
      </c>
      <c r="T158" s="116"/>
      <c r="U158" s="33" t="s">
        <v>278</v>
      </c>
      <c r="V158" s="116"/>
      <c r="W158" s="59" t="s">
        <v>548</v>
      </c>
      <c r="X158" s="33" t="str">
        <f>+VLOOKUP(OtherClients[[#This Row],[Part]],PartControl!$A$2:$E$564,5,FALSE)</f>
        <v>INFASCO</v>
      </c>
      <c r="Y158" s="108">
        <f>IF(OtherClients[[#This Row],[Re-certified or New]]&lt;&gt;"Re-certified",IF(OtherClients[[#This Row],[Client]]="infasco",VLOOKUP(OtherClients[[#This Row],[Part]],PartControl!$A$2:$E$564,2,FALSE),OtherClients[[#This Row],[Total Quantity]]*VLOOKUP(OtherClients[[#This Row],[Part]],PartControl!$A$2:$E$564,2,FALSE)),0)</f>
        <v>106.94</v>
      </c>
      <c r="Z158" s="108">
        <f>IF(OtherClients[[#This Row],[Re-certified or New]]&lt;&gt;"Re-certified",IF(OtherClients[[#This Row],[Client]]="infasco",VLOOKUP(OtherClients[[#This Row],[Part]],PartControl!$A$2:$E$564,2,FALSE),OtherClients[[#This Row],[Total Quantity]]*VLOOKUP(OtherClients[[#This Row],[Part]],PartControl!$A$2:$E$564,2,FALSE)),0)</f>
        <v>106.94</v>
      </c>
    </row>
    <row r="159" spans="1:26" ht="25.15" hidden="1" customHeight="1" x14ac:dyDescent="0.25">
      <c r="A159" s="112">
        <v>46238.691782407404</v>
      </c>
      <c r="B159" s="5" t="s">
        <v>345</v>
      </c>
      <c r="C159" s="5">
        <v>11549204</v>
      </c>
      <c r="D159" s="5">
        <v>714270</v>
      </c>
      <c r="E159" s="33">
        <v>33</v>
      </c>
      <c r="F159" s="60">
        <v>210</v>
      </c>
      <c r="G159" s="60">
        <f>+OtherClients[[#This Row],[Boxes / Pieces]]*OtherClients[[#This Row],[Unit Quantity]]</f>
        <v>6930</v>
      </c>
      <c r="H159" s="60" t="s">
        <v>849</v>
      </c>
      <c r="I159" s="117" t="s">
        <v>278</v>
      </c>
      <c r="J159" s="118"/>
      <c r="K159" s="33" t="s">
        <v>278</v>
      </c>
      <c r="L159" s="116"/>
      <c r="M159" s="33" t="s">
        <v>278</v>
      </c>
      <c r="N159" s="116"/>
      <c r="O159" s="33" t="s">
        <v>278</v>
      </c>
      <c r="P159" s="116"/>
      <c r="Q159" s="33" t="s">
        <v>587</v>
      </c>
      <c r="R159" s="116"/>
      <c r="S159" s="33" t="s">
        <v>278</v>
      </c>
      <c r="T159" s="116"/>
      <c r="U159" s="33" t="s">
        <v>278</v>
      </c>
      <c r="V159" s="116"/>
      <c r="W159" s="59" t="s">
        <v>548</v>
      </c>
      <c r="X159" s="33" t="str">
        <f>+VLOOKUP(OtherClients[[#This Row],[Part]],PartControl!$A$2:$E$564,5,FALSE)</f>
        <v>INFASCO</v>
      </c>
      <c r="Y159" s="108">
        <f>IF(OtherClients[[#This Row],[Re-certified or New]]&lt;&gt;"Re-certified",IF(OtherClients[[#This Row],[Client]]="infasco",VLOOKUP(OtherClients[[#This Row],[Part]],PartControl!$A$2:$E$564,2,FALSE),OtherClients[[#This Row],[Total Quantity]]*VLOOKUP(OtherClients[[#This Row],[Part]],PartControl!$A$2:$E$564,2,FALSE)),0)</f>
        <v>106.94</v>
      </c>
      <c r="Z159" s="108">
        <f>IF(OtherClients[[#This Row],[Re-certified or New]]&lt;&gt;"Re-certified",IF(OtherClients[[#This Row],[Client]]="infasco",VLOOKUP(OtherClients[[#This Row],[Part]],PartControl!$A$2:$E$564,2,FALSE),OtherClients[[#This Row],[Total Quantity]]*VLOOKUP(OtherClients[[#This Row],[Part]],PartControl!$A$2:$E$564,2,FALSE)),0)</f>
        <v>106.94</v>
      </c>
    </row>
    <row r="160" spans="1:26" ht="25.15" hidden="1" customHeight="1" x14ac:dyDescent="0.25">
      <c r="A160" s="112">
        <v>46238.691782407404</v>
      </c>
      <c r="B160" s="5" t="s">
        <v>345</v>
      </c>
      <c r="C160" s="5" t="s">
        <v>18</v>
      </c>
      <c r="D160" s="5">
        <v>715612</v>
      </c>
      <c r="E160" s="33">
        <v>30</v>
      </c>
      <c r="F160" s="60">
        <v>200</v>
      </c>
      <c r="G160" s="60">
        <f>+OtherClients[[#This Row],[Boxes / Pieces]]*OtherClients[[#This Row],[Unit Quantity]]</f>
        <v>6000</v>
      </c>
      <c r="H160" s="60" t="s">
        <v>849</v>
      </c>
      <c r="I160" s="117" t="s">
        <v>278</v>
      </c>
      <c r="J160" s="118"/>
      <c r="K160" s="33" t="s">
        <v>278</v>
      </c>
      <c r="L160" s="116"/>
      <c r="M160" s="33" t="s">
        <v>278</v>
      </c>
      <c r="N160" s="116"/>
      <c r="O160" s="33" t="s">
        <v>278</v>
      </c>
      <c r="P160" s="116"/>
      <c r="Q160" s="33" t="s">
        <v>587</v>
      </c>
      <c r="R160" s="116"/>
      <c r="S160" s="33" t="s">
        <v>278</v>
      </c>
      <c r="T160" s="116"/>
      <c r="U160" s="33" t="s">
        <v>278</v>
      </c>
      <c r="V160" s="116"/>
      <c r="W160" s="59" t="s">
        <v>548</v>
      </c>
      <c r="X160" s="33" t="str">
        <f>+VLOOKUP(OtherClients[[#This Row],[Part]],PartControl!$A$2:$E$564,5,FALSE)</f>
        <v>infasco</v>
      </c>
      <c r="Y160" s="108">
        <f>IF(OtherClients[[#This Row],[Re-certified or New]]&lt;&gt;"Re-certified",IF(OtherClients[[#This Row],[Client]]="infasco",VLOOKUP(OtherClients[[#This Row],[Part]],PartControl!$A$2:$E$564,2,FALSE),OtherClients[[#This Row],[Total Quantity]]*VLOOKUP(OtherClients[[#This Row],[Part]],PartControl!$A$2:$E$564,2,FALSE)),0)</f>
        <v>135.07999999999998</v>
      </c>
      <c r="Z160" s="108">
        <f>IF(OtherClients[[#This Row],[Re-certified or New]]&lt;&gt;"Re-certified",IF(OtherClients[[#This Row],[Client]]="infasco",VLOOKUP(OtherClients[[#This Row],[Part]],PartControl!$A$2:$E$564,2,FALSE),OtherClients[[#This Row],[Total Quantity]]*VLOOKUP(OtherClients[[#This Row],[Part]],PartControl!$A$2:$E$564,2,FALSE)),0)</f>
        <v>135.07999999999998</v>
      </c>
    </row>
    <row r="161" spans="1:26" ht="25.15" hidden="1" customHeight="1" x14ac:dyDescent="0.25">
      <c r="A161" s="112">
        <v>46238.691782407404</v>
      </c>
      <c r="B161" s="5" t="s">
        <v>345</v>
      </c>
      <c r="C161" s="5">
        <v>15047163</v>
      </c>
      <c r="D161" s="5">
        <v>714214</v>
      </c>
      <c r="E161" s="33">
        <v>33</v>
      </c>
      <c r="F161" s="60">
        <v>2000</v>
      </c>
      <c r="G161" s="60">
        <f>+OtherClients[[#This Row],[Boxes / Pieces]]*OtherClients[[#This Row],[Unit Quantity]]</f>
        <v>66000</v>
      </c>
      <c r="H161" s="60" t="s">
        <v>849</v>
      </c>
      <c r="I161" s="117" t="s">
        <v>278</v>
      </c>
      <c r="J161" s="118"/>
      <c r="K161" s="33" t="s">
        <v>278</v>
      </c>
      <c r="L161" s="116"/>
      <c r="M161" s="33" t="s">
        <v>278</v>
      </c>
      <c r="N161" s="116"/>
      <c r="O161" s="33" t="s">
        <v>278</v>
      </c>
      <c r="P161" s="116"/>
      <c r="Q161" s="33" t="s">
        <v>587</v>
      </c>
      <c r="R161" s="116"/>
      <c r="S161" s="33" t="s">
        <v>278</v>
      </c>
      <c r="T161" s="116"/>
      <c r="U161" s="33" t="s">
        <v>278</v>
      </c>
      <c r="V161" s="116"/>
      <c r="W161" s="59" t="s">
        <v>548</v>
      </c>
      <c r="X161" s="33" t="str">
        <f>+VLOOKUP(OtherClients[[#This Row],[Part]],PartControl!$A$2:$E$564,5,FALSE)</f>
        <v>infasco</v>
      </c>
      <c r="Y161" s="108">
        <f>IF(OtherClients[[#This Row],[Re-certified or New]]&lt;&gt;"Re-certified",IF(OtherClients[[#This Row],[Client]]="infasco",VLOOKUP(OtherClients[[#This Row],[Part]],PartControl!$A$2:$E$564,2,FALSE),OtherClients[[#This Row],[Total Quantity]]*VLOOKUP(OtherClients[[#This Row],[Part]],PartControl!$A$2:$E$564,2,FALSE)),0)</f>
        <v>106.94</v>
      </c>
      <c r="Z161" s="108">
        <f>IF(OtherClients[[#This Row],[Re-certified or New]]&lt;&gt;"Re-certified",IF(OtherClients[[#This Row],[Client]]="infasco",VLOOKUP(OtherClients[[#This Row],[Part]],PartControl!$A$2:$E$564,2,FALSE),OtherClients[[#This Row],[Total Quantity]]*VLOOKUP(OtherClients[[#This Row],[Part]],PartControl!$A$2:$E$564,2,FALSE)),0)</f>
        <v>106.94</v>
      </c>
    </row>
    <row r="162" spans="1:26" ht="25.15" hidden="1" customHeight="1" x14ac:dyDescent="0.25">
      <c r="A162" s="112">
        <v>46238.691782407404</v>
      </c>
      <c r="B162" s="5" t="s">
        <v>345</v>
      </c>
      <c r="C162" s="5">
        <v>11588714</v>
      </c>
      <c r="D162" s="5">
        <v>715677</v>
      </c>
      <c r="E162" s="33">
        <v>25</v>
      </c>
      <c r="F162" s="60">
        <v>1400</v>
      </c>
      <c r="G162" s="60">
        <f>+OtherClients[[#This Row],[Boxes / Pieces]]*OtherClients[[#This Row],[Unit Quantity]]</f>
        <v>35000</v>
      </c>
      <c r="H162" s="60" t="s">
        <v>849</v>
      </c>
      <c r="I162" s="117" t="s">
        <v>278</v>
      </c>
      <c r="J162" s="118"/>
      <c r="K162" s="33" t="s">
        <v>278</v>
      </c>
      <c r="L162" s="116"/>
      <c r="M162" s="33" t="s">
        <v>278</v>
      </c>
      <c r="N162" s="116"/>
      <c r="O162" s="33" t="s">
        <v>278</v>
      </c>
      <c r="P162" s="116"/>
      <c r="Q162" s="33" t="s">
        <v>587</v>
      </c>
      <c r="R162" s="116"/>
      <c r="S162" s="33" t="s">
        <v>278</v>
      </c>
      <c r="T162" s="116"/>
      <c r="U162" s="33" t="s">
        <v>278</v>
      </c>
      <c r="V162" s="116"/>
      <c r="W162" s="59" t="s">
        <v>548</v>
      </c>
      <c r="X162" s="33" t="str">
        <f>+VLOOKUP(OtherClients[[#This Row],[Part]],PartControl!$A$2:$E$564,5,FALSE)</f>
        <v>INFASCO</v>
      </c>
      <c r="Y162" s="108">
        <f>IF(OtherClients[[#This Row],[Re-certified or New]]&lt;&gt;"Re-certified",IF(OtherClients[[#This Row],[Client]]="infasco",VLOOKUP(OtherClients[[#This Row],[Part]],PartControl!$A$2:$E$564,2,FALSE),OtherClients[[#This Row],[Total Quantity]]*VLOOKUP(OtherClients[[#This Row],[Part]],PartControl!$A$2:$E$564,2,FALSE)),0)</f>
        <v>280.15999999999997</v>
      </c>
      <c r="Z162" s="108">
        <f>IF(OtherClients[[#This Row],[Re-certified or New]]&lt;&gt;"Re-certified",IF(OtherClients[[#This Row],[Client]]="infasco",VLOOKUP(OtherClients[[#This Row],[Part]],PartControl!$A$2:$E$564,2,FALSE),OtherClients[[#This Row],[Total Quantity]]*VLOOKUP(OtherClients[[#This Row],[Part]],PartControl!$A$2:$E$564,2,FALSE)),0)</f>
        <v>280.15999999999997</v>
      </c>
    </row>
    <row r="163" spans="1:26" ht="25.15" hidden="1" customHeight="1" x14ac:dyDescent="0.25">
      <c r="A163" s="112">
        <v>46238.691782407404</v>
      </c>
      <c r="B163" s="5" t="s">
        <v>345</v>
      </c>
      <c r="C163" s="5">
        <v>11549170</v>
      </c>
      <c r="D163" s="5">
        <v>713832</v>
      </c>
      <c r="E163" s="33">
        <v>35</v>
      </c>
      <c r="F163" s="60">
        <v>400</v>
      </c>
      <c r="G163" s="60">
        <f>+OtherClients[[#This Row],[Boxes / Pieces]]*OtherClients[[#This Row],[Unit Quantity]]</f>
        <v>14000</v>
      </c>
      <c r="H163" s="60" t="s">
        <v>849</v>
      </c>
      <c r="I163" s="117" t="s">
        <v>278</v>
      </c>
      <c r="J163" s="118"/>
      <c r="K163" s="33" t="s">
        <v>278</v>
      </c>
      <c r="L163" s="116"/>
      <c r="M163" s="33" t="s">
        <v>278</v>
      </c>
      <c r="N163" s="116"/>
      <c r="O163" s="33" t="s">
        <v>278</v>
      </c>
      <c r="P163" s="116"/>
      <c r="Q163" s="33" t="s">
        <v>587</v>
      </c>
      <c r="R163" s="116"/>
      <c r="S163" s="33" t="s">
        <v>278</v>
      </c>
      <c r="T163" s="116"/>
      <c r="U163" s="33" t="s">
        <v>278</v>
      </c>
      <c r="V163" s="116"/>
      <c r="W163" s="59" t="s">
        <v>548</v>
      </c>
      <c r="X163" s="33" t="str">
        <f>+VLOOKUP(OtherClients[[#This Row],[Part]],PartControl!$A$2:$E$564,5,FALSE)</f>
        <v>INFASCO</v>
      </c>
      <c r="Y163" s="108">
        <f>IF(OtherClients[[#This Row],[Re-certified or New]]&lt;&gt;"Re-certified",IF(OtherClients[[#This Row],[Client]]="infasco",VLOOKUP(OtherClients[[#This Row],[Part]],PartControl!$A$2:$E$564,2,FALSE),OtherClients[[#This Row],[Total Quantity]]*VLOOKUP(OtherClients[[#This Row],[Part]],PartControl!$A$2:$E$564,2,FALSE)),0)</f>
        <v>106.94</v>
      </c>
      <c r="Z163" s="108">
        <f>IF(OtherClients[[#This Row],[Re-certified or New]]&lt;&gt;"Re-certified",IF(OtherClients[[#This Row],[Client]]="infasco",VLOOKUP(OtherClients[[#This Row],[Part]],PartControl!$A$2:$E$564,2,FALSE),OtherClients[[#This Row],[Total Quantity]]*VLOOKUP(OtherClients[[#This Row],[Part]],PartControl!$A$2:$E$564,2,FALSE)),0)</f>
        <v>106.94</v>
      </c>
    </row>
    <row r="164" spans="1:26" ht="25.15" hidden="1" customHeight="1" x14ac:dyDescent="0.25">
      <c r="A164" s="112">
        <v>46238.691782407404</v>
      </c>
      <c r="B164" s="5" t="s">
        <v>345</v>
      </c>
      <c r="C164" s="5" t="s">
        <v>732</v>
      </c>
      <c r="D164" s="5">
        <v>708641</v>
      </c>
      <c r="E164" s="33">
        <v>7</v>
      </c>
      <c r="F164" s="60">
        <v>1000</v>
      </c>
      <c r="G164" s="60">
        <f>+OtherClients[[#This Row],[Boxes / Pieces]]*OtherClients[[#This Row],[Unit Quantity]]</f>
        <v>7000</v>
      </c>
      <c r="H164" s="60" t="s">
        <v>849</v>
      </c>
      <c r="I164" s="117" t="s">
        <v>278</v>
      </c>
      <c r="J164" s="118"/>
      <c r="K164" s="33" t="s">
        <v>278</v>
      </c>
      <c r="L164" s="116"/>
      <c r="M164" s="33" t="s">
        <v>278</v>
      </c>
      <c r="N164" s="116"/>
      <c r="O164" s="33" t="s">
        <v>278</v>
      </c>
      <c r="P164" s="116"/>
      <c r="Q164" s="33" t="s">
        <v>587</v>
      </c>
      <c r="R164" s="116"/>
      <c r="S164" s="33" t="s">
        <v>278</v>
      </c>
      <c r="T164" s="116"/>
      <c r="U164" s="33" t="s">
        <v>278</v>
      </c>
      <c r="V164" s="116"/>
      <c r="W164" s="59" t="s">
        <v>633</v>
      </c>
      <c r="X164" s="33" t="str">
        <f>+VLOOKUP(OtherClients[[#This Row],[Part]],PartControl!$A$2:$E$564,5,FALSE)</f>
        <v>infasco</v>
      </c>
      <c r="Y164" s="108">
        <f>IF(OtherClients[[#This Row],[Re-certified or New]]&lt;&gt;"Re-certified",IF(OtherClients[[#This Row],[Client]]="infasco",VLOOKUP(OtherClients[[#This Row],[Part]],PartControl!$A$2:$E$564,2,FALSE),OtherClients[[#This Row],[Total Quantity]]*VLOOKUP(OtherClients[[#This Row],[Part]],PartControl!$A$2:$E$564,2,FALSE)),0)</f>
        <v>0</v>
      </c>
      <c r="Z164" s="108">
        <f>IF(OtherClients[[#This Row],[Re-certified or New]]&lt;&gt;"Re-certified",IF(OtherClients[[#This Row],[Client]]="infasco",VLOOKUP(OtherClients[[#This Row],[Part]],PartControl!$A$2:$E$564,2,FALSE),OtherClients[[#This Row],[Total Quantity]]*VLOOKUP(OtherClients[[#This Row],[Part]],PartControl!$A$2:$E$564,2,FALSE)),0)</f>
        <v>0</v>
      </c>
    </row>
    <row r="165" spans="1:26" ht="25.15" hidden="1" customHeight="1" x14ac:dyDescent="0.25">
      <c r="A165" s="112">
        <v>46238.691782407404</v>
      </c>
      <c r="B165" s="5" t="s">
        <v>344</v>
      </c>
      <c r="C165" s="5">
        <v>11549170</v>
      </c>
      <c r="D165" s="5">
        <v>713712</v>
      </c>
      <c r="E165" s="33">
        <v>36</v>
      </c>
      <c r="F165" s="60">
        <v>400</v>
      </c>
      <c r="G165" s="60">
        <f>+OtherClients[[#This Row],[Boxes / Pieces]]*OtherClients[[#This Row],[Unit Quantity]]</f>
        <v>14400</v>
      </c>
      <c r="H165" s="60" t="s">
        <v>816</v>
      </c>
      <c r="I165" s="117" t="s">
        <v>278</v>
      </c>
      <c r="J165" s="118"/>
      <c r="K165" s="33" t="s">
        <v>278</v>
      </c>
      <c r="L165" s="116"/>
      <c r="M165" s="33" t="s">
        <v>278</v>
      </c>
      <c r="N165" s="116"/>
      <c r="O165" s="33" t="s">
        <v>278</v>
      </c>
      <c r="P165" s="116"/>
      <c r="Q165" s="33" t="s">
        <v>587</v>
      </c>
      <c r="R165" s="116"/>
      <c r="S165" s="33" t="s">
        <v>278</v>
      </c>
      <c r="T165" s="116"/>
      <c r="U165" s="33" t="s">
        <v>278</v>
      </c>
      <c r="V165" s="116"/>
      <c r="W165" s="59" t="s">
        <v>548</v>
      </c>
      <c r="X165" s="33" t="str">
        <f>+VLOOKUP(OtherClients[[#This Row],[Part]],PartControl!$A$2:$E$564,5,FALSE)</f>
        <v>INFASCO</v>
      </c>
      <c r="Y165" s="108">
        <f>IF(OtherClients[[#This Row],[Re-certified or New]]&lt;&gt;"Re-certified",IF(OtherClients[[#This Row],[Client]]="infasco",VLOOKUP(OtherClients[[#This Row],[Part]],PartControl!$A$2:$E$564,2,FALSE),OtherClients[[#This Row],[Total Quantity]]*VLOOKUP(OtherClients[[#This Row],[Part]],PartControl!$A$2:$E$564,2,FALSE)),0)</f>
        <v>106.94</v>
      </c>
      <c r="Z165" s="108">
        <f>IF(OtherClients[[#This Row],[Re-certified or New]]&lt;&gt;"Re-certified",IF(OtherClients[[#This Row],[Client]]="infasco",VLOOKUP(OtherClients[[#This Row],[Part]],PartControl!$A$2:$E$564,2,FALSE),OtherClients[[#This Row],[Total Quantity]]*VLOOKUP(OtherClients[[#This Row],[Part]],PartControl!$A$2:$E$564,2,FALSE)),0)</f>
        <v>106.94</v>
      </c>
    </row>
    <row r="166" spans="1:26" ht="25.15" hidden="1" customHeight="1" x14ac:dyDescent="0.25">
      <c r="A166" s="112">
        <v>46238.691782407404</v>
      </c>
      <c r="B166" s="5" t="s">
        <v>344</v>
      </c>
      <c r="C166" s="5">
        <v>11549170</v>
      </c>
      <c r="D166" s="5">
        <v>713703</v>
      </c>
      <c r="E166" s="33">
        <f>36+9</f>
        <v>45</v>
      </c>
      <c r="F166" s="60">
        <v>400</v>
      </c>
      <c r="G166" s="60">
        <f>+OtherClients[[#This Row],[Boxes / Pieces]]*OtherClients[[#This Row],[Unit Quantity]]</f>
        <v>18000</v>
      </c>
      <c r="H166" s="60" t="s">
        <v>816</v>
      </c>
      <c r="I166" s="117" t="s">
        <v>278</v>
      </c>
      <c r="J166" s="118"/>
      <c r="K166" s="33" t="s">
        <v>278</v>
      </c>
      <c r="L166" s="116"/>
      <c r="M166" s="33" t="s">
        <v>278</v>
      </c>
      <c r="N166" s="116"/>
      <c r="O166" s="33" t="s">
        <v>278</v>
      </c>
      <c r="P166" s="116"/>
      <c r="Q166" s="33" t="s">
        <v>587</v>
      </c>
      <c r="R166" s="116"/>
      <c r="S166" s="33" t="s">
        <v>278</v>
      </c>
      <c r="T166" s="116"/>
      <c r="U166" s="33" t="s">
        <v>278</v>
      </c>
      <c r="V166" s="116"/>
      <c r="W166" s="59" t="s">
        <v>548</v>
      </c>
      <c r="X166" s="33" t="str">
        <f>+VLOOKUP(OtherClients[[#This Row],[Part]],PartControl!$A$2:$E$564,5,FALSE)</f>
        <v>INFASCO</v>
      </c>
      <c r="Y166" s="108">
        <f>IF(OtherClients[[#This Row],[Re-certified or New]]&lt;&gt;"Re-certified",IF(OtherClients[[#This Row],[Client]]="infasco",VLOOKUP(OtherClients[[#This Row],[Part]],PartControl!$A$2:$E$564,2,FALSE),OtherClients[[#This Row],[Total Quantity]]*VLOOKUP(OtherClients[[#This Row],[Part]],PartControl!$A$2:$E$564,2,FALSE)),0)</f>
        <v>106.94</v>
      </c>
      <c r="Z166" s="108">
        <f>IF(OtherClients[[#This Row],[Re-certified or New]]&lt;&gt;"Re-certified",IF(OtherClients[[#This Row],[Client]]="infasco",VLOOKUP(OtherClients[[#This Row],[Part]],PartControl!$A$2:$E$564,2,FALSE),OtherClients[[#This Row],[Total Quantity]]*VLOOKUP(OtherClients[[#This Row],[Part]],PartControl!$A$2:$E$564,2,FALSE)),0)</f>
        <v>106.94</v>
      </c>
    </row>
    <row r="167" spans="1:26" ht="25.15" hidden="1" customHeight="1" x14ac:dyDescent="0.25">
      <c r="A167" s="112">
        <v>46238.691782407404</v>
      </c>
      <c r="B167" s="5" t="s">
        <v>344</v>
      </c>
      <c r="C167" s="5" t="s">
        <v>18</v>
      </c>
      <c r="D167" s="5">
        <v>715613</v>
      </c>
      <c r="E167" s="33">
        <v>29</v>
      </c>
      <c r="F167" s="60">
        <v>200</v>
      </c>
      <c r="G167" s="60">
        <f>+OtherClients[[#This Row],[Boxes / Pieces]]*OtherClients[[#This Row],[Unit Quantity]]</f>
        <v>5800</v>
      </c>
      <c r="H167" s="60" t="s">
        <v>816</v>
      </c>
      <c r="I167" s="117" t="s">
        <v>278</v>
      </c>
      <c r="J167" s="118"/>
      <c r="K167" s="33" t="s">
        <v>278</v>
      </c>
      <c r="L167" s="116"/>
      <c r="M167" s="33" t="s">
        <v>278</v>
      </c>
      <c r="N167" s="116"/>
      <c r="O167" s="33" t="s">
        <v>278</v>
      </c>
      <c r="P167" s="116"/>
      <c r="Q167" s="33" t="s">
        <v>587</v>
      </c>
      <c r="R167" s="116"/>
      <c r="S167" s="33" t="s">
        <v>278</v>
      </c>
      <c r="T167" s="116"/>
      <c r="U167" s="33" t="s">
        <v>278</v>
      </c>
      <c r="V167" s="116"/>
      <c r="W167" s="59" t="s">
        <v>548</v>
      </c>
      <c r="X167" s="33" t="str">
        <f>+VLOOKUP(OtherClients[[#This Row],[Part]],PartControl!$A$2:$E$564,5,FALSE)</f>
        <v>infasco</v>
      </c>
      <c r="Y167" s="108">
        <f>IF(OtherClients[[#This Row],[Re-certified or New]]&lt;&gt;"Re-certified",IF(OtherClients[[#This Row],[Client]]="infasco",VLOOKUP(OtherClients[[#This Row],[Part]],PartControl!$A$2:$E$564,2,FALSE),OtherClients[[#This Row],[Total Quantity]]*VLOOKUP(OtherClients[[#This Row],[Part]],PartControl!$A$2:$E$564,2,FALSE)),0)</f>
        <v>135.07999999999998</v>
      </c>
      <c r="Z167" s="108">
        <f>IF(OtherClients[[#This Row],[Re-certified or New]]&lt;&gt;"Re-certified",IF(OtherClients[[#This Row],[Client]]="infasco",VLOOKUP(OtherClients[[#This Row],[Part]],PartControl!$A$2:$E$564,2,FALSE),OtherClients[[#This Row],[Total Quantity]]*VLOOKUP(OtherClients[[#This Row],[Part]],PartControl!$A$2:$E$564,2,FALSE)),0)</f>
        <v>135.07999999999998</v>
      </c>
    </row>
    <row r="168" spans="1:26" ht="25.15" hidden="1" customHeight="1" x14ac:dyDescent="0.25">
      <c r="A168" s="112">
        <v>46238.691782407404</v>
      </c>
      <c r="B168" s="5" t="s">
        <v>344</v>
      </c>
      <c r="C168" s="5">
        <v>15047163</v>
      </c>
      <c r="D168" s="5">
        <v>714217</v>
      </c>
      <c r="E168" s="33">
        <v>29</v>
      </c>
      <c r="F168" s="60">
        <v>2000</v>
      </c>
      <c r="G168" s="60">
        <f>+OtherClients[[#This Row],[Boxes / Pieces]]*OtherClients[[#This Row],[Unit Quantity]]</f>
        <v>58000</v>
      </c>
      <c r="H168" s="60" t="s">
        <v>816</v>
      </c>
      <c r="I168" s="117" t="s">
        <v>278</v>
      </c>
      <c r="J168" s="118"/>
      <c r="K168" s="33" t="s">
        <v>278</v>
      </c>
      <c r="L168" s="116"/>
      <c r="M168" s="33" t="s">
        <v>278</v>
      </c>
      <c r="N168" s="116"/>
      <c r="O168" s="33" t="s">
        <v>278</v>
      </c>
      <c r="P168" s="116"/>
      <c r="Q168" s="33" t="s">
        <v>587</v>
      </c>
      <c r="R168" s="116"/>
      <c r="S168" s="33" t="s">
        <v>278</v>
      </c>
      <c r="T168" s="116"/>
      <c r="U168" s="33" t="s">
        <v>278</v>
      </c>
      <c r="V168" s="116"/>
      <c r="W168" s="59" t="s">
        <v>548</v>
      </c>
      <c r="X168" s="33" t="str">
        <f>+VLOOKUP(OtherClients[[#This Row],[Part]],PartControl!$A$2:$E$564,5,FALSE)</f>
        <v>infasco</v>
      </c>
      <c r="Y168" s="108">
        <f>IF(OtherClients[[#This Row],[Re-certified or New]]&lt;&gt;"Re-certified",IF(OtherClients[[#This Row],[Client]]="infasco",VLOOKUP(OtherClients[[#This Row],[Part]],PartControl!$A$2:$E$564,2,FALSE),OtherClients[[#This Row],[Total Quantity]]*VLOOKUP(OtherClients[[#This Row],[Part]],PartControl!$A$2:$E$564,2,FALSE)),0)</f>
        <v>106.94</v>
      </c>
      <c r="Z168" s="108">
        <f>IF(OtherClients[[#This Row],[Re-certified or New]]&lt;&gt;"Re-certified",IF(OtherClients[[#This Row],[Client]]="infasco",VLOOKUP(OtherClients[[#This Row],[Part]],PartControl!$A$2:$E$564,2,FALSE),OtherClients[[#This Row],[Total Quantity]]*VLOOKUP(OtherClients[[#This Row],[Part]],PartControl!$A$2:$E$564,2,FALSE)),0)</f>
        <v>106.94</v>
      </c>
    </row>
    <row r="169" spans="1:26" ht="25.15" hidden="1" customHeight="1" x14ac:dyDescent="0.25">
      <c r="A169" s="112">
        <v>46238.691782407404</v>
      </c>
      <c r="B169" s="5" t="s">
        <v>344</v>
      </c>
      <c r="C169" s="5">
        <v>11588714</v>
      </c>
      <c r="D169" s="5">
        <v>715678</v>
      </c>
      <c r="E169" s="33">
        <v>22</v>
      </c>
      <c r="F169" s="60">
        <v>1400</v>
      </c>
      <c r="G169" s="60">
        <f>+OtherClients[[#This Row],[Boxes / Pieces]]*OtherClients[[#This Row],[Unit Quantity]]</f>
        <v>30800</v>
      </c>
      <c r="H169" s="60" t="s">
        <v>816</v>
      </c>
      <c r="I169" s="117" t="s">
        <v>278</v>
      </c>
      <c r="J169" s="118"/>
      <c r="K169" s="33" t="s">
        <v>278</v>
      </c>
      <c r="L169" s="116"/>
      <c r="M169" s="33" t="s">
        <v>278</v>
      </c>
      <c r="N169" s="116"/>
      <c r="O169" s="33" t="s">
        <v>278</v>
      </c>
      <c r="P169" s="116"/>
      <c r="Q169" s="33" t="s">
        <v>587</v>
      </c>
      <c r="R169" s="116"/>
      <c r="S169" s="33" t="s">
        <v>278</v>
      </c>
      <c r="T169" s="116"/>
      <c r="U169" s="33" t="s">
        <v>278</v>
      </c>
      <c r="V169" s="116"/>
      <c r="W169" s="59" t="s">
        <v>548</v>
      </c>
      <c r="X169" s="33" t="str">
        <f>+VLOOKUP(OtherClients[[#This Row],[Part]],PartControl!$A$2:$E$564,5,FALSE)</f>
        <v>INFASCO</v>
      </c>
      <c r="Y169" s="108">
        <f>IF(OtherClients[[#This Row],[Re-certified or New]]&lt;&gt;"Re-certified",IF(OtherClients[[#This Row],[Client]]="infasco",VLOOKUP(OtherClients[[#This Row],[Part]],PartControl!$A$2:$E$564,2,FALSE),OtherClients[[#This Row],[Total Quantity]]*VLOOKUP(OtherClients[[#This Row],[Part]],PartControl!$A$2:$E$564,2,FALSE)),0)</f>
        <v>280.15999999999997</v>
      </c>
      <c r="Z169" s="108">
        <f>IF(OtherClients[[#This Row],[Re-certified or New]]&lt;&gt;"Re-certified",IF(OtherClients[[#This Row],[Client]]="infasco",VLOOKUP(OtherClients[[#This Row],[Part]],PartControl!$A$2:$E$564,2,FALSE),OtherClients[[#This Row],[Total Quantity]]*VLOOKUP(OtherClients[[#This Row],[Part]],PartControl!$A$2:$E$564,2,FALSE)),0)</f>
        <v>280.15999999999997</v>
      </c>
    </row>
    <row r="170" spans="1:26" ht="25.15" hidden="1" customHeight="1" x14ac:dyDescent="0.25">
      <c r="A170" s="112">
        <v>46238.691782407404</v>
      </c>
      <c r="B170" s="5" t="s">
        <v>344</v>
      </c>
      <c r="C170" s="5">
        <v>11549170</v>
      </c>
      <c r="D170" s="5">
        <v>713820</v>
      </c>
      <c r="E170" s="33">
        <v>41</v>
      </c>
      <c r="F170" s="60">
        <v>400</v>
      </c>
      <c r="G170" s="60">
        <f>+OtherClients[[#This Row],[Boxes / Pieces]]*OtherClients[[#This Row],[Unit Quantity]]</f>
        <v>16400</v>
      </c>
      <c r="H170" s="60" t="s">
        <v>816</v>
      </c>
      <c r="I170" s="117" t="s">
        <v>278</v>
      </c>
      <c r="J170" s="118"/>
      <c r="K170" s="33" t="s">
        <v>278</v>
      </c>
      <c r="L170" s="116"/>
      <c r="M170" s="33" t="s">
        <v>278</v>
      </c>
      <c r="N170" s="116"/>
      <c r="O170" s="33" t="s">
        <v>278</v>
      </c>
      <c r="P170" s="116"/>
      <c r="Q170" s="33" t="s">
        <v>587</v>
      </c>
      <c r="R170" s="116"/>
      <c r="S170" s="33" t="s">
        <v>278</v>
      </c>
      <c r="T170" s="116"/>
      <c r="U170" s="33" t="s">
        <v>278</v>
      </c>
      <c r="V170" s="116"/>
      <c r="W170" s="59" t="s">
        <v>548</v>
      </c>
      <c r="X170" s="33" t="str">
        <f>+VLOOKUP(OtherClients[[#This Row],[Part]],PartControl!$A$2:$E$564,5,FALSE)</f>
        <v>INFASCO</v>
      </c>
      <c r="Y170" s="108">
        <f>IF(OtherClients[[#This Row],[Re-certified or New]]&lt;&gt;"Re-certified",IF(OtherClients[[#This Row],[Client]]="infasco",VLOOKUP(OtherClients[[#This Row],[Part]],PartControl!$A$2:$E$564,2,FALSE),OtherClients[[#This Row],[Total Quantity]]*VLOOKUP(OtherClients[[#This Row],[Part]],PartControl!$A$2:$E$564,2,FALSE)),0)</f>
        <v>106.94</v>
      </c>
      <c r="Z170" s="108">
        <f>IF(OtherClients[[#This Row],[Re-certified or New]]&lt;&gt;"Re-certified",IF(OtherClients[[#This Row],[Client]]="infasco",VLOOKUP(OtherClients[[#This Row],[Part]],PartControl!$A$2:$E$564,2,FALSE),OtherClients[[#This Row],[Total Quantity]]*VLOOKUP(OtherClients[[#This Row],[Part]],PartControl!$A$2:$E$564,2,FALSE)),0)</f>
        <v>106.94</v>
      </c>
    </row>
    <row r="171" spans="1:26" ht="25.15" hidden="1" customHeight="1" x14ac:dyDescent="0.25">
      <c r="A171" s="112">
        <v>46238.691782407404</v>
      </c>
      <c r="B171" s="5" t="s">
        <v>344</v>
      </c>
      <c r="C171" s="5" t="s">
        <v>732</v>
      </c>
      <c r="D171" s="5">
        <v>705484</v>
      </c>
      <c r="E171" s="33">
        <v>5</v>
      </c>
      <c r="F171" s="60">
        <v>1000</v>
      </c>
      <c r="G171" s="60">
        <f>+OtherClients[[#This Row],[Boxes / Pieces]]*OtherClients[[#This Row],[Unit Quantity]]</f>
        <v>5000</v>
      </c>
      <c r="H171" s="60" t="s">
        <v>816</v>
      </c>
      <c r="I171" s="117" t="s">
        <v>278</v>
      </c>
      <c r="J171" s="118"/>
      <c r="K171" s="33" t="s">
        <v>278</v>
      </c>
      <c r="L171" s="116"/>
      <c r="M171" s="33" t="s">
        <v>278</v>
      </c>
      <c r="N171" s="116"/>
      <c r="O171" s="33" t="s">
        <v>278</v>
      </c>
      <c r="P171" s="116"/>
      <c r="Q171" s="33" t="s">
        <v>587</v>
      </c>
      <c r="R171" s="116"/>
      <c r="S171" s="33" t="s">
        <v>278</v>
      </c>
      <c r="T171" s="116"/>
      <c r="U171" s="33" t="s">
        <v>278</v>
      </c>
      <c r="V171" s="116"/>
      <c r="W171" s="59" t="s">
        <v>633</v>
      </c>
      <c r="X171" s="33" t="str">
        <f>+VLOOKUP(OtherClients[[#This Row],[Part]],PartControl!$A$2:$E$564,5,FALSE)</f>
        <v>infasco</v>
      </c>
      <c r="Y171" s="108">
        <f>IF(OtherClients[[#This Row],[Re-certified or New]]&lt;&gt;"Re-certified",IF(OtherClients[[#This Row],[Client]]="infasco",VLOOKUP(OtherClients[[#This Row],[Part]],PartControl!$A$2:$E$564,2,FALSE),OtherClients[[#This Row],[Total Quantity]]*VLOOKUP(OtherClients[[#This Row],[Part]],PartControl!$A$2:$E$564,2,FALSE)),0)</f>
        <v>0</v>
      </c>
      <c r="Z171" s="108">
        <f>IF(OtherClients[[#This Row],[Re-certified or New]]&lt;&gt;"Re-certified",IF(OtherClients[[#This Row],[Client]]="infasco",VLOOKUP(OtherClients[[#This Row],[Part]],PartControl!$A$2:$E$564,2,FALSE),OtherClients[[#This Row],[Total Quantity]]*VLOOKUP(OtherClients[[#This Row],[Part]],PartControl!$A$2:$E$564,2,FALSE)),0)</f>
        <v>0</v>
      </c>
    </row>
    <row r="172" spans="1:26" ht="25.15" hidden="1" customHeight="1" x14ac:dyDescent="0.25">
      <c r="A172" s="112">
        <v>46238.691782407404</v>
      </c>
      <c r="B172" s="5" t="s">
        <v>342</v>
      </c>
      <c r="C172" s="5">
        <v>11549168</v>
      </c>
      <c r="D172" s="5">
        <v>712002</v>
      </c>
      <c r="E172" s="33">
        <v>19</v>
      </c>
      <c r="F172" s="60">
        <v>1000</v>
      </c>
      <c r="G172" s="60">
        <f>+OtherClients[[#This Row],[Boxes / Pieces]]*OtherClients[[#This Row],[Unit Quantity]]</f>
        <v>19000</v>
      </c>
      <c r="H172" s="60" t="s">
        <v>866</v>
      </c>
      <c r="I172" s="117" t="s">
        <v>278</v>
      </c>
      <c r="J172" s="118"/>
      <c r="K172" s="33" t="s">
        <v>278</v>
      </c>
      <c r="L172" s="116"/>
      <c r="M172" s="33" t="s">
        <v>278</v>
      </c>
      <c r="N172" s="116"/>
      <c r="O172" s="33" t="s">
        <v>278</v>
      </c>
      <c r="P172" s="116"/>
      <c r="Q172" s="33" t="s">
        <v>587</v>
      </c>
      <c r="R172" s="116"/>
      <c r="S172" s="33" t="s">
        <v>278</v>
      </c>
      <c r="T172" s="116"/>
      <c r="U172" s="33" t="s">
        <v>278</v>
      </c>
      <c r="V172" s="116"/>
      <c r="W172" s="59" t="s">
        <v>548</v>
      </c>
      <c r="X172" s="33" t="str">
        <f>+VLOOKUP(OtherClients[[#This Row],[Part]],PartControl!$A$2:$E$564,5,FALSE)</f>
        <v>INFASCO</v>
      </c>
      <c r="Y172" s="108">
        <f>IF(OtherClients[[#This Row],[Re-certified or New]]&lt;&gt;"Re-certified",IF(OtherClients[[#This Row],[Client]]="infasco",VLOOKUP(OtherClients[[#This Row],[Part]],PartControl!$A$2:$E$564,2,FALSE),OtherClients[[#This Row],[Total Quantity]]*VLOOKUP(OtherClients[[#This Row],[Part]],PartControl!$A$2:$E$564,2,FALSE)),0)</f>
        <v>106.94</v>
      </c>
      <c r="Z172" s="108">
        <f>IF(OtherClients[[#This Row],[Re-certified or New]]&lt;&gt;"Re-certified",IF(OtherClients[[#This Row],[Client]]="infasco",VLOOKUP(OtherClients[[#This Row],[Part]],PartControl!$A$2:$E$564,2,FALSE),OtherClients[[#This Row],[Total Quantity]]*VLOOKUP(OtherClients[[#This Row],[Part]],PartControl!$A$2:$E$564,2,FALSE)),0)</f>
        <v>106.94</v>
      </c>
    </row>
    <row r="173" spans="1:26" ht="25.15" hidden="1" customHeight="1" x14ac:dyDescent="0.25">
      <c r="A173" s="112">
        <v>46238.691782407404</v>
      </c>
      <c r="B173" s="5" t="s">
        <v>342</v>
      </c>
      <c r="C173" s="5">
        <v>11549170</v>
      </c>
      <c r="D173" s="5">
        <v>713846</v>
      </c>
      <c r="E173" s="33">
        <v>40</v>
      </c>
      <c r="F173" s="60">
        <v>400</v>
      </c>
      <c r="G173" s="60">
        <f>+OtherClients[[#This Row],[Boxes / Pieces]]*OtherClients[[#This Row],[Unit Quantity]]</f>
        <v>16000</v>
      </c>
      <c r="H173" s="60" t="s">
        <v>866</v>
      </c>
      <c r="I173" s="117" t="s">
        <v>278</v>
      </c>
      <c r="J173" s="118"/>
      <c r="K173" s="33" t="s">
        <v>278</v>
      </c>
      <c r="L173" s="116"/>
      <c r="M173" s="33" t="s">
        <v>278</v>
      </c>
      <c r="N173" s="116"/>
      <c r="O173" s="33" t="s">
        <v>278</v>
      </c>
      <c r="P173" s="116"/>
      <c r="Q173" s="33" t="s">
        <v>587</v>
      </c>
      <c r="R173" s="116"/>
      <c r="S173" s="33" t="s">
        <v>278</v>
      </c>
      <c r="T173" s="116"/>
      <c r="U173" s="33" t="s">
        <v>278</v>
      </c>
      <c r="V173" s="116"/>
      <c r="W173" s="59" t="s">
        <v>548</v>
      </c>
      <c r="X173" s="33" t="str">
        <f>+VLOOKUP(OtherClients[[#This Row],[Part]],PartControl!$A$2:$E$564,5,FALSE)</f>
        <v>INFASCO</v>
      </c>
      <c r="Y173" s="108">
        <f>IF(OtherClients[[#This Row],[Re-certified or New]]&lt;&gt;"Re-certified",IF(OtherClients[[#This Row],[Client]]="infasco",VLOOKUP(OtherClients[[#This Row],[Part]],PartControl!$A$2:$E$564,2,FALSE),OtherClients[[#This Row],[Total Quantity]]*VLOOKUP(OtherClients[[#This Row],[Part]],PartControl!$A$2:$E$564,2,FALSE)),0)</f>
        <v>106.94</v>
      </c>
      <c r="Z173" s="108">
        <f>IF(OtherClients[[#This Row],[Re-certified or New]]&lt;&gt;"Re-certified",IF(OtherClients[[#This Row],[Client]]="infasco",VLOOKUP(OtherClients[[#This Row],[Part]],PartControl!$A$2:$E$564,2,FALSE),OtherClients[[#This Row],[Total Quantity]]*VLOOKUP(OtherClients[[#This Row],[Part]],PartControl!$A$2:$E$564,2,FALSE)),0)</f>
        <v>106.94</v>
      </c>
    </row>
    <row r="174" spans="1:26" ht="25.15" hidden="1" customHeight="1" x14ac:dyDescent="0.25">
      <c r="A174" s="112">
        <v>46238.691782407404</v>
      </c>
      <c r="B174" s="5" t="s">
        <v>342</v>
      </c>
      <c r="C174" s="5" t="s">
        <v>732</v>
      </c>
      <c r="D174" s="5">
        <v>705485</v>
      </c>
      <c r="E174" s="33">
        <v>7</v>
      </c>
      <c r="F174" s="60">
        <v>1000</v>
      </c>
      <c r="G174" s="60">
        <f>+OtherClients[[#This Row],[Boxes / Pieces]]*OtherClients[[#This Row],[Unit Quantity]]</f>
        <v>7000</v>
      </c>
      <c r="H174" s="60">
        <v>157</v>
      </c>
      <c r="I174" s="117" t="s">
        <v>278</v>
      </c>
      <c r="J174" s="118"/>
      <c r="K174" s="33" t="s">
        <v>278</v>
      </c>
      <c r="L174" s="116"/>
      <c r="M174" s="33" t="s">
        <v>278</v>
      </c>
      <c r="N174" s="116"/>
      <c r="O174" s="33" t="s">
        <v>278</v>
      </c>
      <c r="P174" s="116"/>
      <c r="Q174" s="33" t="s">
        <v>587</v>
      </c>
      <c r="R174" s="116"/>
      <c r="S174" s="33" t="s">
        <v>278</v>
      </c>
      <c r="T174" s="116"/>
      <c r="U174" s="33" t="s">
        <v>278</v>
      </c>
      <c r="V174" s="116"/>
      <c r="W174" s="59" t="s">
        <v>633</v>
      </c>
      <c r="X174" s="33" t="str">
        <f>+VLOOKUP(OtherClients[[#This Row],[Part]],PartControl!$A$2:$E$564,5,FALSE)</f>
        <v>infasco</v>
      </c>
      <c r="Y174" s="108">
        <f>IF(OtherClients[[#This Row],[Re-certified or New]]&lt;&gt;"Re-certified",IF(OtherClients[[#This Row],[Client]]="infasco",VLOOKUP(OtherClients[[#This Row],[Part]],PartControl!$A$2:$E$564,2,FALSE),OtherClients[[#This Row],[Total Quantity]]*VLOOKUP(OtherClients[[#This Row],[Part]],PartControl!$A$2:$E$564,2,FALSE)),0)</f>
        <v>0</v>
      </c>
      <c r="Z174" s="108">
        <f>IF(OtherClients[[#This Row],[Re-certified or New]]&lt;&gt;"Re-certified",IF(OtherClients[[#This Row],[Client]]="infasco",VLOOKUP(OtherClients[[#This Row],[Part]],PartControl!$A$2:$E$564,2,FALSE),OtherClients[[#This Row],[Total Quantity]]*VLOOKUP(OtherClients[[#This Row],[Part]],PartControl!$A$2:$E$564,2,FALSE)),0)</f>
        <v>0</v>
      </c>
    </row>
    <row r="175" spans="1:26" ht="25.15" hidden="1" customHeight="1" x14ac:dyDescent="0.25">
      <c r="A175" s="112">
        <v>46238.691782407404</v>
      </c>
      <c r="B175" s="5" t="s">
        <v>343</v>
      </c>
      <c r="C175" s="5" t="s">
        <v>565</v>
      </c>
      <c r="D175" s="5">
        <v>709995</v>
      </c>
      <c r="E175" s="33">
        <v>1</v>
      </c>
      <c r="F175" s="60">
        <v>20000</v>
      </c>
      <c r="G175" s="60">
        <f>+OtherClients[[#This Row],[Boxes / Pieces]]*OtherClients[[#This Row],[Unit Quantity]]</f>
        <v>20000</v>
      </c>
      <c r="H175" s="60" t="s">
        <v>757</v>
      </c>
      <c r="I175" s="117" t="s">
        <v>278</v>
      </c>
      <c r="J175" s="118"/>
      <c r="K175" s="33" t="s">
        <v>278</v>
      </c>
      <c r="L175" s="116"/>
      <c r="M175" s="33" t="s">
        <v>278</v>
      </c>
      <c r="N175" s="116"/>
      <c r="O175" s="33" t="s">
        <v>278</v>
      </c>
      <c r="P175" s="116"/>
      <c r="Q175" s="33" t="s">
        <v>587</v>
      </c>
      <c r="R175" s="116"/>
      <c r="S175" s="33" t="s">
        <v>278</v>
      </c>
      <c r="T175" s="116"/>
      <c r="U175" s="33" t="s">
        <v>278</v>
      </c>
      <c r="V175" s="116"/>
      <c r="W175" s="59" t="s">
        <v>548</v>
      </c>
      <c r="X175" s="33" t="str">
        <f>+VLOOKUP(OtherClients[[#This Row],[Part]],PartControl!$A$2:$E$564,5,FALSE)</f>
        <v>Infasco</v>
      </c>
      <c r="Y175" s="108">
        <f>IF(OtherClients[[#This Row],[Re-certified or New]]&lt;&gt;"Re-certified",IF(OtherClients[[#This Row],[Client]]="infasco",VLOOKUP(OtherClients[[#This Row],[Part]],PartControl!$A$2:$E$564,2,FALSE),OtherClients[[#This Row],[Total Quantity]]*VLOOKUP(OtherClients[[#This Row],[Part]],PartControl!$A$2:$E$564,2,FALSE)),0)</f>
        <v>106.94</v>
      </c>
      <c r="Z175" s="108">
        <f>IF(OtherClients[[#This Row],[Re-certified or New]]&lt;&gt;"Re-certified",IF(OtherClients[[#This Row],[Client]]="infasco",VLOOKUP(OtherClients[[#This Row],[Part]],PartControl!$A$2:$E$564,2,FALSE),OtherClients[[#This Row],[Total Quantity]]*VLOOKUP(OtherClients[[#This Row],[Part]],PartControl!$A$2:$E$564,2,FALSE)),0)</f>
        <v>106.94</v>
      </c>
    </row>
    <row r="176" spans="1:26" ht="25.15" hidden="1" customHeight="1" x14ac:dyDescent="0.25">
      <c r="A176" s="112">
        <v>46238.691782407404</v>
      </c>
      <c r="B176" s="5" t="s">
        <v>343</v>
      </c>
      <c r="C176" s="5">
        <v>11549204</v>
      </c>
      <c r="D176" s="5">
        <v>714271</v>
      </c>
      <c r="E176" s="33">
        <v>19</v>
      </c>
      <c r="F176" s="60">
        <v>210</v>
      </c>
      <c r="G176" s="60">
        <f>+OtherClients[[#This Row],[Boxes / Pieces]]*OtherClients[[#This Row],[Unit Quantity]]</f>
        <v>3990</v>
      </c>
      <c r="H176" s="60" t="s">
        <v>757</v>
      </c>
      <c r="I176" s="117" t="s">
        <v>278</v>
      </c>
      <c r="J176" s="118"/>
      <c r="K176" s="33" t="s">
        <v>278</v>
      </c>
      <c r="L176" s="116"/>
      <c r="M176" s="33" t="s">
        <v>278</v>
      </c>
      <c r="N176" s="116"/>
      <c r="O176" s="33" t="s">
        <v>278</v>
      </c>
      <c r="P176" s="116"/>
      <c r="Q176" s="33" t="s">
        <v>587</v>
      </c>
      <c r="R176" s="116"/>
      <c r="S176" s="33" t="s">
        <v>278</v>
      </c>
      <c r="T176" s="116"/>
      <c r="U176" s="33" t="s">
        <v>278</v>
      </c>
      <c r="V176" s="116"/>
      <c r="W176" s="59" t="s">
        <v>548</v>
      </c>
      <c r="X176" s="33" t="str">
        <f>+VLOOKUP(OtherClients[[#This Row],[Part]],PartControl!$A$2:$E$564,5,FALSE)</f>
        <v>INFASCO</v>
      </c>
      <c r="Y176" s="108">
        <f>IF(OtherClients[[#This Row],[Re-certified or New]]&lt;&gt;"Re-certified",IF(OtherClients[[#This Row],[Client]]="infasco",VLOOKUP(OtherClients[[#This Row],[Part]],PartControl!$A$2:$E$564,2,FALSE),OtherClients[[#This Row],[Total Quantity]]*VLOOKUP(OtherClients[[#This Row],[Part]],PartControl!$A$2:$E$564,2,FALSE)),0)</f>
        <v>106.94</v>
      </c>
      <c r="Z176" s="108">
        <f>IF(OtherClients[[#This Row],[Re-certified or New]]&lt;&gt;"Re-certified",IF(OtherClients[[#This Row],[Client]]="infasco",VLOOKUP(OtherClients[[#This Row],[Part]],PartControl!$A$2:$E$564,2,FALSE),OtherClients[[#This Row],[Total Quantity]]*VLOOKUP(OtherClients[[#This Row],[Part]],PartControl!$A$2:$E$564,2,FALSE)),0)</f>
        <v>106.94</v>
      </c>
    </row>
    <row r="177" spans="1:26" ht="25.15" hidden="1" customHeight="1" x14ac:dyDescent="0.25">
      <c r="A177" s="112">
        <v>46238.691782407404</v>
      </c>
      <c r="B177" s="5" t="s">
        <v>343</v>
      </c>
      <c r="C177" s="5" t="s">
        <v>17</v>
      </c>
      <c r="D177" s="5">
        <v>715605</v>
      </c>
      <c r="E177" s="33">
        <v>36</v>
      </c>
      <c r="F177" s="60">
        <v>100</v>
      </c>
      <c r="G177" s="60">
        <f>+OtherClients[[#This Row],[Boxes / Pieces]]*OtherClients[[#This Row],[Unit Quantity]]</f>
        <v>3600</v>
      </c>
      <c r="H177" s="60" t="s">
        <v>757</v>
      </c>
      <c r="I177" s="117" t="s">
        <v>278</v>
      </c>
      <c r="J177" s="118"/>
      <c r="K177" s="33" t="s">
        <v>278</v>
      </c>
      <c r="L177" s="116"/>
      <c r="M177" s="33" t="s">
        <v>278</v>
      </c>
      <c r="N177" s="116"/>
      <c r="O177" s="33" t="s">
        <v>278</v>
      </c>
      <c r="P177" s="116"/>
      <c r="Q177" s="33" t="s">
        <v>587</v>
      </c>
      <c r="R177" s="116"/>
      <c r="S177" s="33" t="s">
        <v>278</v>
      </c>
      <c r="T177" s="116"/>
      <c r="U177" s="33" t="s">
        <v>278</v>
      </c>
      <c r="V177" s="116"/>
      <c r="W177" s="59" t="s">
        <v>548</v>
      </c>
      <c r="X177" s="33" t="str">
        <f>+VLOOKUP(OtherClients[[#This Row],[Part]],PartControl!$A$2:$E$564,5,FALSE)</f>
        <v>infasco</v>
      </c>
      <c r="Y177" s="108">
        <f>IF(OtherClients[[#This Row],[Re-certified or New]]&lt;&gt;"Re-certified",IF(OtherClients[[#This Row],[Client]]="infasco",VLOOKUP(OtherClients[[#This Row],[Part]],PartControl!$A$2:$E$564,2,FALSE),OtherClients[[#This Row],[Total Quantity]]*VLOOKUP(OtherClients[[#This Row],[Part]],PartControl!$A$2:$E$564,2,FALSE)),0)</f>
        <v>135.07999999999998</v>
      </c>
      <c r="Z177" s="108">
        <f>IF(OtherClients[[#This Row],[Re-certified or New]]&lt;&gt;"Re-certified",IF(OtherClients[[#This Row],[Client]]="infasco",VLOOKUP(OtherClients[[#This Row],[Part]],PartControl!$A$2:$E$564,2,FALSE),OtherClients[[#This Row],[Total Quantity]]*VLOOKUP(OtherClients[[#This Row],[Part]],PartControl!$A$2:$E$564,2,FALSE)),0)</f>
        <v>135.07999999999998</v>
      </c>
    </row>
    <row r="178" spans="1:26" ht="25.15" hidden="1" customHeight="1" x14ac:dyDescent="0.25">
      <c r="A178" s="112">
        <v>46238.691782407404</v>
      </c>
      <c r="B178" s="5" t="s">
        <v>343</v>
      </c>
      <c r="C178" s="5" t="s">
        <v>17</v>
      </c>
      <c r="D178" s="5">
        <v>715604</v>
      </c>
      <c r="E178" s="33">
        <v>23</v>
      </c>
      <c r="F178" s="60">
        <v>100</v>
      </c>
      <c r="G178" s="60">
        <f>+OtherClients[[#This Row],[Boxes / Pieces]]*OtherClients[[#This Row],[Unit Quantity]]</f>
        <v>2300</v>
      </c>
      <c r="H178" s="60" t="s">
        <v>757</v>
      </c>
      <c r="I178" s="117" t="s">
        <v>278</v>
      </c>
      <c r="J178" s="118"/>
      <c r="K178" s="33" t="s">
        <v>278</v>
      </c>
      <c r="L178" s="116"/>
      <c r="M178" s="33" t="s">
        <v>278</v>
      </c>
      <c r="N178" s="116"/>
      <c r="O178" s="33" t="s">
        <v>278</v>
      </c>
      <c r="P178" s="116"/>
      <c r="Q178" s="33" t="s">
        <v>587</v>
      </c>
      <c r="R178" s="116"/>
      <c r="S178" s="33" t="s">
        <v>278</v>
      </c>
      <c r="T178" s="116"/>
      <c r="U178" s="33" t="s">
        <v>278</v>
      </c>
      <c r="V178" s="116"/>
      <c r="W178" s="59" t="s">
        <v>548</v>
      </c>
      <c r="X178" s="33" t="str">
        <f>+VLOOKUP(OtherClients[[#This Row],[Part]],PartControl!$A$2:$E$564,5,FALSE)</f>
        <v>infasco</v>
      </c>
      <c r="Y178" s="108">
        <f>IF(OtherClients[[#This Row],[Re-certified or New]]&lt;&gt;"Re-certified",IF(OtherClients[[#This Row],[Client]]="infasco",VLOOKUP(OtherClients[[#This Row],[Part]],PartControl!$A$2:$E$564,2,FALSE),OtherClients[[#This Row],[Total Quantity]]*VLOOKUP(OtherClients[[#This Row],[Part]],PartControl!$A$2:$E$564,2,FALSE)),0)</f>
        <v>135.07999999999998</v>
      </c>
      <c r="Z178" s="108">
        <f>IF(OtherClients[[#This Row],[Re-certified or New]]&lt;&gt;"Re-certified",IF(OtherClients[[#This Row],[Client]]="infasco",VLOOKUP(OtherClients[[#This Row],[Part]],PartControl!$A$2:$E$564,2,FALSE),OtherClients[[#This Row],[Total Quantity]]*VLOOKUP(OtherClients[[#This Row],[Part]],PartControl!$A$2:$E$564,2,FALSE)),0)</f>
        <v>135.07999999999998</v>
      </c>
    </row>
    <row r="179" spans="1:26" ht="25.15" hidden="1" customHeight="1" x14ac:dyDescent="0.25">
      <c r="A179" s="112">
        <v>46238.691782407404</v>
      </c>
      <c r="B179" s="5" t="s">
        <v>343</v>
      </c>
      <c r="C179" s="5">
        <v>11588714</v>
      </c>
      <c r="D179" s="5">
        <v>715679</v>
      </c>
      <c r="E179" s="33">
        <v>36</v>
      </c>
      <c r="F179" s="60">
        <v>1400</v>
      </c>
      <c r="G179" s="60">
        <f>+OtherClients[[#This Row],[Boxes / Pieces]]*OtherClients[[#This Row],[Unit Quantity]]</f>
        <v>50400</v>
      </c>
      <c r="H179" s="60" t="s">
        <v>757</v>
      </c>
      <c r="I179" s="117" t="s">
        <v>278</v>
      </c>
      <c r="J179" s="118"/>
      <c r="K179" s="33" t="s">
        <v>278</v>
      </c>
      <c r="L179" s="116"/>
      <c r="M179" s="33" t="s">
        <v>278</v>
      </c>
      <c r="N179" s="116"/>
      <c r="O179" s="33" t="s">
        <v>278</v>
      </c>
      <c r="P179" s="116"/>
      <c r="Q179" s="33" t="s">
        <v>587</v>
      </c>
      <c r="R179" s="116"/>
      <c r="S179" s="33" t="s">
        <v>278</v>
      </c>
      <c r="T179" s="116"/>
      <c r="U179" s="33" t="s">
        <v>278</v>
      </c>
      <c r="V179" s="116"/>
      <c r="W179" s="59" t="s">
        <v>548</v>
      </c>
      <c r="X179" s="33" t="str">
        <f>+VLOOKUP(OtherClients[[#This Row],[Part]],PartControl!$A$2:$E$564,5,FALSE)</f>
        <v>INFASCO</v>
      </c>
      <c r="Y179" s="108">
        <f>IF(OtherClients[[#This Row],[Re-certified or New]]&lt;&gt;"Re-certified",IF(OtherClients[[#This Row],[Client]]="infasco",VLOOKUP(OtherClients[[#This Row],[Part]],PartControl!$A$2:$E$564,2,FALSE),OtherClients[[#This Row],[Total Quantity]]*VLOOKUP(OtherClients[[#This Row],[Part]],PartControl!$A$2:$E$564,2,FALSE)),0)</f>
        <v>280.15999999999997</v>
      </c>
      <c r="Z179" s="108">
        <f>IF(OtherClients[[#This Row],[Re-certified or New]]&lt;&gt;"Re-certified",IF(OtherClients[[#This Row],[Client]]="infasco",VLOOKUP(OtherClients[[#This Row],[Part]],PartControl!$A$2:$E$564,2,FALSE),OtherClients[[#This Row],[Total Quantity]]*VLOOKUP(OtherClients[[#This Row],[Part]],PartControl!$A$2:$E$564,2,FALSE)),0)</f>
        <v>280.15999999999997</v>
      </c>
    </row>
    <row r="180" spans="1:26" ht="25.15" hidden="1" customHeight="1" x14ac:dyDescent="0.25">
      <c r="A180" s="112">
        <v>46238.691782407404</v>
      </c>
      <c r="B180" s="5" t="s">
        <v>343</v>
      </c>
      <c r="C180" s="5">
        <v>11588714</v>
      </c>
      <c r="D180" s="5">
        <v>715676</v>
      </c>
      <c r="E180" s="33">
        <v>16</v>
      </c>
      <c r="F180" s="60">
        <v>1400</v>
      </c>
      <c r="G180" s="60">
        <f>+OtherClients[[#This Row],[Boxes / Pieces]]*OtherClients[[#This Row],[Unit Quantity]]</f>
        <v>22400</v>
      </c>
      <c r="H180" s="60" t="s">
        <v>757</v>
      </c>
      <c r="I180" s="117" t="s">
        <v>278</v>
      </c>
      <c r="J180" s="118"/>
      <c r="K180" s="33" t="s">
        <v>278</v>
      </c>
      <c r="L180" s="116"/>
      <c r="M180" s="33" t="s">
        <v>278</v>
      </c>
      <c r="N180" s="116"/>
      <c r="O180" s="33" t="s">
        <v>278</v>
      </c>
      <c r="P180" s="116"/>
      <c r="Q180" s="33" t="s">
        <v>587</v>
      </c>
      <c r="R180" s="116"/>
      <c r="S180" s="33" t="s">
        <v>278</v>
      </c>
      <c r="T180" s="116"/>
      <c r="U180" s="33" t="s">
        <v>278</v>
      </c>
      <c r="V180" s="116"/>
      <c r="W180" s="59" t="s">
        <v>548</v>
      </c>
      <c r="X180" s="33" t="str">
        <f>+VLOOKUP(OtherClients[[#This Row],[Part]],PartControl!$A$2:$E$564,5,FALSE)</f>
        <v>INFASCO</v>
      </c>
      <c r="Y180" s="108">
        <f>IF(OtherClients[[#This Row],[Re-certified or New]]&lt;&gt;"Re-certified",IF(OtherClients[[#This Row],[Client]]="infasco",VLOOKUP(OtherClients[[#This Row],[Part]],PartControl!$A$2:$E$564,2,FALSE),OtherClients[[#This Row],[Total Quantity]]*VLOOKUP(OtherClients[[#This Row],[Part]],PartControl!$A$2:$E$564,2,FALSE)),0)</f>
        <v>280.15999999999997</v>
      </c>
      <c r="Z180" s="108">
        <f>IF(OtherClients[[#This Row],[Re-certified or New]]&lt;&gt;"Re-certified",IF(OtherClients[[#This Row],[Client]]="infasco",VLOOKUP(OtherClients[[#This Row],[Part]],PartControl!$A$2:$E$564,2,FALSE),OtherClients[[#This Row],[Total Quantity]]*VLOOKUP(OtherClients[[#This Row],[Part]],PartControl!$A$2:$E$564,2,FALSE)),0)</f>
        <v>280.15999999999997</v>
      </c>
    </row>
    <row r="181" spans="1:26" ht="25.15" hidden="1" customHeight="1" x14ac:dyDescent="0.25">
      <c r="A181" s="112">
        <v>46238.691782407404</v>
      </c>
      <c r="B181" s="5" t="s">
        <v>343</v>
      </c>
      <c r="C181" s="5" t="s">
        <v>815</v>
      </c>
      <c r="D181" s="5">
        <v>707148</v>
      </c>
      <c r="E181" s="33">
        <v>24</v>
      </c>
      <c r="F181" s="60">
        <v>700</v>
      </c>
      <c r="G181" s="60">
        <f>+OtherClients[[#This Row],[Boxes / Pieces]]*OtherClients[[#This Row],[Unit Quantity]]</f>
        <v>16800</v>
      </c>
      <c r="H181" s="60" t="s">
        <v>757</v>
      </c>
      <c r="I181" s="117" t="s">
        <v>278</v>
      </c>
      <c r="J181" s="118"/>
      <c r="K181" s="33" t="s">
        <v>278</v>
      </c>
      <c r="L181" s="116"/>
      <c r="M181" s="33" t="s">
        <v>278</v>
      </c>
      <c r="N181" s="116"/>
      <c r="O181" s="33" t="s">
        <v>278</v>
      </c>
      <c r="P181" s="116"/>
      <c r="Q181" s="33" t="s">
        <v>587</v>
      </c>
      <c r="R181" s="116"/>
      <c r="S181" s="33" t="s">
        <v>278</v>
      </c>
      <c r="T181" s="116"/>
      <c r="U181" s="33" t="s">
        <v>278</v>
      </c>
      <c r="V181" s="116"/>
      <c r="W181" s="59" t="s">
        <v>548</v>
      </c>
      <c r="X181" s="33" t="str">
        <f>+VLOOKUP(OtherClients[[#This Row],[Part]],PartControl!$A$2:$E$564,5,FALSE)</f>
        <v>infasco</v>
      </c>
      <c r="Y181" s="108">
        <f>IF(OtherClients[[#This Row],[Re-certified or New]]&lt;&gt;"Re-certified",IF(OtherClients[[#This Row],[Client]]="infasco",VLOOKUP(OtherClients[[#This Row],[Part]],PartControl!$A$2:$E$564,2,FALSE),OtherClients[[#This Row],[Total Quantity]]*VLOOKUP(OtherClients[[#This Row],[Part]],PartControl!$A$2:$E$564,2,FALSE)),0)</f>
        <v>106.94</v>
      </c>
      <c r="Z181" s="108">
        <f>IF(OtherClients[[#This Row],[Re-certified or New]]&lt;&gt;"Re-certified",IF(OtherClients[[#This Row],[Client]]="infasco",VLOOKUP(OtherClients[[#This Row],[Part]],PartControl!$A$2:$E$564,2,FALSE),OtherClients[[#This Row],[Total Quantity]]*VLOOKUP(OtherClients[[#This Row],[Part]],PartControl!$A$2:$E$564,2,FALSE)),0)</f>
        <v>106.94</v>
      </c>
    </row>
    <row r="182" spans="1:26" ht="25.15" hidden="1" customHeight="1" x14ac:dyDescent="0.25">
      <c r="A182" s="112">
        <v>46239.695462962962</v>
      </c>
      <c r="B182" s="5" t="s">
        <v>238</v>
      </c>
      <c r="C182" s="5">
        <v>11549170</v>
      </c>
      <c r="D182" s="5">
        <v>713848</v>
      </c>
      <c r="E182" s="33">
        <v>21</v>
      </c>
      <c r="F182" s="60">
        <v>400</v>
      </c>
      <c r="G182" s="60">
        <v>8400</v>
      </c>
      <c r="H182" s="60">
        <v>275</v>
      </c>
      <c r="I182" s="60" t="s">
        <v>278</v>
      </c>
      <c r="J182" s="104"/>
      <c r="K182" s="33" t="s">
        <v>278</v>
      </c>
      <c r="L182" s="111"/>
      <c r="M182" s="33" t="s">
        <v>278</v>
      </c>
      <c r="N182" s="111"/>
      <c r="O182" s="33" t="s">
        <v>278</v>
      </c>
      <c r="P182" s="111"/>
      <c r="Q182" s="33" t="s">
        <v>587</v>
      </c>
      <c r="R182" s="111"/>
      <c r="S182" s="33" t="s">
        <v>278</v>
      </c>
      <c r="T182" s="111"/>
      <c r="U182" s="33" t="s">
        <v>278</v>
      </c>
      <c r="V182" s="111"/>
      <c r="W182" s="59" t="s">
        <v>548</v>
      </c>
      <c r="X182" s="33" t="str">
        <f>+VLOOKUP(OtherClients[[#This Row],[Part]],PartControl!$A$2:$E$564,5,FALSE)</f>
        <v>INFASCO</v>
      </c>
      <c r="Y182" s="111">
        <v>106.94</v>
      </c>
      <c r="Z182" s="108">
        <f>IF(OtherClients[[#This Row],[Re-certified or New]]&lt;&gt;"Re-certified",IF(OtherClients[[#This Row],[Client]]="infasco",VLOOKUP(OtherClients[[#This Row],[Part]],PartControl!$A$2:$E$564,2,FALSE),OtherClients[[#This Row],[Total Quantity]]*VLOOKUP(OtherClients[[#This Row],[Part]],PartControl!$A$2:$E$564,2,FALSE)),0)</f>
        <v>106.94</v>
      </c>
    </row>
    <row r="183" spans="1:26" ht="25.15" hidden="1" customHeight="1" x14ac:dyDescent="0.25">
      <c r="A183" s="112">
        <v>46239.695462962962</v>
      </c>
      <c r="B183" s="5" t="s">
        <v>238</v>
      </c>
      <c r="C183" s="5">
        <v>11549170</v>
      </c>
      <c r="D183" s="5">
        <v>713701</v>
      </c>
      <c r="E183" s="33">
        <v>36</v>
      </c>
      <c r="F183" s="60">
        <v>400</v>
      </c>
      <c r="G183" s="60">
        <f>+OtherClients[[#This Row],[Boxes / Pieces]]*OtherClients[[#This Row],[Unit Quantity]]</f>
        <v>14400</v>
      </c>
      <c r="H183" s="60">
        <v>275</v>
      </c>
      <c r="I183" s="60" t="s">
        <v>278</v>
      </c>
      <c r="J183" s="104"/>
      <c r="K183" s="33" t="s">
        <v>278</v>
      </c>
      <c r="L183" s="111"/>
      <c r="M183" s="33" t="s">
        <v>278</v>
      </c>
      <c r="N183" s="111"/>
      <c r="O183" s="33" t="s">
        <v>278</v>
      </c>
      <c r="P183" s="111"/>
      <c r="Q183" s="33" t="s">
        <v>587</v>
      </c>
      <c r="R183" s="111"/>
      <c r="S183" s="33" t="s">
        <v>278</v>
      </c>
      <c r="T183" s="111"/>
      <c r="U183" s="33" t="s">
        <v>278</v>
      </c>
      <c r="V183" s="111"/>
      <c r="W183" s="59" t="s">
        <v>548</v>
      </c>
      <c r="X183" s="33" t="str">
        <f>+VLOOKUP(OtherClients[[#This Row],[Part]],PartControl!$A$2:$E$564,5,FALSE)</f>
        <v>INFASCO</v>
      </c>
      <c r="Y183" s="108">
        <f>IF(OtherClients[[#This Row],[Re-certified or New]]&lt;&gt;"Re-certified",IF(OtherClients[[#This Row],[Client]]="infasco",VLOOKUP(OtherClients[[#This Row],[Part]],PartControl!$A$2:$E$564,2,FALSE),OtherClients[[#This Row],[Total Quantity]]*VLOOKUP(OtherClients[[#This Row],[Part]],PartControl!$A$2:$E$564,2,FALSE)),0)</f>
        <v>106.94</v>
      </c>
      <c r="Z183" s="108">
        <f>IF(OtherClients[[#This Row],[Re-certified or New]]&lt;&gt;"Re-certified",IF(OtherClients[[#This Row],[Client]]="infasco",VLOOKUP(OtherClients[[#This Row],[Part]],PartControl!$A$2:$E$564,2,FALSE),OtherClients[[#This Row],[Total Quantity]]*VLOOKUP(OtherClients[[#This Row],[Part]],PartControl!$A$2:$E$564,2,FALSE)),0)</f>
        <v>106.94</v>
      </c>
    </row>
    <row r="184" spans="1:26" ht="25.15" hidden="1" customHeight="1" x14ac:dyDescent="0.25">
      <c r="A184" s="112">
        <v>46239.695462962962</v>
      </c>
      <c r="B184" s="5" t="s">
        <v>238</v>
      </c>
      <c r="C184" s="5">
        <v>11549170</v>
      </c>
      <c r="D184" s="5">
        <v>713821</v>
      </c>
      <c r="E184" s="33">
        <v>27</v>
      </c>
      <c r="F184" s="60">
        <v>400</v>
      </c>
      <c r="G184" s="60">
        <f>+OtherClients[[#This Row],[Boxes / Pieces]]*OtherClients[[#This Row],[Unit Quantity]]</f>
        <v>10800</v>
      </c>
      <c r="H184" s="60">
        <v>275</v>
      </c>
      <c r="I184" s="60" t="s">
        <v>278</v>
      </c>
      <c r="J184" s="104"/>
      <c r="K184" s="33" t="s">
        <v>278</v>
      </c>
      <c r="L184" s="111"/>
      <c r="M184" s="33" t="s">
        <v>278</v>
      </c>
      <c r="N184" s="111"/>
      <c r="O184" s="33" t="s">
        <v>278</v>
      </c>
      <c r="P184" s="111"/>
      <c r="Q184" s="33" t="s">
        <v>587</v>
      </c>
      <c r="R184" s="111"/>
      <c r="S184" s="33" t="s">
        <v>278</v>
      </c>
      <c r="T184" s="111"/>
      <c r="U184" s="33" t="s">
        <v>278</v>
      </c>
      <c r="V184" s="111"/>
      <c r="W184" s="59" t="s">
        <v>633</v>
      </c>
      <c r="X184" s="33" t="str">
        <f>+VLOOKUP(OtherClients[[#This Row],[Part]],PartControl!$A$2:$E$564,5,FALSE)</f>
        <v>INFASCO</v>
      </c>
      <c r="Y184" s="108">
        <f>IF(OtherClients[[#This Row],[Re-certified or New]]&lt;&gt;"Re-certified",IF(OtherClients[[#This Row],[Client]]="infasco",VLOOKUP(OtherClients[[#This Row],[Part]],PartControl!$A$2:$E$564,2,FALSE),OtherClients[[#This Row],[Total Quantity]]*VLOOKUP(OtherClients[[#This Row],[Part]],PartControl!$A$2:$E$564,2,FALSE)),0)</f>
        <v>0</v>
      </c>
      <c r="Z184" s="108">
        <f>IF(OtherClients[[#This Row],[Re-certified or New]]&lt;&gt;"Re-certified",IF(OtherClients[[#This Row],[Client]]="infasco",VLOOKUP(OtherClients[[#This Row],[Part]],PartControl!$A$2:$E$564,2,FALSE),OtherClients[[#This Row],[Total Quantity]]*VLOOKUP(OtherClients[[#This Row],[Part]],PartControl!$A$2:$E$564,2,FALSE)),0)</f>
        <v>0</v>
      </c>
    </row>
    <row r="185" spans="1:26" ht="25.15" hidden="1" customHeight="1" x14ac:dyDescent="0.25">
      <c r="A185" s="112">
        <v>46239.695462962962</v>
      </c>
      <c r="B185" s="5" t="s">
        <v>233</v>
      </c>
      <c r="C185" s="5">
        <v>11546456</v>
      </c>
      <c r="D185" s="5">
        <v>715619</v>
      </c>
      <c r="E185" s="33">
        <f>36-11</f>
        <v>25</v>
      </c>
      <c r="F185" s="60">
        <v>2700</v>
      </c>
      <c r="G185" s="60">
        <f>+OtherClients[[#This Row],[Boxes / Pieces]]*OtherClients[[#This Row],[Unit Quantity]]</f>
        <v>67500</v>
      </c>
      <c r="H185" s="60">
        <v>275</v>
      </c>
      <c r="I185" s="60" t="s">
        <v>278</v>
      </c>
      <c r="J185" s="104"/>
      <c r="K185" s="33" t="s">
        <v>278</v>
      </c>
      <c r="L185" s="111"/>
      <c r="M185" s="33" t="s">
        <v>278</v>
      </c>
      <c r="N185" s="111"/>
      <c r="O185" s="33" t="s">
        <v>278</v>
      </c>
      <c r="P185" s="111"/>
      <c r="Q185" s="33" t="s">
        <v>587</v>
      </c>
      <c r="R185" s="111"/>
      <c r="S185" s="33" t="s">
        <v>278</v>
      </c>
      <c r="T185" s="111"/>
      <c r="U185" s="33" t="s">
        <v>278</v>
      </c>
      <c r="V185" s="111"/>
      <c r="W185" s="59" t="s">
        <v>548</v>
      </c>
      <c r="X185" s="33" t="str">
        <f>+VLOOKUP(OtherClients[[#This Row],[Part]],PartControl!$A$2:$E$564,5,FALSE)</f>
        <v>INFASCO</v>
      </c>
      <c r="Y185" s="108">
        <f>IF(OtherClients[[#This Row],[Re-certified or New]]&lt;&gt;"Re-certified",IF(OtherClients[[#This Row],[Client]]="infasco",VLOOKUP(OtherClients[[#This Row],[Part]],PartControl!$A$2:$E$564,2,FALSE),OtherClients[[#This Row],[Total Quantity]]*VLOOKUP(OtherClients[[#This Row],[Part]],PartControl!$A$2:$E$564,2,FALSE)),0)</f>
        <v>106.94</v>
      </c>
      <c r="Z185" s="108">
        <f>IF(OtherClients[[#This Row],[Re-certified or New]]&lt;&gt;"Re-certified",IF(OtherClients[[#This Row],[Client]]="infasco",VLOOKUP(OtherClients[[#This Row],[Part]],PartControl!$A$2:$E$564,2,FALSE),OtherClients[[#This Row],[Total Quantity]]*VLOOKUP(OtherClients[[#This Row],[Part]],PartControl!$A$2:$E$564,2,FALSE)),0)</f>
        <v>106.94</v>
      </c>
    </row>
    <row r="186" spans="1:26" ht="25.15" hidden="1" customHeight="1" x14ac:dyDescent="0.25">
      <c r="A186" s="112">
        <v>46239.695462962962</v>
      </c>
      <c r="B186" s="5" t="s">
        <v>233</v>
      </c>
      <c r="C186" s="5">
        <v>11546456</v>
      </c>
      <c r="D186" s="5">
        <v>715614</v>
      </c>
      <c r="E186" s="33">
        <v>10</v>
      </c>
      <c r="F186" s="60">
        <v>2700</v>
      </c>
      <c r="G186" s="60">
        <f>+OtherClients[[#This Row],[Boxes / Pieces]]*OtherClients[[#This Row],[Unit Quantity]]</f>
        <v>27000</v>
      </c>
      <c r="H186" s="60">
        <v>275</v>
      </c>
      <c r="I186" s="60" t="s">
        <v>278</v>
      </c>
      <c r="J186" s="104"/>
      <c r="K186" s="33" t="s">
        <v>278</v>
      </c>
      <c r="L186" s="111"/>
      <c r="M186" s="33" t="s">
        <v>278</v>
      </c>
      <c r="N186" s="111"/>
      <c r="O186" s="33" t="s">
        <v>278</v>
      </c>
      <c r="P186" s="111"/>
      <c r="Q186" s="33" t="s">
        <v>587</v>
      </c>
      <c r="R186" s="111"/>
      <c r="S186" s="33" t="s">
        <v>278</v>
      </c>
      <c r="T186" s="111"/>
      <c r="U186" s="33" t="s">
        <v>278</v>
      </c>
      <c r="V186" s="111"/>
      <c r="W186" s="59" t="s">
        <v>633</v>
      </c>
      <c r="X186" s="33" t="str">
        <f>+VLOOKUP(OtherClients[[#This Row],[Part]],PartControl!$A$2:$E$564,5,FALSE)</f>
        <v>INFASCO</v>
      </c>
      <c r="Y186" s="108">
        <f>IF(OtherClients[[#This Row],[Re-certified or New]]&lt;&gt;"Re-certified",IF(OtherClients[[#This Row],[Client]]="infasco",VLOOKUP(OtherClients[[#This Row],[Part]],PartControl!$A$2:$E$564,2,FALSE),OtherClients[[#This Row],[Total Quantity]]*VLOOKUP(OtherClients[[#This Row],[Part]],PartControl!$A$2:$E$564,2,FALSE)),0)</f>
        <v>0</v>
      </c>
      <c r="Z186" s="108">
        <f>IF(OtherClients[[#This Row],[Re-certified or New]]&lt;&gt;"Re-certified",IF(OtherClients[[#This Row],[Client]]="infasco",VLOOKUP(OtherClients[[#This Row],[Part]],PartControl!$A$2:$E$564,2,FALSE),OtherClients[[#This Row],[Total Quantity]]*VLOOKUP(OtherClients[[#This Row],[Part]],PartControl!$A$2:$E$564,2,FALSE)),0)</f>
        <v>0</v>
      </c>
    </row>
    <row r="187" spans="1:26" ht="25.15" hidden="1" customHeight="1" x14ac:dyDescent="0.25">
      <c r="A187" s="112">
        <v>46239.695462962962</v>
      </c>
      <c r="B187" s="5" t="s">
        <v>234</v>
      </c>
      <c r="C187" s="5" t="s">
        <v>728</v>
      </c>
      <c r="D187" s="5">
        <v>714145</v>
      </c>
      <c r="E187" s="33">
        <f>36+18-16</f>
        <v>38</v>
      </c>
      <c r="F187" s="60">
        <v>1500</v>
      </c>
      <c r="G187" s="60">
        <f>+OtherClients[[#This Row],[Boxes / Pieces]]*OtherClients[[#This Row],[Unit Quantity]]</f>
        <v>57000</v>
      </c>
      <c r="H187" s="60">
        <v>275</v>
      </c>
      <c r="I187" s="60" t="s">
        <v>278</v>
      </c>
      <c r="J187" s="104"/>
      <c r="K187" s="33" t="s">
        <v>278</v>
      </c>
      <c r="L187" s="111"/>
      <c r="M187" s="33" t="s">
        <v>278</v>
      </c>
      <c r="N187" s="111"/>
      <c r="O187" s="33" t="s">
        <v>278</v>
      </c>
      <c r="P187" s="111"/>
      <c r="Q187" s="33" t="s">
        <v>587</v>
      </c>
      <c r="R187" s="111"/>
      <c r="S187" s="33" t="s">
        <v>278</v>
      </c>
      <c r="T187" s="111"/>
      <c r="U187" s="33" t="s">
        <v>278</v>
      </c>
      <c r="V187" s="111"/>
      <c r="W187" s="59" t="s">
        <v>633</v>
      </c>
      <c r="X187" s="33" t="str">
        <f>+VLOOKUP(OtherClients[[#This Row],[Part]],PartControl!$A$2:$E$564,5,FALSE)</f>
        <v>infasco</v>
      </c>
      <c r="Y187" s="108">
        <f>IF(OtherClients[[#This Row],[Re-certified or New]]&lt;&gt;"Re-certified",IF(OtherClients[[#This Row],[Client]]="infasco",VLOOKUP(OtherClients[[#This Row],[Part]],PartControl!$A$2:$E$564,2,FALSE),OtherClients[[#This Row],[Total Quantity]]*VLOOKUP(OtherClients[[#This Row],[Part]],PartControl!$A$2:$E$564,2,FALSE)),0)</f>
        <v>0</v>
      </c>
      <c r="Z187" s="108">
        <f>IF(OtherClients[[#This Row],[Re-certified or New]]&lt;&gt;"Re-certified",IF(OtherClients[[#This Row],[Client]]="infasco",VLOOKUP(OtherClients[[#This Row],[Part]],PartControl!$A$2:$E$564,2,FALSE),OtherClients[[#This Row],[Total Quantity]]*VLOOKUP(OtherClients[[#This Row],[Part]],PartControl!$A$2:$E$564,2,FALSE)),0)</f>
        <v>0</v>
      </c>
    </row>
    <row r="188" spans="1:26" ht="25.15" hidden="1" customHeight="1" x14ac:dyDescent="0.25">
      <c r="A188" s="112">
        <v>46239.695462962962</v>
      </c>
      <c r="B188" s="5" t="s">
        <v>863</v>
      </c>
      <c r="C188" s="5" t="s">
        <v>835</v>
      </c>
      <c r="D188" s="5">
        <v>714348</v>
      </c>
      <c r="E188" s="33">
        <f>36-24</f>
        <v>12</v>
      </c>
      <c r="F188" s="60">
        <v>660</v>
      </c>
      <c r="G188" s="60">
        <f>+OtherClients[[#This Row],[Boxes / Pieces]]*OtherClients[[#This Row],[Unit Quantity]]</f>
        <v>7920</v>
      </c>
      <c r="H188" s="60">
        <v>275</v>
      </c>
      <c r="I188" s="60" t="s">
        <v>278</v>
      </c>
      <c r="J188" s="104"/>
      <c r="K188" s="33" t="s">
        <v>278</v>
      </c>
      <c r="L188" s="111"/>
      <c r="M188" s="33" t="s">
        <v>278</v>
      </c>
      <c r="N188" s="111"/>
      <c r="O188" s="33" t="s">
        <v>278</v>
      </c>
      <c r="P188" s="111"/>
      <c r="Q188" s="33" t="s">
        <v>587</v>
      </c>
      <c r="R188" s="111"/>
      <c r="S188" s="33" t="s">
        <v>278</v>
      </c>
      <c r="T188" s="111"/>
      <c r="U188" s="33" t="s">
        <v>278</v>
      </c>
      <c r="V188" s="111"/>
      <c r="W188" s="59" t="s">
        <v>548</v>
      </c>
      <c r="X188" s="33" t="str">
        <f>+VLOOKUP(OtherClients[[#This Row],[Part]],PartControl!$A$2:$E$564,5,FALSE)</f>
        <v>infasco</v>
      </c>
      <c r="Y188" s="108">
        <f>IF(OtherClients[[#This Row],[Re-certified or New]]&lt;&gt;"Re-certified",IF(OtherClients[[#This Row],[Client]]="infasco",VLOOKUP(OtherClients[[#This Row],[Part]],PartControl!$A$2:$E$564,2,FALSE),OtherClients[[#This Row],[Total Quantity]]*VLOOKUP(OtherClients[[#This Row],[Part]],PartControl!$A$2:$E$564,2,FALSE)),0)</f>
        <v>135.08000000000001</v>
      </c>
      <c r="Z188" s="108">
        <f>IF(OtherClients[[#This Row],[Re-certified or New]]&lt;&gt;"Re-certified",IF(OtherClients[[#This Row],[Client]]="infasco",VLOOKUP(OtherClients[[#This Row],[Part]],PartControl!$A$2:$E$564,2,FALSE),OtherClients[[#This Row],[Total Quantity]]*VLOOKUP(OtherClients[[#This Row],[Part]],PartControl!$A$2:$E$564,2,FALSE)),0)</f>
        <v>135.08000000000001</v>
      </c>
    </row>
    <row r="189" spans="1:26" ht="25.15" hidden="1" customHeight="1" x14ac:dyDescent="0.25">
      <c r="A189" s="112">
        <v>46239.695462962962</v>
      </c>
      <c r="B189" s="5" t="s">
        <v>863</v>
      </c>
      <c r="C189" s="5" t="s">
        <v>835</v>
      </c>
      <c r="D189" s="5">
        <v>714345</v>
      </c>
      <c r="E189" s="33">
        <v>20</v>
      </c>
      <c r="F189" s="60">
        <v>660</v>
      </c>
      <c r="G189" s="60">
        <f>+OtherClients[[#This Row],[Boxes / Pieces]]*OtherClients[[#This Row],[Unit Quantity]]</f>
        <v>13200</v>
      </c>
      <c r="H189" s="60">
        <v>275</v>
      </c>
      <c r="I189" s="60" t="s">
        <v>278</v>
      </c>
      <c r="J189" s="104"/>
      <c r="K189" s="33" t="s">
        <v>278</v>
      </c>
      <c r="L189" s="111"/>
      <c r="M189" s="33" t="s">
        <v>278</v>
      </c>
      <c r="N189" s="111"/>
      <c r="O189" s="33" t="s">
        <v>278</v>
      </c>
      <c r="P189" s="111"/>
      <c r="Q189" s="33" t="s">
        <v>587</v>
      </c>
      <c r="R189" s="111"/>
      <c r="S189" s="33" t="s">
        <v>278</v>
      </c>
      <c r="T189" s="111"/>
      <c r="U189" s="33" t="s">
        <v>278</v>
      </c>
      <c r="V189" s="111"/>
      <c r="W189" s="59" t="s">
        <v>633</v>
      </c>
      <c r="X189" s="33" t="str">
        <f>+VLOOKUP(OtherClients[[#This Row],[Part]],PartControl!$A$2:$E$564,5,FALSE)</f>
        <v>infasco</v>
      </c>
      <c r="Y189" s="108">
        <f>IF(OtherClients[[#This Row],[Re-certified or New]]&lt;&gt;"Re-certified",IF(OtherClients[[#This Row],[Client]]="infasco",VLOOKUP(OtherClients[[#This Row],[Part]],PartControl!$A$2:$E$564,2,FALSE),OtherClients[[#This Row],[Total Quantity]]*VLOOKUP(OtherClients[[#This Row],[Part]],PartControl!$A$2:$E$564,2,FALSE)),0)</f>
        <v>0</v>
      </c>
      <c r="Z189" s="108">
        <f>IF(OtherClients[[#This Row],[Re-certified or New]]&lt;&gt;"Re-certified",IF(OtherClients[[#This Row],[Client]]="infasco",VLOOKUP(OtherClients[[#This Row],[Part]],PartControl!$A$2:$E$564,2,FALSE),OtherClients[[#This Row],[Total Quantity]]*VLOOKUP(OtherClients[[#This Row],[Part]],PartControl!$A$2:$E$564,2,FALSE)),0)</f>
        <v>0</v>
      </c>
    </row>
    <row r="190" spans="1:26" ht="25.15" hidden="1" customHeight="1" x14ac:dyDescent="0.25">
      <c r="A190" s="112">
        <v>46239.695462962962</v>
      </c>
      <c r="B190" s="5" t="s">
        <v>242</v>
      </c>
      <c r="C190" s="5">
        <v>11549170</v>
      </c>
      <c r="D190" s="5">
        <v>713845</v>
      </c>
      <c r="E190" s="33">
        <f>36-33</f>
        <v>3</v>
      </c>
      <c r="F190" s="60">
        <v>400</v>
      </c>
      <c r="G190" s="60">
        <f>+OtherClients[[#This Row],[Boxes / Pieces]]*OtherClients[[#This Row],[Unit Quantity]]</f>
        <v>1200</v>
      </c>
      <c r="H190" s="60">
        <v>275</v>
      </c>
      <c r="I190" s="60" t="s">
        <v>278</v>
      </c>
      <c r="J190" s="104"/>
      <c r="K190" s="33" t="s">
        <v>278</v>
      </c>
      <c r="L190" s="111"/>
      <c r="M190" s="33" t="s">
        <v>278</v>
      </c>
      <c r="N190" s="111"/>
      <c r="O190" s="33" t="s">
        <v>278</v>
      </c>
      <c r="P190" s="111"/>
      <c r="Q190" s="33" t="s">
        <v>587</v>
      </c>
      <c r="R190" s="111"/>
      <c r="S190" s="33" t="s">
        <v>278</v>
      </c>
      <c r="T190" s="111"/>
      <c r="U190" s="33" t="s">
        <v>278</v>
      </c>
      <c r="V190" s="111"/>
      <c r="W190" s="59" t="s">
        <v>548</v>
      </c>
      <c r="X190" s="33" t="str">
        <f>+VLOOKUP(OtherClients[[#This Row],[Part]],PartControl!$A$2:$E$564,5,FALSE)</f>
        <v>INFASCO</v>
      </c>
      <c r="Y190" s="108">
        <f>IF(OtherClients[[#This Row],[Re-certified or New]]&lt;&gt;"Re-certified",IF(OtherClients[[#This Row],[Client]]="infasco",VLOOKUP(OtherClients[[#This Row],[Part]],PartControl!$A$2:$E$564,2,FALSE),OtherClients[[#This Row],[Total Quantity]]*VLOOKUP(OtherClients[[#This Row],[Part]],PartControl!$A$2:$E$564,2,FALSE)),0)</f>
        <v>106.94</v>
      </c>
      <c r="Z190" s="108">
        <f>IF(OtherClients[[#This Row],[Re-certified or New]]&lt;&gt;"Re-certified",IF(OtherClients[[#This Row],[Client]]="infasco",VLOOKUP(OtherClients[[#This Row],[Part]],PartControl!$A$2:$E$564,2,FALSE),OtherClients[[#This Row],[Total Quantity]]*VLOOKUP(OtherClients[[#This Row],[Part]],PartControl!$A$2:$E$564,2,FALSE)),0)</f>
        <v>106.94</v>
      </c>
    </row>
    <row r="191" spans="1:26" ht="25.15" hidden="1" customHeight="1" x14ac:dyDescent="0.25">
      <c r="A191" s="112">
        <v>46239.695462962962</v>
      </c>
      <c r="B191" s="5" t="s">
        <v>242</v>
      </c>
      <c r="C191" s="5">
        <v>11549170</v>
      </c>
      <c r="D191" s="5">
        <v>713173</v>
      </c>
      <c r="E191" s="33">
        <v>36</v>
      </c>
      <c r="F191" s="60">
        <v>400</v>
      </c>
      <c r="G191" s="60">
        <f>+OtherClients[[#This Row],[Boxes / Pieces]]*OtherClients[[#This Row],[Unit Quantity]]</f>
        <v>14400</v>
      </c>
      <c r="H191" s="60">
        <v>275</v>
      </c>
      <c r="I191" s="60" t="s">
        <v>278</v>
      </c>
      <c r="J191" s="104"/>
      <c r="K191" s="33" t="s">
        <v>278</v>
      </c>
      <c r="L191" s="111"/>
      <c r="M191" s="33" t="s">
        <v>278</v>
      </c>
      <c r="N191" s="111"/>
      <c r="O191" s="33" t="s">
        <v>278</v>
      </c>
      <c r="P191" s="111"/>
      <c r="Q191" s="33" t="s">
        <v>587</v>
      </c>
      <c r="R191" s="111"/>
      <c r="S191" s="33" t="s">
        <v>278</v>
      </c>
      <c r="T191" s="111"/>
      <c r="U191" s="33" t="s">
        <v>278</v>
      </c>
      <c r="V191" s="111"/>
      <c r="W191" s="59" t="s">
        <v>548</v>
      </c>
      <c r="X191" s="33" t="str">
        <f>+VLOOKUP(OtherClients[[#This Row],[Part]],PartControl!$A$2:$E$564,5,FALSE)</f>
        <v>INFASCO</v>
      </c>
      <c r="Y191" s="108">
        <f>IF(OtherClients[[#This Row],[Re-certified or New]]&lt;&gt;"Re-certified",IF(OtherClients[[#This Row],[Client]]="infasco",VLOOKUP(OtherClients[[#This Row],[Part]],PartControl!$A$2:$E$564,2,FALSE),OtherClients[[#This Row],[Total Quantity]]*VLOOKUP(OtherClients[[#This Row],[Part]],PartControl!$A$2:$E$564,2,FALSE)),0)</f>
        <v>106.94</v>
      </c>
      <c r="Z191" s="108">
        <f>IF(OtherClients[[#This Row],[Re-certified or New]]&lt;&gt;"Re-certified",IF(OtherClients[[#This Row],[Client]]="infasco",VLOOKUP(OtherClients[[#This Row],[Part]],PartControl!$A$2:$E$564,2,FALSE),OtherClients[[#This Row],[Total Quantity]]*VLOOKUP(OtherClients[[#This Row],[Part]],PartControl!$A$2:$E$564,2,FALSE)),0)</f>
        <v>106.94</v>
      </c>
    </row>
    <row r="192" spans="1:26" ht="25.15" hidden="1" customHeight="1" x14ac:dyDescent="0.25">
      <c r="A192" s="112">
        <v>46239.695462962962</v>
      </c>
      <c r="B192" s="5" t="s">
        <v>242</v>
      </c>
      <c r="C192" s="5">
        <v>11549170</v>
      </c>
      <c r="D192" s="5">
        <v>713700</v>
      </c>
      <c r="E192" s="33">
        <v>33</v>
      </c>
      <c r="F192" s="60">
        <v>400</v>
      </c>
      <c r="G192" s="60">
        <f>+OtherClients[[#This Row],[Boxes / Pieces]]*OtherClients[[#This Row],[Unit Quantity]]</f>
        <v>13200</v>
      </c>
      <c r="H192" s="60">
        <v>275</v>
      </c>
      <c r="I192" s="60" t="s">
        <v>278</v>
      </c>
      <c r="J192" s="104"/>
      <c r="K192" s="33" t="s">
        <v>278</v>
      </c>
      <c r="L192" s="111"/>
      <c r="M192" s="33" t="s">
        <v>278</v>
      </c>
      <c r="N192" s="111"/>
      <c r="O192" s="33" t="s">
        <v>278</v>
      </c>
      <c r="P192" s="111"/>
      <c r="Q192" s="33" t="s">
        <v>587</v>
      </c>
      <c r="R192" s="111"/>
      <c r="S192" s="33" t="s">
        <v>278</v>
      </c>
      <c r="T192" s="111"/>
      <c r="U192" s="33" t="s">
        <v>278</v>
      </c>
      <c r="V192" s="111"/>
      <c r="W192" s="59" t="s">
        <v>633</v>
      </c>
      <c r="X192" s="33" t="str">
        <f>+VLOOKUP(OtherClients[[#This Row],[Part]],PartControl!$A$2:$E$564,5,FALSE)</f>
        <v>INFASCO</v>
      </c>
      <c r="Y192" s="108">
        <f>IF(OtherClients[[#This Row],[Re-certified or New]]&lt;&gt;"Re-certified",IF(OtherClients[[#This Row],[Client]]="infasco",VLOOKUP(OtherClients[[#This Row],[Part]],PartControl!$A$2:$E$564,2,FALSE),OtherClients[[#This Row],[Total Quantity]]*VLOOKUP(OtherClients[[#This Row],[Part]],PartControl!$A$2:$E$564,2,FALSE)),0)</f>
        <v>0</v>
      </c>
      <c r="Z192" s="108">
        <f>IF(OtherClients[[#This Row],[Re-certified or New]]&lt;&gt;"Re-certified",IF(OtherClients[[#This Row],[Client]]="infasco",VLOOKUP(OtherClients[[#This Row],[Part]],PartControl!$A$2:$E$564,2,FALSE),OtherClients[[#This Row],[Total Quantity]]*VLOOKUP(OtherClients[[#This Row],[Part]],PartControl!$A$2:$E$564,2,FALSE)),0)</f>
        <v>0</v>
      </c>
    </row>
    <row r="193" spans="1:26" ht="25.15" hidden="1" customHeight="1" x14ac:dyDescent="0.25">
      <c r="A193" s="112">
        <v>46239.695462962962</v>
      </c>
      <c r="B193" s="5" t="s">
        <v>252</v>
      </c>
      <c r="C193" s="5" t="s">
        <v>859</v>
      </c>
      <c r="D193" s="5">
        <v>715610</v>
      </c>
      <c r="E193" s="33">
        <v>31</v>
      </c>
      <c r="F193" s="60">
        <v>3900</v>
      </c>
      <c r="G193" s="60">
        <f>+OtherClients[[#This Row],[Boxes / Pieces]]*OtherClients[[#This Row],[Unit Quantity]]</f>
        <v>120900</v>
      </c>
      <c r="H193" s="60">
        <v>275</v>
      </c>
      <c r="I193" s="60" t="s">
        <v>278</v>
      </c>
      <c r="J193" s="104"/>
      <c r="K193" s="33" t="s">
        <v>278</v>
      </c>
      <c r="L193" s="111"/>
      <c r="M193" s="33" t="s">
        <v>278</v>
      </c>
      <c r="N193" s="111"/>
      <c r="O193" s="33" t="s">
        <v>278</v>
      </c>
      <c r="P193" s="111"/>
      <c r="Q193" s="33" t="s">
        <v>587</v>
      </c>
      <c r="R193" s="111"/>
      <c r="S193" s="33" t="s">
        <v>278</v>
      </c>
      <c r="T193" s="111"/>
      <c r="U193" s="33" t="s">
        <v>278</v>
      </c>
      <c r="V193" s="111"/>
      <c r="W193" s="59" t="s">
        <v>548</v>
      </c>
      <c r="X193" s="33" t="str">
        <f>+VLOOKUP(OtherClients[[#This Row],[Part]],PartControl!$A$2:$E$564,5,FALSE)</f>
        <v>INFASCO</v>
      </c>
      <c r="Y193" s="108">
        <f>IF(OtherClients[[#This Row],[Re-certified or New]]&lt;&gt;"Re-certified",IF(OtherClients[[#This Row],[Client]]="infasco",VLOOKUP(OtherClients[[#This Row],[Part]],PartControl!$A$2:$E$564,2,FALSE),OtherClients[[#This Row],[Total Quantity]]*VLOOKUP(OtherClients[[#This Row],[Part]],PartControl!$A$2:$E$564,2,FALSE)),0)</f>
        <v>106.94</v>
      </c>
      <c r="Z193" s="108">
        <f>IF(OtherClients[[#This Row],[Re-certified or New]]&lt;&gt;"Re-certified",IF(OtherClients[[#This Row],[Client]]="infasco",VLOOKUP(OtherClients[[#This Row],[Part]],PartControl!$A$2:$E$564,2,FALSE),OtherClients[[#This Row],[Total Quantity]]*VLOOKUP(OtherClients[[#This Row],[Part]],PartControl!$A$2:$E$564,2,FALSE)),0)</f>
        <v>106.94</v>
      </c>
    </row>
    <row r="194" spans="1:26" ht="25.15" hidden="1" customHeight="1" x14ac:dyDescent="0.25">
      <c r="A194" s="112">
        <v>46239.695462962962</v>
      </c>
      <c r="B194" s="5" t="s">
        <v>232</v>
      </c>
      <c r="C194" s="5" t="s">
        <v>728</v>
      </c>
      <c r="D194" s="5">
        <v>714141</v>
      </c>
      <c r="E194" s="33">
        <v>6</v>
      </c>
      <c r="F194" s="60">
        <v>1500</v>
      </c>
      <c r="G194" s="60">
        <f>+OtherClients[[#This Row],[Boxes / Pieces]]*OtherClients[[#This Row],[Unit Quantity]]</f>
        <v>9000</v>
      </c>
      <c r="H194" s="60">
        <v>275</v>
      </c>
      <c r="I194" s="60" t="s">
        <v>278</v>
      </c>
      <c r="J194" s="104"/>
      <c r="K194" s="33" t="s">
        <v>278</v>
      </c>
      <c r="L194" s="111"/>
      <c r="M194" s="33" t="s">
        <v>278</v>
      </c>
      <c r="N194" s="111"/>
      <c r="O194" s="33" t="s">
        <v>278</v>
      </c>
      <c r="P194" s="111"/>
      <c r="Q194" s="33" t="s">
        <v>587</v>
      </c>
      <c r="R194" s="111"/>
      <c r="S194" s="33" t="s">
        <v>278</v>
      </c>
      <c r="T194" s="111"/>
      <c r="U194" s="33" t="s">
        <v>278</v>
      </c>
      <c r="V194" s="111"/>
      <c r="W194" s="59" t="s">
        <v>548</v>
      </c>
      <c r="X194" s="33" t="str">
        <f>+VLOOKUP(OtherClients[[#This Row],[Part]],PartControl!$A$2:$E$564,5,FALSE)</f>
        <v>infasco</v>
      </c>
      <c r="Y194" s="108">
        <f>IF(OtherClients[[#This Row],[Re-certified or New]]&lt;&gt;"Re-certified",IF(OtherClients[[#This Row],[Client]]="infasco",VLOOKUP(OtherClients[[#This Row],[Part]],PartControl!$A$2:$E$564,2,FALSE),OtherClients[[#This Row],[Total Quantity]]*VLOOKUP(OtherClients[[#This Row],[Part]],PartControl!$A$2:$E$564,2,FALSE)),0)</f>
        <v>106.94</v>
      </c>
      <c r="Z194" s="108">
        <f>IF(OtherClients[[#This Row],[Re-certified or New]]&lt;&gt;"Re-certified",IF(OtherClients[[#This Row],[Client]]="infasco",VLOOKUP(OtherClients[[#This Row],[Part]],PartControl!$A$2:$E$564,2,FALSE),OtherClients[[#This Row],[Total Quantity]]*VLOOKUP(OtherClients[[#This Row],[Part]],PartControl!$A$2:$E$564,2,FALSE)),0)</f>
        <v>106.94</v>
      </c>
    </row>
    <row r="195" spans="1:26" ht="25.15" hidden="1" customHeight="1" x14ac:dyDescent="0.25">
      <c r="A195" s="112">
        <v>46239.695462962962</v>
      </c>
      <c r="B195" s="5" t="s">
        <v>232</v>
      </c>
      <c r="C195" s="5">
        <v>11546456</v>
      </c>
      <c r="D195" s="5">
        <v>713897</v>
      </c>
      <c r="E195" s="33">
        <v>36</v>
      </c>
      <c r="F195" s="60">
        <v>2700</v>
      </c>
      <c r="G195" s="60">
        <f>+OtherClients[[#This Row],[Boxes / Pieces]]*OtherClients[[#This Row],[Unit Quantity]]</f>
        <v>97200</v>
      </c>
      <c r="H195" s="60">
        <v>275</v>
      </c>
      <c r="I195" s="60" t="s">
        <v>278</v>
      </c>
      <c r="J195" s="104"/>
      <c r="K195" s="33" t="s">
        <v>278</v>
      </c>
      <c r="L195" s="111"/>
      <c r="M195" s="33" t="s">
        <v>278</v>
      </c>
      <c r="N195" s="111"/>
      <c r="O195" s="33" t="s">
        <v>278</v>
      </c>
      <c r="P195" s="111"/>
      <c r="Q195" s="33" t="s">
        <v>587</v>
      </c>
      <c r="R195" s="111"/>
      <c r="S195" s="33" t="s">
        <v>278</v>
      </c>
      <c r="T195" s="111"/>
      <c r="U195" s="33" t="s">
        <v>278</v>
      </c>
      <c r="V195" s="111"/>
      <c r="W195" s="59" t="s">
        <v>548</v>
      </c>
      <c r="X195" s="33" t="str">
        <f>+VLOOKUP(OtherClients[[#This Row],[Part]],PartControl!$A$2:$E$564,5,FALSE)</f>
        <v>INFASCO</v>
      </c>
      <c r="Y195" s="108">
        <f>IF(OtherClients[[#This Row],[Re-certified or New]]&lt;&gt;"Re-certified",IF(OtherClients[[#This Row],[Client]]="infasco",VLOOKUP(OtherClients[[#This Row],[Part]],PartControl!$A$2:$E$564,2,FALSE),OtherClients[[#This Row],[Total Quantity]]*VLOOKUP(OtherClients[[#This Row],[Part]],PartControl!$A$2:$E$564,2,FALSE)),0)</f>
        <v>106.94</v>
      </c>
      <c r="Z195" s="108">
        <f>IF(OtherClients[[#This Row],[Re-certified or New]]&lt;&gt;"Re-certified",IF(OtherClients[[#This Row],[Client]]="infasco",VLOOKUP(OtherClients[[#This Row],[Part]],PartControl!$A$2:$E$564,2,FALSE),OtherClients[[#This Row],[Total Quantity]]*VLOOKUP(OtherClients[[#This Row],[Part]],PartControl!$A$2:$E$564,2,FALSE)),0)</f>
        <v>106.94</v>
      </c>
    </row>
    <row r="196" spans="1:26" ht="25.15" hidden="1" customHeight="1" x14ac:dyDescent="0.25">
      <c r="A196" s="112">
        <v>46239.695462962962</v>
      </c>
      <c r="B196" s="5" t="s">
        <v>250</v>
      </c>
      <c r="C196" s="5" t="s">
        <v>703</v>
      </c>
      <c r="D196" s="5">
        <v>714546</v>
      </c>
      <c r="E196" s="33">
        <f>36-5</f>
        <v>31</v>
      </c>
      <c r="F196" s="60">
        <v>700</v>
      </c>
      <c r="G196" s="60">
        <f>+OtherClients[[#This Row],[Boxes / Pieces]]*OtherClients[[#This Row],[Unit Quantity]]</f>
        <v>21700</v>
      </c>
      <c r="H196" s="60">
        <v>290</v>
      </c>
      <c r="I196" s="60" t="s">
        <v>278</v>
      </c>
      <c r="J196" s="104"/>
      <c r="K196" s="33" t="s">
        <v>278</v>
      </c>
      <c r="L196" s="111"/>
      <c r="M196" s="33" t="s">
        <v>278</v>
      </c>
      <c r="N196" s="111"/>
      <c r="O196" s="33" t="s">
        <v>278</v>
      </c>
      <c r="P196" s="111"/>
      <c r="Q196" s="33" t="s">
        <v>587</v>
      </c>
      <c r="R196" s="111"/>
      <c r="S196" s="33" t="s">
        <v>278</v>
      </c>
      <c r="T196" s="111"/>
      <c r="U196" s="33" t="s">
        <v>278</v>
      </c>
      <c r="V196" s="111"/>
      <c r="W196" s="59" t="s">
        <v>548</v>
      </c>
      <c r="X196" s="33" t="str">
        <f>+VLOOKUP(OtherClients[[#This Row],[Part]],PartControl!$A$2:$E$564,5,FALSE)</f>
        <v>infasco</v>
      </c>
      <c r="Y196" s="108">
        <f>IF(OtherClients[[#This Row],[Re-certified or New]]&lt;&gt;"Re-certified",IF(OtherClients[[#This Row],[Client]]="infasco",VLOOKUP(OtherClients[[#This Row],[Part]],PartControl!$A$2:$E$564,2,FALSE),OtherClients[[#This Row],[Total Quantity]]*VLOOKUP(OtherClients[[#This Row],[Part]],PartControl!$A$2:$E$564,2,FALSE)),0)</f>
        <v>106.94</v>
      </c>
      <c r="Z196" s="108">
        <f>IF(OtherClients[[#This Row],[Re-certified or New]]&lt;&gt;"Re-certified",IF(OtherClients[[#This Row],[Client]]="infasco",VLOOKUP(OtherClients[[#This Row],[Part]],PartControl!$A$2:$E$564,2,FALSE),OtherClients[[#This Row],[Total Quantity]]*VLOOKUP(OtherClients[[#This Row],[Part]],PartControl!$A$2:$E$564,2,FALSE)),0)</f>
        <v>106.94</v>
      </c>
    </row>
    <row r="197" spans="1:26" ht="25.15" hidden="1" customHeight="1" x14ac:dyDescent="0.25">
      <c r="A197" s="112">
        <v>46239.695462962962</v>
      </c>
      <c r="B197" s="5" t="s">
        <v>250</v>
      </c>
      <c r="C197" s="5" t="s">
        <v>703</v>
      </c>
      <c r="D197" s="5">
        <v>714556</v>
      </c>
      <c r="E197" s="33">
        <v>33</v>
      </c>
      <c r="F197" s="60">
        <v>700</v>
      </c>
      <c r="G197" s="60">
        <f>+OtherClients[[#This Row],[Boxes / Pieces]]*OtherClients[[#This Row],[Unit Quantity]]</f>
        <v>23100</v>
      </c>
      <c r="H197" s="60">
        <v>290</v>
      </c>
      <c r="I197" s="60" t="s">
        <v>278</v>
      </c>
      <c r="J197" s="104"/>
      <c r="K197" s="33" t="s">
        <v>278</v>
      </c>
      <c r="L197" s="111"/>
      <c r="M197" s="33" t="s">
        <v>278</v>
      </c>
      <c r="N197" s="111"/>
      <c r="O197" s="33" t="s">
        <v>278</v>
      </c>
      <c r="P197" s="111"/>
      <c r="Q197" s="33" t="s">
        <v>587</v>
      </c>
      <c r="R197" s="111"/>
      <c r="S197" s="33" t="s">
        <v>278</v>
      </c>
      <c r="T197" s="111"/>
      <c r="U197" s="33" t="s">
        <v>278</v>
      </c>
      <c r="V197" s="111"/>
      <c r="W197" s="59" t="s">
        <v>548</v>
      </c>
      <c r="X197" s="33" t="str">
        <f>+VLOOKUP(OtherClients[[#This Row],[Part]],PartControl!$A$2:$E$564,5,FALSE)</f>
        <v>infasco</v>
      </c>
      <c r="Y197" s="108">
        <f>IF(OtherClients[[#This Row],[Re-certified or New]]&lt;&gt;"Re-certified",IF(OtherClients[[#This Row],[Client]]="infasco",VLOOKUP(OtherClients[[#This Row],[Part]],PartControl!$A$2:$E$564,2,FALSE),OtherClients[[#This Row],[Total Quantity]]*VLOOKUP(OtherClients[[#This Row],[Part]],PartControl!$A$2:$E$564,2,FALSE)),0)</f>
        <v>106.94</v>
      </c>
      <c r="Z197" s="108">
        <f>IF(OtherClients[[#This Row],[Re-certified or New]]&lt;&gt;"Re-certified",IF(OtherClients[[#This Row],[Client]]="infasco",VLOOKUP(OtherClients[[#This Row],[Part]],PartControl!$A$2:$E$564,2,FALSE),OtherClients[[#This Row],[Total Quantity]]*VLOOKUP(OtherClients[[#This Row],[Part]],PartControl!$A$2:$E$564,2,FALSE)),0)</f>
        <v>106.94</v>
      </c>
    </row>
    <row r="198" spans="1:26" ht="25.15" hidden="1" customHeight="1" x14ac:dyDescent="0.25">
      <c r="A198" s="112">
        <v>46239.695462962962</v>
      </c>
      <c r="B198" s="5" t="s">
        <v>250</v>
      </c>
      <c r="C198" s="5">
        <v>11549168</v>
      </c>
      <c r="D198" s="5">
        <v>713693</v>
      </c>
      <c r="E198" s="33">
        <v>7</v>
      </c>
      <c r="F198" s="60">
        <v>1000</v>
      </c>
      <c r="G198" s="60">
        <f>+OtherClients[[#This Row],[Boxes / Pieces]]*OtherClients[[#This Row],[Unit Quantity]]</f>
        <v>7000</v>
      </c>
      <c r="H198" s="60">
        <v>290</v>
      </c>
      <c r="I198" s="60" t="s">
        <v>278</v>
      </c>
      <c r="J198" s="104"/>
      <c r="K198" s="33" t="s">
        <v>278</v>
      </c>
      <c r="L198" s="111"/>
      <c r="M198" s="33" t="s">
        <v>278</v>
      </c>
      <c r="N198" s="111"/>
      <c r="O198" s="33" t="s">
        <v>278</v>
      </c>
      <c r="P198" s="111"/>
      <c r="Q198" s="33" t="s">
        <v>587</v>
      </c>
      <c r="R198" s="111"/>
      <c r="S198" s="33" t="s">
        <v>278</v>
      </c>
      <c r="T198" s="111"/>
      <c r="U198" s="33" t="s">
        <v>278</v>
      </c>
      <c r="V198" s="111"/>
      <c r="W198" s="59" t="s">
        <v>633</v>
      </c>
      <c r="X198" s="33" t="str">
        <f>+VLOOKUP(OtherClients[[#This Row],[Part]],PartControl!$A$2:$E$564,5,FALSE)</f>
        <v>INFASCO</v>
      </c>
      <c r="Y198" s="108">
        <f>IF(OtherClients[[#This Row],[Re-certified or New]]&lt;&gt;"Re-certified",IF(OtherClients[[#This Row],[Client]]="infasco",VLOOKUP(OtherClients[[#This Row],[Part]],PartControl!$A$2:$E$564,2,FALSE),OtherClients[[#This Row],[Total Quantity]]*VLOOKUP(OtherClients[[#This Row],[Part]],PartControl!$A$2:$E$564,2,FALSE)),0)</f>
        <v>0</v>
      </c>
      <c r="Z198" s="108">
        <f>IF(OtherClients[[#This Row],[Re-certified or New]]&lt;&gt;"Re-certified",IF(OtherClients[[#This Row],[Client]]="infasco",VLOOKUP(OtherClients[[#This Row],[Part]],PartControl!$A$2:$E$564,2,FALSE),OtherClients[[#This Row],[Total Quantity]]*VLOOKUP(OtherClients[[#This Row],[Part]],PartControl!$A$2:$E$564,2,FALSE)),0)</f>
        <v>0</v>
      </c>
    </row>
    <row r="199" spans="1:26" ht="25.15" hidden="1" customHeight="1" x14ac:dyDescent="0.25">
      <c r="A199" s="112">
        <v>46239.695462962962</v>
      </c>
      <c r="B199" s="5" t="s">
        <v>239</v>
      </c>
      <c r="C199" s="5">
        <v>11549170</v>
      </c>
      <c r="D199" s="5">
        <v>713837</v>
      </c>
      <c r="E199" s="33">
        <f>32-8</f>
        <v>24</v>
      </c>
      <c r="F199" s="60">
        <v>400</v>
      </c>
      <c r="G199" s="60">
        <f>+OtherClients[[#This Row],[Boxes / Pieces]]*OtherClients[[#This Row],[Unit Quantity]]</f>
        <v>9600</v>
      </c>
      <c r="H199" s="60">
        <v>290</v>
      </c>
      <c r="I199" s="60" t="s">
        <v>278</v>
      </c>
      <c r="J199" s="104"/>
      <c r="K199" s="33" t="s">
        <v>278</v>
      </c>
      <c r="L199" s="111"/>
      <c r="M199" s="33" t="s">
        <v>278</v>
      </c>
      <c r="N199" s="111"/>
      <c r="O199" s="33" t="s">
        <v>278</v>
      </c>
      <c r="P199" s="111"/>
      <c r="Q199" s="33" t="s">
        <v>587</v>
      </c>
      <c r="R199" s="111"/>
      <c r="S199" s="33" t="s">
        <v>278</v>
      </c>
      <c r="T199" s="111"/>
      <c r="U199" s="33" t="s">
        <v>278</v>
      </c>
      <c r="V199" s="111"/>
      <c r="W199" s="59" t="s">
        <v>548</v>
      </c>
      <c r="X199" s="33" t="str">
        <f>+VLOOKUP(OtherClients[[#This Row],[Part]],PartControl!$A$2:$E$564,5,FALSE)</f>
        <v>INFASCO</v>
      </c>
      <c r="Y199" s="108">
        <f>IF(OtherClients[[#This Row],[Re-certified or New]]&lt;&gt;"Re-certified",IF(OtherClients[[#This Row],[Client]]="infasco",VLOOKUP(OtherClients[[#This Row],[Part]],PartControl!$A$2:$E$564,2,FALSE),OtherClients[[#This Row],[Total Quantity]]*VLOOKUP(OtherClients[[#This Row],[Part]],PartControl!$A$2:$E$564,2,FALSE)),0)</f>
        <v>106.94</v>
      </c>
      <c r="Z199" s="108">
        <f>IF(OtherClients[[#This Row],[Re-certified or New]]&lt;&gt;"Re-certified",IF(OtherClients[[#This Row],[Client]]="infasco",VLOOKUP(OtherClients[[#This Row],[Part]],PartControl!$A$2:$E$564,2,FALSE),OtherClients[[#This Row],[Total Quantity]]*VLOOKUP(OtherClients[[#This Row],[Part]],PartControl!$A$2:$E$564,2,FALSE)),0)</f>
        <v>106.94</v>
      </c>
    </row>
    <row r="200" spans="1:26" ht="25.15" hidden="1" customHeight="1" x14ac:dyDescent="0.25">
      <c r="A200" s="112">
        <v>46239.695462962962</v>
      </c>
      <c r="B200" s="5" t="s">
        <v>239</v>
      </c>
      <c r="C200" s="5">
        <v>11549170</v>
      </c>
      <c r="D200" s="5">
        <v>713705</v>
      </c>
      <c r="E200" s="33">
        <v>32</v>
      </c>
      <c r="F200" s="60">
        <v>400</v>
      </c>
      <c r="G200" s="60">
        <f>+OtherClients[[#This Row],[Boxes / Pieces]]*OtherClients[[#This Row],[Unit Quantity]]</f>
        <v>12800</v>
      </c>
      <c r="H200" s="60">
        <v>290</v>
      </c>
      <c r="I200" s="60" t="s">
        <v>278</v>
      </c>
      <c r="J200" s="104"/>
      <c r="K200" s="33" t="s">
        <v>278</v>
      </c>
      <c r="L200" s="111"/>
      <c r="M200" s="33" t="s">
        <v>278</v>
      </c>
      <c r="N200" s="111"/>
      <c r="O200" s="33" t="s">
        <v>278</v>
      </c>
      <c r="P200" s="111"/>
      <c r="Q200" s="33" t="s">
        <v>587</v>
      </c>
      <c r="R200" s="111"/>
      <c r="S200" s="33" t="s">
        <v>278</v>
      </c>
      <c r="T200" s="111"/>
      <c r="U200" s="33" t="s">
        <v>278</v>
      </c>
      <c r="V200" s="111"/>
      <c r="W200" s="59" t="s">
        <v>548</v>
      </c>
      <c r="X200" s="33" t="str">
        <f>+VLOOKUP(OtherClients[[#This Row],[Part]],PartControl!$A$2:$E$564,5,FALSE)</f>
        <v>INFASCO</v>
      </c>
      <c r="Y200" s="108">
        <f>IF(OtherClients[[#This Row],[Re-certified or New]]&lt;&gt;"Re-certified",IF(OtherClients[[#This Row],[Client]]="infasco",VLOOKUP(OtherClients[[#This Row],[Part]],PartControl!$A$2:$E$564,2,FALSE),OtherClients[[#This Row],[Total Quantity]]*VLOOKUP(OtherClients[[#This Row],[Part]],PartControl!$A$2:$E$564,2,FALSE)),0)</f>
        <v>106.94</v>
      </c>
      <c r="Z200" s="108">
        <f>IF(OtherClients[[#This Row],[Re-certified or New]]&lt;&gt;"Re-certified",IF(OtherClients[[#This Row],[Client]]="infasco",VLOOKUP(OtherClients[[#This Row],[Part]],PartControl!$A$2:$E$564,2,FALSE),OtherClients[[#This Row],[Total Quantity]]*VLOOKUP(OtherClients[[#This Row],[Part]],PartControl!$A$2:$E$564,2,FALSE)),0)</f>
        <v>106.94</v>
      </c>
    </row>
    <row r="201" spans="1:26" ht="25.15" hidden="1" customHeight="1" x14ac:dyDescent="0.25">
      <c r="A201" s="112">
        <v>46239.695462962962</v>
      </c>
      <c r="B201" s="5" t="s">
        <v>239</v>
      </c>
      <c r="C201" s="5">
        <v>11549170</v>
      </c>
      <c r="D201" s="5">
        <v>713706</v>
      </c>
      <c r="E201" s="33">
        <v>40</v>
      </c>
      <c r="F201" s="60">
        <v>400</v>
      </c>
      <c r="G201" s="60">
        <f>+OtherClients[[#This Row],[Boxes / Pieces]]*OtherClients[[#This Row],[Unit Quantity]]</f>
        <v>16000</v>
      </c>
      <c r="H201" s="60">
        <v>290</v>
      </c>
      <c r="I201" s="60" t="s">
        <v>278</v>
      </c>
      <c r="J201" s="104"/>
      <c r="K201" s="33" t="s">
        <v>278</v>
      </c>
      <c r="L201" s="111"/>
      <c r="M201" s="33" t="s">
        <v>278</v>
      </c>
      <c r="N201" s="111"/>
      <c r="O201" s="33" t="s">
        <v>278</v>
      </c>
      <c r="P201" s="111"/>
      <c r="Q201" s="33" t="s">
        <v>587</v>
      </c>
      <c r="R201" s="111"/>
      <c r="S201" s="33" t="s">
        <v>278</v>
      </c>
      <c r="T201" s="111"/>
      <c r="U201" s="33" t="s">
        <v>278</v>
      </c>
      <c r="V201" s="111"/>
      <c r="W201" s="59" t="s">
        <v>548</v>
      </c>
      <c r="X201" s="33" t="str">
        <f>+VLOOKUP(OtherClients[[#This Row],[Part]],PartControl!$A$2:$E$564,5,FALSE)</f>
        <v>INFASCO</v>
      </c>
      <c r="Y201" s="108">
        <f>IF(OtherClients[[#This Row],[Re-certified or New]]&lt;&gt;"Re-certified",IF(OtherClients[[#This Row],[Client]]="infasco",VLOOKUP(OtherClients[[#This Row],[Part]],PartControl!$A$2:$E$564,2,FALSE),OtherClients[[#This Row],[Total Quantity]]*VLOOKUP(OtherClients[[#This Row],[Part]],PartControl!$A$2:$E$564,2,FALSE)),0)</f>
        <v>106.94</v>
      </c>
      <c r="Z201" s="108">
        <f>IF(OtherClients[[#This Row],[Re-certified or New]]&lt;&gt;"Re-certified",IF(OtherClients[[#This Row],[Client]]="infasco",VLOOKUP(OtherClients[[#This Row],[Part]],PartControl!$A$2:$E$564,2,FALSE),OtherClients[[#This Row],[Total Quantity]]*VLOOKUP(OtherClients[[#This Row],[Part]],PartControl!$A$2:$E$564,2,FALSE)),0)</f>
        <v>106.94</v>
      </c>
    </row>
    <row r="202" spans="1:26" ht="25.15" hidden="1" customHeight="1" x14ac:dyDescent="0.25">
      <c r="A202" s="112">
        <v>46239.695462962962</v>
      </c>
      <c r="B202" s="5" t="s">
        <v>239</v>
      </c>
      <c r="C202" s="5">
        <v>11549170</v>
      </c>
      <c r="D202" s="5">
        <v>713851</v>
      </c>
      <c r="E202" s="33">
        <v>16</v>
      </c>
      <c r="F202" s="60">
        <v>400</v>
      </c>
      <c r="G202" s="60">
        <f>+OtherClients[[#This Row],[Boxes / Pieces]]*OtherClients[[#This Row],[Unit Quantity]]</f>
        <v>6400</v>
      </c>
      <c r="H202" s="60">
        <v>290</v>
      </c>
      <c r="I202" s="60" t="s">
        <v>278</v>
      </c>
      <c r="J202" s="104"/>
      <c r="K202" s="33" t="s">
        <v>278</v>
      </c>
      <c r="L202" s="111"/>
      <c r="M202" s="33" t="s">
        <v>278</v>
      </c>
      <c r="N202" s="111"/>
      <c r="O202" s="33" t="s">
        <v>278</v>
      </c>
      <c r="P202" s="111"/>
      <c r="Q202" s="33" t="s">
        <v>587</v>
      </c>
      <c r="R202" s="111"/>
      <c r="S202" s="33" t="s">
        <v>278</v>
      </c>
      <c r="T202" s="111"/>
      <c r="U202" s="33" t="s">
        <v>278</v>
      </c>
      <c r="V202" s="111"/>
      <c r="W202" s="59" t="s">
        <v>633</v>
      </c>
      <c r="X202" s="33" t="str">
        <f>+VLOOKUP(OtherClients[[#This Row],[Part]],PartControl!$A$2:$E$564,5,FALSE)</f>
        <v>INFASCO</v>
      </c>
      <c r="Y202" s="108">
        <f>IF(OtherClients[[#This Row],[Re-certified or New]]&lt;&gt;"Re-certified",IF(OtherClients[[#This Row],[Client]]="infasco",VLOOKUP(OtherClients[[#This Row],[Part]],PartControl!$A$2:$E$564,2,FALSE),OtherClients[[#This Row],[Total Quantity]]*VLOOKUP(OtherClients[[#This Row],[Part]],PartControl!$A$2:$E$564,2,FALSE)),0)</f>
        <v>0</v>
      </c>
      <c r="Z202" s="108">
        <f>IF(OtherClients[[#This Row],[Re-certified or New]]&lt;&gt;"Re-certified",IF(OtherClients[[#This Row],[Client]]="infasco",VLOOKUP(OtherClients[[#This Row],[Part]],PartControl!$A$2:$E$564,2,FALSE),OtherClients[[#This Row],[Total Quantity]]*VLOOKUP(OtherClients[[#This Row],[Part]],PartControl!$A$2:$E$564,2,FALSE)),0)</f>
        <v>0</v>
      </c>
    </row>
    <row r="203" spans="1:26" ht="25.15" hidden="1" customHeight="1" x14ac:dyDescent="0.25">
      <c r="A203" s="112">
        <v>46239.695462962962</v>
      </c>
      <c r="B203" s="5" t="s">
        <v>236</v>
      </c>
      <c r="C203" s="5" t="s">
        <v>728</v>
      </c>
      <c r="D203" s="5">
        <v>714146</v>
      </c>
      <c r="E203" s="33">
        <f>23-17</f>
        <v>6</v>
      </c>
      <c r="F203" s="60">
        <v>1500</v>
      </c>
      <c r="G203" s="60">
        <f>+OtherClients[[#This Row],[Boxes / Pieces]]*OtherClients[[#This Row],[Unit Quantity]]</f>
        <v>9000</v>
      </c>
      <c r="H203" s="60">
        <v>290</v>
      </c>
      <c r="I203" s="60" t="s">
        <v>278</v>
      </c>
      <c r="J203" s="104"/>
      <c r="K203" s="33" t="s">
        <v>278</v>
      </c>
      <c r="L203" s="111"/>
      <c r="M203" s="33" t="s">
        <v>278</v>
      </c>
      <c r="N203" s="111"/>
      <c r="O203" s="33" t="s">
        <v>278</v>
      </c>
      <c r="P203" s="111"/>
      <c r="Q203" s="33" t="s">
        <v>587</v>
      </c>
      <c r="R203" s="111"/>
      <c r="S203" s="33" t="s">
        <v>278</v>
      </c>
      <c r="T203" s="111"/>
      <c r="U203" s="33" t="s">
        <v>278</v>
      </c>
      <c r="V203" s="111"/>
      <c r="W203" s="59" t="s">
        <v>548</v>
      </c>
      <c r="X203" s="33" t="str">
        <f>+VLOOKUP(OtherClients[[#This Row],[Part]],PartControl!$A$2:$E$564,5,FALSE)</f>
        <v>infasco</v>
      </c>
      <c r="Y203" s="108">
        <f>IF(OtherClients[[#This Row],[Re-certified or New]]&lt;&gt;"Re-certified",IF(OtherClients[[#This Row],[Client]]="infasco",VLOOKUP(OtherClients[[#This Row],[Part]],PartControl!$A$2:$E$564,2,FALSE),OtherClients[[#This Row],[Total Quantity]]*VLOOKUP(OtherClients[[#This Row],[Part]],PartControl!$A$2:$E$564,2,FALSE)),0)</f>
        <v>106.94</v>
      </c>
      <c r="Z203" s="108">
        <f>IF(OtherClients[[#This Row],[Re-certified or New]]&lt;&gt;"Re-certified",IF(OtherClients[[#This Row],[Client]]="infasco",VLOOKUP(OtherClients[[#This Row],[Part]],PartControl!$A$2:$E$564,2,FALSE),OtherClients[[#This Row],[Total Quantity]]*VLOOKUP(OtherClients[[#This Row],[Part]],PartControl!$A$2:$E$564,2,FALSE)),0)</f>
        <v>106.94</v>
      </c>
    </row>
    <row r="204" spans="1:26" ht="25.15" hidden="1" customHeight="1" x14ac:dyDescent="0.25">
      <c r="A204" s="112">
        <v>46239.695462962962</v>
      </c>
      <c r="B204" s="5" t="s">
        <v>236</v>
      </c>
      <c r="C204" s="5">
        <v>11546456</v>
      </c>
      <c r="D204" s="5">
        <v>713894</v>
      </c>
      <c r="E204" s="33">
        <v>33</v>
      </c>
      <c r="F204" s="60">
        <v>2700</v>
      </c>
      <c r="G204" s="60">
        <f>+OtherClients[[#This Row],[Boxes / Pieces]]*OtherClients[[#This Row],[Unit Quantity]]</f>
        <v>89100</v>
      </c>
      <c r="H204" s="60">
        <v>290</v>
      </c>
      <c r="I204" s="60" t="s">
        <v>278</v>
      </c>
      <c r="J204" s="104"/>
      <c r="K204" s="33" t="s">
        <v>278</v>
      </c>
      <c r="L204" s="111"/>
      <c r="M204" s="33" t="s">
        <v>278</v>
      </c>
      <c r="N204" s="111"/>
      <c r="O204" s="33" t="s">
        <v>278</v>
      </c>
      <c r="P204" s="111"/>
      <c r="Q204" s="33" t="s">
        <v>587</v>
      </c>
      <c r="R204" s="111"/>
      <c r="S204" s="33" t="s">
        <v>278</v>
      </c>
      <c r="T204" s="111"/>
      <c r="U204" s="33" t="s">
        <v>278</v>
      </c>
      <c r="V204" s="111"/>
      <c r="W204" s="59" t="s">
        <v>548</v>
      </c>
      <c r="X204" s="33" t="str">
        <f>+VLOOKUP(OtherClients[[#This Row],[Part]],PartControl!$A$2:$E$564,5,FALSE)</f>
        <v>INFASCO</v>
      </c>
      <c r="Y204" s="108">
        <f>IF(OtherClients[[#This Row],[Re-certified or New]]&lt;&gt;"Re-certified",IF(OtherClients[[#This Row],[Client]]="infasco",VLOOKUP(OtherClients[[#This Row],[Part]],PartControl!$A$2:$E$564,2,FALSE),OtherClients[[#This Row],[Total Quantity]]*VLOOKUP(OtherClients[[#This Row],[Part]],PartControl!$A$2:$E$564,2,FALSE)),0)</f>
        <v>106.94</v>
      </c>
      <c r="Z204" s="108">
        <f>IF(OtherClients[[#This Row],[Re-certified or New]]&lt;&gt;"Re-certified",IF(OtherClients[[#This Row],[Client]]="infasco",VLOOKUP(OtherClients[[#This Row],[Part]],PartControl!$A$2:$E$564,2,FALSE),OtherClients[[#This Row],[Total Quantity]]*VLOOKUP(OtherClients[[#This Row],[Part]],PartControl!$A$2:$E$564,2,FALSE)),0)</f>
        <v>106.94</v>
      </c>
    </row>
    <row r="205" spans="1:26" ht="25.15" hidden="1" customHeight="1" x14ac:dyDescent="0.25">
      <c r="A205" s="112">
        <v>46239.695462962962</v>
      </c>
      <c r="B205" s="5" t="s">
        <v>237</v>
      </c>
      <c r="C205" s="5">
        <v>11549170</v>
      </c>
      <c r="D205" s="5">
        <v>713825</v>
      </c>
      <c r="E205" s="33">
        <f>39-24</f>
        <v>15</v>
      </c>
      <c r="F205" s="60">
        <v>400</v>
      </c>
      <c r="G205" s="60">
        <f>+OtherClients[[#This Row],[Boxes / Pieces]]*OtherClients[[#This Row],[Unit Quantity]]</f>
        <v>6000</v>
      </c>
      <c r="H205" s="60">
        <v>290</v>
      </c>
      <c r="I205" s="60" t="s">
        <v>278</v>
      </c>
      <c r="J205" s="104"/>
      <c r="K205" s="33" t="s">
        <v>278</v>
      </c>
      <c r="L205" s="111"/>
      <c r="M205" s="33" t="s">
        <v>278</v>
      </c>
      <c r="N205" s="111"/>
      <c r="O205" s="33" t="s">
        <v>278</v>
      </c>
      <c r="P205" s="111"/>
      <c r="Q205" s="33" t="s">
        <v>587</v>
      </c>
      <c r="R205" s="111"/>
      <c r="S205" s="33" t="s">
        <v>278</v>
      </c>
      <c r="T205" s="111"/>
      <c r="U205" s="33" t="s">
        <v>278</v>
      </c>
      <c r="V205" s="111"/>
      <c r="W205" s="59" t="s">
        <v>548</v>
      </c>
      <c r="X205" s="33" t="str">
        <f>+VLOOKUP(OtherClients[[#This Row],[Part]],PartControl!$A$2:$E$564,5,FALSE)</f>
        <v>INFASCO</v>
      </c>
      <c r="Y205" s="108">
        <f>IF(OtherClients[[#This Row],[Re-certified or New]]&lt;&gt;"Re-certified",IF(OtherClients[[#This Row],[Client]]="infasco",VLOOKUP(OtherClients[[#This Row],[Part]],PartControl!$A$2:$E$564,2,FALSE),OtherClients[[#This Row],[Total Quantity]]*VLOOKUP(OtherClients[[#This Row],[Part]],PartControl!$A$2:$E$564,2,FALSE)),0)</f>
        <v>106.94</v>
      </c>
      <c r="Z205" s="108">
        <f>IF(OtherClients[[#This Row],[Re-certified or New]]&lt;&gt;"Re-certified",IF(OtherClients[[#This Row],[Client]]="infasco",VLOOKUP(OtherClients[[#This Row],[Part]],PartControl!$A$2:$E$564,2,FALSE),OtherClients[[#This Row],[Total Quantity]]*VLOOKUP(OtherClients[[#This Row],[Part]],PartControl!$A$2:$E$564,2,FALSE)),0)</f>
        <v>106.94</v>
      </c>
    </row>
    <row r="206" spans="1:26" ht="25.15" hidden="1" customHeight="1" x14ac:dyDescent="0.25">
      <c r="A206" s="112">
        <v>46239.695462962962</v>
      </c>
      <c r="B206" s="5" t="s">
        <v>237</v>
      </c>
      <c r="C206" s="5">
        <v>11549170</v>
      </c>
      <c r="D206" s="5">
        <v>713707</v>
      </c>
      <c r="E206" s="33">
        <v>41</v>
      </c>
      <c r="F206" s="60">
        <v>400</v>
      </c>
      <c r="G206" s="60">
        <f>+OtherClients[[#This Row],[Boxes / Pieces]]*OtherClients[[#This Row],[Unit Quantity]]</f>
        <v>16400</v>
      </c>
      <c r="H206" s="60">
        <v>290</v>
      </c>
      <c r="I206" s="60" t="s">
        <v>278</v>
      </c>
      <c r="J206" s="104"/>
      <c r="K206" s="33" t="s">
        <v>278</v>
      </c>
      <c r="L206" s="111"/>
      <c r="M206" s="33" t="s">
        <v>278</v>
      </c>
      <c r="N206" s="111"/>
      <c r="O206" s="33" t="s">
        <v>278</v>
      </c>
      <c r="P206" s="111"/>
      <c r="Q206" s="33" t="s">
        <v>587</v>
      </c>
      <c r="R206" s="111"/>
      <c r="S206" s="33" t="s">
        <v>278</v>
      </c>
      <c r="T206" s="111"/>
      <c r="U206" s="33" t="s">
        <v>278</v>
      </c>
      <c r="V206" s="111"/>
      <c r="W206" s="59" t="s">
        <v>548</v>
      </c>
      <c r="X206" s="33" t="str">
        <f>+VLOOKUP(OtherClients[[#This Row],[Part]],PartControl!$A$2:$E$564,5,FALSE)</f>
        <v>INFASCO</v>
      </c>
      <c r="Y206" s="108">
        <f>IF(OtherClients[[#This Row],[Re-certified or New]]&lt;&gt;"Re-certified",IF(OtherClients[[#This Row],[Client]]="infasco",VLOOKUP(OtherClients[[#This Row],[Part]],PartControl!$A$2:$E$564,2,FALSE),OtherClients[[#This Row],[Total Quantity]]*VLOOKUP(OtherClients[[#This Row],[Part]],PartControl!$A$2:$E$564,2,FALSE)),0)</f>
        <v>106.94</v>
      </c>
      <c r="Z206" s="108">
        <f>IF(OtherClients[[#This Row],[Re-certified or New]]&lt;&gt;"Re-certified",IF(OtherClients[[#This Row],[Client]]="infasco",VLOOKUP(OtherClients[[#This Row],[Part]],PartControl!$A$2:$E$564,2,FALSE),OtherClients[[#This Row],[Total Quantity]]*VLOOKUP(OtherClients[[#This Row],[Part]],PartControl!$A$2:$E$564,2,FALSE)),0)</f>
        <v>106.94</v>
      </c>
    </row>
    <row r="207" spans="1:26" ht="25.15" hidden="1" customHeight="1" x14ac:dyDescent="0.25">
      <c r="A207" s="112">
        <v>46239.695462962962</v>
      </c>
      <c r="B207" s="5" t="s">
        <v>237</v>
      </c>
      <c r="C207" s="5">
        <v>11549170</v>
      </c>
      <c r="D207" s="5">
        <v>713699</v>
      </c>
      <c r="E207" s="33">
        <v>41</v>
      </c>
      <c r="F207" s="60">
        <v>400</v>
      </c>
      <c r="G207" s="60">
        <f>+OtherClients[[#This Row],[Boxes / Pieces]]*OtherClients[[#This Row],[Unit Quantity]]</f>
        <v>16400</v>
      </c>
      <c r="H207" s="60">
        <v>290</v>
      </c>
      <c r="I207" s="60" t="s">
        <v>278</v>
      </c>
      <c r="J207" s="104"/>
      <c r="K207" s="33" t="s">
        <v>278</v>
      </c>
      <c r="L207" s="111"/>
      <c r="M207" s="33" t="s">
        <v>278</v>
      </c>
      <c r="N207" s="111"/>
      <c r="O207" s="33" t="s">
        <v>278</v>
      </c>
      <c r="P207" s="111"/>
      <c r="Q207" s="33" t="s">
        <v>587</v>
      </c>
      <c r="R207" s="111"/>
      <c r="S207" s="33" t="s">
        <v>278</v>
      </c>
      <c r="T207" s="111"/>
      <c r="U207" s="33" t="s">
        <v>278</v>
      </c>
      <c r="V207" s="111"/>
      <c r="W207" s="59" t="s">
        <v>548</v>
      </c>
      <c r="X207" s="33" t="str">
        <f>+VLOOKUP(OtherClients[[#This Row],[Part]],PartControl!$A$2:$E$564,5,FALSE)</f>
        <v>INFASCO</v>
      </c>
      <c r="Y207" s="108">
        <f>IF(OtherClients[[#This Row],[Re-certified or New]]&lt;&gt;"Re-certified",IF(OtherClients[[#This Row],[Client]]="infasco",VLOOKUP(OtherClients[[#This Row],[Part]],PartControl!$A$2:$E$564,2,FALSE),OtherClients[[#This Row],[Total Quantity]]*VLOOKUP(OtherClients[[#This Row],[Part]],PartControl!$A$2:$E$564,2,FALSE)),0)</f>
        <v>106.94</v>
      </c>
      <c r="Z207" s="108">
        <f>IF(OtherClients[[#This Row],[Re-certified or New]]&lt;&gt;"Re-certified",IF(OtherClients[[#This Row],[Client]]="infasco",VLOOKUP(OtherClients[[#This Row],[Part]],PartControl!$A$2:$E$564,2,FALSE),OtherClients[[#This Row],[Total Quantity]]*VLOOKUP(OtherClients[[#This Row],[Part]],PartControl!$A$2:$E$564,2,FALSE)),0)</f>
        <v>106.94</v>
      </c>
    </row>
    <row r="208" spans="1:26" ht="25.15" hidden="1" customHeight="1" x14ac:dyDescent="0.25">
      <c r="A208" s="112">
        <v>46239.695462962962</v>
      </c>
      <c r="B208" s="5" t="s">
        <v>237</v>
      </c>
      <c r="C208" s="5">
        <v>11549170</v>
      </c>
      <c r="D208" s="5">
        <v>713708</v>
      </c>
      <c r="E208" s="33">
        <v>34</v>
      </c>
      <c r="F208" s="60">
        <v>400</v>
      </c>
      <c r="G208" s="60">
        <f>+OtherClients[[#This Row],[Boxes / Pieces]]*OtherClients[[#This Row],[Unit Quantity]]</f>
        <v>13600</v>
      </c>
      <c r="H208" s="60">
        <v>290</v>
      </c>
      <c r="I208" s="60" t="s">
        <v>278</v>
      </c>
      <c r="J208" s="104"/>
      <c r="K208" s="33" t="s">
        <v>278</v>
      </c>
      <c r="L208" s="111"/>
      <c r="M208" s="33" t="s">
        <v>278</v>
      </c>
      <c r="N208" s="111"/>
      <c r="O208" s="33" t="s">
        <v>278</v>
      </c>
      <c r="P208" s="111"/>
      <c r="Q208" s="33" t="s">
        <v>587</v>
      </c>
      <c r="R208" s="111"/>
      <c r="S208" s="33" t="s">
        <v>278</v>
      </c>
      <c r="T208" s="111"/>
      <c r="U208" s="33" t="s">
        <v>278</v>
      </c>
      <c r="V208" s="111"/>
      <c r="W208" s="59" t="s">
        <v>548</v>
      </c>
      <c r="X208" s="33" t="str">
        <f>+VLOOKUP(OtherClients[[#This Row],[Part]],PartControl!$A$2:$E$564,5,FALSE)</f>
        <v>INFASCO</v>
      </c>
      <c r="Y208" s="108">
        <f>IF(OtherClients[[#This Row],[Re-certified or New]]&lt;&gt;"Re-certified",IF(OtherClients[[#This Row],[Client]]="infasco",VLOOKUP(OtherClients[[#This Row],[Part]],PartControl!$A$2:$E$564,2,FALSE),OtherClients[[#This Row],[Total Quantity]]*VLOOKUP(OtherClients[[#This Row],[Part]],PartControl!$A$2:$E$564,2,FALSE)),0)</f>
        <v>106.94</v>
      </c>
      <c r="Z208" s="108">
        <f>IF(OtherClients[[#This Row],[Re-certified or New]]&lt;&gt;"Re-certified",IF(OtherClients[[#This Row],[Client]]="infasco",VLOOKUP(OtherClients[[#This Row],[Part]],PartControl!$A$2:$E$564,2,FALSE),OtherClients[[#This Row],[Total Quantity]]*VLOOKUP(OtherClients[[#This Row],[Part]],PartControl!$A$2:$E$564,2,FALSE)),0)</f>
        <v>106.94</v>
      </c>
    </row>
    <row r="209" spans="1:26" ht="25.15" hidden="1" customHeight="1" x14ac:dyDescent="0.25">
      <c r="A209" s="112">
        <v>46239.695462962962</v>
      </c>
      <c r="B209" s="5" t="s">
        <v>240</v>
      </c>
      <c r="C209" s="5" t="s">
        <v>703</v>
      </c>
      <c r="D209" s="5">
        <v>714547</v>
      </c>
      <c r="E209" s="33">
        <v>36</v>
      </c>
      <c r="F209" s="60">
        <v>700</v>
      </c>
      <c r="G209" s="60">
        <f>+OtherClients[[#This Row],[Boxes / Pieces]]*OtherClients[[#This Row],[Unit Quantity]]</f>
        <v>25200</v>
      </c>
      <c r="H209" s="60">
        <v>290</v>
      </c>
      <c r="I209" s="60" t="s">
        <v>278</v>
      </c>
      <c r="J209" s="104"/>
      <c r="K209" s="33" t="s">
        <v>278</v>
      </c>
      <c r="L209" s="111"/>
      <c r="M209" s="33" t="s">
        <v>278</v>
      </c>
      <c r="N209" s="111"/>
      <c r="O209" s="33" t="s">
        <v>278</v>
      </c>
      <c r="P209" s="111"/>
      <c r="Q209" s="33" t="s">
        <v>587</v>
      </c>
      <c r="R209" s="111"/>
      <c r="S209" s="33" t="s">
        <v>278</v>
      </c>
      <c r="T209" s="111"/>
      <c r="U209" s="33" t="s">
        <v>278</v>
      </c>
      <c r="V209" s="111"/>
      <c r="W209" s="59" t="s">
        <v>548</v>
      </c>
      <c r="X209" s="33" t="str">
        <f>+VLOOKUP(OtherClients[[#This Row],[Part]],PartControl!$A$2:$E$564,5,FALSE)</f>
        <v>infasco</v>
      </c>
      <c r="Y209" s="108">
        <f>IF(OtherClients[[#This Row],[Re-certified or New]]&lt;&gt;"Re-certified",IF(OtherClients[[#This Row],[Client]]="infasco",VLOOKUP(OtherClients[[#This Row],[Part]],PartControl!$A$2:$E$564,2,FALSE),OtherClients[[#This Row],[Total Quantity]]*VLOOKUP(OtherClients[[#This Row],[Part]],PartControl!$A$2:$E$564,2,FALSE)),0)</f>
        <v>106.94</v>
      </c>
      <c r="Z209" s="108">
        <f>IF(OtherClients[[#This Row],[Re-certified or New]]&lt;&gt;"Re-certified",IF(OtherClients[[#This Row],[Client]]="infasco",VLOOKUP(OtherClients[[#This Row],[Part]],PartControl!$A$2:$E$564,2,FALSE),OtherClients[[#This Row],[Total Quantity]]*VLOOKUP(OtherClients[[#This Row],[Part]],PartControl!$A$2:$E$564,2,FALSE)),0)</f>
        <v>106.94</v>
      </c>
    </row>
    <row r="210" spans="1:26" ht="25.15" hidden="1" customHeight="1" x14ac:dyDescent="0.25">
      <c r="A210" s="112">
        <v>46239.695462962962</v>
      </c>
      <c r="B210" s="5" t="s">
        <v>240</v>
      </c>
      <c r="C210" s="5">
        <v>11549168</v>
      </c>
      <c r="D210" s="5">
        <v>712004</v>
      </c>
      <c r="E210" s="33">
        <v>36</v>
      </c>
      <c r="F210" s="60">
        <v>1000</v>
      </c>
      <c r="G210" s="60">
        <f>+OtherClients[[#This Row],[Boxes / Pieces]]*OtherClients[[#This Row],[Unit Quantity]]</f>
        <v>36000</v>
      </c>
      <c r="H210" s="60">
        <v>290</v>
      </c>
      <c r="I210" s="60" t="s">
        <v>278</v>
      </c>
      <c r="J210" s="104"/>
      <c r="K210" s="33" t="s">
        <v>278</v>
      </c>
      <c r="L210" s="111"/>
      <c r="M210" s="33" t="s">
        <v>278</v>
      </c>
      <c r="N210" s="111"/>
      <c r="O210" s="33" t="s">
        <v>278</v>
      </c>
      <c r="P210" s="111"/>
      <c r="Q210" s="33" t="s">
        <v>587</v>
      </c>
      <c r="R210" s="111"/>
      <c r="S210" s="33" t="s">
        <v>278</v>
      </c>
      <c r="T210" s="111"/>
      <c r="U210" s="33" t="s">
        <v>278</v>
      </c>
      <c r="V210" s="111"/>
      <c r="W210" s="59" t="s">
        <v>548</v>
      </c>
      <c r="X210" s="33" t="str">
        <f>+VLOOKUP(OtherClients[[#This Row],[Part]],PartControl!$A$2:$E$564,5,FALSE)</f>
        <v>INFASCO</v>
      </c>
      <c r="Y210" s="108">
        <f>IF(OtherClients[[#This Row],[Re-certified or New]]&lt;&gt;"Re-certified",IF(OtherClients[[#This Row],[Client]]="infasco",VLOOKUP(OtherClients[[#This Row],[Part]],PartControl!$A$2:$E$564,2,FALSE),OtherClients[[#This Row],[Total Quantity]]*VLOOKUP(OtherClients[[#This Row],[Part]],PartControl!$A$2:$E$564,2,FALSE)),0)</f>
        <v>106.94</v>
      </c>
      <c r="Z210" s="108">
        <f>IF(OtherClients[[#This Row],[Re-certified or New]]&lt;&gt;"Re-certified",IF(OtherClients[[#This Row],[Client]]="infasco",VLOOKUP(OtherClients[[#This Row],[Part]],PartControl!$A$2:$E$564,2,FALSE),OtherClients[[#This Row],[Total Quantity]]*VLOOKUP(OtherClients[[#This Row],[Part]],PartControl!$A$2:$E$564,2,FALSE)),0)</f>
        <v>106.94</v>
      </c>
    </row>
    <row r="211" spans="1:26" ht="25.15" hidden="1" customHeight="1" x14ac:dyDescent="0.25">
      <c r="A211" s="112">
        <v>46239.695462962962</v>
      </c>
      <c r="B211" s="5" t="s">
        <v>240</v>
      </c>
      <c r="C211" s="5">
        <v>11549168</v>
      </c>
      <c r="D211" s="5">
        <v>713694</v>
      </c>
      <c r="E211" s="33">
        <v>26</v>
      </c>
      <c r="F211" s="60">
        <v>1000</v>
      </c>
      <c r="G211" s="60">
        <f>+OtherClients[[#This Row],[Boxes / Pieces]]*OtherClients[[#This Row],[Unit Quantity]]</f>
        <v>26000</v>
      </c>
      <c r="H211" s="60">
        <v>290</v>
      </c>
      <c r="I211" s="60" t="s">
        <v>278</v>
      </c>
      <c r="J211" s="104"/>
      <c r="K211" s="33" t="s">
        <v>278</v>
      </c>
      <c r="L211" s="111"/>
      <c r="M211" s="33" t="s">
        <v>278</v>
      </c>
      <c r="N211" s="111"/>
      <c r="O211" s="33" t="s">
        <v>278</v>
      </c>
      <c r="P211" s="111"/>
      <c r="Q211" s="33" t="s">
        <v>587</v>
      </c>
      <c r="R211" s="111"/>
      <c r="S211" s="33" t="s">
        <v>278</v>
      </c>
      <c r="T211" s="111"/>
      <c r="U211" s="33" t="s">
        <v>278</v>
      </c>
      <c r="V211" s="111"/>
      <c r="W211" s="59" t="s">
        <v>633</v>
      </c>
      <c r="X211" s="33" t="str">
        <f>+VLOOKUP(OtherClients[[#This Row],[Part]],PartControl!$A$2:$E$564,5,FALSE)</f>
        <v>INFASCO</v>
      </c>
      <c r="Y211" s="108">
        <f>IF(OtherClients[[#This Row],[Re-certified or New]]&lt;&gt;"Re-certified",IF(OtherClients[[#This Row],[Client]]="infasco",VLOOKUP(OtherClients[[#This Row],[Part]],PartControl!$A$2:$E$564,2,FALSE),OtherClients[[#This Row],[Total Quantity]]*VLOOKUP(OtherClients[[#This Row],[Part]],PartControl!$A$2:$E$564,2,FALSE)),0)</f>
        <v>0</v>
      </c>
      <c r="Z211" s="108">
        <f>IF(OtherClients[[#This Row],[Re-certified or New]]&lt;&gt;"Re-certified",IF(OtherClients[[#This Row],[Client]]="infasco",VLOOKUP(OtherClients[[#This Row],[Part]],PartControl!$A$2:$E$564,2,FALSE),OtherClients[[#This Row],[Total Quantity]]*VLOOKUP(OtherClients[[#This Row],[Part]],PartControl!$A$2:$E$564,2,FALSE)),0)</f>
        <v>0</v>
      </c>
    </row>
    <row r="212" spans="1:26" ht="25.15" hidden="1" customHeight="1" x14ac:dyDescent="0.25">
      <c r="A212" s="112">
        <v>46239.695462962962</v>
      </c>
      <c r="B212" s="5" t="s">
        <v>249</v>
      </c>
      <c r="C212" s="5">
        <v>11612078</v>
      </c>
      <c r="D212" s="5">
        <v>706812</v>
      </c>
      <c r="E212" s="33">
        <v>8</v>
      </c>
      <c r="F212" s="60">
        <v>1850</v>
      </c>
      <c r="G212" s="60">
        <f>+OtherClients[[#This Row],[Boxes / Pieces]]*OtherClients[[#This Row],[Unit Quantity]]</f>
        <v>14800</v>
      </c>
      <c r="H212" s="60">
        <v>4</v>
      </c>
      <c r="I212" s="60" t="s">
        <v>278</v>
      </c>
      <c r="J212" s="104"/>
      <c r="K212" s="33" t="s">
        <v>278</v>
      </c>
      <c r="L212" s="111"/>
      <c r="M212" s="33" t="s">
        <v>278</v>
      </c>
      <c r="N212" s="111"/>
      <c r="O212" s="33" t="s">
        <v>278</v>
      </c>
      <c r="P212" s="111"/>
      <c r="Q212" s="33" t="s">
        <v>587</v>
      </c>
      <c r="R212" s="111"/>
      <c r="S212" s="33" t="s">
        <v>278</v>
      </c>
      <c r="T212" s="111"/>
      <c r="U212" s="33" t="s">
        <v>278</v>
      </c>
      <c r="V212" s="111"/>
      <c r="W212" s="59" t="s">
        <v>548</v>
      </c>
      <c r="X212" s="33" t="str">
        <f>+VLOOKUP(OtherClients[[#This Row],[Part]],PartControl!$A$2:$E$564,5,FALSE)</f>
        <v>infasco</v>
      </c>
      <c r="Y212" s="108">
        <f>IF(OtherClients[[#This Row],[Re-certified or New]]&lt;&gt;"Re-certified",IF(OtherClients[[#This Row],[Client]]="infasco",VLOOKUP(OtherClients[[#This Row],[Part]],PartControl!$A$2:$E$564,2,FALSE),OtherClients[[#This Row],[Total Quantity]]*VLOOKUP(OtherClients[[#This Row],[Part]],PartControl!$A$2:$E$564,2,FALSE)),0)</f>
        <v>247.64</v>
      </c>
      <c r="Z212" s="108">
        <f>IF(OtherClients[[#This Row],[Re-certified or New]]&lt;&gt;"Re-certified",IF(OtherClients[[#This Row],[Client]]="infasco",VLOOKUP(OtherClients[[#This Row],[Part]],PartControl!$A$2:$E$564,2,FALSE),OtherClients[[#This Row],[Total Quantity]]*VLOOKUP(OtherClients[[#This Row],[Part]],PartControl!$A$2:$E$564,2,FALSE)),0)</f>
        <v>247.64</v>
      </c>
    </row>
    <row r="213" spans="1:26" ht="25.15" hidden="1" customHeight="1" x14ac:dyDescent="0.25">
      <c r="A213" s="112">
        <v>46239.695462962962</v>
      </c>
      <c r="B213" s="5" t="s">
        <v>249</v>
      </c>
      <c r="C213" s="5">
        <v>11612078</v>
      </c>
      <c r="D213" s="5">
        <v>708875</v>
      </c>
      <c r="E213" s="33">
        <v>15</v>
      </c>
      <c r="F213" s="60">
        <v>1850</v>
      </c>
      <c r="G213" s="60">
        <f>+OtherClients[[#This Row],[Boxes / Pieces]]*OtherClients[[#This Row],[Unit Quantity]]</f>
        <v>27750</v>
      </c>
      <c r="H213" s="60">
        <v>4</v>
      </c>
      <c r="I213" s="60" t="s">
        <v>278</v>
      </c>
      <c r="J213" s="104"/>
      <c r="K213" s="33" t="s">
        <v>278</v>
      </c>
      <c r="L213" s="111"/>
      <c r="M213" s="33" t="s">
        <v>278</v>
      </c>
      <c r="N213" s="111"/>
      <c r="O213" s="33" t="s">
        <v>278</v>
      </c>
      <c r="P213" s="111"/>
      <c r="Q213" s="33" t="s">
        <v>587</v>
      </c>
      <c r="R213" s="111"/>
      <c r="S213" s="33" t="s">
        <v>278</v>
      </c>
      <c r="T213" s="111"/>
      <c r="U213" s="33" t="s">
        <v>278</v>
      </c>
      <c r="V213" s="111"/>
      <c r="W213" s="59" t="s">
        <v>633</v>
      </c>
      <c r="X213" s="33" t="str">
        <f>+VLOOKUP(OtherClients[[#This Row],[Part]],PartControl!$A$2:$E$564,5,FALSE)</f>
        <v>infasco</v>
      </c>
      <c r="Y213" s="108">
        <f>IF(OtherClients[[#This Row],[Re-certified or New]]&lt;&gt;"Re-certified",IF(OtherClients[[#This Row],[Client]]="infasco",VLOOKUP(OtherClients[[#This Row],[Part]],PartControl!$A$2:$E$564,2,FALSE),OtherClients[[#This Row],[Total Quantity]]*VLOOKUP(OtherClients[[#This Row],[Part]],PartControl!$A$2:$E$564,2,FALSE)),0)</f>
        <v>0</v>
      </c>
      <c r="Z213" s="108">
        <f>IF(OtherClients[[#This Row],[Re-certified or New]]&lt;&gt;"Re-certified",IF(OtherClients[[#This Row],[Client]]="infasco",VLOOKUP(OtherClients[[#This Row],[Part]],PartControl!$A$2:$E$564,2,FALSE),OtherClients[[#This Row],[Total Quantity]]*VLOOKUP(OtherClients[[#This Row],[Part]],PartControl!$A$2:$E$564,2,FALSE)),0)</f>
        <v>0</v>
      </c>
    </row>
    <row r="214" spans="1:26" ht="25.15" hidden="1" customHeight="1" x14ac:dyDescent="0.25">
      <c r="A214" s="112">
        <v>46239.695462962962</v>
      </c>
      <c r="B214" s="5" t="s">
        <v>839</v>
      </c>
      <c r="C214" s="5" t="s">
        <v>848</v>
      </c>
      <c r="D214" s="5">
        <v>713088</v>
      </c>
      <c r="E214" s="33">
        <v>14</v>
      </c>
      <c r="F214" s="60">
        <v>3200</v>
      </c>
      <c r="G214" s="60">
        <f>+OtherClients[[#This Row],[Boxes / Pieces]]*OtherClients[[#This Row],[Unit Quantity]]</f>
        <v>44800</v>
      </c>
      <c r="H214" s="60">
        <v>240</v>
      </c>
      <c r="I214" s="60" t="s">
        <v>278</v>
      </c>
      <c r="J214" s="104"/>
      <c r="K214" s="33" t="s">
        <v>278</v>
      </c>
      <c r="L214" s="111"/>
      <c r="M214" s="33" t="s">
        <v>278</v>
      </c>
      <c r="N214" s="111"/>
      <c r="O214" s="33" t="s">
        <v>278</v>
      </c>
      <c r="P214" s="111"/>
      <c r="Q214" s="33" t="s">
        <v>587</v>
      </c>
      <c r="R214" s="111"/>
      <c r="S214" s="33" t="s">
        <v>278</v>
      </c>
      <c r="T214" s="111"/>
      <c r="U214" s="33" t="s">
        <v>278</v>
      </c>
      <c r="V214" s="111"/>
      <c r="W214" s="59" t="s">
        <v>548</v>
      </c>
      <c r="X214" s="33" t="str">
        <f>+VLOOKUP(OtherClients[[#This Row],[Part]],PartControl!$A$2:$E$564,5,FALSE)</f>
        <v>infasco</v>
      </c>
      <c r="Y214" s="108">
        <f>IF(OtherClients[[#This Row],[Re-certified or New]]&lt;&gt;"Re-certified",IF(OtherClients[[#This Row],[Client]]="infasco",VLOOKUP(OtherClients[[#This Row],[Part]],PartControl!$A$2:$E$564,2,FALSE),OtherClients[[#This Row],[Total Quantity]]*VLOOKUP(OtherClients[[#This Row],[Part]],PartControl!$A$2:$E$564,2,FALSE)),0)</f>
        <v>106.94</v>
      </c>
      <c r="Z214" s="108">
        <f>IF(OtherClients[[#This Row],[Re-certified or New]]&lt;&gt;"Re-certified",IF(OtherClients[[#This Row],[Client]]="infasco",VLOOKUP(OtherClients[[#This Row],[Part]],PartControl!$A$2:$E$564,2,FALSE),OtherClients[[#This Row],[Total Quantity]]*VLOOKUP(OtherClients[[#This Row],[Part]],PartControl!$A$2:$E$564,2,FALSE)),0)</f>
        <v>106.94</v>
      </c>
    </row>
    <row r="215" spans="1:26" ht="25.15" hidden="1" customHeight="1" x14ac:dyDescent="0.25">
      <c r="A215" s="112">
        <v>46239.695462962962</v>
      </c>
      <c r="B215" s="5" t="s">
        <v>637</v>
      </c>
      <c r="C215" s="5">
        <v>11546456</v>
      </c>
      <c r="D215" s="5">
        <v>715620</v>
      </c>
      <c r="E215" s="33">
        <v>20</v>
      </c>
      <c r="F215" s="60">
        <v>2700</v>
      </c>
      <c r="G215" s="60">
        <f>+OtherClients[[#This Row],[Boxes / Pieces]]*OtherClients[[#This Row],[Unit Quantity]]</f>
        <v>54000</v>
      </c>
      <c r="H215" s="60">
        <v>280</v>
      </c>
      <c r="I215" s="60" t="s">
        <v>278</v>
      </c>
      <c r="J215" s="104"/>
      <c r="K215" s="33" t="s">
        <v>278</v>
      </c>
      <c r="L215" s="111"/>
      <c r="M215" s="33" t="s">
        <v>278</v>
      </c>
      <c r="N215" s="111"/>
      <c r="O215" s="33" t="s">
        <v>278</v>
      </c>
      <c r="P215" s="111"/>
      <c r="Q215" s="33" t="s">
        <v>587</v>
      </c>
      <c r="R215" s="111"/>
      <c r="S215" s="33" t="s">
        <v>278</v>
      </c>
      <c r="T215" s="111"/>
      <c r="U215" s="33" t="s">
        <v>278</v>
      </c>
      <c r="V215" s="111"/>
      <c r="W215" s="59" t="s">
        <v>548</v>
      </c>
      <c r="X215" s="33" t="str">
        <f>+VLOOKUP(OtherClients[[#This Row],[Part]],PartControl!$A$2:$E$564,5,FALSE)</f>
        <v>INFASCO</v>
      </c>
      <c r="Y215" s="108">
        <f>IF(OtherClients[[#This Row],[Re-certified or New]]&lt;&gt;"Re-certified",IF(OtherClients[[#This Row],[Client]]="infasco",VLOOKUP(OtherClients[[#This Row],[Part]],PartControl!$A$2:$E$564,2,FALSE),OtherClients[[#This Row],[Total Quantity]]*VLOOKUP(OtherClients[[#This Row],[Part]],PartControl!$A$2:$E$564,2,FALSE)),0)</f>
        <v>106.94</v>
      </c>
      <c r="Z215" s="108">
        <f>IF(OtherClients[[#This Row],[Re-certified or New]]&lt;&gt;"Re-certified",IF(OtherClients[[#This Row],[Client]]="infasco",VLOOKUP(OtherClients[[#This Row],[Part]],PartControl!$A$2:$E$564,2,FALSE),OtherClients[[#This Row],[Total Quantity]]*VLOOKUP(OtherClients[[#This Row],[Part]],PartControl!$A$2:$E$564,2,FALSE)),0)</f>
        <v>106.94</v>
      </c>
    </row>
    <row r="216" spans="1:26" ht="25.15" hidden="1" customHeight="1" x14ac:dyDescent="0.25">
      <c r="A216" s="112">
        <v>46239.695462962962</v>
      </c>
      <c r="B216" s="5" t="s">
        <v>637</v>
      </c>
      <c r="C216" s="5">
        <v>11546456</v>
      </c>
      <c r="D216" s="5">
        <v>715617</v>
      </c>
      <c r="E216" s="33">
        <v>32</v>
      </c>
      <c r="F216" s="60">
        <v>2700</v>
      </c>
      <c r="G216" s="60">
        <f>+OtherClients[[#This Row],[Boxes / Pieces]]*OtherClients[[#This Row],[Unit Quantity]]</f>
        <v>86400</v>
      </c>
      <c r="H216" s="60">
        <v>280</v>
      </c>
      <c r="I216" s="60" t="s">
        <v>278</v>
      </c>
      <c r="J216" s="104"/>
      <c r="K216" s="33" t="s">
        <v>278</v>
      </c>
      <c r="L216" s="111"/>
      <c r="M216" s="33" t="s">
        <v>278</v>
      </c>
      <c r="N216" s="111"/>
      <c r="O216" s="33" t="s">
        <v>278</v>
      </c>
      <c r="P216" s="111"/>
      <c r="Q216" s="33" t="s">
        <v>587</v>
      </c>
      <c r="R216" s="111"/>
      <c r="S216" s="33" t="s">
        <v>278</v>
      </c>
      <c r="T216" s="111"/>
      <c r="U216" s="33" t="s">
        <v>278</v>
      </c>
      <c r="V216" s="111"/>
      <c r="W216" s="59" t="s">
        <v>548</v>
      </c>
      <c r="X216" s="33" t="str">
        <f>+VLOOKUP(OtherClients[[#This Row],[Part]],PartControl!$A$2:$E$564,5,FALSE)</f>
        <v>INFASCO</v>
      </c>
      <c r="Y216" s="108">
        <f>IF(OtherClients[[#This Row],[Re-certified or New]]&lt;&gt;"Re-certified",IF(OtherClients[[#This Row],[Client]]="infasco",VLOOKUP(OtherClients[[#This Row],[Part]],PartControl!$A$2:$E$564,2,FALSE),OtherClients[[#This Row],[Total Quantity]]*VLOOKUP(OtherClients[[#This Row],[Part]],PartControl!$A$2:$E$564,2,FALSE)),0)</f>
        <v>106.94</v>
      </c>
      <c r="Z216" s="108">
        <f>IF(OtherClients[[#This Row],[Re-certified or New]]&lt;&gt;"Re-certified",IF(OtherClients[[#This Row],[Client]]="infasco",VLOOKUP(OtherClients[[#This Row],[Part]],PartControl!$A$2:$E$564,2,FALSE),OtherClients[[#This Row],[Total Quantity]]*VLOOKUP(OtherClients[[#This Row],[Part]],PartControl!$A$2:$E$564,2,FALSE)),0)</f>
        <v>106.94</v>
      </c>
    </row>
    <row r="217" spans="1:26" ht="25.15" hidden="1" customHeight="1" x14ac:dyDescent="0.25">
      <c r="A217" s="112">
        <v>46239.695462962962</v>
      </c>
      <c r="B217" s="113" t="s">
        <v>636</v>
      </c>
      <c r="C217" s="113" t="s">
        <v>703</v>
      </c>
      <c r="D217" s="113">
        <v>714552</v>
      </c>
      <c r="E217" s="114">
        <f>36-28</f>
        <v>8</v>
      </c>
      <c r="F217" s="115">
        <v>700</v>
      </c>
      <c r="G217" s="115">
        <f>+OtherClients[[#This Row],[Boxes / Pieces]]*OtherClients[[#This Row],[Unit Quantity]]</f>
        <v>5600</v>
      </c>
      <c r="H217" s="60">
        <v>280</v>
      </c>
      <c r="I217" s="60" t="s">
        <v>278</v>
      </c>
      <c r="J217" s="104"/>
      <c r="K217" s="33" t="s">
        <v>278</v>
      </c>
      <c r="L217" s="111"/>
      <c r="M217" s="33" t="s">
        <v>278</v>
      </c>
      <c r="N217" s="111"/>
      <c r="O217" s="33" t="s">
        <v>278</v>
      </c>
      <c r="P217" s="111"/>
      <c r="Q217" s="33" t="s">
        <v>587</v>
      </c>
      <c r="R217" s="111"/>
      <c r="S217" s="33" t="s">
        <v>278</v>
      </c>
      <c r="T217" s="111"/>
      <c r="U217" s="33" t="s">
        <v>278</v>
      </c>
      <c r="V217" s="111"/>
      <c r="W217" s="59" t="s">
        <v>548</v>
      </c>
      <c r="X217" s="33" t="str">
        <f>+VLOOKUP(OtherClients[[#This Row],[Part]],PartControl!$A$2:$E$564,5,FALSE)</f>
        <v>infasco</v>
      </c>
      <c r="Y217" s="108">
        <f>IF(OtherClients[[#This Row],[Re-certified or New]]&lt;&gt;"Re-certified",IF(OtherClients[[#This Row],[Client]]="infasco",VLOOKUP(OtherClients[[#This Row],[Part]],PartControl!$A$2:$E$564,2,FALSE),OtherClients[[#This Row],[Total Quantity]]*VLOOKUP(OtherClients[[#This Row],[Part]],PartControl!$A$2:$E$564,2,FALSE)),0)</f>
        <v>106.94</v>
      </c>
      <c r="Z217" s="108">
        <f>IF(OtherClients[[#This Row],[Re-certified or New]]&lt;&gt;"Re-certified",IF(OtherClients[[#This Row],[Client]]="infasco",VLOOKUP(OtherClients[[#This Row],[Part]],PartControl!$A$2:$E$564,2,FALSE),OtherClients[[#This Row],[Total Quantity]]*VLOOKUP(OtherClients[[#This Row],[Part]],PartControl!$A$2:$E$564,2,FALSE)),0)</f>
        <v>106.94</v>
      </c>
    </row>
    <row r="218" spans="1:26" ht="25.15" hidden="1" customHeight="1" x14ac:dyDescent="0.25">
      <c r="A218" s="112">
        <v>46239.695462962962</v>
      </c>
      <c r="B218" s="5" t="s">
        <v>636</v>
      </c>
      <c r="C218" s="5">
        <v>11549168</v>
      </c>
      <c r="D218" s="5">
        <v>712782</v>
      </c>
      <c r="E218" s="33">
        <v>42</v>
      </c>
      <c r="F218" s="60">
        <v>1000</v>
      </c>
      <c r="G218" s="60">
        <f>+OtherClients[[#This Row],[Boxes / Pieces]]*OtherClients[[#This Row],[Unit Quantity]]</f>
        <v>42000</v>
      </c>
      <c r="H218" s="60">
        <v>280</v>
      </c>
      <c r="I218" s="60" t="s">
        <v>278</v>
      </c>
      <c r="J218" s="104"/>
      <c r="K218" s="33" t="s">
        <v>278</v>
      </c>
      <c r="L218" s="111"/>
      <c r="M218" s="33" t="s">
        <v>278</v>
      </c>
      <c r="N218" s="111"/>
      <c r="O218" s="33" t="s">
        <v>278</v>
      </c>
      <c r="P218" s="111"/>
      <c r="Q218" s="33" t="s">
        <v>587</v>
      </c>
      <c r="R218" s="111"/>
      <c r="S218" s="33" t="s">
        <v>278</v>
      </c>
      <c r="T218" s="111"/>
      <c r="U218" s="33" t="s">
        <v>278</v>
      </c>
      <c r="V218" s="111"/>
      <c r="W218" s="59" t="s">
        <v>548</v>
      </c>
      <c r="X218" s="33" t="str">
        <f>+VLOOKUP(OtherClients[[#This Row],[Part]],PartControl!$A$2:$E$564,5,FALSE)</f>
        <v>INFASCO</v>
      </c>
      <c r="Y218" s="108">
        <f>IF(OtherClients[[#This Row],[Re-certified or New]]&lt;&gt;"Re-certified",IF(OtherClients[[#This Row],[Client]]="infasco",VLOOKUP(OtherClients[[#This Row],[Part]],PartControl!$A$2:$E$564,2,FALSE),OtherClients[[#This Row],[Total Quantity]]*VLOOKUP(OtherClients[[#This Row],[Part]],PartControl!$A$2:$E$564,2,FALSE)),0)</f>
        <v>106.94</v>
      </c>
      <c r="Z218" s="108">
        <f>IF(OtherClients[[#This Row],[Re-certified or New]]&lt;&gt;"Re-certified",IF(OtherClients[[#This Row],[Client]]="infasco",VLOOKUP(OtherClients[[#This Row],[Part]],PartControl!$A$2:$E$564,2,FALSE),OtherClients[[#This Row],[Total Quantity]]*VLOOKUP(OtherClients[[#This Row],[Part]],PartControl!$A$2:$E$564,2,FALSE)),0)</f>
        <v>106.94</v>
      </c>
    </row>
    <row r="219" spans="1:26" ht="25.15" hidden="1" customHeight="1" x14ac:dyDescent="0.25">
      <c r="A219" s="112">
        <v>46239.695462962962</v>
      </c>
      <c r="B219" s="5" t="s">
        <v>357</v>
      </c>
      <c r="C219" s="5">
        <v>11546456</v>
      </c>
      <c r="D219" s="5">
        <v>713896</v>
      </c>
      <c r="E219" s="33">
        <v>9</v>
      </c>
      <c r="F219" s="60">
        <v>2700</v>
      </c>
      <c r="G219" s="60">
        <f>+OtherClients[[#This Row],[Boxes / Pieces]]*OtherClients[[#This Row],[Unit Quantity]]</f>
        <v>24300</v>
      </c>
      <c r="H219" s="60">
        <v>280</v>
      </c>
      <c r="I219" s="60" t="s">
        <v>278</v>
      </c>
      <c r="J219" s="104"/>
      <c r="K219" s="33" t="s">
        <v>278</v>
      </c>
      <c r="L219" s="111"/>
      <c r="M219" s="33" t="s">
        <v>278</v>
      </c>
      <c r="N219" s="111"/>
      <c r="O219" s="33" t="s">
        <v>278</v>
      </c>
      <c r="P219" s="111"/>
      <c r="Q219" s="33" t="s">
        <v>587</v>
      </c>
      <c r="R219" s="111"/>
      <c r="S219" s="33" t="s">
        <v>278</v>
      </c>
      <c r="T219" s="111"/>
      <c r="U219" s="33" t="s">
        <v>278</v>
      </c>
      <c r="V219" s="111"/>
      <c r="W219" s="59" t="s">
        <v>548</v>
      </c>
      <c r="X219" s="33" t="str">
        <f>+VLOOKUP(OtherClients[[#This Row],[Part]],PartControl!$A$2:$E$564,5,FALSE)</f>
        <v>INFASCO</v>
      </c>
      <c r="Y219" s="108">
        <f>IF(OtherClients[[#This Row],[Re-certified or New]]&lt;&gt;"Re-certified",IF(OtherClients[[#This Row],[Client]]="infasco",VLOOKUP(OtherClients[[#This Row],[Part]],PartControl!$A$2:$E$564,2,FALSE),OtherClients[[#This Row],[Total Quantity]]*VLOOKUP(OtherClients[[#This Row],[Part]],PartControl!$A$2:$E$564,2,FALSE)),0)</f>
        <v>106.94</v>
      </c>
      <c r="Z219" s="108">
        <f>IF(OtherClients[[#This Row],[Re-certified or New]]&lt;&gt;"Re-certified",IF(OtherClients[[#This Row],[Client]]="infasco",VLOOKUP(OtherClients[[#This Row],[Part]],PartControl!$A$2:$E$564,2,FALSE),OtherClients[[#This Row],[Total Quantity]]*VLOOKUP(OtherClients[[#This Row],[Part]],PartControl!$A$2:$E$564,2,FALSE)),0)</f>
        <v>106.94</v>
      </c>
    </row>
    <row r="220" spans="1:26" ht="25.15" hidden="1" customHeight="1" x14ac:dyDescent="0.25">
      <c r="A220" s="112">
        <v>46239.695462962962</v>
      </c>
      <c r="B220" s="5" t="s">
        <v>357</v>
      </c>
      <c r="C220" s="5">
        <v>11546456</v>
      </c>
      <c r="D220" s="5">
        <v>715621</v>
      </c>
      <c r="E220" s="33">
        <v>27</v>
      </c>
      <c r="F220" s="60">
        <v>2700</v>
      </c>
      <c r="G220" s="60">
        <f>+OtherClients[[#This Row],[Boxes / Pieces]]*OtherClients[[#This Row],[Unit Quantity]]</f>
        <v>72900</v>
      </c>
      <c r="H220" s="60">
        <v>280</v>
      </c>
      <c r="I220" s="60" t="s">
        <v>278</v>
      </c>
      <c r="J220" s="104"/>
      <c r="K220" s="33" t="s">
        <v>278</v>
      </c>
      <c r="L220" s="111"/>
      <c r="M220" s="33" t="s">
        <v>278</v>
      </c>
      <c r="N220" s="111"/>
      <c r="O220" s="33" t="s">
        <v>278</v>
      </c>
      <c r="P220" s="111"/>
      <c r="Q220" s="33" t="s">
        <v>587</v>
      </c>
      <c r="R220" s="111"/>
      <c r="S220" s="33" t="s">
        <v>278</v>
      </c>
      <c r="T220" s="111"/>
      <c r="U220" s="33" t="s">
        <v>278</v>
      </c>
      <c r="V220" s="111"/>
      <c r="W220" s="59" t="s">
        <v>548</v>
      </c>
      <c r="X220" s="33" t="str">
        <f>+VLOOKUP(OtherClients[[#This Row],[Part]],PartControl!$A$2:$E$564,5,FALSE)</f>
        <v>INFASCO</v>
      </c>
      <c r="Y220" s="108">
        <f>IF(OtherClients[[#This Row],[Re-certified or New]]&lt;&gt;"Re-certified",IF(OtherClients[[#This Row],[Client]]="infasco",VLOOKUP(OtherClients[[#This Row],[Part]],PartControl!$A$2:$E$564,2,FALSE),OtherClients[[#This Row],[Total Quantity]]*VLOOKUP(OtherClients[[#This Row],[Part]],PartControl!$A$2:$E$564,2,FALSE)),0)</f>
        <v>106.94</v>
      </c>
      <c r="Z220" s="108">
        <f>IF(OtherClients[[#This Row],[Re-certified or New]]&lt;&gt;"Re-certified",IF(OtherClients[[#This Row],[Client]]="infasco",VLOOKUP(OtherClients[[#This Row],[Part]],PartControl!$A$2:$E$564,2,FALSE),OtherClients[[#This Row],[Total Quantity]]*VLOOKUP(OtherClients[[#This Row],[Part]],PartControl!$A$2:$E$564,2,FALSE)),0)</f>
        <v>106.94</v>
      </c>
    </row>
    <row r="221" spans="1:26" ht="25.15" hidden="1" customHeight="1" x14ac:dyDescent="0.25">
      <c r="A221" s="112">
        <v>46239.695462962962</v>
      </c>
      <c r="B221" s="5" t="s">
        <v>357</v>
      </c>
      <c r="C221" s="5">
        <v>11546456</v>
      </c>
      <c r="D221" s="5">
        <v>713895</v>
      </c>
      <c r="E221" s="33">
        <v>16</v>
      </c>
      <c r="F221" s="60">
        <v>2700</v>
      </c>
      <c r="G221" s="60">
        <f>+OtherClients[[#This Row],[Boxes / Pieces]]*OtherClients[[#This Row],[Unit Quantity]]</f>
        <v>43200</v>
      </c>
      <c r="H221" s="60">
        <v>280</v>
      </c>
      <c r="I221" s="60" t="s">
        <v>278</v>
      </c>
      <c r="J221" s="104"/>
      <c r="K221" s="33" t="s">
        <v>278</v>
      </c>
      <c r="L221" s="111"/>
      <c r="M221" s="33" t="s">
        <v>278</v>
      </c>
      <c r="N221" s="111"/>
      <c r="O221" s="33" t="s">
        <v>278</v>
      </c>
      <c r="P221" s="111"/>
      <c r="Q221" s="33" t="s">
        <v>587</v>
      </c>
      <c r="R221" s="111"/>
      <c r="S221" s="33" t="s">
        <v>278</v>
      </c>
      <c r="T221" s="111"/>
      <c r="U221" s="33" t="s">
        <v>278</v>
      </c>
      <c r="V221" s="111"/>
      <c r="W221" s="59" t="s">
        <v>633</v>
      </c>
      <c r="X221" s="33" t="str">
        <f>+VLOOKUP(OtherClients[[#This Row],[Part]],PartControl!$A$2:$E$564,5,FALSE)</f>
        <v>INFASCO</v>
      </c>
      <c r="Y221" s="108">
        <f>IF(OtherClients[[#This Row],[Re-certified or New]]&lt;&gt;"Re-certified",IF(OtherClients[[#This Row],[Client]]="infasco",VLOOKUP(OtherClients[[#This Row],[Part]],PartControl!$A$2:$E$564,2,FALSE),OtherClients[[#This Row],[Total Quantity]]*VLOOKUP(OtherClients[[#This Row],[Part]],PartControl!$A$2:$E$564,2,FALSE)),0)</f>
        <v>0</v>
      </c>
      <c r="Z221" s="108">
        <f>IF(OtherClients[[#This Row],[Re-certified or New]]&lt;&gt;"Re-certified",IF(OtherClients[[#This Row],[Client]]="infasco",VLOOKUP(OtherClients[[#This Row],[Part]],PartControl!$A$2:$E$564,2,FALSE),OtherClients[[#This Row],[Total Quantity]]*VLOOKUP(OtherClients[[#This Row],[Part]],PartControl!$A$2:$E$564,2,FALSE)),0)</f>
        <v>0</v>
      </c>
    </row>
    <row r="222" spans="1:26" ht="25.15" hidden="1" customHeight="1" x14ac:dyDescent="0.25">
      <c r="A222" s="112">
        <v>46239.695462962962</v>
      </c>
      <c r="B222" s="5" t="s">
        <v>634</v>
      </c>
      <c r="C222" s="5" t="s">
        <v>700</v>
      </c>
      <c r="D222" s="5">
        <v>714025</v>
      </c>
      <c r="E222" s="33">
        <f>36+19-25</f>
        <v>30</v>
      </c>
      <c r="F222" s="60">
        <v>1000</v>
      </c>
      <c r="G222" s="60">
        <f>+OtherClients[[#This Row],[Boxes / Pieces]]*OtherClients[[#This Row],[Unit Quantity]]</f>
        <v>30000</v>
      </c>
      <c r="H222" s="60">
        <v>280</v>
      </c>
      <c r="I222" s="60" t="s">
        <v>278</v>
      </c>
      <c r="J222" s="104"/>
      <c r="K222" s="33" t="s">
        <v>278</v>
      </c>
      <c r="L222" s="111"/>
      <c r="M222" s="33" t="s">
        <v>278</v>
      </c>
      <c r="N222" s="111"/>
      <c r="O222" s="33" t="s">
        <v>278</v>
      </c>
      <c r="P222" s="111"/>
      <c r="Q222" s="33" t="s">
        <v>587</v>
      </c>
      <c r="R222" s="111"/>
      <c r="S222" s="33" t="s">
        <v>278</v>
      </c>
      <c r="T222" s="111"/>
      <c r="U222" s="33" t="s">
        <v>278</v>
      </c>
      <c r="V222" s="111"/>
      <c r="W222" s="59" t="s">
        <v>548</v>
      </c>
      <c r="X222" s="33" t="str">
        <f>+VLOOKUP(OtherClients[[#This Row],[Part]],PartControl!$A$2:$E$564,5,FALSE)</f>
        <v>infasco</v>
      </c>
      <c r="Y222" s="108">
        <f>IF(OtherClients[[#This Row],[Re-certified or New]]&lt;&gt;"Re-certified",IF(OtherClients[[#This Row],[Client]]="infasco",VLOOKUP(OtherClients[[#This Row],[Part]],PartControl!$A$2:$E$564,2,FALSE),OtherClients[[#This Row],[Total Quantity]]*VLOOKUP(OtherClients[[#This Row],[Part]],PartControl!$A$2:$E$564,2,FALSE)),0)</f>
        <v>106.94</v>
      </c>
      <c r="Z222" s="108">
        <f>IF(OtherClients[[#This Row],[Re-certified or New]]&lt;&gt;"Re-certified",IF(OtherClients[[#This Row],[Client]]="infasco",VLOOKUP(OtherClients[[#This Row],[Part]],PartControl!$A$2:$E$564,2,FALSE),OtherClients[[#This Row],[Total Quantity]]*VLOOKUP(OtherClients[[#This Row],[Part]],PartControl!$A$2:$E$564,2,FALSE)),0)</f>
        <v>106.94</v>
      </c>
    </row>
    <row r="223" spans="1:26" ht="25.15" hidden="1" customHeight="1" x14ac:dyDescent="0.25">
      <c r="A223" s="112">
        <v>46239.695462962962</v>
      </c>
      <c r="B223" s="5" t="s">
        <v>634</v>
      </c>
      <c r="C223" s="5">
        <v>11549168</v>
      </c>
      <c r="D223" s="5">
        <v>713695</v>
      </c>
      <c r="E223" s="33">
        <v>8</v>
      </c>
      <c r="F223" s="60">
        <v>1000</v>
      </c>
      <c r="G223" s="60">
        <f>+OtherClients[[#This Row],[Boxes / Pieces]]*OtherClients[[#This Row],[Unit Quantity]]</f>
        <v>8000</v>
      </c>
      <c r="H223" s="60">
        <v>280</v>
      </c>
      <c r="I223" s="60" t="s">
        <v>278</v>
      </c>
      <c r="J223" s="104"/>
      <c r="K223" s="33" t="s">
        <v>278</v>
      </c>
      <c r="L223" s="111"/>
      <c r="M223" s="33" t="s">
        <v>278</v>
      </c>
      <c r="N223" s="111"/>
      <c r="O223" s="33" t="s">
        <v>278</v>
      </c>
      <c r="P223" s="111"/>
      <c r="Q223" s="33" t="s">
        <v>587</v>
      </c>
      <c r="R223" s="111"/>
      <c r="S223" s="33" t="s">
        <v>278</v>
      </c>
      <c r="T223" s="111"/>
      <c r="U223" s="33" t="s">
        <v>278</v>
      </c>
      <c r="V223" s="111"/>
      <c r="W223" s="59" t="s">
        <v>633</v>
      </c>
      <c r="X223" s="33" t="str">
        <f>+VLOOKUP(OtherClients[[#This Row],[Part]],PartControl!$A$2:$E$564,5,FALSE)</f>
        <v>INFASCO</v>
      </c>
      <c r="Y223" s="108">
        <f>IF(OtherClients[[#This Row],[Re-certified or New]]&lt;&gt;"Re-certified",IF(OtherClients[[#This Row],[Client]]="infasco",VLOOKUP(OtherClients[[#This Row],[Part]],PartControl!$A$2:$E$564,2,FALSE),OtherClients[[#This Row],[Total Quantity]]*VLOOKUP(OtherClients[[#This Row],[Part]],PartControl!$A$2:$E$564,2,FALSE)),0)</f>
        <v>0</v>
      </c>
      <c r="Z223" s="108">
        <f>IF(OtherClients[[#This Row],[Re-certified or New]]&lt;&gt;"Re-certified",IF(OtherClients[[#This Row],[Client]]="infasco",VLOOKUP(OtherClients[[#This Row],[Part]],PartControl!$A$2:$E$564,2,FALSE),OtherClients[[#This Row],[Total Quantity]]*VLOOKUP(OtherClients[[#This Row],[Part]],PartControl!$A$2:$E$564,2,FALSE)),0)</f>
        <v>0</v>
      </c>
    </row>
    <row r="224" spans="1:26" ht="25.15" hidden="1" customHeight="1" x14ac:dyDescent="0.25">
      <c r="A224" s="112">
        <v>46239.695462962962</v>
      </c>
      <c r="B224" s="5" t="s">
        <v>635</v>
      </c>
      <c r="C224" s="5" t="s">
        <v>700</v>
      </c>
      <c r="D224" s="5">
        <v>714024</v>
      </c>
      <c r="E224" s="33">
        <f>36-24</f>
        <v>12</v>
      </c>
      <c r="F224" s="60">
        <v>1000</v>
      </c>
      <c r="G224" s="60">
        <f>+OtherClients[[#This Row],[Boxes / Pieces]]*OtherClients[[#This Row],[Unit Quantity]]</f>
        <v>12000</v>
      </c>
      <c r="H224" s="60">
        <v>280</v>
      </c>
      <c r="I224" s="60" t="s">
        <v>278</v>
      </c>
      <c r="J224" s="104"/>
      <c r="K224" s="33" t="s">
        <v>278</v>
      </c>
      <c r="L224" s="111"/>
      <c r="M224" s="33" t="s">
        <v>278</v>
      </c>
      <c r="N224" s="111"/>
      <c r="O224" s="33" t="s">
        <v>278</v>
      </c>
      <c r="P224" s="111"/>
      <c r="Q224" s="33" t="s">
        <v>587</v>
      </c>
      <c r="R224" s="111"/>
      <c r="S224" s="33" t="s">
        <v>278</v>
      </c>
      <c r="T224" s="111"/>
      <c r="U224" s="33" t="s">
        <v>278</v>
      </c>
      <c r="V224" s="111"/>
      <c r="W224" s="59" t="s">
        <v>548</v>
      </c>
      <c r="X224" s="33" t="str">
        <f>+VLOOKUP(OtherClients[[#This Row],[Part]],PartControl!$A$2:$E$564,5,FALSE)</f>
        <v>infasco</v>
      </c>
      <c r="Y224" s="108">
        <f>IF(OtherClients[[#This Row],[Re-certified or New]]&lt;&gt;"Re-certified",IF(OtherClients[[#This Row],[Client]]="infasco",VLOOKUP(OtherClients[[#This Row],[Part]],PartControl!$A$2:$E$564,2,FALSE),OtherClients[[#This Row],[Total Quantity]]*VLOOKUP(OtherClients[[#This Row],[Part]],PartControl!$A$2:$E$564,2,FALSE)),0)</f>
        <v>106.94</v>
      </c>
      <c r="Z224" s="108">
        <f>IF(OtherClients[[#This Row],[Re-certified or New]]&lt;&gt;"Re-certified",IF(OtherClients[[#This Row],[Client]]="infasco",VLOOKUP(OtherClients[[#This Row],[Part]],PartControl!$A$2:$E$564,2,FALSE),OtherClients[[#This Row],[Total Quantity]]*VLOOKUP(OtherClients[[#This Row],[Part]],PartControl!$A$2:$E$564,2,FALSE)),0)</f>
        <v>106.94</v>
      </c>
    </row>
    <row r="225" spans="1:26" ht="25.15" hidden="1" customHeight="1" x14ac:dyDescent="0.25">
      <c r="A225" s="112">
        <v>46239.695462962962</v>
      </c>
      <c r="B225" s="5" t="s">
        <v>635</v>
      </c>
      <c r="C225" s="5" t="s">
        <v>700</v>
      </c>
      <c r="D225" s="5">
        <v>714022</v>
      </c>
      <c r="E225" s="33">
        <v>36</v>
      </c>
      <c r="F225" s="60">
        <v>1000</v>
      </c>
      <c r="G225" s="60">
        <f>+OtherClients[[#This Row],[Boxes / Pieces]]*OtherClients[[#This Row],[Unit Quantity]]</f>
        <v>36000</v>
      </c>
      <c r="H225" s="60">
        <v>280</v>
      </c>
      <c r="I225" s="60" t="s">
        <v>278</v>
      </c>
      <c r="J225" s="104"/>
      <c r="K225" s="33" t="s">
        <v>278</v>
      </c>
      <c r="L225" s="111"/>
      <c r="M225" s="33" t="s">
        <v>278</v>
      </c>
      <c r="N225" s="111"/>
      <c r="O225" s="33" t="s">
        <v>278</v>
      </c>
      <c r="P225" s="111"/>
      <c r="Q225" s="33" t="s">
        <v>587</v>
      </c>
      <c r="R225" s="111"/>
      <c r="S225" s="33" t="s">
        <v>278</v>
      </c>
      <c r="T225" s="111"/>
      <c r="U225" s="33" t="s">
        <v>278</v>
      </c>
      <c r="V225" s="111"/>
      <c r="W225" s="59" t="s">
        <v>548</v>
      </c>
      <c r="X225" s="33" t="str">
        <f>+VLOOKUP(OtherClients[[#This Row],[Part]],PartControl!$A$2:$E$564,5,FALSE)</f>
        <v>infasco</v>
      </c>
      <c r="Y225" s="108">
        <f>IF(OtherClients[[#This Row],[Re-certified or New]]&lt;&gt;"Re-certified",IF(OtherClients[[#This Row],[Client]]="infasco",VLOOKUP(OtherClients[[#This Row],[Part]],PartControl!$A$2:$E$564,2,FALSE),OtherClients[[#This Row],[Total Quantity]]*VLOOKUP(OtherClients[[#This Row],[Part]],PartControl!$A$2:$E$564,2,FALSE)),0)</f>
        <v>106.94</v>
      </c>
      <c r="Z225" s="108">
        <f>IF(OtherClients[[#This Row],[Re-certified or New]]&lt;&gt;"Re-certified",IF(OtherClients[[#This Row],[Client]]="infasco",VLOOKUP(OtherClients[[#This Row],[Part]],PartControl!$A$2:$E$564,2,FALSE),OtherClients[[#This Row],[Total Quantity]]*VLOOKUP(OtherClients[[#This Row],[Part]],PartControl!$A$2:$E$564,2,FALSE)),0)</f>
        <v>106.94</v>
      </c>
    </row>
    <row r="226" spans="1:26" ht="25.15" hidden="1" customHeight="1" x14ac:dyDescent="0.25">
      <c r="A226" s="112">
        <v>46239.695462962962</v>
      </c>
      <c r="B226" s="5" t="s">
        <v>251</v>
      </c>
      <c r="C226" s="5" t="s">
        <v>645</v>
      </c>
      <c r="D226" s="5">
        <v>714506</v>
      </c>
      <c r="E226" s="33">
        <v>2</v>
      </c>
      <c r="F226" s="60">
        <v>1000</v>
      </c>
      <c r="G226" s="60">
        <f>+OtherClients[[#This Row],[Boxes / Pieces]]*OtherClients[[#This Row],[Unit Quantity]]</f>
        <v>2000</v>
      </c>
      <c r="H226" s="60">
        <v>292</v>
      </c>
      <c r="I226" s="60" t="s">
        <v>278</v>
      </c>
      <c r="J226" s="104"/>
      <c r="K226" s="33" t="s">
        <v>278</v>
      </c>
      <c r="L226" s="111"/>
      <c r="M226" s="33" t="s">
        <v>278</v>
      </c>
      <c r="N226" s="111"/>
      <c r="O226" s="33" t="s">
        <v>278</v>
      </c>
      <c r="P226" s="111"/>
      <c r="Q226" s="33" t="s">
        <v>587</v>
      </c>
      <c r="R226" s="111"/>
      <c r="S226" s="33" t="s">
        <v>278</v>
      </c>
      <c r="T226" s="111"/>
      <c r="U226" s="33" t="s">
        <v>278</v>
      </c>
      <c r="V226" s="111"/>
      <c r="W226" s="59" t="s">
        <v>548</v>
      </c>
      <c r="X226" s="33" t="str">
        <f>+VLOOKUP(OtherClients[[#This Row],[Part]],PartControl!$A$2:$E$564,5,FALSE)</f>
        <v>infasco</v>
      </c>
      <c r="Y226" s="108">
        <f>IF(OtherClients[[#This Row],[Re-certified or New]]&lt;&gt;"Re-certified",IF(OtherClients[[#This Row],[Client]]="infasco",VLOOKUP(OtherClients[[#This Row],[Part]],PartControl!$A$2:$E$564,2,FALSE),OtherClients[[#This Row],[Total Quantity]]*VLOOKUP(OtherClients[[#This Row],[Part]],PartControl!$A$2:$E$564,2,FALSE)),0)</f>
        <v>106.94</v>
      </c>
      <c r="Z226" s="108">
        <f>IF(OtherClients[[#This Row],[Re-certified or New]]&lt;&gt;"Re-certified",IF(OtherClients[[#This Row],[Client]]="infasco",VLOOKUP(OtherClients[[#This Row],[Part]],PartControl!$A$2:$E$564,2,FALSE),OtherClients[[#This Row],[Total Quantity]]*VLOOKUP(OtherClients[[#This Row],[Part]],PartControl!$A$2:$E$564,2,FALSE)),0)</f>
        <v>106.94</v>
      </c>
    </row>
    <row r="227" spans="1:26" ht="25.15" hidden="1" customHeight="1" x14ac:dyDescent="0.25">
      <c r="A227" s="112">
        <v>46239.695462962962</v>
      </c>
      <c r="B227" s="5" t="s">
        <v>251</v>
      </c>
      <c r="C227" s="5" t="s">
        <v>645</v>
      </c>
      <c r="D227" s="5">
        <v>714515</v>
      </c>
      <c r="E227" s="33">
        <v>37</v>
      </c>
      <c r="F227" s="60">
        <v>1000</v>
      </c>
      <c r="G227" s="60">
        <f>+OtherClients[[#This Row],[Boxes / Pieces]]*OtherClients[[#This Row],[Unit Quantity]]</f>
        <v>37000</v>
      </c>
      <c r="H227" s="60">
        <v>292</v>
      </c>
      <c r="I227" s="60" t="s">
        <v>278</v>
      </c>
      <c r="J227" s="104"/>
      <c r="K227" s="33" t="s">
        <v>278</v>
      </c>
      <c r="L227" s="111"/>
      <c r="M227" s="33" t="s">
        <v>278</v>
      </c>
      <c r="N227" s="111"/>
      <c r="O227" s="33" t="s">
        <v>278</v>
      </c>
      <c r="P227" s="111"/>
      <c r="Q227" s="33" t="s">
        <v>587</v>
      </c>
      <c r="R227" s="111"/>
      <c r="S227" s="33" t="s">
        <v>278</v>
      </c>
      <c r="T227" s="111"/>
      <c r="U227" s="33" t="s">
        <v>278</v>
      </c>
      <c r="V227" s="111"/>
      <c r="W227" s="59" t="s">
        <v>548</v>
      </c>
      <c r="X227" s="33" t="str">
        <f>+VLOOKUP(OtherClients[[#This Row],[Part]],PartControl!$A$2:$E$564,5,FALSE)</f>
        <v>infasco</v>
      </c>
      <c r="Y227" s="108">
        <f>IF(OtherClients[[#This Row],[Re-certified or New]]&lt;&gt;"Re-certified",IF(OtherClients[[#This Row],[Client]]="infasco",VLOOKUP(OtherClients[[#This Row],[Part]],PartControl!$A$2:$E$564,2,FALSE),OtherClients[[#This Row],[Total Quantity]]*VLOOKUP(OtherClients[[#This Row],[Part]],PartControl!$A$2:$E$564,2,FALSE)),0)</f>
        <v>106.94</v>
      </c>
      <c r="Z227" s="108">
        <f>IF(OtherClients[[#This Row],[Re-certified or New]]&lt;&gt;"Re-certified",IF(OtherClients[[#This Row],[Client]]="infasco",VLOOKUP(OtherClients[[#This Row],[Part]],PartControl!$A$2:$E$564,2,FALSE),OtherClients[[#This Row],[Total Quantity]]*VLOOKUP(OtherClients[[#This Row],[Part]],PartControl!$A$2:$E$564,2,FALSE)),0)</f>
        <v>106.94</v>
      </c>
    </row>
    <row r="228" spans="1:26" ht="25.15" hidden="1" customHeight="1" x14ac:dyDescent="0.25">
      <c r="A228" s="112">
        <v>46239.695462962962</v>
      </c>
      <c r="B228" s="5" t="s">
        <v>245</v>
      </c>
      <c r="C228" s="5">
        <v>1546456</v>
      </c>
      <c r="D228" s="5">
        <v>715616</v>
      </c>
      <c r="E228" s="33">
        <f>36-20</f>
        <v>16</v>
      </c>
      <c r="F228" s="60">
        <v>2700</v>
      </c>
      <c r="G228" s="60">
        <f>+OtherClients[[#This Row],[Boxes / Pieces]]*OtherClients[[#This Row],[Unit Quantity]]</f>
        <v>43200</v>
      </c>
      <c r="H228" s="60">
        <v>292</v>
      </c>
      <c r="I228" s="60" t="s">
        <v>278</v>
      </c>
      <c r="J228" s="104"/>
      <c r="K228" s="33" t="s">
        <v>278</v>
      </c>
      <c r="L228" s="111"/>
      <c r="M228" s="33" t="s">
        <v>278</v>
      </c>
      <c r="N228" s="111"/>
      <c r="O228" s="33" t="s">
        <v>278</v>
      </c>
      <c r="P228" s="111"/>
      <c r="Q228" s="33" t="s">
        <v>587</v>
      </c>
      <c r="R228" s="111"/>
      <c r="S228" s="33" t="s">
        <v>278</v>
      </c>
      <c r="T228" s="111"/>
      <c r="U228" s="33" t="s">
        <v>278</v>
      </c>
      <c r="V228" s="111"/>
      <c r="W228" s="59" t="s">
        <v>548</v>
      </c>
      <c r="X228" s="33" t="e">
        <f>+VLOOKUP(OtherClients[[#This Row],[Part]],PartControl!$A$2:$E$564,5,FALSE)</f>
        <v>#N/A</v>
      </c>
      <c r="Y228" s="108" t="e">
        <f>IF(OtherClients[[#This Row],[Re-certified or New]]&lt;&gt;"Re-certified",IF(OtherClients[[#This Row],[Client]]="infasco",VLOOKUP(OtherClients[[#This Row],[Part]],PartControl!$A$2:$E$564,2,FALSE),OtherClients[[#This Row],[Total Quantity]]*VLOOKUP(OtherClients[[#This Row],[Part]],PartControl!$A$2:$E$564,2,FALSE)),0)</f>
        <v>#N/A</v>
      </c>
      <c r="Z228" s="108" t="e">
        <f>IF(OtherClients[[#This Row],[Re-certified or New]]&lt;&gt;"Re-certified",IF(OtherClients[[#This Row],[Client]]="infasco",VLOOKUP(OtherClients[[#This Row],[Part]],PartControl!$A$2:$E$564,2,FALSE),OtherClients[[#This Row],[Total Quantity]]*VLOOKUP(OtherClients[[#This Row],[Part]],PartControl!$A$2:$E$564,2,FALSE)),0)</f>
        <v>#N/A</v>
      </c>
    </row>
    <row r="229" spans="1:26" ht="25.15" hidden="1" customHeight="1" x14ac:dyDescent="0.25">
      <c r="A229" s="112">
        <v>46239.695462962962</v>
      </c>
      <c r="B229" s="5" t="s">
        <v>624</v>
      </c>
      <c r="C229" s="5" t="s">
        <v>703</v>
      </c>
      <c r="D229" s="5">
        <v>714557</v>
      </c>
      <c r="E229" s="33">
        <v>36</v>
      </c>
      <c r="F229" s="60">
        <v>700</v>
      </c>
      <c r="G229" s="60">
        <f>+OtherClients[[#This Row],[Boxes / Pieces]]*OtherClients[[#This Row],[Unit Quantity]]</f>
        <v>25200</v>
      </c>
      <c r="H229" s="60">
        <v>292</v>
      </c>
      <c r="I229" s="60" t="s">
        <v>278</v>
      </c>
      <c r="J229" s="104"/>
      <c r="K229" s="33" t="s">
        <v>278</v>
      </c>
      <c r="L229" s="111"/>
      <c r="M229" s="33" t="s">
        <v>278</v>
      </c>
      <c r="N229" s="111"/>
      <c r="O229" s="33" t="s">
        <v>278</v>
      </c>
      <c r="P229" s="111"/>
      <c r="Q229" s="33" t="s">
        <v>587</v>
      </c>
      <c r="R229" s="111"/>
      <c r="S229" s="33" t="s">
        <v>278</v>
      </c>
      <c r="T229" s="111"/>
      <c r="U229" s="33" t="s">
        <v>278</v>
      </c>
      <c r="V229" s="111"/>
      <c r="W229" s="59" t="s">
        <v>548</v>
      </c>
      <c r="X229" s="33" t="str">
        <f>+VLOOKUP(OtherClients[[#This Row],[Part]],PartControl!$A$2:$E$564,5,FALSE)</f>
        <v>infasco</v>
      </c>
      <c r="Y229" s="108">
        <f>IF(OtherClients[[#This Row],[Re-certified or New]]&lt;&gt;"Re-certified",IF(OtherClients[[#This Row],[Client]]="infasco",VLOOKUP(OtherClients[[#This Row],[Part]],PartControl!$A$2:$E$564,2,FALSE),OtherClients[[#This Row],[Total Quantity]]*VLOOKUP(OtherClients[[#This Row],[Part]],PartControl!$A$2:$E$564,2,FALSE)),0)</f>
        <v>106.94</v>
      </c>
      <c r="Z229" s="108">
        <f>IF(OtherClients[[#This Row],[Re-certified or New]]&lt;&gt;"Re-certified",IF(OtherClients[[#This Row],[Client]]="infasco",VLOOKUP(OtherClients[[#This Row],[Part]],PartControl!$A$2:$E$564,2,FALSE),OtherClients[[#This Row],[Total Quantity]]*VLOOKUP(OtherClients[[#This Row],[Part]],PartControl!$A$2:$E$564,2,FALSE)),0)</f>
        <v>106.94</v>
      </c>
    </row>
    <row r="230" spans="1:26" ht="25.15" hidden="1" customHeight="1" x14ac:dyDescent="0.25">
      <c r="A230" s="112">
        <v>46239.695462962962</v>
      </c>
      <c r="B230" s="5" t="s">
        <v>624</v>
      </c>
      <c r="C230" s="5" t="s">
        <v>703</v>
      </c>
      <c r="D230" s="5">
        <v>714551</v>
      </c>
      <c r="E230" s="33">
        <v>36</v>
      </c>
      <c r="F230" s="60">
        <v>700</v>
      </c>
      <c r="G230" s="60">
        <f>+OtherClients[[#This Row],[Boxes / Pieces]]*OtherClients[[#This Row],[Unit Quantity]]</f>
        <v>25200</v>
      </c>
      <c r="H230" s="60">
        <v>292</v>
      </c>
      <c r="I230" s="60" t="s">
        <v>278</v>
      </c>
      <c r="J230" s="104"/>
      <c r="K230" s="33" t="s">
        <v>278</v>
      </c>
      <c r="L230" s="111"/>
      <c r="M230" s="33" t="s">
        <v>278</v>
      </c>
      <c r="N230" s="111"/>
      <c r="O230" s="33" t="s">
        <v>278</v>
      </c>
      <c r="P230" s="111"/>
      <c r="Q230" s="33" t="s">
        <v>587</v>
      </c>
      <c r="R230" s="111"/>
      <c r="S230" s="33" t="s">
        <v>278</v>
      </c>
      <c r="T230" s="111"/>
      <c r="U230" s="33" t="s">
        <v>278</v>
      </c>
      <c r="V230" s="111"/>
      <c r="W230" s="59" t="s">
        <v>548</v>
      </c>
      <c r="X230" s="33" t="str">
        <f>+VLOOKUP(OtherClients[[#This Row],[Part]],PartControl!$A$2:$E$564,5,FALSE)</f>
        <v>infasco</v>
      </c>
      <c r="Y230" s="108">
        <f>IF(OtherClients[[#This Row],[Re-certified or New]]&lt;&gt;"Re-certified",IF(OtherClients[[#This Row],[Client]]="infasco",VLOOKUP(OtherClients[[#This Row],[Part]],PartControl!$A$2:$E$564,2,FALSE),OtherClients[[#This Row],[Total Quantity]]*VLOOKUP(OtherClients[[#This Row],[Part]],PartControl!$A$2:$E$564,2,FALSE)),0)</f>
        <v>106.94</v>
      </c>
      <c r="Z230" s="108">
        <f>IF(OtherClients[[#This Row],[Re-certified or New]]&lt;&gt;"Re-certified",IF(OtherClients[[#This Row],[Client]]="infasco",VLOOKUP(OtherClients[[#This Row],[Part]],PartControl!$A$2:$E$564,2,FALSE),OtherClients[[#This Row],[Total Quantity]]*VLOOKUP(OtherClients[[#This Row],[Part]],PartControl!$A$2:$E$564,2,FALSE)),0)</f>
        <v>106.94</v>
      </c>
    </row>
    <row r="231" spans="1:26" ht="25.15" hidden="1" customHeight="1" x14ac:dyDescent="0.25">
      <c r="A231" s="112">
        <v>46239.695462962962</v>
      </c>
      <c r="B231" s="5" t="s">
        <v>624</v>
      </c>
      <c r="C231" s="5" t="s">
        <v>703</v>
      </c>
      <c r="D231" s="5">
        <v>714542</v>
      </c>
      <c r="E231" s="33">
        <v>32</v>
      </c>
      <c r="F231" s="60">
        <v>700</v>
      </c>
      <c r="G231" s="60">
        <f>+OtherClients[[#This Row],[Boxes / Pieces]]*OtherClients[[#This Row],[Unit Quantity]]</f>
        <v>22400</v>
      </c>
      <c r="H231" s="60">
        <v>292</v>
      </c>
      <c r="I231" s="60" t="s">
        <v>278</v>
      </c>
      <c r="J231" s="104"/>
      <c r="K231" s="33" t="s">
        <v>278</v>
      </c>
      <c r="L231" s="111"/>
      <c r="M231" s="33" t="s">
        <v>278</v>
      </c>
      <c r="N231" s="111"/>
      <c r="O231" s="33" t="s">
        <v>278</v>
      </c>
      <c r="P231" s="111"/>
      <c r="Q231" s="33" t="s">
        <v>587</v>
      </c>
      <c r="R231" s="111"/>
      <c r="S231" s="33" t="s">
        <v>278</v>
      </c>
      <c r="T231" s="111"/>
      <c r="U231" s="33" t="s">
        <v>278</v>
      </c>
      <c r="V231" s="111"/>
      <c r="W231" s="59" t="s">
        <v>548</v>
      </c>
      <c r="X231" s="33" t="str">
        <f>+VLOOKUP(OtherClients[[#This Row],[Part]],PartControl!$A$2:$E$564,5,FALSE)</f>
        <v>infasco</v>
      </c>
      <c r="Y231" s="108">
        <f>IF(OtherClients[[#This Row],[Re-certified or New]]&lt;&gt;"Re-certified",IF(OtherClients[[#This Row],[Client]]="infasco",VLOOKUP(OtherClients[[#This Row],[Part]],PartControl!$A$2:$E$564,2,FALSE),OtherClients[[#This Row],[Total Quantity]]*VLOOKUP(OtherClients[[#This Row],[Part]],PartControl!$A$2:$E$564,2,FALSE)),0)</f>
        <v>106.94</v>
      </c>
      <c r="Z231" s="108">
        <f>IF(OtherClients[[#This Row],[Re-certified or New]]&lt;&gt;"Re-certified",IF(OtherClients[[#This Row],[Client]]="infasco",VLOOKUP(OtherClients[[#This Row],[Part]],PartControl!$A$2:$E$564,2,FALSE),OtherClients[[#This Row],[Total Quantity]]*VLOOKUP(OtherClients[[#This Row],[Part]],PartControl!$A$2:$E$564,2,FALSE)),0)</f>
        <v>106.94</v>
      </c>
    </row>
    <row r="232" spans="1:26" ht="25.15" hidden="1" customHeight="1" x14ac:dyDescent="0.25">
      <c r="A232" s="112">
        <v>46239.695462962962</v>
      </c>
      <c r="B232" s="5" t="s">
        <v>624</v>
      </c>
      <c r="C232" s="5">
        <v>11549170</v>
      </c>
      <c r="D232" s="5">
        <v>713702</v>
      </c>
      <c r="E232" s="33">
        <v>25</v>
      </c>
      <c r="F232" s="60">
        <v>400</v>
      </c>
      <c r="G232" s="60">
        <f>+OtherClients[[#This Row],[Boxes / Pieces]]*OtherClients[[#This Row],[Unit Quantity]]</f>
        <v>10000</v>
      </c>
      <c r="H232" s="60">
        <v>292</v>
      </c>
      <c r="I232" s="60" t="s">
        <v>278</v>
      </c>
      <c r="J232" s="104"/>
      <c r="K232" s="33" t="s">
        <v>278</v>
      </c>
      <c r="L232" s="111"/>
      <c r="M232" s="33" t="s">
        <v>278</v>
      </c>
      <c r="N232" s="111"/>
      <c r="O232" s="33" t="s">
        <v>278</v>
      </c>
      <c r="P232" s="111"/>
      <c r="Q232" s="33" t="s">
        <v>587</v>
      </c>
      <c r="R232" s="111"/>
      <c r="S232" s="33" t="s">
        <v>278</v>
      </c>
      <c r="T232" s="111"/>
      <c r="U232" s="33" t="s">
        <v>278</v>
      </c>
      <c r="V232" s="111"/>
      <c r="W232" s="59" t="s">
        <v>633</v>
      </c>
      <c r="X232" s="33" t="str">
        <f>+VLOOKUP(OtherClients[[#This Row],[Part]],PartControl!$A$2:$E$564,5,FALSE)</f>
        <v>INFASCO</v>
      </c>
      <c r="Y232" s="108">
        <f>IF(OtherClients[[#This Row],[Re-certified or New]]&lt;&gt;"Re-certified",IF(OtherClients[[#This Row],[Client]]="infasco",VLOOKUP(OtherClients[[#This Row],[Part]],PartControl!$A$2:$E$564,2,FALSE),OtherClients[[#This Row],[Total Quantity]]*VLOOKUP(OtherClients[[#This Row],[Part]],PartControl!$A$2:$E$564,2,FALSE)),0)</f>
        <v>0</v>
      </c>
      <c r="Z232" s="108">
        <f>IF(OtherClients[[#This Row],[Re-certified or New]]&lt;&gt;"Re-certified",IF(OtherClients[[#This Row],[Client]]="infasco",VLOOKUP(OtherClients[[#This Row],[Part]],PartControl!$A$2:$E$564,2,FALSE),OtherClients[[#This Row],[Total Quantity]]*VLOOKUP(OtherClients[[#This Row],[Part]],PartControl!$A$2:$E$564,2,FALSE)),0)</f>
        <v>0</v>
      </c>
    </row>
    <row r="233" spans="1:26" ht="25.15" hidden="1" customHeight="1" x14ac:dyDescent="0.25">
      <c r="A233" s="112">
        <v>46239.695462962962</v>
      </c>
      <c r="B233" s="5" t="s">
        <v>623</v>
      </c>
      <c r="C233" s="5">
        <v>11549168</v>
      </c>
      <c r="D233" s="5">
        <v>712773</v>
      </c>
      <c r="E233" s="33">
        <f>37-14</f>
        <v>23</v>
      </c>
      <c r="F233" s="60">
        <v>1000</v>
      </c>
      <c r="G233" s="60">
        <f>+OtherClients[[#This Row],[Boxes / Pieces]]*OtherClients[[#This Row],[Unit Quantity]]</f>
        <v>23000</v>
      </c>
      <c r="H233" s="60">
        <v>292</v>
      </c>
      <c r="I233" s="60" t="s">
        <v>278</v>
      </c>
      <c r="J233" s="104"/>
      <c r="K233" s="33" t="s">
        <v>278</v>
      </c>
      <c r="L233" s="111"/>
      <c r="M233" s="33" t="s">
        <v>278</v>
      </c>
      <c r="N233" s="111"/>
      <c r="O233" s="33" t="s">
        <v>278</v>
      </c>
      <c r="P233" s="111"/>
      <c r="Q233" s="33" t="s">
        <v>587</v>
      </c>
      <c r="R233" s="111"/>
      <c r="S233" s="33" t="s">
        <v>278</v>
      </c>
      <c r="T233" s="111"/>
      <c r="U233" s="33" t="s">
        <v>278</v>
      </c>
      <c r="V233" s="111"/>
      <c r="W233" s="59" t="s">
        <v>548</v>
      </c>
      <c r="X233" s="33" t="str">
        <f>+VLOOKUP(OtherClients[[#This Row],[Part]],PartControl!$A$2:$E$564,5,FALSE)</f>
        <v>INFASCO</v>
      </c>
      <c r="Y233" s="108">
        <f>IF(OtherClients[[#This Row],[Re-certified or New]]&lt;&gt;"Re-certified",IF(OtherClients[[#This Row],[Client]]="infasco",VLOOKUP(OtherClients[[#This Row],[Part]],PartControl!$A$2:$E$564,2,FALSE),OtherClients[[#This Row],[Total Quantity]]*VLOOKUP(OtherClients[[#This Row],[Part]],PartControl!$A$2:$E$564,2,FALSE)),0)</f>
        <v>106.94</v>
      </c>
      <c r="Z233" s="108">
        <f>IF(OtherClients[[#This Row],[Re-certified or New]]&lt;&gt;"Re-certified",IF(OtherClients[[#This Row],[Client]]="infasco",VLOOKUP(OtherClients[[#This Row],[Part]],PartControl!$A$2:$E$564,2,FALSE),OtherClients[[#This Row],[Total Quantity]]*VLOOKUP(OtherClients[[#This Row],[Part]],PartControl!$A$2:$E$564,2,FALSE)),0)</f>
        <v>106.94</v>
      </c>
    </row>
    <row r="234" spans="1:26" ht="25.15" hidden="1" customHeight="1" x14ac:dyDescent="0.25">
      <c r="A234" s="112">
        <v>46239.695462962962</v>
      </c>
      <c r="B234" s="5" t="s">
        <v>623</v>
      </c>
      <c r="C234" s="5">
        <v>11549168</v>
      </c>
      <c r="D234" s="5">
        <v>713685</v>
      </c>
      <c r="E234" s="33">
        <v>36</v>
      </c>
      <c r="F234" s="60">
        <v>1000</v>
      </c>
      <c r="G234" s="60">
        <f>+OtherClients[[#This Row],[Boxes / Pieces]]*OtherClients[[#This Row],[Unit Quantity]]</f>
        <v>36000</v>
      </c>
      <c r="H234" s="60">
        <v>292</v>
      </c>
      <c r="I234" s="60" t="s">
        <v>278</v>
      </c>
      <c r="J234" s="104"/>
      <c r="K234" s="33" t="s">
        <v>278</v>
      </c>
      <c r="L234" s="111"/>
      <c r="M234" s="33" t="s">
        <v>278</v>
      </c>
      <c r="N234" s="111"/>
      <c r="O234" s="33" t="s">
        <v>278</v>
      </c>
      <c r="P234" s="111"/>
      <c r="Q234" s="33" t="s">
        <v>587</v>
      </c>
      <c r="R234" s="111"/>
      <c r="S234" s="33" t="s">
        <v>278</v>
      </c>
      <c r="T234" s="111"/>
      <c r="U234" s="33" t="s">
        <v>278</v>
      </c>
      <c r="V234" s="111"/>
      <c r="W234" s="59" t="s">
        <v>548</v>
      </c>
      <c r="X234" s="33" t="str">
        <f>+VLOOKUP(OtherClients[[#This Row],[Part]],PartControl!$A$2:$E$564,5,FALSE)</f>
        <v>INFASCO</v>
      </c>
      <c r="Y234" s="108">
        <f>IF(OtherClients[[#This Row],[Re-certified or New]]&lt;&gt;"Re-certified",IF(OtherClients[[#This Row],[Client]]="infasco",VLOOKUP(OtherClients[[#This Row],[Part]],PartControl!$A$2:$E$564,2,FALSE),OtherClients[[#This Row],[Total Quantity]]*VLOOKUP(OtherClients[[#This Row],[Part]],PartControl!$A$2:$E$564,2,FALSE)),0)</f>
        <v>106.94</v>
      </c>
      <c r="Z234" s="108">
        <f>IF(OtherClients[[#This Row],[Re-certified or New]]&lt;&gt;"Re-certified",IF(OtherClients[[#This Row],[Client]]="infasco",VLOOKUP(OtherClients[[#This Row],[Part]],PartControl!$A$2:$E$564,2,FALSE),OtherClients[[#This Row],[Total Quantity]]*VLOOKUP(OtherClients[[#This Row],[Part]],PartControl!$A$2:$E$564,2,FALSE)),0)</f>
        <v>106.94</v>
      </c>
    </row>
    <row r="235" spans="1:26" ht="25.15" hidden="1" customHeight="1" x14ac:dyDescent="0.25">
      <c r="A235" s="112">
        <v>46239.695462962962</v>
      </c>
      <c r="B235" s="5" t="s">
        <v>623</v>
      </c>
      <c r="C235" s="5">
        <v>11549168</v>
      </c>
      <c r="D235" s="5">
        <v>713696</v>
      </c>
      <c r="E235" s="33">
        <v>20</v>
      </c>
      <c r="F235" s="60">
        <v>1000</v>
      </c>
      <c r="G235" s="60">
        <f>+OtherClients[[#This Row],[Boxes / Pieces]]*OtherClients[[#This Row],[Unit Quantity]]</f>
        <v>20000</v>
      </c>
      <c r="H235" s="60">
        <v>292</v>
      </c>
      <c r="I235" s="60" t="s">
        <v>278</v>
      </c>
      <c r="J235" s="104"/>
      <c r="K235" s="33" t="s">
        <v>278</v>
      </c>
      <c r="L235" s="111"/>
      <c r="M235" s="33" t="s">
        <v>278</v>
      </c>
      <c r="N235" s="111"/>
      <c r="O235" s="33" t="s">
        <v>278</v>
      </c>
      <c r="P235" s="111"/>
      <c r="Q235" s="33" t="s">
        <v>587</v>
      </c>
      <c r="R235" s="111"/>
      <c r="S235" s="33" t="s">
        <v>278</v>
      </c>
      <c r="T235" s="111"/>
      <c r="U235" s="33" t="s">
        <v>278</v>
      </c>
      <c r="V235" s="111"/>
      <c r="W235" s="59" t="s">
        <v>633</v>
      </c>
      <c r="X235" s="33" t="str">
        <f>+VLOOKUP(OtherClients[[#This Row],[Part]],PartControl!$A$2:$E$564,5,FALSE)</f>
        <v>INFASCO</v>
      </c>
      <c r="Y235" s="108">
        <f>IF(OtherClients[[#This Row],[Re-certified or New]]&lt;&gt;"Re-certified",IF(OtherClients[[#This Row],[Client]]="infasco",VLOOKUP(OtherClients[[#This Row],[Part]],PartControl!$A$2:$E$564,2,FALSE),OtherClients[[#This Row],[Total Quantity]]*VLOOKUP(OtherClients[[#This Row],[Part]],PartControl!$A$2:$E$564,2,FALSE)),0)</f>
        <v>0</v>
      </c>
      <c r="Z235" s="108">
        <f>IF(OtherClients[[#This Row],[Re-certified or New]]&lt;&gt;"Re-certified",IF(OtherClients[[#This Row],[Client]]="infasco",VLOOKUP(OtherClients[[#This Row],[Part]],PartControl!$A$2:$E$564,2,FALSE),OtherClients[[#This Row],[Total Quantity]]*VLOOKUP(OtherClients[[#This Row],[Part]],PartControl!$A$2:$E$564,2,FALSE)),0)</f>
        <v>0</v>
      </c>
    </row>
    <row r="236" spans="1:26" ht="25.15" hidden="1" customHeight="1" x14ac:dyDescent="0.25">
      <c r="A236" s="112">
        <v>46239.695462962962</v>
      </c>
      <c r="B236" s="5" t="s">
        <v>244</v>
      </c>
      <c r="C236" s="5">
        <v>11549168</v>
      </c>
      <c r="D236" s="5">
        <v>713683</v>
      </c>
      <c r="E236" s="33">
        <v>30</v>
      </c>
      <c r="F236" s="60">
        <v>1000</v>
      </c>
      <c r="G236" s="60">
        <f>+OtherClients[[#This Row],[Boxes / Pieces]]*OtherClients[[#This Row],[Unit Quantity]]</f>
        <v>30000</v>
      </c>
      <c r="H236" s="60">
        <v>292</v>
      </c>
      <c r="I236" s="60" t="s">
        <v>278</v>
      </c>
      <c r="J236" s="104"/>
      <c r="K236" s="33" t="s">
        <v>278</v>
      </c>
      <c r="L236" s="111"/>
      <c r="M236" s="33" t="s">
        <v>278</v>
      </c>
      <c r="N236" s="111"/>
      <c r="O236" s="33" t="s">
        <v>278</v>
      </c>
      <c r="P236" s="111"/>
      <c r="Q236" s="33" t="s">
        <v>587</v>
      </c>
      <c r="R236" s="111"/>
      <c r="S236" s="33" t="s">
        <v>278</v>
      </c>
      <c r="T236" s="111"/>
      <c r="U236" s="33" t="s">
        <v>278</v>
      </c>
      <c r="V236" s="111"/>
      <c r="W236" s="59" t="s">
        <v>633</v>
      </c>
      <c r="X236" s="33" t="str">
        <f>+VLOOKUP(OtherClients[[#This Row],[Part]],PartControl!$A$2:$E$564,5,FALSE)</f>
        <v>INFASCO</v>
      </c>
      <c r="Y236" s="108">
        <f>IF(OtherClients[[#This Row],[Re-certified or New]]&lt;&gt;"Re-certified",IF(OtherClients[[#This Row],[Client]]="infasco",VLOOKUP(OtherClients[[#This Row],[Part]],PartControl!$A$2:$E$564,2,FALSE),OtherClients[[#This Row],[Total Quantity]]*VLOOKUP(OtherClients[[#This Row],[Part]],PartControl!$A$2:$E$564,2,FALSE)),0)</f>
        <v>0</v>
      </c>
      <c r="Z236" s="108">
        <f>IF(OtherClients[[#This Row],[Re-certified or New]]&lt;&gt;"Re-certified",IF(OtherClients[[#This Row],[Client]]="infasco",VLOOKUP(OtherClients[[#This Row],[Part]],PartControl!$A$2:$E$564,2,FALSE),OtherClients[[#This Row],[Total Quantity]]*VLOOKUP(OtherClients[[#This Row],[Part]],PartControl!$A$2:$E$564,2,FALSE)),0)</f>
        <v>0</v>
      </c>
    </row>
    <row r="237" spans="1:26" ht="25.15" hidden="1" customHeight="1" x14ac:dyDescent="0.25">
      <c r="A237" s="112">
        <v>46239.695462962962</v>
      </c>
      <c r="B237" s="5" t="s">
        <v>245</v>
      </c>
      <c r="C237" s="5">
        <v>11546456</v>
      </c>
      <c r="D237" s="5">
        <v>715615</v>
      </c>
      <c r="E237" s="33">
        <v>8</v>
      </c>
      <c r="F237" s="60">
        <v>2700</v>
      </c>
      <c r="G237" s="60">
        <f>+OtherClients[[#This Row],[Boxes / Pieces]]*OtherClients[[#This Row],[Unit Quantity]]</f>
        <v>21600</v>
      </c>
      <c r="H237" s="60">
        <v>292</v>
      </c>
      <c r="I237" s="60" t="s">
        <v>278</v>
      </c>
      <c r="J237" s="104"/>
      <c r="K237" s="33" t="s">
        <v>278</v>
      </c>
      <c r="L237" s="111"/>
      <c r="M237" s="33" t="s">
        <v>278</v>
      </c>
      <c r="N237" s="111"/>
      <c r="O237" s="33" t="s">
        <v>278</v>
      </c>
      <c r="P237" s="111"/>
      <c r="Q237" s="33" t="s">
        <v>587</v>
      </c>
      <c r="R237" s="111"/>
      <c r="S237" s="33" t="s">
        <v>278</v>
      </c>
      <c r="T237" s="111"/>
      <c r="U237" s="33" t="s">
        <v>278</v>
      </c>
      <c r="V237" s="111"/>
      <c r="W237" s="59" t="s">
        <v>633</v>
      </c>
      <c r="X237" s="33" t="str">
        <f>+VLOOKUP(OtherClients[[#This Row],[Part]],PartControl!$A$2:$E$564,5,FALSE)</f>
        <v>INFASCO</v>
      </c>
      <c r="Y237" s="108">
        <f>IF(OtherClients[[#This Row],[Re-certified or New]]&lt;&gt;"Re-certified",IF(OtherClients[[#This Row],[Client]]="infasco",VLOOKUP(OtherClients[[#This Row],[Part]],PartControl!$A$2:$E$564,2,FALSE),OtherClients[[#This Row],[Total Quantity]]*VLOOKUP(OtherClients[[#This Row],[Part]],PartControl!$A$2:$E$564,2,FALSE)),0)</f>
        <v>0</v>
      </c>
      <c r="Z237" s="108">
        <f>IF(OtherClients[[#This Row],[Re-certified or New]]&lt;&gt;"Re-certified",IF(OtherClients[[#This Row],[Client]]="infasco",VLOOKUP(OtherClients[[#This Row],[Part]],PartControl!$A$2:$E$564,2,FALSE),OtherClients[[#This Row],[Total Quantity]]*VLOOKUP(OtherClients[[#This Row],[Part]],PartControl!$A$2:$E$564,2,FALSE)),0)</f>
        <v>0</v>
      </c>
    </row>
    <row r="238" spans="1:26" ht="25.15" hidden="1" customHeight="1" x14ac:dyDescent="0.25">
      <c r="A238" s="112">
        <v>46239.695462962962</v>
      </c>
      <c r="B238" s="5" t="s">
        <v>342</v>
      </c>
      <c r="C238" s="5" t="s">
        <v>732</v>
      </c>
      <c r="D238" s="5">
        <v>705485</v>
      </c>
      <c r="E238" s="33">
        <f>56-7</f>
        <v>49</v>
      </c>
      <c r="F238" s="60">
        <v>1000</v>
      </c>
      <c r="G238" s="60">
        <f>+OtherClients[[#This Row],[Boxes / Pieces]]*OtherClients[[#This Row],[Unit Quantity]]</f>
        <v>49000</v>
      </c>
      <c r="H238" s="60" t="s">
        <v>811</v>
      </c>
      <c r="I238" s="60" t="s">
        <v>278</v>
      </c>
      <c r="J238" s="104"/>
      <c r="K238" s="33" t="s">
        <v>278</v>
      </c>
      <c r="L238" s="111"/>
      <c r="M238" s="33" t="s">
        <v>278</v>
      </c>
      <c r="N238" s="111"/>
      <c r="O238" s="33" t="s">
        <v>278</v>
      </c>
      <c r="P238" s="111"/>
      <c r="Q238" s="33" t="s">
        <v>587</v>
      </c>
      <c r="R238" s="111"/>
      <c r="S238" s="33" t="s">
        <v>278</v>
      </c>
      <c r="T238" s="111"/>
      <c r="U238" s="33" t="s">
        <v>278</v>
      </c>
      <c r="V238" s="111"/>
      <c r="W238" s="59" t="s">
        <v>548</v>
      </c>
      <c r="X238" s="33" t="str">
        <f>+VLOOKUP(OtherClients[[#This Row],[Part]],PartControl!$A$2:$E$564,5,FALSE)</f>
        <v>infasco</v>
      </c>
      <c r="Y238" s="108">
        <f>IF(OtherClients[[#This Row],[Re-certified or New]]&lt;&gt;"Re-certified",IF(OtherClients[[#This Row],[Client]]="infasco",VLOOKUP(OtherClients[[#This Row],[Part]],PartControl!$A$2:$E$564,2,FALSE),OtherClients[[#This Row],[Total Quantity]]*VLOOKUP(OtherClients[[#This Row],[Part]],PartControl!$A$2:$E$564,2,FALSE)),0)</f>
        <v>213.88</v>
      </c>
      <c r="Z238" s="108">
        <f>IF(OtherClients[[#This Row],[Re-certified or New]]&lt;&gt;"Re-certified",IF(OtherClients[[#This Row],[Client]]="infasco",VLOOKUP(OtherClients[[#This Row],[Part]],PartControl!$A$2:$E$564,2,FALSE),OtherClients[[#This Row],[Total Quantity]]*VLOOKUP(OtherClients[[#This Row],[Part]],PartControl!$A$2:$E$564,2,FALSE)),0)</f>
        <v>213.88</v>
      </c>
    </row>
    <row r="239" spans="1:26" ht="25.15" hidden="1" customHeight="1" x14ac:dyDescent="0.25">
      <c r="A239" s="112">
        <v>46239.695462962962</v>
      </c>
      <c r="B239" s="5" t="s">
        <v>342</v>
      </c>
      <c r="C239" s="5" t="s">
        <v>732</v>
      </c>
      <c r="D239" s="5">
        <v>710691</v>
      </c>
      <c r="E239" s="33">
        <v>26</v>
      </c>
      <c r="F239" s="60">
        <v>1000</v>
      </c>
      <c r="G239" s="60">
        <f>+OtherClients[[#This Row],[Boxes / Pieces]]*OtherClients[[#This Row],[Unit Quantity]]</f>
        <v>26000</v>
      </c>
      <c r="H239" s="60" t="s">
        <v>811</v>
      </c>
      <c r="I239" s="60" t="s">
        <v>278</v>
      </c>
      <c r="J239" s="104"/>
      <c r="K239" s="33" t="s">
        <v>278</v>
      </c>
      <c r="L239" s="111"/>
      <c r="M239" s="33" t="s">
        <v>278</v>
      </c>
      <c r="N239" s="111"/>
      <c r="O239" s="33" t="s">
        <v>278</v>
      </c>
      <c r="P239" s="111"/>
      <c r="Q239" s="33" t="s">
        <v>587</v>
      </c>
      <c r="R239" s="111"/>
      <c r="S239" s="33" t="s">
        <v>278</v>
      </c>
      <c r="T239" s="111"/>
      <c r="U239" s="33" t="s">
        <v>278</v>
      </c>
      <c r="V239" s="111"/>
      <c r="W239" s="59" t="s">
        <v>548</v>
      </c>
      <c r="X239" s="33" t="str">
        <f>+VLOOKUP(OtherClients[[#This Row],[Part]],PartControl!$A$2:$E$564,5,FALSE)</f>
        <v>infasco</v>
      </c>
      <c r="Y239" s="108">
        <f>IF(OtherClients[[#This Row],[Re-certified or New]]&lt;&gt;"Re-certified",IF(OtherClients[[#This Row],[Client]]="infasco",VLOOKUP(OtherClients[[#This Row],[Part]],PartControl!$A$2:$E$564,2,FALSE),OtherClients[[#This Row],[Total Quantity]]*VLOOKUP(OtherClients[[#This Row],[Part]],PartControl!$A$2:$E$564,2,FALSE)),0)</f>
        <v>213.88</v>
      </c>
      <c r="Z239" s="108">
        <f>IF(OtherClients[[#This Row],[Re-certified or New]]&lt;&gt;"Re-certified",IF(OtherClients[[#This Row],[Client]]="infasco",VLOOKUP(OtherClients[[#This Row],[Part]],PartControl!$A$2:$E$564,2,FALSE),OtherClients[[#This Row],[Total Quantity]]*VLOOKUP(OtherClients[[#This Row],[Part]],PartControl!$A$2:$E$564,2,FALSE)),0)</f>
        <v>213.88</v>
      </c>
    </row>
    <row r="240" spans="1:26" ht="25.15" hidden="1" customHeight="1" x14ac:dyDescent="0.25">
      <c r="A240" s="112">
        <v>46239.695462962962</v>
      </c>
      <c r="B240" s="5" t="s">
        <v>343</v>
      </c>
      <c r="C240" s="5" t="s">
        <v>815</v>
      </c>
      <c r="D240" s="5">
        <v>707148</v>
      </c>
      <c r="E240" s="33">
        <v>11</v>
      </c>
      <c r="F240" s="60">
        <v>700</v>
      </c>
      <c r="G240" s="60">
        <f>+OtherClients[[#This Row],[Boxes / Pieces]]*OtherClients[[#This Row],[Unit Quantity]]</f>
        <v>7700</v>
      </c>
      <c r="H240" s="60" t="s">
        <v>757</v>
      </c>
      <c r="I240" s="60" t="s">
        <v>278</v>
      </c>
      <c r="J240" s="104"/>
      <c r="K240" s="33" t="s">
        <v>278</v>
      </c>
      <c r="L240" s="111"/>
      <c r="M240" s="33" t="s">
        <v>278</v>
      </c>
      <c r="N240" s="111"/>
      <c r="O240" s="33" t="s">
        <v>278</v>
      </c>
      <c r="P240" s="111"/>
      <c r="Q240" s="33" t="s">
        <v>587</v>
      </c>
      <c r="R240" s="111"/>
      <c r="S240" s="33" t="s">
        <v>278</v>
      </c>
      <c r="T240" s="111"/>
      <c r="U240" s="33" t="s">
        <v>278</v>
      </c>
      <c r="V240" s="111"/>
      <c r="W240" s="59" t="s">
        <v>548</v>
      </c>
      <c r="X240" s="33" t="str">
        <f>+VLOOKUP(OtherClients[[#This Row],[Part]],PartControl!$A$2:$E$564,5,FALSE)</f>
        <v>infasco</v>
      </c>
      <c r="Y240" s="108">
        <f>IF(OtherClients[[#This Row],[Re-certified or New]]&lt;&gt;"Re-certified",IF(OtherClients[[#This Row],[Client]]="infasco",VLOOKUP(OtherClients[[#This Row],[Part]],PartControl!$A$2:$E$564,2,FALSE),OtherClients[[#This Row],[Total Quantity]]*VLOOKUP(OtherClients[[#This Row],[Part]],PartControl!$A$2:$E$564,2,FALSE)),0)</f>
        <v>106.94</v>
      </c>
      <c r="Z240" s="108">
        <f>IF(OtherClients[[#This Row],[Re-certified or New]]&lt;&gt;"Re-certified",IF(OtherClients[[#This Row],[Client]]="infasco",VLOOKUP(OtherClients[[#This Row],[Part]],PartControl!$A$2:$E$564,2,FALSE),OtherClients[[#This Row],[Total Quantity]]*VLOOKUP(OtherClients[[#This Row],[Part]],PartControl!$A$2:$E$564,2,FALSE)),0)</f>
        <v>106.94</v>
      </c>
    </row>
    <row r="241" spans="1:26" ht="25.15" hidden="1" customHeight="1" x14ac:dyDescent="0.25">
      <c r="A241" s="112">
        <v>46239.695462962962</v>
      </c>
      <c r="B241" s="5" t="s">
        <v>343</v>
      </c>
      <c r="C241" s="5" t="s">
        <v>821</v>
      </c>
      <c r="D241" s="5">
        <v>715749</v>
      </c>
      <c r="E241" s="33">
        <v>36</v>
      </c>
      <c r="F241" s="60">
        <v>215</v>
      </c>
      <c r="G241" s="60">
        <f>+OtherClients[[#This Row],[Boxes / Pieces]]*OtherClients[[#This Row],[Unit Quantity]]</f>
        <v>7740</v>
      </c>
      <c r="H241" s="60" t="s">
        <v>757</v>
      </c>
      <c r="I241" s="60" t="s">
        <v>278</v>
      </c>
      <c r="J241" s="104"/>
      <c r="K241" s="33" t="s">
        <v>278</v>
      </c>
      <c r="L241" s="111"/>
      <c r="M241" s="33" t="s">
        <v>278</v>
      </c>
      <c r="N241" s="111"/>
      <c r="O241" s="33" t="s">
        <v>278</v>
      </c>
      <c r="P241" s="111"/>
      <c r="Q241" s="33" t="s">
        <v>587</v>
      </c>
      <c r="R241" s="111"/>
      <c r="S241" s="33" t="s">
        <v>278</v>
      </c>
      <c r="T241" s="111"/>
      <c r="U241" s="33" t="s">
        <v>278</v>
      </c>
      <c r="V241" s="111"/>
      <c r="W241" s="59" t="s">
        <v>548</v>
      </c>
      <c r="X241" s="33" t="str">
        <f>+VLOOKUP(OtherClients[[#This Row],[Part]],PartControl!$A$2:$E$564,5,FALSE)</f>
        <v>Infasco</v>
      </c>
      <c r="Y241" s="108">
        <f>IF(OtherClients[[#This Row],[Re-certified or New]]&lt;&gt;"Re-certified",IF(OtherClients[[#This Row],[Client]]="infasco",VLOOKUP(OtherClients[[#This Row],[Part]],PartControl!$A$2:$E$564,2,FALSE),OtherClients[[#This Row],[Total Quantity]]*VLOOKUP(OtherClients[[#This Row],[Part]],PartControl!$A$2:$E$564,2,FALSE)),0)</f>
        <v>106.94</v>
      </c>
      <c r="Z241" s="108">
        <f>IF(OtherClients[[#This Row],[Re-certified or New]]&lt;&gt;"Re-certified",IF(OtherClients[[#This Row],[Client]]="infasco",VLOOKUP(OtherClients[[#This Row],[Part]],PartControl!$A$2:$E$564,2,FALSE),OtherClients[[#This Row],[Total Quantity]]*VLOOKUP(OtherClients[[#This Row],[Part]],PartControl!$A$2:$E$564,2,FALSE)),0)</f>
        <v>106.94</v>
      </c>
    </row>
    <row r="242" spans="1:26" ht="25.15" hidden="1" customHeight="1" x14ac:dyDescent="0.25">
      <c r="A242" s="112">
        <v>46239.695462962962</v>
      </c>
      <c r="B242" s="5" t="s">
        <v>343</v>
      </c>
      <c r="C242" s="5" t="s">
        <v>821</v>
      </c>
      <c r="D242" s="5">
        <v>715746</v>
      </c>
      <c r="E242" s="33">
        <f>36+8</f>
        <v>44</v>
      </c>
      <c r="F242" s="60">
        <v>215</v>
      </c>
      <c r="G242" s="60">
        <f>+OtherClients[[#This Row],[Boxes / Pieces]]*OtherClients[[#This Row],[Unit Quantity]]</f>
        <v>9460</v>
      </c>
      <c r="H242" s="60" t="s">
        <v>757</v>
      </c>
      <c r="I242" s="60" t="s">
        <v>278</v>
      </c>
      <c r="J242" s="104"/>
      <c r="K242" s="33" t="s">
        <v>278</v>
      </c>
      <c r="L242" s="111"/>
      <c r="M242" s="33" t="s">
        <v>278</v>
      </c>
      <c r="N242" s="111"/>
      <c r="O242" s="33" t="s">
        <v>278</v>
      </c>
      <c r="P242" s="111"/>
      <c r="Q242" s="33" t="s">
        <v>587</v>
      </c>
      <c r="R242" s="111"/>
      <c r="S242" s="33" t="s">
        <v>278</v>
      </c>
      <c r="T242" s="111"/>
      <c r="U242" s="33" t="s">
        <v>278</v>
      </c>
      <c r="V242" s="111"/>
      <c r="W242" s="59" t="s">
        <v>548</v>
      </c>
      <c r="X242" s="33" t="str">
        <f>+VLOOKUP(OtherClients[[#This Row],[Part]],PartControl!$A$2:$E$564,5,FALSE)</f>
        <v>Infasco</v>
      </c>
      <c r="Y242" s="108">
        <f>IF(OtherClients[[#This Row],[Re-certified or New]]&lt;&gt;"Re-certified",IF(OtherClients[[#This Row],[Client]]="infasco",VLOOKUP(OtherClients[[#This Row],[Part]],PartControl!$A$2:$E$564,2,FALSE),OtherClients[[#This Row],[Total Quantity]]*VLOOKUP(OtherClients[[#This Row],[Part]],PartControl!$A$2:$E$564,2,FALSE)),0)</f>
        <v>106.94</v>
      </c>
      <c r="Z242" s="108">
        <f>IF(OtherClients[[#This Row],[Re-certified or New]]&lt;&gt;"Re-certified",IF(OtherClients[[#This Row],[Client]]="infasco",VLOOKUP(OtherClients[[#This Row],[Part]],PartControl!$A$2:$E$564,2,FALSE),OtherClients[[#This Row],[Total Quantity]]*VLOOKUP(OtherClients[[#This Row],[Part]],PartControl!$A$2:$E$564,2,FALSE)),0)</f>
        <v>106.94</v>
      </c>
    </row>
    <row r="243" spans="1:26" ht="25.15" hidden="1" customHeight="1" x14ac:dyDescent="0.25">
      <c r="A243" s="112">
        <v>46239.695462962962</v>
      </c>
      <c r="B243" s="5" t="s">
        <v>343</v>
      </c>
      <c r="C243" s="5" t="s">
        <v>824</v>
      </c>
      <c r="D243" s="5">
        <v>714246</v>
      </c>
      <c r="E243" s="33">
        <v>1</v>
      </c>
      <c r="F243" s="60">
        <v>4700</v>
      </c>
      <c r="G243" s="60">
        <f>+OtherClients[[#This Row],[Boxes / Pieces]]*OtherClients[[#This Row],[Unit Quantity]]</f>
        <v>4700</v>
      </c>
      <c r="H243" s="60" t="s">
        <v>757</v>
      </c>
      <c r="I243" s="60" t="s">
        <v>278</v>
      </c>
      <c r="J243" s="104"/>
      <c r="K243" s="33" t="s">
        <v>278</v>
      </c>
      <c r="L243" s="111"/>
      <c r="M243" s="33" t="s">
        <v>278</v>
      </c>
      <c r="N243" s="111"/>
      <c r="O243" s="33" t="s">
        <v>278</v>
      </c>
      <c r="P243" s="111"/>
      <c r="Q243" s="33" t="s">
        <v>587</v>
      </c>
      <c r="R243" s="111"/>
      <c r="S243" s="33" t="s">
        <v>278</v>
      </c>
      <c r="T243" s="111"/>
      <c r="U243" s="33" t="s">
        <v>278</v>
      </c>
      <c r="V243" s="111"/>
      <c r="W243" s="59" t="s">
        <v>548</v>
      </c>
      <c r="X243" s="33" t="str">
        <f>+VLOOKUP(OtherClients[[#This Row],[Part]],PartControl!$A$2:$E$564,5,FALSE)</f>
        <v>Infasco</v>
      </c>
      <c r="Y243" s="108">
        <f>IF(OtherClients[[#This Row],[Re-certified or New]]&lt;&gt;"Re-certified",IF(OtherClients[[#This Row],[Client]]="infasco",VLOOKUP(OtherClients[[#This Row],[Part]],PartControl!$A$2:$E$564,2,FALSE),OtherClients[[#This Row],[Total Quantity]]*VLOOKUP(OtherClients[[#This Row],[Part]],PartControl!$A$2:$E$564,2,FALSE)),0)</f>
        <v>129.44999999999999</v>
      </c>
      <c r="Z243" s="108">
        <f>IF(OtherClients[[#This Row],[Re-certified or New]]&lt;&gt;"Re-certified",IF(OtherClients[[#This Row],[Client]]="infasco",VLOOKUP(OtherClients[[#This Row],[Part]],PartControl!$A$2:$E$564,2,FALSE),OtherClients[[#This Row],[Total Quantity]]*VLOOKUP(OtherClients[[#This Row],[Part]],PartControl!$A$2:$E$564,2,FALSE)),0)</f>
        <v>129.44999999999999</v>
      </c>
    </row>
    <row r="244" spans="1:26" ht="25.15" hidden="1" customHeight="1" x14ac:dyDescent="0.25">
      <c r="A244" s="112">
        <v>46239.695462962962</v>
      </c>
      <c r="B244" s="5" t="s">
        <v>343</v>
      </c>
      <c r="C244" s="5" t="s">
        <v>824</v>
      </c>
      <c r="D244" s="5">
        <v>714244</v>
      </c>
      <c r="E244" s="33">
        <v>1</v>
      </c>
      <c r="F244" s="60">
        <v>6634</v>
      </c>
      <c r="G244" s="60">
        <f>+OtherClients[[#This Row],[Boxes / Pieces]]*OtherClients[[#This Row],[Unit Quantity]]</f>
        <v>6634</v>
      </c>
      <c r="H244" s="60" t="s">
        <v>757</v>
      </c>
      <c r="I244" s="60" t="s">
        <v>278</v>
      </c>
      <c r="J244" s="104"/>
      <c r="K244" s="33" t="s">
        <v>278</v>
      </c>
      <c r="L244" s="111"/>
      <c r="M244" s="33" t="s">
        <v>278</v>
      </c>
      <c r="N244" s="111"/>
      <c r="O244" s="33" t="s">
        <v>278</v>
      </c>
      <c r="P244" s="111"/>
      <c r="Q244" s="33" t="s">
        <v>587</v>
      </c>
      <c r="R244" s="111"/>
      <c r="S244" s="33" t="s">
        <v>278</v>
      </c>
      <c r="T244" s="111"/>
      <c r="U244" s="33" t="s">
        <v>278</v>
      </c>
      <c r="V244" s="111"/>
      <c r="W244" s="59" t="s">
        <v>548</v>
      </c>
      <c r="X244" s="33" t="str">
        <f>+VLOOKUP(OtherClients[[#This Row],[Part]],PartControl!$A$2:$E$564,5,FALSE)</f>
        <v>Infasco</v>
      </c>
      <c r="Y244" s="108">
        <f>IF(OtherClients[[#This Row],[Re-certified or New]]&lt;&gt;"Re-certified",IF(OtherClients[[#This Row],[Client]]="infasco",VLOOKUP(OtherClients[[#This Row],[Part]],PartControl!$A$2:$E$564,2,FALSE),OtherClients[[#This Row],[Total Quantity]]*VLOOKUP(OtherClients[[#This Row],[Part]],PartControl!$A$2:$E$564,2,FALSE)),0)</f>
        <v>129.44999999999999</v>
      </c>
      <c r="Z244" s="108">
        <f>IF(OtherClients[[#This Row],[Re-certified or New]]&lt;&gt;"Re-certified",IF(OtherClients[[#This Row],[Client]]="infasco",VLOOKUP(OtherClients[[#This Row],[Part]],PartControl!$A$2:$E$564,2,FALSE),OtherClients[[#This Row],[Total Quantity]]*VLOOKUP(OtherClients[[#This Row],[Part]],PartControl!$A$2:$E$564,2,FALSE)),0)</f>
        <v>129.44999999999999</v>
      </c>
    </row>
    <row r="245" spans="1:26" ht="25.15" hidden="1" customHeight="1" x14ac:dyDescent="0.25">
      <c r="A245" s="112">
        <v>46239.695462962962</v>
      </c>
      <c r="B245" s="5" t="s">
        <v>343</v>
      </c>
      <c r="C245" s="5">
        <v>40161567</v>
      </c>
      <c r="D245" s="5">
        <v>715830</v>
      </c>
      <c r="E245" s="33">
        <v>26</v>
      </c>
      <c r="F245" s="60">
        <v>175</v>
      </c>
      <c r="G245" s="60">
        <f>+OtherClients[[#This Row],[Boxes / Pieces]]*OtherClients[[#This Row],[Unit Quantity]]</f>
        <v>4550</v>
      </c>
      <c r="H245" s="60" t="s">
        <v>757</v>
      </c>
      <c r="I245" s="60" t="s">
        <v>278</v>
      </c>
      <c r="J245" s="104"/>
      <c r="K245" s="33" t="s">
        <v>278</v>
      </c>
      <c r="L245" s="111"/>
      <c r="M245" s="33" t="s">
        <v>278</v>
      </c>
      <c r="N245" s="111"/>
      <c r="O245" s="33" t="s">
        <v>278</v>
      </c>
      <c r="P245" s="111"/>
      <c r="Q245" s="33" t="s">
        <v>587</v>
      </c>
      <c r="R245" s="111"/>
      <c r="S245" s="33" t="s">
        <v>278</v>
      </c>
      <c r="T245" s="111"/>
      <c r="U245" s="33" t="s">
        <v>278</v>
      </c>
      <c r="V245" s="111"/>
      <c r="W245" s="59" t="s">
        <v>548</v>
      </c>
      <c r="X245" s="33" t="str">
        <f>+VLOOKUP(OtherClients[[#This Row],[Part]],PartControl!$A$2:$E$564,5,FALSE)</f>
        <v>INFASCO</v>
      </c>
      <c r="Y245" s="108">
        <f>IF(OtherClients[[#This Row],[Re-certified or New]]&lt;&gt;"Re-certified",IF(OtherClients[[#This Row],[Client]]="infasco",VLOOKUP(OtherClients[[#This Row],[Part]],PartControl!$A$2:$E$564,2,FALSE),OtherClients[[#This Row],[Total Quantity]]*VLOOKUP(OtherClients[[#This Row],[Part]],PartControl!$A$2:$E$564,2,FALSE)),0)</f>
        <v>106.94</v>
      </c>
      <c r="Z245" s="108">
        <f>IF(OtherClients[[#This Row],[Re-certified or New]]&lt;&gt;"Re-certified",IF(OtherClients[[#This Row],[Client]]="infasco",VLOOKUP(OtherClients[[#This Row],[Part]],PartControl!$A$2:$E$564,2,FALSE),OtherClients[[#This Row],[Total Quantity]]*VLOOKUP(OtherClients[[#This Row],[Part]],PartControl!$A$2:$E$564,2,FALSE)),0)</f>
        <v>106.94</v>
      </c>
    </row>
    <row r="246" spans="1:26" ht="25.15" hidden="1" customHeight="1" x14ac:dyDescent="0.25">
      <c r="A246" s="112">
        <v>46239.695462962962</v>
      </c>
      <c r="B246" s="5" t="s">
        <v>343</v>
      </c>
      <c r="C246" s="5" t="s">
        <v>791</v>
      </c>
      <c r="D246" s="5">
        <v>716083</v>
      </c>
      <c r="E246" s="33">
        <v>41</v>
      </c>
      <c r="F246" s="60">
        <v>960</v>
      </c>
      <c r="G246" s="60">
        <f>+OtherClients[[#This Row],[Boxes / Pieces]]*OtherClients[[#This Row],[Unit Quantity]]</f>
        <v>39360</v>
      </c>
      <c r="H246" s="60" t="s">
        <v>757</v>
      </c>
      <c r="I246" s="60" t="s">
        <v>278</v>
      </c>
      <c r="J246" s="104"/>
      <c r="K246" s="33" t="s">
        <v>278</v>
      </c>
      <c r="L246" s="111"/>
      <c r="M246" s="33" t="s">
        <v>278</v>
      </c>
      <c r="N246" s="111"/>
      <c r="O246" s="33" t="s">
        <v>278</v>
      </c>
      <c r="P246" s="111"/>
      <c r="Q246" s="33" t="s">
        <v>587</v>
      </c>
      <c r="R246" s="111"/>
      <c r="S246" s="33" t="s">
        <v>278</v>
      </c>
      <c r="T246" s="111"/>
      <c r="U246" s="33" t="s">
        <v>278</v>
      </c>
      <c r="V246" s="111"/>
      <c r="W246" s="59" t="s">
        <v>548</v>
      </c>
      <c r="X246" s="33" t="str">
        <f>+VLOOKUP(OtherClients[[#This Row],[Part]],PartControl!$A$2:$E$564,5,FALSE)</f>
        <v>infasco</v>
      </c>
      <c r="Y246" s="108">
        <f>IF(OtherClients[[#This Row],[Re-certified or New]]&lt;&gt;"Re-certified",IF(OtherClients[[#This Row],[Client]]="infasco",VLOOKUP(OtherClients[[#This Row],[Part]],PartControl!$A$2:$E$564,2,FALSE),OtherClients[[#This Row],[Total Quantity]]*VLOOKUP(OtherClients[[#This Row],[Part]],PartControl!$A$2:$E$564,2,FALSE)),0)</f>
        <v>223.88</v>
      </c>
      <c r="Z246" s="108">
        <f>IF(OtherClients[[#This Row],[Re-certified or New]]&lt;&gt;"Re-certified",IF(OtherClients[[#This Row],[Client]]="infasco",VLOOKUP(OtherClients[[#This Row],[Part]],PartControl!$A$2:$E$564,2,FALSE),OtherClients[[#This Row],[Total Quantity]]*VLOOKUP(OtherClients[[#This Row],[Part]],PartControl!$A$2:$E$564,2,FALSE)),0)</f>
        <v>223.88</v>
      </c>
    </row>
    <row r="247" spans="1:26" ht="25.15" hidden="1" customHeight="1" x14ac:dyDescent="0.25">
      <c r="A247" s="112">
        <v>46239.695462962962</v>
      </c>
      <c r="B247" s="5" t="s">
        <v>343</v>
      </c>
      <c r="C247" s="5">
        <v>11549204</v>
      </c>
      <c r="D247" s="5">
        <v>714655</v>
      </c>
      <c r="E247" s="33">
        <v>36</v>
      </c>
      <c r="F247" s="60">
        <v>210</v>
      </c>
      <c r="G247" s="60">
        <f>+OtherClients[[#This Row],[Boxes / Pieces]]*OtherClients[[#This Row],[Unit Quantity]]</f>
        <v>7560</v>
      </c>
      <c r="H247" s="60" t="s">
        <v>757</v>
      </c>
      <c r="I247" s="60" t="s">
        <v>278</v>
      </c>
      <c r="J247" s="104"/>
      <c r="K247" s="33" t="s">
        <v>278</v>
      </c>
      <c r="L247" s="111"/>
      <c r="M247" s="33" t="s">
        <v>278</v>
      </c>
      <c r="N247" s="111"/>
      <c r="O247" s="33" t="s">
        <v>278</v>
      </c>
      <c r="P247" s="111"/>
      <c r="Q247" s="33" t="s">
        <v>587</v>
      </c>
      <c r="R247" s="111"/>
      <c r="S247" s="33" t="s">
        <v>278</v>
      </c>
      <c r="T247" s="111"/>
      <c r="U247" s="33" t="s">
        <v>278</v>
      </c>
      <c r="V247" s="111"/>
      <c r="W247" s="59" t="s">
        <v>548</v>
      </c>
      <c r="X247" s="33" t="str">
        <f>+VLOOKUP(OtherClients[[#This Row],[Part]],PartControl!$A$2:$E$564,5,FALSE)</f>
        <v>INFASCO</v>
      </c>
      <c r="Y247" s="108">
        <f>IF(OtherClients[[#This Row],[Re-certified or New]]&lt;&gt;"Re-certified",IF(OtherClients[[#This Row],[Client]]="infasco",VLOOKUP(OtherClients[[#This Row],[Part]],PartControl!$A$2:$E$564,2,FALSE),OtherClients[[#This Row],[Total Quantity]]*VLOOKUP(OtherClients[[#This Row],[Part]],PartControl!$A$2:$E$564,2,FALSE)),0)</f>
        <v>106.94</v>
      </c>
      <c r="Z247" s="108">
        <f>IF(OtherClients[[#This Row],[Re-certified or New]]&lt;&gt;"Re-certified",IF(OtherClients[[#This Row],[Client]]="infasco",VLOOKUP(OtherClients[[#This Row],[Part]],PartControl!$A$2:$E$564,2,FALSE),OtherClients[[#This Row],[Total Quantity]]*VLOOKUP(OtherClients[[#This Row],[Part]],PartControl!$A$2:$E$564,2,FALSE)),0)</f>
        <v>106.94</v>
      </c>
    </row>
    <row r="248" spans="1:26" ht="25.15" hidden="1" customHeight="1" x14ac:dyDescent="0.25">
      <c r="A248" s="112">
        <v>46239.695462962962</v>
      </c>
      <c r="B248" s="5" t="s">
        <v>343</v>
      </c>
      <c r="C248" s="5">
        <v>11549204</v>
      </c>
      <c r="D248" s="5">
        <v>714659</v>
      </c>
      <c r="E248" s="33">
        <v>42</v>
      </c>
      <c r="F248" s="60">
        <v>210</v>
      </c>
      <c r="G248" s="60">
        <f>+OtherClients[[#This Row],[Boxes / Pieces]]*OtherClients[[#This Row],[Unit Quantity]]</f>
        <v>8820</v>
      </c>
      <c r="H248" s="60" t="s">
        <v>757</v>
      </c>
      <c r="I248" s="60" t="s">
        <v>278</v>
      </c>
      <c r="J248" s="104"/>
      <c r="K248" s="33" t="s">
        <v>278</v>
      </c>
      <c r="L248" s="111"/>
      <c r="M248" s="33" t="s">
        <v>278</v>
      </c>
      <c r="N248" s="111"/>
      <c r="O248" s="33" t="s">
        <v>278</v>
      </c>
      <c r="P248" s="111"/>
      <c r="Q248" s="33" t="s">
        <v>587</v>
      </c>
      <c r="R248" s="111"/>
      <c r="S248" s="33" t="s">
        <v>278</v>
      </c>
      <c r="T248" s="111"/>
      <c r="U248" s="33" t="s">
        <v>278</v>
      </c>
      <c r="V248" s="111"/>
      <c r="W248" s="59" t="s">
        <v>548</v>
      </c>
      <c r="X248" s="33" t="str">
        <f>+VLOOKUP(OtherClients[[#This Row],[Part]],PartControl!$A$2:$E$564,5,FALSE)</f>
        <v>INFASCO</v>
      </c>
      <c r="Y248" s="108">
        <f>IF(OtherClients[[#This Row],[Re-certified or New]]&lt;&gt;"Re-certified",IF(OtherClients[[#This Row],[Client]]="infasco",VLOOKUP(OtherClients[[#This Row],[Part]],PartControl!$A$2:$E$564,2,FALSE),OtherClients[[#This Row],[Total Quantity]]*VLOOKUP(OtherClients[[#This Row],[Part]],PartControl!$A$2:$E$564,2,FALSE)),0)</f>
        <v>106.94</v>
      </c>
      <c r="Z248" s="108">
        <f>IF(OtherClients[[#This Row],[Re-certified or New]]&lt;&gt;"Re-certified",IF(OtherClients[[#This Row],[Client]]="infasco",VLOOKUP(OtherClients[[#This Row],[Part]],PartControl!$A$2:$E$564,2,FALSE),OtherClients[[#This Row],[Total Quantity]]*VLOOKUP(OtherClients[[#This Row],[Part]],PartControl!$A$2:$E$564,2,FALSE)),0)</f>
        <v>106.94</v>
      </c>
    </row>
    <row r="249" spans="1:26" ht="25.15" hidden="1" customHeight="1" x14ac:dyDescent="0.25">
      <c r="A249" s="112">
        <v>46239.695462962962</v>
      </c>
      <c r="B249" s="5" t="s">
        <v>344</v>
      </c>
      <c r="C249" s="5" t="s">
        <v>821</v>
      </c>
      <c r="D249" s="5">
        <v>715748</v>
      </c>
      <c r="E249" s="33">
        <v>20</v>
      </c>
      <c r="F249" s="60">
        <v>215</v>
      </c>
      <c r="G249" s="60">
        <f>+OtherClients[[#This Row],[Boxes / Pieces]]*OtherClients[[#This Row],[Unit Quantity]]</f>
        <v>4300</v>
      </c>
      <c r="H249" s="60" t="s">
        <v>816</v>
      </c>
      <c r="I249" s="60" t="s">
        <v>278</v>
      </c>
      <c r="J249" s="104"/>
      <c r="K249" s="33" t="s">
        <v>278</v>
      </c>
      <c r="L249" s="111"/>
      <c r="M249" s="33" t="s">
        <v>278</v>
      </c>
      <c r="N249" s="111"/>
      <c r="O249" s="33" t="s">
        <v>278</v>
      </c>
      <c r="P249" s="111"/>
      <c r="Q249" s="33" t="s">
        <v>587</v>
      </c>
      <c r="R249" s="111"/>
      <c r="S249" s="33" t="s">
        <v>278</v>
      </c>
      <c r="T249" s="111"/>
      <c r="U249" s="33" t="s">
        <v>278</v>
      </c>
      <c r="V249" s="111"/>
      <c r="W249" s="59" t="s">
        <v>548</v>
      </c>
      <c r="X249" s="33" t="str">
        <f>+VLOOKUP(OtherClients[[#This Row],[Part]],PartControl!$A$2:$E$564,5,FALSE)</f>
        <v>Infasco</v>
      </c>
      <c r="Y249" s="108">
        <f>IF(OtherClients[[#This Row],[Re-certified or New]]&lt;&gt;"Re-certified",IF(OtherClients[[#This Row],[Client]]="infasco",VLOOKUP(OtherClients[[#This Row],[Part]],PartControl!$A$2:$E$564,2,FALSE),OtherClients[[#This Row],[Total Quantity]]*VLOOKUP(OtherClients[[#This Row],[Part]],PartControl!$A$2:$E$564,2,FALSE)),0)</f>
        <v>106.94</v>
      </c>
      <c r="Z249" s="108">
        <f>IF(OtherClients[[#This Row],[Re-certified or New]]&lt;&gt;"Re-certified",IF(OtherClients[[#This Row],[Client]]="infasco",VLOOKUP(OtherClients[[#This Row],[Part]],PartControl!$A$2:$E$564,2,FALSE),OtherClients[[#This Row],[Total Quantity]]*VLOOKUP(OtherClients[[#This Row],[Part]],PartControl!$A$2:$E$564,2,FALSE)),0)</f>
        <v>106.94</v>
      </c>
    </row>
    <row r="250" spans="1:26" ht="25.15" hidden="1" customHeight="1" x14ac:dyDescent="0.25">
      <c r="A250" s="112">
        <v>46239.695462962962</v>
      </c>
      <c r="B250" s="5" t="s">
        <v>344</v>
      </c>
      <c r="C250" s="5" t="s">
        <v>821</v>
      </c>
      <c r="D250" s="5">
        <v>715747</v>
      </c>
      <c r="E250" s="33">
        <v>16</v>
      </c>
      <c r="F250" s="60">
        <v>215</v>
      </c>
      <c r="G250" s="60">
        <f>+OtherClients[[#This Row],[Boxes / Pieces]]*OtherClients[[#This Row],[Unit Quantity]]</f>
        <v>3440</v>
      </c>
      <c r="H250" s="60" t="s">
        <v>816</v>
      </c>
      <c r="I250" s="60" t="s">
        <v>278</v>
      </c>
      <c r="J250" s="104"/>
      <c r="K250" s="33" t="s">
        <v>278</v>
      </c>
      <c r="L250" s="111"/>
      <c r="M250" s="33" t="s">
        <v>278</v>
      </c>
      <c r="N250" s="111"/>
      <c r="O250" s="33" t="s">
        <v>278</v>
      </c>
      <c r="P250" s="111"/>
      <c r="Q250" s="33" t="s">
        <v>587</v>
      </c>
      <c r="R250" s="111"/>
      <c r="S250" s="33" t="s">
        <v>278</v>
      </c>
      <c r="T250" s="111"/>
      <c r="U250" s="33" t="s">
        <v>278</v>
      </c>
      <c r="V250" s="111"/>
      <c r="W250" s="59" t="s">
        <v>548</v>
      </c>
      <c r="X250" s="33" t="str">
        <f>+VLOOKUP(OtherClients[[#This Row],[Part]],PartControl!$A$2:$E$564,5,FALSE)</f>
        <v>Infasco</v>
      </c>
      <c r="Y250" s="108">
        <f>IF(OtherClients[[#This Row],[Re-certified or New]]&lt;&gt;"Re-certified",IF(OtherClients[[#This Row],[Client]]="infasco",VLOOKUP(OtherClients[[#This Row],[Part]],PartControl!$A$2:$E$564,2,FALSE),OtherClients[[#This Row],[Total Quantity]]*VLOOKUP(OtherClients[[#This Row],[Part]],PartControl!$A$2:$E$564,2,FALSE)),0)</f>
        <v>106.94</v>
      </c>
      <c r="Z250" s="108">
        <f>IF(OtherClients[[#This Row],[Re-certified or New]]&lt;&gt;"Re-certified",IF(OtherClients[[#This Row],[Client]]="infasco",VLOOKUP(OtherClients[[#This Row],[Part]],PartControl!$A$2:$E$564,2,FALSE),OtherClients[[#This Row],[Total Quantity]]*VLOOKUP(OtherClients[[#This Row],[Part]],PartControl!$A$2:$E$564,2,FALSE)),0)</f>
        <v>106.94</v>
      </c>
    </row>
    <row r="251" spans="1:26" ht="25.15" hidden="1" customHeight="1" x14ac:dyDescent="0.25">
      <c r="A251" s="112">
        <v>46239.695462962962</v>
      </c>
      <c r="B251" s="5" t="s">
        <v>344</v>
      </c>
      <c r="C251" s="5" t="s">
        <v>821</v>
      </c>
      <c r="D251" s="5">
        <v>715751</v>
      </c>
      <c r="E251" s="33">
        <v>52</v>
      </c>
      <c r="F251" s="60">
        <v>215</v>
      </c>
      <c r="G251" s="60">
        <f>+OtherClients[[#This Row],[Boxes / Pieces]]*OtherClients[[#This Row],[Unit Quantity]]</f>
        <v>11180</v>
      </c>
      <c r="H251" s="60" t="s">
        <v>816</v>
      </c>
      <c r="I251" s="60" t="s">
        <v>278</v>
      </c>
      <c r="J251" s="104"/>
      <c r="K251" s="33" t="s">
        <v>278</v>
      </c>
      <c r="L251" s="111"/>
      <c r="M251" s="33" t="s">
        <v>278</v>
      </c>
      <c r="N251" s="111"/>
      <c r="O251" s="33" t="s">
        <v>278</v>
      </c>
      <c r="P251" s="111"/>
      <c r="Q251" s="33" t="s">
        <v>587</v>
      </c>
      <c r="R251" s="111"/>
      <c r="S251" s="33" t="s">
        <v>278</v>
      </c>
      <c r="T251" s="111"/>
      <c r="U251" s="33" t="s">
        <v>278</v>
      </c>
      <c r="V251" s="111"/>
      <c r="W251" s="59" t="s">
        <v>548</v>
      </c>
      <c r="X251" s="33" t="str">
        <f>+VLOOKUP(OtherClients[[#This Row],[Part]],PartControl!$A$2:$E$564,5,FALSE)</f>
        <v>Infasco</v>
      </c>
      <c r="Y251" s="108">
        <f>IF(OtherClients[[#This Row],[Re-certified or New]]&lt;&gt;"Re-certified",IF(OtherClients[[#This Row],[Client]]="infasco",VLOOKUP(OtherClients[[#This Row],[Part]],PartControl!$A$2:$E$564,2,FALSE),OtherClients[[#This Row],[Total Quantity]]*VLOOKUP(OtherClients[[#This Row],[Part]],PartControl!$A$2:$E$564,2,FALSE)),0)</f>
        <v>106.94</v>
      </c>
      <c r="Z251" s="108">
        <f>IF(OtherClients[[#This Row],[Re-certified or New]]&lt;&gt;"Re-certified",IF(OtherClients[[#This Row],[Client]]="infasco",VLOOKUP(OtherClients[[#This Row],[Part]],PartControl!$A$2:$E$564,2,FALSE),OtherClients[[#This Row],[Total Quantity]]*VLOOKUP(OtherClients[[#This Row],[Part]],PartControl!$A$2:$E$564,2,FALSE)),0)</f>
        <v>106.94</v>
      </c>
    </row>
    <row r="252" spans="1:26" ht="25.15" hidden="1" customHeight="1" x14ac:dyDescent="0.25">
      <c r="A252" s="112">
        <v>46239.695462962962</v>
      </c>
      <c r="B252" s="5" t="s">
        <v>344</v>
      </c>
      <c r="C252" s="5" t="s">
        <v>824</v>
      </c>
      <c r="D252" s="5">
        <v>714247</v>
      </c>
      <c r="E252" s="33">
        <v>1</v>
      </c>
      <c r="F252" s="60">
        <v>4700</v>
      </c>
      <c r="G252" s="60">
        <f>+OtherClients[[#This Row],[Boxes / Pieces]]*OtherClients[[#This Row],[Unit Quantity]]</f>
        <v>4700</v>
      </c>
      <c r="H252" s="60" t="s">
        <v>816</v>
      </c>
      <c r="I252" s="60" t="s">
        <v>278</v>
      </c>
      <c r="J252" s="104"/>
      <c r="K252" s="33" t="s">
        <v>278</v>
      </c>
      <c r="L252" s="111"/>
      <c r="M252" s="33" t="s">
        <v>278</v>
      </c>
      <c r="N252" s="111"/>
      <c r="O252" s="33" t="s">
        <v>278</v>
      </c>
      <c r="P252" s="111"/>
      <c r="Q252" s="33" t="s">
        <v>587</v>
      </c>
      <c r="R252" s="111"/>
      <c r="S252" s="33" t="s">
        <v>278</v>
      </c>
      <c r="T252" s="111"/>
      <c r="U252" s="33" t="s">
        <v>278</v>
      </c>
      <c r="V252" s="111"/>
      <c r="W252" s="59" t="s">
        <v>548</v>
      </c>
      <c r="X252" s="33" t="str">
        <f>+VLOOKUP(OtherClients[[#This Row],[Part]],PartControl!$A$2:$E$564,5,FALSE)</f>
        <v>Infasco</v>
      </c>
      <c r="Y252" s="108">
        <f>IF(OtherClients[[#This Row],[Re-certified or New]]&lt;&gt;"Re-certified",IF(OtherClients[[#This Row],[Client]]="infasco",VLOOKUP(OtherClients[[#This Row],[Part]],PartControl!$A$2:$E$564,2,FALSE),OtherClients[[#This Row],[Total Quantity]]*VLOOKUP(OtherClients[[#This Row],[Part]],PartControl!$A$2:$E$564,2,FALSE)),0)</f>
        <v>129.44999999999999</v>
      </c>
      <c r="Z252" s="108">
        <f>IF(OtherClients[[#This Row],[Re-certified or New]]&lt;&gt;"Re-certified",IF(OtherClients[[#This Row],[Client]]="infasco",VLOOKUP(OtherClients[[#This Row],[Part]],PartControl!$A$2:$E$564,2,FALSE),OtherClients[[#This Row],[Total Quantity]]*VLOOKUP(OtherClients[[#This Row],[Part]],PartControl!$A$2:$E$564,2,FALSE)),0)</f>
        <v>129.44999999999999</v>
      </c>
    </row>
    <row r="253" spans="1:26" ht="25.15" hidden="1" customHeight="1" x14ac:dyDescent="0.25">
      <c r="A253" s="112">
        <v>46239.695462962962</v>
      </c>
      <c r="B253" s="5" t="s">
        <v>344</v>
      </c>
      <c r="C253" s="5" t="s">
        <v>824</v>
      </c>
      <c r="D253" s="5">
        <v>714248</v>
      </c>
      <c r="E253" s="33">
        <v>1</v>
      </c>
      <c r="F253" s="60">
        <v>4980</v>
      </c>
      <c r="G253" s="60">
        <f>+OtherClients[[#This Row],[Boxes / Pieces]]*OtherClients[[#This Row],[Unit Quantity]]</f>
        <v>4980</v>
      </c>
      <c r="H253" s="60" t="s">
        <v>816</v>
      </c>
      <c r="I253" s="60" t="s">
        <v>278</v>
      </c>
      <c r="J253" s="104"/>
      <c r="K253" s="33" t="s">
        <v>278</v>
      </c>
      <c r="L253" s="111"/>
      <c r="M253" s="33" t="s">
        <v>278</v>
      </c>
      <c r="N253" s="111"/>
      <c r="O253" s="33" t="s">
        <v>278</v>
      </c>
      <c r="P253" s="111"/>
      <c r="Q253" s="33" t="s">
        <v>587</v>
      </c>
      <c r="R253" s="111"/>
      <c r="S253" s="33" t="s">
        <v>278</v>
      </c>
      <c r="T253" s="111"/>
      <c r="U253" s="33" t="s">
        <v>278</v>
      </c>
      <c r="V253" s="111"/>
      <c r="W253" s="59" t="s">
        <v>548</v>
      </c>
      <c r="X253" s="33" t="str">
        <f>+VLOOKUP(OtherClients[[#This Row],[Part]],PartControl!$A$2:$E$564,5,FALSE)</f>
        <v>Infasco</v>
      </c>
      <c r="Y253" s="108">
        <f>IF(OtherClients[[#This Row],[Re-certified or New]]&lt;&gt;"Re-certified",IF(OtherClients[[#This Row],[Client]]="infasco",VLOOKUP(OtherClients[[#This Row],[Part]],PartControl!$A$2:$E$564,2,FALSE),OtherClients[[#This Row],[Total Quantity]]*VLOOKUP(OtherClients[[#This Row],[Part]],PartControl!$A$2:$E$564,2,FALSE)),0)</f>
        <v>129.44999999999999</v>
      </c>
      <c r="Z253" s="108">
        <f>IF(OtherClients[[#This Row],[Re-certified or New]]&lt;&gt;"Re-certified",IF(OtherClients[[#This Row],[Client]]="infasco",VLOOKUP(OtherClients[[#This Row],[Part]],PartControl!$A$2:$E$564,2,FALSE),OtherClients[[#This Row],[Total Quantity]]*VLOOKUP(OtherClients[[#This Row],[Part]],PartControl!$A$2:$E$564,2,FALSE)),0)</f>
        <v>129.44999999999999</v>
      </c>
    </row>
    <row r="254" spans="1:26" ht="25.15" hidden="1" customHeight="1" x14ac:dyDescent="0.25">
      <c r="A254" s="112">
        <v>46239.695462962962</v>
      </c>
      <c r="B254" s="5" t="s">
        <v>344</v>
      </c>
      <c r="C254" s="5">
        <v>11549204</v>
      </c>
      <c r="D254" s="5">
        <v>714664</v>
      </c>
      <c r="E254" s="33">
        <f>36+4</f>
        <v>40</v>
      </c>
      <c r="F254" s="60">
        <v>210</v>
      </c>
      <c r="G254" s="60">
        <f>+OtherClients[[#This Row],[Boxes / Pieces]]*OtherClients[[#This Row],[Unit Quantity]]</f>
        <v>8400</v>
      </c>
      <c r="H254" s="60" t="s">
        <v>816</v>
      </c>
      <c r="I254" s="60" t="s">
        <v>278</v>
      </c>
      <c r="J254" s="104"/>
      <c r="K254" s="33" t="s">
        <v>278</v>
      </c>
      <c r="L254" s="111"/>
      <c r="M254" s="33" t="s">
        <v>278</v>
      </c>
      <c r="N254" s="111"/>
      <c r="O254" s="33" t="s">
        <v>278</v>
      </c>
      <c r="P254" s="111"/>
      <c r="Q254" s="33" t="s">
        <v>587</v>
      </c>
      <c r="R254" s="111"/>
      <c r="S254" s="33" t="s">
        <v>278</v>
      </c>
      <c r="T254" s="111"/>
      <c r="U254" s="33" t="s">
        <v>278</v>
      </c>
      <c r="V254" s="111"/>
      <c r="W254" s="59" t="s">
        <v>548</v>
      </c>
      <c r="X254" s="33" t="str">
        <f>+VLOOKUP(OtherClients[[#This Row],[Part]],PartControl!$A$2:$E$564,5,FALSE)</f>
        <v>INFASCO</v>
      </c>
      <c r="Y254" s="108">
        <f>IF(OtherClients[[#This Row],[Re-certified or New]]&lt;&gt;"Re-certified",IF(OtherClients[[#This Row],[Client]]="infasco",VLOOKUP(OtherClients[[#This Row],[Part]],PartControl!$A$2:$E$564,2,FALSE),OtherClients[[#This Row],[Total Quantity]]*VLOOKUP(OtherClients[[#This Row],[Part]],PartControl!$A$2:$E$564,2,FALSE)),0)</f>
        <v>106.94</v>
      </c>
      <c r="Z254" s="108">
        <f>IF(OtherClients[[#This Row],[Re-certified or New]]&lt;&gt;"Re-certified",IF(OtherClients[[#This Row],[Client]]="infasco",VLOOKUP(OtherClients[[#This Row],[Part]],PartControl!$A$2:$E$564,2,FALSE),OtherClients[[#This Row],[Total Quantity]]*VLOOKUP(OtherClients[[#This Row],[Part]],PartControl!$A$2:$E$564,2,FALSE)),0)</f>
        <v>106.94</v>
      </c>
    </row>
    <row r="255" spans="1:26" ht="25.15" hidden="1" customHeight="1" x14ac:dyDescent="0.25">
      <c r="A255" s="112">
        <v>46239.695462962962</v>
      </c>
      <c r="B255" s="5" t="s">
        <v>344</v>
      </c>
      <c r="C255" s="5" t="s">
        <v>680</v>
      </c>
      <c r="D255" s="5">
        <v>716258</v>
      </c>
      <c r="E255" s="33">
        <v>1</v>
      </c>
      <c r="F255" s="60">
        <v>40400</v>
      </c>
      <c r="G255" s="60">
        <f>+OtherClients[[#This Row],[Boxes / Pieces]]*OtherClients[[#This Row],[Unit Quantity]]</f>
        <v>40400</v>
      </c>
      <c r="H255" s="60" t="s">
        <v>816</v>
      </c>
      <c r="I255" s="60" t="s">
        <v>278</v>
      </c>
      <c r="J255" s="104"/>
      <c r="K255" s="33" t="s">
        <v>278</v>
      </c>
      <c r="L255" s="111"/>
      <c r="M255" s="33" t="s">
        <v>278</v>
      </c>
      <c r="N255" s="111"/>
      <c r="O255" s="33" t="s">
        <v>278</v>
      </c>
      <c r="P255" s="111"/>
      <c r="Q255" s="33" t="s">
        <v>587</v>
      </c>
      <c r="R255" s="111"/>
      <c r="S255" s="33" t="s">
        <v>278</v>
      </c>
      <c r="T255" s="111"/>
      <c r="U255" s="33" t="s">
        <v>278</v>
      </c>
      <c r="V255" s="111"/>
      <c r="W255" s="59" t="s">
        <v>548</v>
      </c>
      <c r="X255" s="33" t="str">
        <f>+VLOOKUP(OtherClients[[#This Row],[Part]],PartControl!$A$2:$E$564,5,FALSE)</f>
        <v>infasco</v>
      </c>
      <c r="Y255" s="108">
        <f>IF(OtherClients[[#This Row],[Re-certified or New]]&lt;&gt;"Re-certified",IF(OtherClients[[#This Row],[Client]]="infasco",VLOOKUP(OtherClients[[#This Row],[Part]],PartControl!$A$2:$E$564,2,FALSE),OtherClients[[#This Row],[Total Quantity]]*VLOOKUP(OtherClients[[#This Row],[Part]],PartControl!$A$2:$E$564,2,FALSE)),0)</f>
        <v>110.54</v>
      </c>
      <c r="Z255" s="108">
        <f>IF(OtherClients[[#This Row],[Re-certified or New]]&lt;&gt;"Re-certified",IF(OtherClients[[#This Row],[Client]]="infasco",VLOOKUP(OtherClients[[#This Row],[Part]],PartControl!$A$2:$E$564,2,FALSE),OtherClients[[#This Row],[Total Quantity]]*VLOOKUP(OtherClients[[#This Row],[Part]],PartControl!$A$2:$E$564,2,FALSE)),0)</f>
        <v>110.54</v>
      </c>
    </row>
    <row r="256" spans="1:26" ht="25.15" hidden="1" customHeight="1" x14ac:dyDescent="0.25">
      <c r="A256" s="112">
        <v>46239.695462962962</v>
      </c>
      <c r="B256" s="5" t="s">
        <v>344</v>
      </c>
      <c r="C256" s="5" t="s">
        <v>790</v>
      </c>
      <c r="D256" s="5">
        <v>715834</v>
      </c>
      <c r="E256" s="33">
        <v>1</v>
      </c>
      <c r="F256" s="60">
        <v>40000</v>
      </c>
      <c r="G256" s="60">
        <f>+OtherClients[[#This Row],[Boxes / Pieces]]*OtherClients[[#This Row],[Unit Quantity]]</f>
        <v>40000</v>
      </c>
      <c r="H256" s="60" t="s">
        <v>816</v>
      </c>
      <c r="I256" s="60" t="s">
        <v>278</v>
      </c>
      <c r="J256" s="104"/>
      <c r="K256" s="33" t="s">
        <v>278</v>
      </c>
      <c r="L256" s="111"/>
      <c r="M256" s="33" t="s">
        <v>278</v>
      </c>
      <c r="N256" s="111"/>
      <c r="O256" s="33" t="s">
        <v>278</v>
      </c>
      <c r="P256" s="111"/>
      <c r="Q256" s="33" t="s">
        <v>587</v>
      </c>
      <c r="R256" s="111"/>
      <c r="S256" s="33" t="s">
        <v>278</v>
      </c>
      <c r="T256" s="111"/>
      <c r="U256" s="33" t="s">
        <v>278</v>
      </c>
      <c r="V256" s="111"/>
      <c r="W256" s="59" t="s">
        <v>548</v>
      </c>
      <c r="X256" s="33" t="str">
        <f>+VLOOKUP(OtherClients[[#This Row],[Part]],PartControl!$A$2:$E$564,5,FALSE)</f>
        <v>infasco</v>
      </c>
      <c r="Y256" s="108">
        <f>IF(OtherClients[[#This Row],[Re-certified or New]]&lt;&gt;"Re-certified",IF(OtherClients[[#This Row],[Client]]="infasco",VLOOKUP(OtherClients[[#This Row],[Part]],PartControl!$A$2:$E$564,2,FALSE),OtherClients[[#This Row],[Total Quantity]]*VLOOKUP(OtherClients[[#This Row],[Part]],PartControl!$A$2:$E$564,2,FALSE)),0)</f>
        <v>129.44999999999999</v>
      </c>
      <c r="Z256" s="108">
        <f>IF(OtherClients[[#This Row],[Re-certified or New]]&lt;&gt;"Re-certified",IF(OtherClients[[#This Row],[Client]]="infasco",VLOOKUP(OtherClients[[#This Row],[Part]],PartControl!$A$2:$E$564,2,FALSE),OtherClients[[#This Row],[Total Quantity]]*VLOOKUP(OtherClients[[#This Row],[Part]],PartControl!$A$2:$E$564,2,FALSE)),0)</f>
        <v>129.44999999999999</v>
      </c>
    </row>
    <row r="257" spans="1:26" ht="25.15" hidden="1" customHeight="1" x14ac:dyDescent="0.25">
      <c r="A257" s="112">
        <v>46239.695462962962</v>
      </c>
      <c r="B257" s="5" t="s">
        <v>344</v>
      </c>
      <c r="C257" s="5" t="s">
        <v>732</v>
      </c>
      <c r="D257" s="5">
        <v>710688</v>
      </c>
      <c r="E257" s="33">
        <v>11</v>
      </c>
      <c r="F257" s="60">
        <v>1000</v>
      </c>
      <c r="G257" s="60">
        <f>+OtherClients[[#This Row],[Boxes / Pieces]]*OtherClients[[#This Row],[Unit Quantity]]</f>
        <v>11000</v>
      </c>
      <c r="H257" s="60" t="s">
        <v>816</v>
      </c>
      <c r="I257" s="60" t="s">
        <v>278</v>
      </c>
      <c r="J257" s="104"/>
      <c r="K257" s="33" t="s">
        <v>278</v>
      </c>
      <c r="L257" s="111"/>
      <c r="M257" s="33" t="s">
        <v>278</v>
      </c>
      <c r="N257" s="111"/>
      <c r="O257" s="33" t="s">
        <v>278</v>
      </c>
      <c r="P257" s="111"/>
      <c r="Q257" s="33" t="s">
        <v>587</v>
      </c>
      <c r="R257" s="111"/>
      <c r="S257" s="33" t="s">
        <v>278</v>
      </c>
      <c r="T257" s="111"/>
      <c r="U257" s="33" t="s">
        <v>278</v>
      </c>
      <c r="V257" s="111"/>
      <c r="W257" s="59" t="s">
        <v>633</v>
      </c>
      <c r="X257" s="33" t="str">
        <f>+VLOOKUP(OtherClients[[#This Row],[Part]],PartControl!$A$2:$E$564,5,FALSE)</f>
        <v>infasco</v>
      </c>
      <c r="Y257" s="108">
        <f>IF(OtherClients[[#This Row],[Re-certified or New]]&lt;&gt;"Re-certified",IF(OtherClients[[#This Row],[Client]]="infasco",VLOOKUP(OtherClients[[#This Row],[Part]],PartControl!$A$2:$E$564,2,FALSE),OtherClients[[#This Row],[Total Quantity]]*VLOOKUP(OtherClients[[#This Row],[Part]],PartControl!$A$2:$E$564,2,FALSE)),0)</f>
        <v>0</v>
      </c>
      <c r="Z257" s="108">
        <f>IF(OtherClients[[#This Row],[Re-certified or New]]&lt;&gt;"Re-certified",IF(OtherClients[[#This Row],[Client]]="infasco",VLOOKUP(OtherClients[[#This Row],[Part]],PartControl!$A$2:$E$564,2,FALSE),OtherClients[[#This Row],[Total Quantity]]*VLOOKUP(OtherClients[[#This Row],[Part]],PartControl!$A$2:$E$564,2,FALSE)),0)</f>
        <v>0</v>
      </c>
    </row>
    <row r="258" spans="1:26" ht="25.15" hidden="1" customHeight="1" x14ac:dyDescent="0.25">
      <c r="A258" s="112">
        <v>46239.695462962962</v>
      </c>
      <c r="B258" s="5" t="s">
        <v>345</v>
      </c>
      <c r="C258" s="5" t="s">
        <v>732</v>
      </c>
      <c r="D258" s="5">
        <v>708641</v>
      </c>
      <c r="E258" s="33">
        <v>19</v>
      </c>
      <c r="F258" s="60">
        <v>1000</v>
      </c>
      <c r="G258" s="60">
        <f>+OtherClients[[#This Row],[Boxes / Pieces]]*OtherClients[[#This Row],[Unit Quantity]]</f>
        <v>19000</v>
      </c>
      <c r="H258" s="60" t="s">
        <v>849</v>
      </c>
      <c r="I258" s="60" t="s">
        <v>278</v>
      </c>
      <c r="J258" s="104"/>
      <c r="K258" s="33" t="s">
        <v>278</v>
      </c>
      <c r="L258" s="111"/>
      <c r="M258" s="33" t="s">
        <v>278</v>
      </c>
      <c r="N258" s="111"/>
      <c r="O258" s="33" t="s">
        <v>278</v>
      </c>
      <c r="P258" s="111"/>
      <c r="Q258" s="33" t="s">
        <v>587</v>
      </c>
      <c r="R258" s="111"/>
      <c r="S258" s="33" t="s">
        <v>278</v>
      </c>
      <c r="T258" s="111"/>
      <c r="U258" s="33" t="s">
        <v>278</v>
      </c>
      <c r="V258" s="111"/>
      <c r="W258" s="59" t="s">
        <v>548</v>
      </c>
      <c r="X258" s="33" t="str">
        <f>+VLOOKUP(OtherClients[[#This Row],[Part]],PartControl!$A$2:$E$564,5,FALSE)</f>
        <v>infasco</v>
      </c>
      <c r="Y258" s="108">
        <f>IF(OtherClients[[#This Row],[Re-certified or New]]&lt;&gt;"Re-certified",IF(OtherClients[[#This Row],[Client]]="infasco",VLOOKUP(OtherClients[[#This Row],[Part]],PartControl!$A$2:$E$564,2,FALSE),OtherClients[[#This Row],[Total Quantity]]*VLOOKUP(OtherClients[[#This Row],[Part]],PartControl!$A$2:$E$564,2,FALSE)),0)</f>
        <v>213.88</v>
      </c>
      <c r="Z258" s="108">
        <f>IF(OtherClients[[#This Row],[Re-certified or New]]&lt;&gt;"Re-certified",IF(OtherClients[[#This Row],[Client]]="infasco",VLOOKUP(OtherClients[[#This Row],[Part]],PartControl!$A$2:$E$564,2,FALSE),OtherClients[[#This Row],[Total Quantity]]*VLOOKUP(OtherClients[[#This Row],[Part]],PartControl!$A$2:$E$564,2,FALSE)),0)</f>
        <v>213.88</v>
      </c>
    </row>
    <row r="259" spans="1:26" ht="25.15" hidden="1" customHeight="1" x14ac:dyDescent="0.25">
      <c r="A259" s="112">
        <v>46239.695462962962</v>
      </c>
      <c r="B259" s="5" t="s">
        <v>345</v>
      </c>
      <c r="C259" s="5" t="s">
        <v>824</v>
      </c>
      <c r="D259" s="5">
        <v>714245</v>
      </c>
      <c r="E259" s="33">
        <v>1</v>
      </c>
      <c r="F259" s="60">
        <v>4270</v>
      </c>
      <c r="G259" s="60">
        <f>+OtherClients[[#This Row],[Boxes / Pieces]]*OtherClients[[#This Row],[Unit Quantity]]</f>
        <v>4270</v>
      </c>
      <c r="H259" s="60" t="s">
        <v>849</v>
      </c>
      <c r="I259" s="60" t="s">
        <v>278</v>
      </c>
      <c r="J259" s="104"/>
      <c r="K259" s="33" t="s">
        <v>278</v>
      </c>
      <c r="L259" s="111"/>
      <c r="M259" s="33" t="s">
        <v>278</v>
      </c>
      <c r="N259" s="111"/>
      <c r="O259" s="33" t="s">
        <v>278</v>
      </c>
      <c r="P259" s="111"/>
      <c r="Q259" s="33" t="s">
        <v>587</v>
      </c>
      <c r="R259" s="111"/>
      <c r="S259" s="33" t="s">
        <v>278</v>
      </c>
      <c r="T259" s="111"/>
      <c r="U259" s="33" t="s">
        <v>278</v>
      </c>
      <c r="V259" s="111"/>
      <c r="W259" s="59" t="s">
        <v>548</v>
      </c>
      <c r="X259" s="33" t="str">
        <f>+VLOOKUP(OtherClients[[#This Row],[Part]],PartControl!$A$2:$E$564,5,FALSE)</f>
        <v>Infasco</v>
      </c>
      <c r="Y259" s="108">
        <f>IF(OtherClients[[#This Row],[Re-certified or New]]&lt;&gt;"Re-certified",IF(OtherClients[[#This Row],[Client]]="infasco",VLOOKUP(OtherClients[[#This Row],[Part]],PartControl!$A$2:$E$564,2,FALSE),OtherClients[[#This Row],[Total Quantity]]*VLOOKUP(OtherClients[[#This Row],[Part]],PartControl!$A$2:$E$564,2,FALSE)),0)</f>
        <v>129.44999999999999</v>
      </c>
      <c r="Z259" s="108">
        <f>IF(OtherClients[[#This Row],[Re-certified or New]]&lt;&gt;"Re-certified",IF(OtherClients[[#This Row],[Client]]="infasco",VLOOKUP(OtherClients[[#This Row],[Part]],PartControl!$A$2:$E$564,2,FALSE),OtherClients[[#This Row],[Total Quantity]]*VLOOKUP(OtherClients[[#This Row],[Part]],PartControl!$A$2:$E$564,2,FALSE)),0)</f>
        <v>129.44999999999999</v>
      </c>
    </row>
    <row r="260" spans="1:26" ht="25.15" hidden="1" customHeight="1" x14ac:dyDescent="0.25">
      <c r="A260" s="112">
        <v>46239.695462962962</v>
      </c>
      <c r="B260" s="5" t="s">
        <v>345</v>
      </c>
      <c r="C260" s="5" t="s">
        <v>824</v>
      </c>
      <c r="D260" s="5">
        <v>714249</v>
      </c>
      <c r="E260" s="33">
        <v>1</v>
      </c>
      <c r="F260" s="60">
        <v>4570</v>
      </c>
      <c r="G260" s="60">
        <f>+OtherClients[[#This Row],[Boxes / Pieces]]*OtherClients[[#This Row],[Unit Quantity]]</f>
        <v>4570</v>
      </c>
      <c r="H260" s="60" t="s">
        <v>849</v>
      </c>
      <c r="I260" s="60" t="s">
        <v>278</v>
      </c>
      <c r="J260" s="104"/>
      <c r="K260" s="33" t="s">
        <v>278</v>
      </c>
      <c r="L260" s="111"/>
      <c r="M260" s="33" t="s">
        <v>278</v>
      </c>
      <c r="N260" s="111"/>
      <c r="O260" s="33" t="s">
        <v>278</v>
      </c>
      <c r="P260" s="111"/>
      <c r="Q260" s="33" t="s">
        <v>587</v>
      </c>
      <c r="R260" s="111"/>
      <c r="S260" s="33" t="s">
        <v>278</v>
      </c>
      <c r="T260" s="111"/>
      <c r="U260" s="33" t="s">
        <v>278</v>
      </c>
      <c r="V260" s="111"/>
      <c r="W260" s="59" t="s">
        <v>548</v>
      </c>
      <c r="X260" s="33" t="str">
        <f>+VLOOKUP(OtherClients[[#This Row],[Part]],PartControl!$A$2:$E$564,5,FALSE)</f>
        <v>Infasco</v>
      </c>
      <c r="Y260" s="108">
        <f>IF(OtherClients[[#This Row],[Re-certified or New]]&lt;&gt;"Re-certified",IF(OtherClients[[#This Row],[Client]]="infasco",VLOOKUP(OtherClients[[#This Row],[Part]],PartControl!$A$2:$E$564,2,FALSE),OtherClients[[#This Row],[Total Quantity]]*VLOOKUP(OtherClients[[#This Row],[Part]],PartControl!$A$2:$E$564,2,FALSE)),0)</f>
        <v>129.44999999999999</v>
      </c>
      <c r="Z260" s="108">
        <f>IF(OtherClients[[#This Row],[Re-certified or New]]&lt;&gt;"Re-certified",IF(OtherClients[[#This Row],[Client]]="infasco",VLOOKUP(OtherClients[[#This Row],[Part]],PartControl!$A$2:$E$564,2,FALSE),OtherClients[[#This Row],[Total Quantity]]*VLOOKUP(OtherClients[[#This Row],[Part]],PartControl!$A$2:$E$564,2,FALSE)),0)</f>
        <v>129.44999999999999</v>
      </c>
    </row>
    <row r="261" spans="1:26" ht="25.15" hidden="1" customHeight="1" x14ac:dyDescent="0.25">
      <c r="A261" s="112">
        <v>46239.695462962962</v>
      </c>
      <c r="B261" s="5" t="s">
        <v>345</v>
      </c>
      <c r="C261" s="5">
        <v>40161567</v>
      </c>
      <c r="D261" s="5">
        <v>715831</v>
      </c>
      <c r="E261" s="33">
        <v>31</v>
      </c>
      <c r="F261" s="60">
        <v>175</v>
      </c>
      <c r="G261" s="60">
        <f>+OtherClients[[#This Row],[Boxes / Pieces]]*OtherClients[[#This Row],[Unit Quantity]]</f>
        <v>5425</v>
      </c>
      <c r="H261" s="60" t="s">
        <v>849</v>
      </c>
      <c r="I261" s="60" t="s">
        <v>278</v>
      </c>
      <c r="J261" s="104"/>
      <c r="K261" s="33" t="s">
        <v>278</v>
      </c>
      <c r="L261" s="111"/>
      <c r="M261" s="33" t="s">
        <v>278</v>
      </c>
      <c r="N261" s="111"/>
      <c r="O261" s="33" t="s">
        <v>278</v>
      </c>
      <c r="P261" s="111"/>
      <c r="Q261" s="33" t="s">
        <v>587</v>
      </c>
      <c r="R261" s="111"/>
      <c r="S261" s="33" t="s">
        <v>278</v>
      </c>
      <c r="T261" s="111"/>
      <c r="U261" s="33" t="s">
        <v>278</v>
      </c>
      <c r="V261" s="111"/>
      <c r="W261" s="59" t="s">
        <v>548</v>
      </c>
      <c r="X261" s="33" t="str">
        <f>+VLOOKUP(OtherClients[[#This Row],[Part]],PartControl!$A$2:$E$564,5,FALSE)</f>
        <v>INFASCO</v>
      </c>
      <c r="Y261" s="108">
        <f>IF(OtherClients[[#This Row],[Re-certified or New]]&lt;&gt;"Re-certified",IF(OtherClients[[#This Row],[Client]]="infasco",VLOOKUP(OtherClients[[#This Row],[Part]],PartControl!$A$2:$E$564,2,FALSE),OtherClients[[#This Row],[Total Quantity]]*VLOOKUP(OtherClients[[#This Row],[Part]],PartControl!$A$2:$E$564,2,FALSE)),0)</f>
        <v>106.94</v>
      </c>
      <c r="Z261" s="108">
        <f>IF(OtherClients[[#This Row],[Re-certified or New]]&lt;&gt;"Re-certified",IF(OtherClients[[#This Row],[Client]]="infasco",VLOOKUP(OtherClients[[#This Row],[Part]],PartControl!$A$2:$E$564,2,FALSE),OtherClients[[#This Row],[Total Quantity]]*VLOOKUP(OtherClients[[#This Row],[Part]],PartControl!$A$2:$E$564,2,FALSE)),0)</f>
        <v>106.94</v>
      </c>
    </row>
    <row r="262" spans="1:26" ht="25.15" hidden="1" customHeight="1" x14ac:dyDescent="0.25">
      <c r="A262" s="112">
        <v>46239.695462962962</v>
      </c>
      <c r="B262" s="5" t="s">
        <v>345</v>
      </c>
      <c r="C262" s="5">
        <v>11549204</v>
      </c>
      <c r="D262" s="5">
        <v>714665</v>
      </c>
      <c r="E262" s="33">
        <v>36</v>
      </c>
      <c r="F262" s="60">
        <v>210</v>
      </c>
      <c r="G262" s="60">
        <f>+OtherClients[[#This Row],[Boxes / Pieces]]*OtherClients[[#This Row],[Unit Quantity]]</f>
        <v>7560</v>
      </c>
      <c r="H262" s="60" t="s">
        <v>849</v>
      </c>
      <c r="I262" s="60" t="s">
        <v>278</v>
      </c>
      <c r="J262" s="104"/>
      <c r="K262" s="33" t="s">
        <v>278</v>
      </c>
      <c r="L262" s="111"/>
      <c r="M262" s="33" t="s">
        <v>278</v>
      </c>
      <c r="N262" s="111"/>
      <c r="O262" s="33" t="s">
        <v>278</v>
      </c>
      <c r="P262" s="111"/>
      <c r="Q262" s="33" t="s">
        <v>587</v>
      </c>
      <c r="R262" s="111"/>
      <c r="S262" s="33" t="s">
        <v>278</v>
      </c>
      <c r="T262" s="111"/>
      <c r="U262" s="33" t="s">
        <v>278</v>
      </c>
      <c r="V262" s="111"/>
      <c r="W262" s="59" t="s">
        <v>548</v>
      </c>
      <c r="X262" s="33" t="str">
        <f>+VLOOKUP(OtherClients[[#This Row],[Part]],PartControl!$A$2:$E$564,5,FALSE)</f>
        <v>INFASCO</v>
      </c>
      <c r="Y262" s="108">
        <f>IF(OtherClients[[#This Row],[Re-certified or New]]&lt;&gt;"Re-certified",IF(OtherClients[[#This Row],[Client]]="infasco",VLOOKUP(OtherClients[[#This Row],[Part]],PartControl!$A$2:$E$564,2,FALSE),OtherClients[[#This Row],[Total Quantity]]*VLOOKUP(OtherClients[[#This Row],[Part]],PartControl!$A$2:$E$564,2,FALSE)),0)</f>
        <v>106.94</v>
      </c>
      <c r="Z262" s="108">
        <f>IF(OtherClients[[#This Row],[Re-certified or New]]&lt;&gt;"Re-certified",IF(OtherClients[[#This Row],[Client]]="infasco",VLOOKUP(OtherClients[[#This Row],[Part]],PartControl!$A$2:$E$564,2,FALSE),OtherClients[[#This Row],[Total Quantity]]*VLOOKUP(OtherClients[[#This Row],[Part]],PartControl!$A$2:$E$564,2,FALSE)),0)</f>
        <v>106.94</v>
      </c>
    </row>
    <row r="263" spans="1:26" ht="25.15" hidden="1" customHeight="1" x14ac:dyDescent="0.25">
      <c r="A263" s="112">
        <v>46239.695462962962</v>
      </c>
      <c r="B263" s="5" t="s">
        <v>345</v>
      </c>
      <c r="C263" s="5" t="s">
        <v>791</v>
      </c>
      <c r="D263" s="5">
        <v>716082</v>
      </c>
      <c r="E263" s="33">
        <v>21</v>
      </c>
      <c r="F263" s="60">
        <v>960</v>
      </c>
      <c r="G263" s="60">
        <f>+OtherClients[[#This Row],[Boxes / Pieces]]*OtherClients[[#This Row],[Unit Quantity]]</f>
        <v>20160</v>
      </c>
      <c r="H263" s="60" t="s">
        <v>849</v>
      </c>
      <c r="I263" s="60" t="s">
        <v>278</v>
      </c>
      <c r="J263" s="104"/>
      <c r="K263" s="33" t="s">
        <v>278</v>
      </c>
      <c r="L263" s="111"/>
      <c r="M263" s="33" t="s">
        <v>278</v>
      </c>
      <c r="N263" s="111"/>
      <c r="O263" s="33" t="s">
        <v>278</v>
      </c>
      <c r="P263" s="111"/>
      <c r="Q263" s="33" t="s">
        <v>587</v>
      </c>
      <c r="R263" s="111"/>
      <c r="S263" s="33" t="s">
        <v>278</v>
      </c>
      <c r="T263" s="111"/>
      <c r="U263" s="33" t="s">
        <v>278</v>
      </c>
      <c r="V263" s="111"/>
      <c r="W263" s="59" t="s">
        <v>548</v>
      </c>
      <c r="X263" s="33" t="str">
        <f>+VLOOKUP(OtherClients[[#This Row],[Part]],PartControl!$A$2:$E$564,5,FALSE)</f>
        <v>infasco</v>
      </c>
      <c r="Y263" s="108">
        <f>IF(OtherClients[[#This Row],[Re-certified or New]]&lt;&gt;"Re-certified",IF(OtherClients[[#This Row],[Client]]="infasco",VLOOKUP(OtherClients[[#This Row],[Part]],PartControl!$A$2:$E$564,2,FALSE),OtherClients[[#This Row],[Total Quantity]]*VLOOKUP(OtherClients[[#This Row],[Part]],PartControl!$A$2:$E$564,2,FALSE)),0)</f>
        <v>223.88</v>
      </c>
      <c r="Z263" s="108">
        <f>IF(OtherClients[[#This Row],[Re-certified or New]]&lt;&gt;"Re-certified",IF(OtherClients[[#This Row],[Client]]="infasco",VLOOKUP(OtherClients[[#This Row],[Part]],PartControl!$A$2:$E$564,2,FALSE),OtherClients[[#This Row],[Total Quantity]]*VLOOKUP(OtherClients[[#This Row],[Part]],PartControl!$A$2:$E$564,2,FALSE)),0)</f>
        <v>223.88</v>
      </c>
    </row>
    <row r="264" spans="1:26" ht="25.15" hidden="1" customHeight="1" x14ac:dyDescent="0.25">
      <c r="A264" s="112">
        <v>46239.695462962962</v>
      </c>
      <c r="B264" s="5" t="s">
        <v>345</v>
      </c>
      <c r="C264" s="5">
        <v>11549204</v>
      </c>
      <c r="D264" s="5">
        <v>714661</v>
      </c>
      <c r="E264" s="33">
        <v>36</v>
      </c>
      <c r="F264" s="60">
        <v>210</v>
      </c>
      <c r="G264" s="60">
        <f>+OtherClients[[#This Row],[Boxes / Pieces]]*OtherClients[[#This Row],[Unit Quantity]]</f>
        <v>7560</v>
      </c>
      <c r="H264" s="60" t="s">
        <v>849</v>
      </c>
      <c r="I264" s="60" t="s">
        <v>278</v>
      </c>
      <c r="J264" s="104"/>
      <c r="K264" s="33" t="s">
        <v>278</v>
      </c>
      <c r="L264" s="111"/>
      <c r="M264" s="33" t="s">
        <v>278</v>
      </c>
      <c r="N264" s="111"/>
      <c r="O264" s="33" t="s">
        <v>278</v>
      </c>
      <c r="P264" s="111"/>
      <c r="Q264" s="33" t="s">
        <v>587</v>
      </c>
      <c r="R264" s="111"/>
      <c r="S264" s="33" t="s">
        <v>278</v>
      </c>
      <c r="T264" s="111"/>
      <c r="U264" s="33" t="s">
        <v>278</v>
      </c>
      <c r="V264" s="111"/>
      <c r="W264" s="59" t="s">
        <v>548</v>
      </c>
      <c r="X264" s="33" t="str">
        <f>+VLOOKUP(OtherClients[[#This Row],[Part]],PartControl!$A$2:$E$564,5,FALSE)</f>
        <v>INFASCO</v>
      </c>
      <c r="Y264" s="108">
        <f>IF(OtherClients[[#This Row],[Re-certified or New]]&lt;&gt;"Re-certified",IF(OtherClients[[#This Row],[Client]]="infasco",VLOOKUP(OtherClients[[#This Row],[Part]],PartControl!$A$2:$E$564,2,FALSE),OtherClients[[#This Row],[Total Quantity]]*VLOOKUP(OtherClients[[#This Row],[Part]],PartControl!$A$2:$E$564,2,FALSE)),0)</f>
        <v>106.94</v>
      </c>
      <c r="Z264" s="108">
        <f>IF(OtherClients[[#This Row],[Re-certified or New]]&lt;&gt;"Re-certified",IF(OtherClients[[#This Row],[Client]]="infasco",VLOOKUP(OtherClients[[#This Row],[Part]],PartControl!$A$2:$E$564,2,FALSE),OtherClients[[#This Row],[Total Quantity]]*VLOOKUP(OtherClients[[#This Row],[Part]],PartControl!$A$2:$E$564,2,FALSE)),0)</f>
        <v>106.94</v>
      </c>
    </row>
    <row r="265" spans="1:26" ht="25.15" hidden="1" customHeight="1" x14ac:dyDescent="0.25">
      <c r="A265" s="112">
        <v>46239.695462962962</v>
      </c>
      <c r="B265" s="5" t="s">
        <v>345</v>
      </c>
      <c r="C265" s="5">
        <v>11549204</v>
      </c>
      <c r="D265" s="5">
        <v>714654</v>
      </c>
      <c r="E265" s="33">
        <v>22</v>
      </c>
      <c r="F265" s="60">
        <v>210</v>
      </c>
      <c r="G265" s="60">
        <f>+OtherClients[[#This Row],[Boxes / Pieces]]*OtherClients[[#This Row],[Unit Quantity]]</f>
        <v>4620</v>
      </c>
      <c r="H265" s="60">
        <v>252</v>
      </c>
      <c r="I265" s="60" t="s">
        <v>278</v>
      </c>
      <c r="J265" s="104"/>
      <c r="K265" s="33" t="s">
        <v>278</v>
      </c>
      <c r="L265" s="111"/>
      <c r="M265" s="33" t="s">
        <v>278</v>
      </c>
      <c r="N265" s="111"/>
      <c r="O265" s="33" t="s">
        <v>278</v>
      </c>
      <c r="P265" s="111"/>
      <c r="Q265" s="33" t="s">
        <v>587</v>
      </c>
      <c r="R265" s="111"/>
      <c r="S265" s="33" t="s">
        <v>278</v>
      </c>
      <c r="T265" s="111"/>
      <c r="U265" s="33" t="s">
        <v>278</v>
      </c>
      <c r="V265" s="111"/>
      <c r="W265" s="59" t="s">
        <v>548</v>
      </c>
      <c r="X265" s="33" t="str">
        <f>+VLOOKUP(OtherClients[[#This Row],[Part]],PartControl!$A$2:$E$564,5,FALSE)</f>
        <v>INFASCO</v>
      </c>
      <c r="Y265" s="108">
        <f>IF(OtherClients[[#This Row],[Re-certified or New]]&lt;&gt;"Re-certified",IF(OtherClients[[#This Row],[Client]]="infasco",VLOOKUP(OtherClients[[#This Row],[Part]],PartControl!$A$2:$E$564,2,FALSE),OtherClients[[#This Row],[Total Quantity]]*VLOOKUP(OtherClients[[#This Row],[Part]],PartControl!$A$2:$E$564,2,FALSE)),0)</f>
        <v>106.94</v>
      </c>
      <c r="Z265" s="108">
        <f>IF(OtherClients[[#This Row],[Re-certified or New]]&lt;&gt;"Re-certified",IF(OtherClients[[#This Row],[Client]]="infasco",VLOOKUP(OtherClients[[#This Row],[Part]],PartControl!$A$2:$E$564,2,FALSE),OtherClients[[#This Row],[Total Quantity]]*VLOOKUP(OtherClients[[#This Row],[Part]],PartControl!$A$2:$E$564,2,FALSE)),0)</f>
        <v>106.94</v>
      </c>
    </row>
    <row r="266" spans="1:26" ht="25.15" hidden="1" customHeight="1" x14ac:dyDescent="0.25">
      <c r="A266" s="112">
        <v>46239.695462962962</v>
      </c>
      <c r="B266" s="5" t="s">
        <v>345</v>
      </c>
      <c r="C266" s="5" t="s">
        <v>732</v>
      </c>
      <c r="D266" s="5">
        <v>705484</v>
      </c>
      <c r="E266" s="33">
        <v>3</v>
      </c>
      <c r="F266" s="60">
        <v>1000</v>
      </c>
      <c r="G266" s="60">
        <f>+OtherClients[[#This Row],[Boxes / Pieces]]*OtherClients[[#This Row],[Unit Quantity]]</f>
        <v>3000</v>
      </c>
      <c r="H266" s="60">
        <v>252</v>
      </c>
      <c r="I266" s="60" t="s">
        <v>278</v>
      </c>
      <c r="J266" s="104"/>
      <c r="K266" s="33" t="s">
        <v>278</v>
      </c>
      <c r="L266" s="111"/>
      <c r="M266" s="33" t="s">
        <v>278</v>
      </c>
      <c r="N266" s="111"/>
      <c r="O266" s="33" t="s">
        <v>278</v>
      </c>
      <c r="P266" s="111"/>
      <c r="Q266" s="33" t="s">
        <v>587</v>
      </c>
      <c r="R266" s="111"/>
      <c r="S266" s="33" t="s">
        <v>278</v>
      </c>
      <c r="T266" s="111"/>
      <c r="U266" s="33" t="s">
        <v>278</v>
      </c>
      <c r="V266" s="111"/>
      <c r="W266" s="59" t="s">
        <v>633</v>
      </c>
      <c r="X266" s="33" t="str">
        <f>+VLOOKUP(OtherClients[[#This Row],[Part]],PartControl!$A$2:$E$564,5,FALSE)</f>
        <v>infasco</v>
      </c>
      <c r="Y266" s="108">
        <f>IF(OtherClients[[#This Row],[Re-certified or New]]&lt;&gt;"Re-certified",IF(OtherClients[[#This Row],[Client]]="infasco",VLOOKUP(OtherClients[[#This Row],[Part]],PartControl!$A$2:$E$564,2,FALSE),OtherClients[[#This Row],[Total Quantity]]*VLOOKUP(OtherClients[[#This Row],[Part]],PartControl!$A$2:$E$564,2,FALSE)),0)</f>
        <v>0</v>
      </c>
      <c r="Z266" s="108">
        <f>IF(OtherClients[[#This Row],[Re-certified or New]]&lt;&gt;"Re-certified",IF(OtherClients[[#This Row],[Client]]="infasco",VLOOKUP(OtherClients[[#This Row],[Part]],PartControl!$A$2:$E$564,2,FALSE),OtherClients[[#This Row],[Total Quantity]]*VLOOKUP(OtherClients[[#This Row],[Part]],PartControl!$A$2:$E$564,2,FALSE)),0)</f>
        <v>0</v>
      </c>
    </row>
    <row r="267" spans="1:26" ht="25.15" hidden="1" customHeight="1" x14ac:dyDescent="0.25">
      <c r="A267" s="112">
        <v>46239.695462962962</v>
      </c>
      <c r="B267" s="5" t="s">
        <v>346</v>
      </c>
      <c r="C267" s="5">
        <v>11549204</v>
      </c>
      <c r="D267" s="5">
        <v>714662</v>
      </c>
      <c r="E267" s="33">
        <v>36</v>
      </c>
      <c r="F267" s="60">
        <v>210</v>
      </c>
      <c r="G267" s="60">
        <f>+OtherClients[[#This Row],[Boxes / Pieces]]*OtherClients[[#This Row],[Unit Quantity]]</f>
        <v>7560</v>
      </c>
      <c r="H267" s="60" t="s">
        <v>871</v>
      </c>
      <c r="I267" s="60" t="s">
        <v>278</v>
      </c>
      <c r="J267" s="104"/>
      <c r="K267" s="33" t="s">
        <v>278</v>
      </c>
      <c r="L267" s="111"/>
      <c r="M267" s="33" t="s">
        <v>278</v>
      </c>
      <c r="N267" s="111"/>
      <c r="O267" s="33" t="s">
        <v>278</v>
      </c>
      <c r="P267" s="111"/>
      <c r="Q267" s="33" t="s">
        <v>587</v>
      </c>
      <c r="R267" s="111"/>
      <c r="S267" s="33" t="s">
        <v>278</v>
      </c>
      <c r="T267" s="111"/>
      <c r="U267" s="33" t="s">
        <v>278</v>
      </c>
      <c r="V267" s="111"/>
      <c r="W267" s="59" t="s">
        <v>548</v>
      </c>
      <c r="X267" s="33" t="str">
        <f>+VLOOKUP(OtherClients[[#This Row],[Part]],PartControl!$A$2:$E$564,5,FALSE)</f>
        <v>INFASCO</v>
      </c>
      <c r="Y267" s="108">
        <f>IF(OtherClients[[#This Row],[Re-certified or New]]&lt;&gt;"Re-certified",IF(OtherClients[[#This Row],[Client]]="infasco",VLOOKUP(OtherClients[[#This Row],[Part]],PartControl!$A$2:$E$564,2,FALSE),OtherClients[[#This Row],[Total Quantity]]*VLOOKUP(OtherClients[[#This Row],[Part]],PartControl!$A$2:$E$564,2,FALSE)),0)</f>
        <v>106.94</v>
      </c>
      <c r="Z267" s="108">
        <f>IF(OtherClients[[#This Row],[Re-certified or New]]&lt;&gt;"Re-certified",IF(OtherClients[[#This Row],[Client]]="infasco",VLOOKUP(OtherClients[[#This Row],[Part]],PartControl!$A$2:$E$564,2,FALSE),OtherClients[[#This Row],[Total Quantity]]*VLOOKUP(OtherClients[[#This Row],[Part]],PartControl!$A$2:$E$564,2,FALSE)),0)</f>
        <v>106.94</v>
      </c>
    </row>
    <row r="268" spans="1:26" ht="25.15" hidden="1" customHeight="1" x14ac:dyDescent="0.25">
      <c r="A268" s="112">
        <v>46239.695462962962</v>
      </c>
      <c r="B268" s="5" t="s">
        <v>346</v>
      </c>
      <c r="C268" s="5">
        <v>11549204</v>
      </c>
      <c r="D268" s="5">
        <v>714658</v>
      </c>
      <c r="E268" s="33">
        <v>36</v>
      </c>
      <c r="F268" s="60">
        <v>210</v>
      </c>
      <c r="G268" s="60">
        <f>+OtherClients[[#This Row],[Boxes / Pieces]]*OtherClients[[#This Row],[Unit Quantity]]</f>
        <v>7560</v>
      </c>
      <c r="H268" s="60" t="s">
        <v>871</v>
      </c>
      <c r="I268" s="60" t="s">
        <v>278</v>
      </c>
      <c r="J268" s="104"/>
      <c r="K268" s="33" t="s">
        <v>278</v>
      </c>
      <c r="L268" s="111"/>
      <c r="M268" s="33" t="s">
        <v>278</v>
      </c>
      <c r="N268" s="111"/>
      <c r="O268" s="33" t="s">
        <v>278</v>
      </c>
      <c r="P268" s="111"/>
      <c r="Q268" s="33" t="s">
        <v>587</v>
      </c>
      <c r="R268" s="111"/>
      <c r="S268" s="33" t="s">
        <v>278</v>
      </c>
      <c r="T268" s="111"/>
      <c r="U268" s="33" t="s">
        <v>278</v>
      </c>
      <c r="V268" s="111"/>
      <c r="W268" s="59" t="s">
        <v>548</v>
      </c>
      <c r="X268" s="33" t="str">
        <f>+VLOOKUP(OtherClients[[#This Row],[Part]],PartControl!$A$2:$E$564,5,FALSE)</f>
        <v>INFASCO</v>
      </c>
      <c r="Y268" s="108">
        <f>IF(OtherClients[[#This Row],[Re-certified or New]]&lt;&gt;"Re-certified",IF(OtherClients[[#This Row],[Client]]="infasco",VLOOKUP(OtherClients[[#This Row],[Part]],PartControl!$A$2:$E$564,2,FALSE),OtherClients[[#This Row],[Total Quantity]]*VLOOKUP(OtherClients[[#This Row],[Part]],PartControl!$A$2:$E$564,2,FALSE)),0)</f>
        <v>106.94</v>
      </c>
      <c r="Z268" s="108">
        <f>IF(OtherClients[[#This Row],[Re-certified or New]]&lt;&gt;"Re-certified",IF(OtherClients[[#This Row],[Client]]="infasco",VLOOKUP(OtherClients[[#This Row],[Part]],PartControl!$A$2:$E$564,2,FALSE),OtherClients[[#This Row],[Total Quantity]]*VLOOKUP(OtherClients[[#This Row],[Part]],PartControl!$A$2:$E$564,2,FALSE)),0)</f>
        <v>106.94</v>
      </c>
    </row>
    <row r="269" spans="1:26" ht="25.15" hidden="1" customHeight="1" x14ac:dyDescent="0.25">
      <c r="A269" s="112">
        <v>46239.695462962962</v>
      </c>
      <c r="B269" s="5" t="s">
        <v>346</v>
      </c>
      <c r="C269" s="5">
        <v>11549204</v>
      </c>
      <c r="D269" s="5">
        <v>714660</v>
      </c>
      <c r="E269" s="33">
        <v>61</v>
      </c>
      <c r="F269" s="60">
        <v>210</v>
      </c>
      <c r="G269" s="60">
        <f>+OtherClients[[#This Row],[Boxes / Pieces]]*OtherClients[[#This Row],[Unit Quantity]]</f>
        <v>12810</v>
      </c>
      <c r="H269" s="60" t="s">
        <v>871</v>
      </c>
      <c r="I269" s="60" t="s">
        <v>278</v>
      </c>
      <c r="J269" s="104"/>
      <c r="K269" s="33" t="s">
        <v>278</v>
      </c>
      <c r="L269" s="111"/>
      <c r="M269" s="33" t="s">
        <v>278</v>
      </c>
      <c r="N269" s="111"/>
      <c r="O269" s="33" t="s">
        <v>278</v>
      </c>
      <c r="P269" s="111"/>
      <c r="Q269" s="33" t="s">
        <v>587</v>
      </c>
      <c r="R269" s="111"/>
      <c r="S269" s="33" t="s">
        <v>278</v>
      </c>
      <c r="T269" s="111"/>
      <c r="U269" s="33" t="s">
        <v>278</v>
      </c>
      <c r="V269" s="111"/>
      <c r="W269" s="59" t="s">
        <v>548</v>
      </c>
      <c r="X269" s="33" t="str">
        <f>+VLOOKUP(OtherClients[[#This Row],[Part]],PartControl!$A$2:$E$564,5,FALSE)</f>
        <v>INFASCO</v>
      </c>
      <c r="Y269" s="108">
        <f>IF(OtherClients[[#This Row],[Re-certified or New]]&lt;&gt;"Re-certified",IF(OtherClients[[#This Row],[Client]]="infasco",VLOOKUP(OtherClients[[#This Row],[Part]],PartControl!$A$2:$E$564,2,FALSE),OtherClients[[#This Row],[Total Quantity]]*VLOOKUP(OtherClients[[#This Row],[Part]],PartControl!$A$2:$E$564,2,FALSE)),0)</f>
        <v>106.94</v>
      </c>
      <c r="Z269" s="108">
        <f>IF(OtherClients[[#This Row],[Re-certified or New]]&lt;&gt;"Re-certified",IF(OtherClients[[#This Row],[Client]]="infasco",VLOOKUP(OtherClients[[#This Row],[Part]],PartControl!$A$2:$E$564,2,FALSE),OtherClients[[#This Row],[Total Quantity]]*VLOOKUP(OtherClients[[#This Row],[Part]],PartControl!$A$2:$E$564,2,FALSE)),0)</f>
        <v>106.94</v>
      </c>
    </row>
    <row r="270" spans="1:26" ht="25.15" hidden="1" customHeight="1" x14ac:dyDescent="0.25">
      <c r="A270" s="112">
        <v>46239.695462962962</v>
      </c>
      <c r="B270" s="5" t="s">
        <v>346</v>
      </c>
      <c r="C270" s="5">
        <v>11549204</v>
      </c>
      <c r="D270" s="5">
        <v>714663</v>
      </c>
      <c r="E270" s="33">
        <v>26</v>
      </c>
      <c r="F270" s="60">
        <v>210</v>
      </c>
      <c r="G270" s="60">
        <f>+OtherClients[[#This Row],[Boxes / Pieces]]*OtherClients[[#This Row],[Unit Quantity]]</f>
        <v>5460</v>
      </c>
      <c r="H270" s="60" t="s">
        <v>871</v>
      </c>
      <c r="I270" s="60" t="s">
        <v>278</v>
      </c>
      <c r="J270" s="104"/>
      <c r="K270" s="33" t="s">
        <v>278</v>
      </c>
      <c r="L270" s="111"/>
      <c r="M270" s="33" t="s">
        <v>278</v>
      </c>
      <c r="N270" s="111"/>
      <c r="O270" s="33" t="s">
        <v>278</v>
      </c>
      <c r="P270" s="111"/>
      <c r="Q270" s="33" t="s">
        <v>587</v>
      </c>
      <c r="R270" s="111"/>
      <c r="S270" s="33" t="s">
        <v>278</v>
      </c>
      <c r="T270" s="111"/>
      <c r="U270" s="33" t="s">
        <v>278</v>
      </c>
      <c r="V270" s="111"/>
      <c r="W270" s="59" t="s">
        <v>548</v>
      </c>
      <c r="X270" s="33" t="str">
        <f>+VLOOKUP(OtherClients[[#This Row],[Part]],PartControl!$A$2:$E$564,5,FALSE)</f>
        <v>INFASCO</v>
      </c>
      <c r="Y270" s="108">
        <f>IF(OtherClients[[#This Row],[Re-certified or New]]&lt;&gt;"Re-certified",IF(OtherClients[[#This Row],[Client]]="infasco",VLOOKUP(OtherClients[[#This Row],[Part]],PartControl!$A$2:$E$564,2,FALSE),OtherClients[[#This Row],[Total Quantity]]*VLOOKUP(OtherClients[[#This Row],[Part]],PartControl!$A$2:$E$564,2,FALSE)),0)</f>
        <v>106.94</v>
      </c>
      <c r="Z270" s="108">
        <f>IF(OtherClients[[#This Row],[Re-certified or New]]&lt;&gt;"Re-certified",IF(OtherClients[[#This Row],[Client]]="infasco",VLOOKUP(OtherClients[[#This Row],[Part]],PartControl!$A$2:$E$564,2,FALSE),OtherClients[[#This Row],[Total Quantity]]*VLOOKUP(OtherClients[[#This Row],[Part]],PartControl!$A$2:$E$564,2,FALSE)),0)</f>
        <v>106.94</v>
      </c>
    </row>
    <row r="271" spans="1:26" ht="25.15" hidden="1" customHeight="1" x14ac:dyDescent="0.25">
      <c r="A271" s="112">
        <v>46239.695462962962</v>
      </c>
      <c r="B271" s="5" t="s">
        <v>346</v>
      </c>
      <c r="C271" s="5">
        <v>11549170</v>
      </c>
      <c r="D271" s="5">
        <v>713828</v>
      </c>
      <c r="E271" s="33">
        <v>35</v>
      </c>
      <c r="F271" s="60">
        <v>400</v>
      </c>
      <c r="G271" s="60">
        <f>+OtherClients[[#This Row],[Boxes / Pieces]]*OtherClients[[#This Row],[Unit Quantity]]</f>
        <v>14000</v>
      </c>
      <c r="H271" s="60" t="s">
        <v>871</v>
      </c>
      <c r="I271" s="60" t="s">
        <v>278</v>
      </c>
      <c r="J271" s="104"/>
      <c r="K271" s="33" t="s">
        <v>278</v>
      </c>
      <c r="L271" s="111"/>
      <c r="M271" s="33" t="s">
        <v>278</v>
      </c>
      <c r="N271" s="111"/>
      <c r="O271" s="33" t="s">
        <v>278</v>
      </c>
      <c r="P271" s="111"/>
      <c r="Q271" s="33" t="s">
        <v>587</v>
      </c>
      <c r="R271" s="111"/>
      <c r="S271" s="33" t="s">
        <v>278</v>
      </c>
      <c r="T271" s="111"/>
      <c r="U271" s="33" t="s">
        <v>278</v>
      </c>
      <c r="V271" s="111"/>
      <c r="W271" s="59" t="s">
        <v>548</v>
      </c>
      <c r="X271" s="33" t="str">
        <f>+VLOOKUP(OtherClients[[#This Row],[Part]],PartControl!$A$2:$E$564,5,FALSE)</f>
        <v>INFASCO</v>
      </c>
      <c r="Y271" s="108">
        <f>IF(OtherClients[[#This Row],[Re-certified or New]]&lt;&gt;"Re-certified",IF(OtherClients[[#This Row],[Client]]="infasco",VLOOKUP(OtherClients[[#This Row],[Part]],PartControl!$A$2:$E$564,2,FALSE),OtherClients[[#This Row],[Total Quantity]]*VLOOKUP(OtherClients[[#This Row],[Part]],PartControl!$A$2:$E$564,2,FALSE)),0)</f>
        <v>106.94</v>
      </c>
      <c r="Z271" s="108">
        <f>IF(OtherClients[[#This Row],[Re-certified or New]]&lt;&gt;"Re-certified",IF(OtherClients[[#This Row],[Client]]="infasco",VLOOKUP(OtherClients[[#This Row],[Part]],PartControl!$A$2:$E$564,2,FALSE),OtherClients[[#This Row],[Total Quantity]]*VLOOKUP(OtherClients[[#This Row],[Part]],PartControl!$A$2:$E$564,2,FALSE)),0)</f>
        <v>106.94</v>
      </c>
    </row>
    <row r="272" spans="1:26" ht="25.15" hidden="1" customHeight="1" x14ac:dyDescent="0.25">
      <c r="A272" s="112">
        <v>46239.695462962962</v>
      </c>
      <c r="B272" s="5" t="s">
        <v>346</v>
      </c>
      <c r="C272" s="5" t="s">
        <v>815</v>
      </c>
      <c r="D272" s="5">
        <v>707150</v>
      </c>
      <c r="E272" s="33">
        <v>35</v>
      </c>
      <c r="F272" s="60">
        <v>700</v>
      </c>
      <c r="G272" s="60">
        <f>+OtherClients[[#This Row],[Boxes / Pieces]]*OtherClients[[#This Row],[Unit Quantity]]</f>
        <v>24500</v>
      </c>
      <c r="H272" s="60" t="s">
        <v>871</v>
      </c>
      <c r="I272" s="60" t="s">
        <v>278</v>
      </c>
      <c r="J272" s="104"/>
      <c r="K272" s="33" t="s">
        <v>278</v>
      </c>
      <c r="L272" s="111"/>
      <c r="M272" s="33" t="s">
        <v>278</v>
      </c>
      <c r="N272" s="111"/>
      <c r="O272" s="33" t="s">
        <v>278</v>
      </c>
      <c r="P272" s="111"/>
      <c r="Q272" s="33" t="s">
        <v>587</v>
      </c>
      <c r="R272" s="111"/>
      <c r="S272" s="33" t="s">
        <v>278</v>
      </c>
      <c r="T272" s="111"/>
      <c r="U272" s="33" t="s">
        <v>278</v>
      </c>
      <c r="V272" s="111"/>
      <c r="W272" s="59" t="s">
        <v>548</v>
      </c>
      <c r="X272" s="33" t="str">
        <f>+VLOOKUP(OtherClients[[#This Row],[Part]],PartControl!$A$2:$E$564,5,FALSE)</f>
        <v>infasco</v>
      </c>
      <c r="Y272" s="108">
        <f>IF(OtherClients[[#This Row],[Re-certified or New]]&lt;&gt;"Re-certified",IF(OtherClients[[#This Row],[Client]]="infasco",VLOOKUP(OtherClients[[#This Row],[Part]],PartControl!$A$2:$E$564,2,FALSE),OtherClients[[#This Row],[Total Quantity]]*VLOOKUP(OtherClients[[#This Row],[Part]],PartControl!$A$2:$E$564,2,FALSE)),0)</f>
        <v>106.94</v>
      </c>
      <c r="Z272" s="108">
        <f>IF(OtherClients[[#This Row],[Re-certified or New]]&lt;&gt;"Re-certified",IF(OtherClients[[#This Row],[Client]]="infasco",VLOOKUP(OtherClients[[#This Row],[Part]],PartControl!$A$2:$E$564,2,FALSE),OtherClients[[#This Row],[Total Quantity]]*VLOOKUP(OtherClients[[#This Row],[Part]],PartControl!$A$2:$E$564,2,FALSE)),0)</f>
        <v>106.94</v>
      </c>
    </row>
    <row r="273" spans="1:26" ht="25.15" hidden="1" customHeight="1" x14ac:dyDescent="0.25">
      <c r="A273" s="112">
        <v>46239.695462962962</v>
      </c>
      <c r="B273" s="5" t="s">
        <v>346</v>
      </c>
      <c r="C273" s="5" t="s">
        <v>869</v>
      </c>
      <c r="D273" s="5">
        <v>712799</v>
      </c>
      <c r="E273" s="33">
        <v>27</v>
      </c>
      <c r="F273" s="60">
        <v>220</v>
      </c>
      <c r="G273" s="60">
        <f>+OtherClients[[#This Row],[Boxes / Pieces]]*OtherClients[[#This Row],[Unit Quantity]]</f>
        <v>5940</v>
      </c>
      <c r="H273" s="60" t="s">
        <v>871</v>
      </c>
      <c r="I273" s="60" t="s">
        <v>278</v>
      </c>
      <c r="J273" s="104"/>
      <c r="K273" s="33" t="s">
        <v>278</v>
      </c>
      <c r="L273" s="111"/>
      <c r="M273" s="33" t="s">
        <v>278</v>
      </c>
      <c r="N273" s="111"/>
      <c r="O273" s="33" t="s">
        <v>278</v>
      </c>
      <c r="P273" s="111"/>
      <c r="Q273" s="33" t="s">
        <v>587</v>
      </c>
      <c r="R273" s="111"/>
      <c r="S273" s="33" t="s">
        <v>278</v>
      </c>
      <c r="T273" s="111"/>
      <c r="U273" s="33" t="s">
        <v>278</v>
      </c>
      <c r="V273" s="111"/>
      <c r="W273" s="59" t="s">
        <v>548</v>
      </c>
      <c r="X273" s="33" t="str">
        <f>+VLOOKUP(OtherClients[[#This Row],[Part]],PartControl!$A$2:$E$564,5,FALSE)</f>
        <v>infasco</v>
      </c>
      <c r="Y273" s="108">
        <f>IF(OtherClients[[#This Row],[Re-certified or New]]&lt;&gt;"Re-certified",IF(OtherClients[[#This Row],[Client]]="infasco",VLOOKUP(OtherClients[[#This Row],[Part]],PartControl!$A$2:$E$564,2,FALSE),OtherClients[[#This Row],[Total Quantity]]*VLOOKUP(OtherClients[[#This Row],[Part]],PartControl!$A$2:$E$564,2,FALSE)),0)</f>
        <v>106.94</v>
      </c>
      <c r="Z273" s="108">
        <f>IF(OtherClients[[#This Row],[Re-certified or New]]&lt;&gt;"Re-certified",IF(OtherClients[[#This Row],[Client]]="infasco",VLOOKUP(OtherClients[[#This Row],[Part]],PartControl!$A$2:$E$564,2,FALSE),OtherClients[[#This Row],[Total Quantity]]*VLOOKUP(OtherClients[[#This Row],[Part]],PartControl!$A$2:$E$564,2,FALSE)),0)</f>
        <v>106.94</v>
      </c>
    </row>
    <row r="274" spans="1:26" ht="25.15" hidden="1" customHeight="1" x14ac:dyDescent="0.25">
      <c r="A274" s="112">
        <v>46239.695462962962</v>
      </c>
      <c r="B274" s="5" t="s">
        <v>346</v>
      </c>
      <c r="C274" s="5" t="s">
        <v>869</v>
      </c>
      <c r="D274" s="5">
        <v>712798</v>
      </c>
      <c r="E274" s="33">
        <v>27</v>
      </c>
      <c r="F274" s="60">
        <v>220</v>
      </c>
      <c r="G274" s="60">
        <f>+OtherClients[[#This Row],[Boxes / Pieces]]*OtherClients[[#This Row],[Unit Quantity]]</f>
        <v>5940</v>
      </c>
      <c r="H274" s="60" t="s">
        <v>871</v>
      </c>
      <c r="I274" s="60" t="s">
        <v>278</v>
      </c>
      <c r="J274" s="104"/>
      <c r="K274" s="33" t="s">
        <v>278</v>
      </c>
      <c r="L274" s="111"/>
      <c r="M274" s="33" t="s">
        <v>278</v>
      </c>
      <c r="N274" s="111"/>
      <c r="O274" s="33" t="s">
        <v>278</v>
      </c>
      <c r="P274" s="111"/>
      <c r="Q274" s="33" t="s">
        <v>587</v>
      </c>
      <c r="R274" s="111"/>
      <c r="S274" s="33" t="s">
        <v>278</v>
      </c>
      <c r="T274" s="111"/>
      <c r="U274" s="33" t="s">
        <v>278</v>
      </c>
      <c r="V274" s="111"/>
      <c r="W274" s="59" t="s">
        <v>548</v>
      </c>
      <c r="X274" s="33" t="str">
        <f>+VLOOKUP(OtherClients[[#This Row],[Part]],PartControl!$A$2:$E$564,5,FALSE)</f>
        <v>infasco</v>
      </c>
      <c r="Y274" s="108">
        <f>IF(OtherClients[[#This Row],[Re-certified or New]]&lt;&gt;"Re-certified",IF(OtherClients[[#This Row],[Client]]="infasco",VLOOKUP(OtherClients[[#This Row],[Part]],PartControl!$A$2:$E$564,2,FALSE),OtherClients[[#This Row],[Total Quantity]]*VLOOKUP(OtherClients[[#This Row],[Part]],PartControl!$A$2:$E$564,2,FALSE)),0)</f>
        <v>106.94</v>
      </c>
      <c r="Z274" s="108">
        <f>IF(OtherClients[[#This Row],[Re-certified or New]]&lt;&gt;"Re-certified",IF(OtherClients[[#This Row],[Client]]="infasco",VLOOKUP(OtherClients[[#This Row],[Part]],PartControl!$A$2:$E$564,2,FALSE),OtherClients[[#This Row],[Total Quantity]]*VLOOKUP(OtherClients[[#This Row],[Part]],PartControl!$A$2:$E$564,2,FALSE)),0)</f>
        <v>106.94</v>
      </c>
    </row>
    <row r="275" spans="1:26" ht="25.15" hidden="1" customHeight="1" x14ac:dyDescent="0.25">
      <c r="A275" s="112">
        <v>46239.695462962962</v>
      </c>
      <c r="B275" s="5" t="s">
        <v>346</v>
      </c>
      <c r="C275" s="5" t="s">
        <v>869</v>
      </c>
      <c r="D275" s="5">
        <v>712800</v>
      </c>
      <c r="E275" s="33">
        <v>19</v>
      </c>
      <c r="F275" s="60">
        <v>220</v>
      </c>
      <c r="G275" s="60">
        <f>+OtherClients[[#This Row],[Boxes / Pieces]]*OtherClients[[#This Row],[Unit Quantity]]</f>
        <v>4180</v>
      </c>
      <c r="H275" s="60" t="s">
        <v>871</v>
      </c>
      <c r="I275" s="60" t="s">
        <v>278</v>
      </c>
      <c r="J275" s="104"/>
      <c r="K275" s="33" t="s">
        <v>278</v>
      </c>
      <c r="L275" s="111"/>
      <c r="M275" s="33" t="s">
        <v>278</v>
      </c>
      <c r="N275" s="111"/>
      <c r="O275" s="33" t="s">
        <v>278</v>
      </c>
      <c r="P275" s="111"/>
      <c r="Q275" s="33" t="s">
        <v>587</v>
      </c>
      <c r="R275" s="111"/>
      <c r="S275" s="33" t="s">
        <v>278</v>
      </c>
      <c r="T275" s="111"/>
      <c r="U275" s="33" t="s">
        <v>278</v>
      </c>
      <c r="V275" s="111"/>
      <c r="W275" s="59" t="s">
        <v>548</v>
      </c>
      <c r="X275" s="33" t="str">
        <f>+VLOOKUP(OtherClients[[#This Row],[Part]],PartControl!$A$2:$E$564,5,FALSE)</f>
        <v>infasco</v>
      </c>
      <c r="Y275" s="108">
        <f>IF(OtherClients[[#This Row],[Re-certified or New]]&lt;&gt;"Re-certified",IF(OtherClients[[#This Row],[Client]]="infasco",VLOOKUP(OtherClients[[#This Row],[Part]],PartControl!$A$2:$E$564,2,FALSE),OtherClients[[#This Row],[Total Quantity]]*VLOOKUP(OtherClients[[#This Row],[Part]],PartControl!$A$2:$E$564,2,FALSE)),0)</f>
        <v>106.94</v>
      </c>
      <c r="Z275" s="108">
        <f>IF(OtherClients[[#This Row],[Re-certified or New]]&lt;&gt;"Re-certified",IF(OtherClients[[#This Row],[Client]]="infasco",VLOOKUP(OtherClients[[#This Row],[Part]],PartControl!$A$2:$E$564,2,FALSE),OtherClients[[#This Row],[Total Quantity]]*VLOOKUP(OtherClients[[#This Row],[Part]],PartControl!$A$2:$E$564,2,FALSE)),0)</f>
        <v>106.94</v>
      </c>
    </row>
    <row r="276" spans="1:26" ht="25.15" hidden="1" customHeight="1" x14ac:dyDescent="0.25">
      <c r="A276" s="112">
        <v>46239.695462962962</v>
      </c>
      <c r="B276" s="5" t="s">
        <v>346</v>
      </c>
      <c r="C276" s="5" t="s">
        <v>872</v>
      </c>
      <c r="D276" s="5">
        <v>715750</v>
      </c>
      <c r="E276" s="33">
        <v>39</v>
      </c>
      <c r="F276" s="60">
        <v>215</v>
      </c>
      <c r="G276" s="60">
        <f>+OtherClients[[#This Row],[Boxes / Pieces]]*OtherClients[[#This Row],[Unit Quantity]]</f>
        <v>8385</v>
      </c>
      <c r="H276" s="60" t="s">
        <v>871</v>
      </c>
      <c r="I276" s="60" t="s">
        <v>278</v>
      </c>
      <c r="J276" s="104"/>
      <c r="K276" s="33" t="s">
        <v>278</v>
      </c>
      <c r="L276" s="111"/>
      <c r="M276" s="33" t="s">
        <v>278</v>
      </c>
      <c r="N276" s="111"/>
      <c r="O276" s="33" t="s">
        <v>278</v>
      </c>
      <c r="P276" s="111"/>
      <c r="Q276" s="33" t="s">
        <v>587</v>
      </c>
      <c r="R276" s="111"/>
      <c r="S276" s="33" t="s">
        <v>278</v>
      </c>
      <c r="T276" s="111"/>
      <c r="U276" s="33" t="s">
        <v>278</v>
      </c>
      <c r="V276" s="111"/>
      <c r="W276" s="59" t="s">
        <v>548</v>
      </c>
      <c r="X276" s="33" t="str">
        <f>+VLOOKUP(OtherClients[[#This Row],[Part]],PartControl!$A$2:$E$564,5,FALSE)</f>
        <v>infasco</v>
      </c>
      <c r="Y276" s="108">
        <f>IF(OtherClients[[#This Row],[Re-certified or New]]&lt;&gt;"Re-certified",IF(OtherClients[[#This Row],[Client]]="infasco",VLOOKUP(OtherClients[[#This Row],[Part]],PartControl!$A$2:$E$564,2,FALSE),OtherClients[[#This Row],[Total Quantity]]*VLOOKUP(OtherClients[[#This Row],[Part]],PartControl!$A$2:$E$564,2,FALSE)),0)</f>
        <v>106.94</v>
      </c>
      <c r="Z276" s="108">
        <f>IF(OtherClients[[#This Row],[Re-certified or New]]&lt;&gt;"Re-certified",IF(OtherClients[[#This Row],[Client]]="infasco",VLOOKUP(OtherClients[[#This Row],[Part]],PartControl!$A$2:$E$564,2,FALSE),OtherClients[[#This Row],[Total Quantity]]*VLOOKUP(OtherClients[[#This Row],[Part]],PartControl!$A$2:$E$564,2,FALSE)),0)</f>
        <v>106.94</v>
      </c>
    </row>
    <row r="277" spans="1:26" ht="25.15" hidden="1" customHeight="1" x14ac:dyDescent="0.25">
      <c r="A277" s="112">
        <v>46239.695462962962</v>
      </c>
      <c r="B277" s="5" t="s">
        <v>246</v>
      </c>
      <c r="C277" s="5" t="s">
        <v>732</v>
      </c>
      <c r="D277" s="5">
        <v>708737</v>
      </c>
      <c r="E277" s="33">
        <v>10</v>
      </c>
      <c r="F277" s="60">
        <v>1000</v>
      </c>
      <c r="G277" s="60">
        <f>+OtherClients[[#This Row],[Boxes / Pieces]]*OtherClients[[#This Row],[Unit Quantity]]</f>
        <v>10000</v>
      </c>
      <c r="H277" s="60">
        <v>272</v>
      </c>
      <c r="I277" s="60" t="s">
        <v>278</v>
      </c>
      <c r="J277" s="104"/>
      <c r="K277" s="33" t="s">
        <v>278</v>
      </c>
      <c r="L277" s="111"/>
      <c r="M277" s="33" t="s">
        <v>278</v>
      </c>
      <c r="N277" s="111"/>
      <c r="O277" s="33" t="s">
        <v>278</v>
      </c>
      <c r="P277" s="111"/>
      <c r="Q277" s="33" t="s">
        <v>587</v>
      </c>
      <c r="R277" s="111"/>
      <c r="S277" s="33" t="s">
        <v>278</v>
      </c>
      <c r="T277" s="111"/>
      <c r="U277" s="33" t="s">
        <v>278</v>
      </c>
      <c r="V277" s="111"/>
      <c r="W277" s="59" t="s">
        <v>548</v>
      </c>
      <c r="X277" s="33" t="str">
        <f>+VLOOKUP(OtherClients[[#This Row],[Part]],PartControl!$A$2:$E$564,5,FALSE)</f>
        <v>infasco</v>
      </c>
      <c r="Y277" s="108">
        <f>IF(OtherClients[[#This Row],[Re-certified or New]]&lt;&gt;"Re-certified",IF(OtherClients[[#This Row],[Client]]="infasco",VLOOKUP(OtherClients[[#This Row],[Part]],PartControl!$A$2:$E$564,2,FALSE),OtherClients[[#This Row],[Total Quantity]]*VLOOKUP(OtherClients[[#This Row],[Part]],PartControl!$A$2:$E$564,2,FALSE)),0)</f>
        <v>213.88</v>
      </c>
      <c r="Z277" s="108">
        <f>IF(OtherClients[[#This Row],[Re-certified or New]]&lt;&gt;"Re-certified",IF(OtherClients[[#This Row],[Client]]="infasco",VLOOKUP(OtherClients[[#This Row],[Part]],PartControl!$A$2:$E$564,2,FALSE),OtherClients[[#This Row],[Total Quantity]]*VLOOKUP(OtherClients[[#This Row],[Part]],PartControl!$A$2:$E$564,2,FALSE)),0)</f>
        <v>213.88</v>
      </c>
    </row>
    <row r="278" spans="1:26" ht="25.15" hidden="1" customHeight="1" x14ac:dyDescent="0.25">
      <c r="A278" s="112">
        <v>46239.695462962962</v>
      </c>
      <c r="B278" s="5" t="s">
        <v>246</v>
      </c>
      <c r="C278" s="5" t="s">
        <v>732</v>
      </c>
      <c r="D278" s="5">
        <v>710399</v>
      </c>
      <c r="E278" s="33">
        <v>41</v>
      </c>
      <c r="F278" s="60">
        <v>1000</v>
      </c>
      <c r="G278" s="60">
        <f>+OtherClients[[#This Row],[Boxes / Pieces]]*OtherClients[[#This Row],[Unit Quantity]]</f>
        <v>41000</v>
      </c>
      <c r="H278" s="60">
        <v>272</v>
      </c>
      <c r="I278" s="60" t="s">
        <v>278</v>
      </c>
      <c r="J278" s="104"/>
      <c r="K278" s="33" t="s">
        <v>278</v>
      </c>
      <c r="L278" s="111"/>
      <c r="M278" s="33" t="s">
        <v>278</v>
      </c>
      <c r="N278" s="111"/>
      <c r="O278" s="33" t="s">
        <v>278</v>
      </c>
      <c r="P278" s="111"/>
      <c r="Q278" s="33" t="s">
        <v>587</v>
      </c>
      <c r="R278" s="111"/>
      <c r="S278" s="33" t="s">
        <v>278</v>
      </c>
      <c r="T278" s="111"/>
      <c r="U278" s="33" t="s">
        <v>278</v>
      </c>
      <c r="V278" s="111"/>
      <c r="W278" s="59" t="s">
        <v>548</v>
      </c>
      <c r="X278" s="33" t="str">
        <f>+VLOOKUP(OtherClients[[#This Row],[Part]],PartControl!$A$2:$E$564,5,FALSE)</f>
        <v>infasco</v>
      </c>
      <c r="Y278" s="108">
        <f>IF(OtherClients[[#This Row],[Re-certified or New]]&lt;&gt;"Re-certified",IF(OtherClients[[#This Row],[Client]]="infasco",VLOOKUP(OtherClients[[#This Row],[Part]],PartControl!$A$2:$E$564,2,FALSE),OtherClients[[#This Row],[Total Quantity]]*VLOOKUP(OtherClients[[#This Row],[Part]],PartControl!$A$2:$E$564,2,FALSE)),0)</f>
        <v>213.88</v>
      </c>
      <c r="Z278" s="108">
        <f>IF(OtherClients[[#This Row],[Re-certified or New]]&lt;&gt;"Re-certified",IF(OtherClients[[#This Row],[Client]]="infasco",VLOOKUP(OtherClients[[#This Row],[Part]],PartControl!$A$2:$E$564,2,FALSE),OtherClients[[#This Row],[Total Quantity]]*VLOOKUP(OtherClients[[#This Row],[Part]],PartControl!$A$2:$E$564,2,FALSE)),0)</f>
        <v>213.88</v>
      </c>
    </row>
    <row r="279" spans="1:26" ht="25.15" hidden="1" customHeight="1" x14ac:dyDescent="0.25">
      <c r="A279" s="112">
        <v>46239.695462962962</v>
      </c>
      <c r="B279" s="5" t="s">
        <v>246</v>
      </c>
      <c r="C279" s="5" t="s">
        <v>303</v>
      </c>
      <c r="D279" s="5">
        <v>714133</v>
      </c>
      <c r="E279" s="33">
        <v>1</v>
      </c>
      <c r="F279" s="60">
        <v>24000</v>
      </c>
      <c r="G279" s="60">
        <f>+OtherClients[[#This Row],[Boxes / Pieces]]*OtherClients[[#This Row],[Unit Quantity]]</f>
        <v>24000</v>
      </c>
      <c r="H279" s="60">
        <v>272</v>
      </c>
      <c r="I279" s="60" t="s">
        <v>278</v>
      </c>
      <c r="J279" s="104"/>
      <c r="K279" s="33" t="s">
        <v>278</v>
      </c>
      <c r="L279" s="111"/>
      <c r="M279" s="33" t="s">
        <v>278</v>
      </c>
      <c r="N279" s="111"/>
      <c r="O279" s="33" t="s">
        <v>278</v>
      </c>
      <c r="P279" s="111"/>
      <c r="Q279" s="33" t="s">
        <v>587</v>
      </c>
      <c r="R279" s="111"/>
      <c r="S279" s="33" t="s">
        <v>278</v>
      </c>
      <c r="T279" s="111"/>
      <c r="U279" s="33" t="s">
        <v>278</v>
      </c>
      <c r="V279" s="111"/>
      <c r="W279" s="59" t="s">
        <v>633</v>
      </c>
      <c r="X279" s="33" t="str">
        <f>+VLOOKUP(OtherClients[[#This Row],[Part]],PartControl!$A$2:$E$564,5,FALSE)</f>
        <v>INFASCO</v>
      </c>
      <c r="Y279" s="108">
        <f>IF(OtherClients[[#This Row],[Re-certified or New]]&lt;&gt;"Re-certified",IF(OtherClients[[#This Row],[Client]]="infasco",VLOOKUP(OtherClients[[#This Row],[Part]],PartControl!$A$2:$E$564,2,FALSE),OtherClients[[#This Row],[Total Quantity]]*VLOOKUP(OtherClients[[#This Row],[Part]],PartControl!$A$2:$E$564,2,FALSE)),0)</f>
        <v>0</v>
      </c>
      <c r="Z279" s="108">
        <f>IF(OtherClients[[#This Row],[Re-certified or New]]&lt;&gt;"Re-certified",IF(OtherClients[[#This Row],[Client]]="infasco",VLOOKUP(OtherClients[[#This Row],[Part]],PartControl!$A$2:$E$564,2,FALSE),OtherClients[[#This Row],[Total Quantity]]*VLOOKUP(OtherClients[[#This Row],[Part]],PartControl!$A$2:$E$564,2,FALSE)),0)</f>
        <v>0</v>
      </c>
    </row>
    <row r="280" spans="1:26" ht="25.15" hidden="1" customHeight="1" x14ac:dyDescent="0.25">
      <c r="A280" s="112">
        <v>46240</v>
      </c>
      <c r="B280" s="5" t="s">
        <v>243</v>
      </c>
      <c r="C280" s="5">
        <v>11561645</v>
      </c>
      <c r="D280" s="5">
        <v>714588</v>
      </c>
      <c r="E280" s="33">
        <v>30</v>
      </c>
      <c r="F280" s="60">
        <v>4000</v>
      </c>
      <c r="G280" s="60">
        <f>+OtherClients[[#This Row],[Boxes / Pieces]]*OtherClients[[#This Row],[Unit Quantity]]</f>
        <v>120000</v>
      </c>
      <c r="H280" s="60">
        <v>292</v>
      </c>
      <c r="I280" s="60" t="s">
        <v>278</v>
      </c>
      <c r="J280" s="104"/>
      <c r="K280" s="33" t="s">
        <v>278</v>
      </c>
      <c r="L280" s="111"/>
      <c r="M280" s="33" t="s">
        <v>278</v>
      </c>
      <c r="N280" s="111"/>
      <c r="O280" s="33" t="s">
        <v>278</v>
      </c>
      <c r="P280" s="111"/>
      <c r="Q280" s="33" t="s">
        <v>587</v>
      </c>
      <c r="R280" s="111"/>
      <c r="S280" s="33" t="s">
        <v>278</v>
      </c>
      <c r="T280" s="111"/>
      <c r="U280" s="33" t="s">
        <v>278</v>
      </c>
      <c r="V280" s="111"/>
      <c r="W280" s="59" t="s">
        <v>548</v>
      </c>
      <c r="X280" s="33" t="str">
        <f>+VLOOKUP(OtherClients[[#This Row],[Part]],PartControl!$A$2:$E$564,5,FALSE)</f>
        <v>infasco</v>
      </c>
      <c r="Y280" s="108">
        <f>IF(OtherClients[[#This Row],[Re-certified or New]]&lt;&gt;"Re-certified",IF(OtherClients[[#This Row],[Client]]="infasco",VLOOKUP(OtherClients[[#This Row],[Part]],PartControl!$A$2:$E$564,2,FALSE),OtherClients[[#This Row],[Total Quantity]]*VLOOKUP(OtherClients[[#This Row],[Part]],PartControl!$A$2:$E$564,2,FALSE)),0)</f>
        <v>106.94</v>
      </c>
      <c r="Z280" s="108">
        <f>IF(OtherClients[[#This Row],[Re-certified or New]]&lt;&gt;"Re-certified",IF(OtherClients[[#This Row],[Client]]="infasco",VLOOKUP(OtherClients[[#This Row],[Part]],PartControl!$A$2:$E$564,2,FALSE),OtherClients[[#This Row],[Total Quantity]]*VLOOKUP(OtherClients[[#This Row],[Part]],PartControl!$A$2:$E$564,2,FALSE)),0)</f>
        <v>106.94</v>
      </c>
    </row>
    <row r="281" spans="1:26" ht="25.15" hidden="1" customHeight="1" x14ac:dyDescent="0.25">
      <c r="A281" s="112">
        <v>46240</v>
      </c>
      <c r="B281" s="5" t="s">
        <v>623</v>
      </c>
      <c r="C281" s="5">
        <v>11549168</v>
      </c>
      <c r="D281" s="5">
        <v>713696</v>
      </c>
      <c r="E281" s="33">
        <f>36+15-20</f>
        <v>31</v>
      </c>
      <c r="F281" s="60">
        <v>1000</v>
      </c>
      <c r="G281" s="60">
        <f>+OtherClients[[#This Row],[Boxes / Pieces]]*OtherClients[[#This Row],[Unit Quantity]]</f>
        <v>31000</v>
      </c>
      <c r="H281" s="60">
        <v>292</v>
      </c>
      <c r="I281" s="60" t="s">
        <v>278</v>
      </c>
      <c r="J281" s="104"/>
      <c r="K281" s="33" t="s">
        <v>278</v>
      </c>
      <c r="L281" s="111"/>
      <c r="M281" s="33" t="s">
        <v>278</v>
      </c>
      <c r="N281" s="111"/>
      <c r="O281" s="33" t="s">
        <v>278</v>
      </c>
      <c r="P281" s="111"/>
      <c r="Q281" s="33" t="s">
        <v>587</v>
      </c>
      <c r="R281" s="111"/>
      <c r="S281" s="33" t="s">
        <v>278</v>
      </c>
      <c r="T281" s="111"/>
      <c r="U281" s="33" t="s">
        <v>278</v>
      </c>
      <c r="V281" s="111"/>
      <c r="W281" s="59" t="s">
        <v>548</v>
      </c>
      <c r="X281" s="33" t="str">
        <f>+VLOOKUP(OtherClients[[#This Row],[Part]],PartControl!$A$2:$E$564,5,FALSE)</f>
        <v>INFASCO</v>
      </c>
      <c r="Y281" s="108">
        <f>IF(OtherClients[[#This Row],[Re-certified or New]]&lt;&gt;"Re-certified",IF(OtherClients[[#This Row],[Client]]="infasco",VLOOKUP(OtherClients[[#This Row],[Part]],PartControl!$A$2:$E$564,2,FALSE),OtherClients[[#This Row],[Total Quantity]]*VLOOKUP(OtherClients[[#This Row],[Part]],PartControl!$A$2:$E$564,2,FALSE)),0)</f>
        <v>106.94</v>
      </c>
      <c r="Z281" s="108">
        <f>IF(OtherClients[[#This Row],[Re-certified or New]]&lt;&gt;"Re-certified",IF(OtherClients[[#This Row],[Client]]="infasco",VLOOKUP(OtherClients[[#This Row],[Part]],PartControl!$A$2:$E$564,2,FALSE),OtherClients[[#This Row],[Total Quantity]]*VLOOKUP(OtherClients[[#This Row],[Part]],PartControl!$A$2:$E$564,2,FALSE)),0)</f>
        <v>106.94</v>
      </c>
    </row>
    <row r="282" spans="1:26" ht="25.15" hidden="1" customHeight="1" x14ac:dyDescent="0.25">
      <c r="A282" s="112">
        <v>46240</v>
      </c>
      <c r="B282" s="5" t="s">
        <v>623</v>
      </c>
      <c r="C282" s="5" t="s">
        <v>15</v>
      </c>
      <c r="D282" s="5">
        <v>714426</v>
      </c>
      <c r="E282" s="33">
        <v>36</v>
      </c>
      <c r="F282" s="60">
        <v>1200</v>
      </c>
      <c r="G282" s="60">
        <f>+OtherClients[[#This Row],[Boxes / Pieces]]*OtherClients[[#This Row],[Unit Quantity]]</f>
        <v>43200</v>
      </c>
      <c r="H282" s="60">
        <v>292</v>
      </c>
      <c r="I282" s="60" t="s">
        <v>278</v>
      </c>
      <c r="J282" s="104"/>
      <c r="K282" s="33" t="s">
        <v>278</v>
      </c>
      <c r="L282" s="111"/>
      <c r="M282" s="33" t="s">
        <v>278</v>
      </c>
      <c r="N282" s="111"/>
      <c r="O282" s="33" t="s">
        <v>278</v>
      </c>
      <c r="P282" s="111"/>
      <c r="Q282" s="33" t="s">
        <v>587</v>
      </c>
      <c r="R282" s="111"/>
      <c r="S282" s="33" t="s">
        <v>278</v>
      </c>
      <c r="T282" s="111"/>
      <c r="U282" s="33" t="s">
        <v>278</v>
      </c>
      <c r="V282" s="111"/>
      <c r="W282" s="59" t="s">
        <v>548</v>
      </c>
      <c r="X282" s="33" t="str">
        <f>+VLOOKUP(OtherClients[[#This Row],[Part]],PartControl!$A$2:$E$564,5,FALSE)</f>
        <v>infasco</v>
      </c>
      <c r="Y282" s="108">
        <f>IF(OtherClients[[#This Row],[Re-certified or New]]&lt;&gt;"Re-certified",IF(OtherClients[[#This Row],[Client]]="infasco",VLOOKUP(OtherClients[[#This Row],[Part]],PartControl!$A$2:$E$564,2,FALSE),OtherClients[[#This Row],[Total Quantity]]*VLOOKUP(OtherClients[[#This Row],[Part]],PartControl!$A$2:$E$564,2,FALSE)),0)</f>
        <v>106.94</v>
      </c>
      <c r="Z282" s="108">
        <f>IF(OtherClients[[#This Row],[Re-certified or New]]&lt;&gt;"Re-certified",IF(OtherClients[[#This Row],[Client]]="infasco",VLOOKUP(OtherClients[[#This Row],[Part]],PartControl!$A$2:$E$564,2,FALSE),OtherClients[[#This Row],[Total Quantity]]*VLOOKUP(OtherClients[[#This Row],[Part]],PartControl!$A$2:$E$564,2,FALSE)),0)</f>
        <v>106.94</v>
      </c>
    </row>
    <row r="283" spans="1:26" ht="25.15" hidden="1" customHeight="1" x14ac:dyDescent="0.25">
      <c r="A283" s="112">
        <v>46240</v>
      </c>
      <c r="B283" s="5" t="s">
        <v>624</v>
      </c>
      <c r="C283" s="5">
        <v>11549170</v>
      </c>
      <c r="D283" s="5">
        <v>713702</v>
      </c>
      <c r="E283" s="33">
        <f>36-25</f>
        <v>11</v>
      </c>
      <c r="F283" s="60">
        <v>400</v>
      </c>
      <c r="G283" s="60">
        <f>+OtherClients[[#This Row],[Boxes / Pieces]]*OtherClients[[#This Row],[Unit Quantity]]</f>
        <v>4400</v>
      </c>
      <c r="H283" s="60">
        <v>292</v>
      </c>
      <c r="I283" s="60" t="s">
        <v>278</v>
      </c>
      <c r="J283" s="104"/>
      <c r="K283" s="33" t="s">
        <v>278</v>
      </c>
      <c r="L283" s="111"/>
      <c r="M283" s="33" t="s">
        <v>278</v>
      </c>
      <c r="N283" s="111"/>
      <c r="O283" s="33" t="s">
        <v>278</v>
      </c>
      <c r="P283" s="111"/>
      <c r="Q283" s="33" t="s">
        <v>587</v>
      </c>
      <c r="R283" s="111"/>
      <c r="S283" s="33" t="s">
        <v>278</v>
      </c>
      <c r="T283" s="111"/>
      <c r="U283" s="33" t="s">
        <v>278</v>
      </c>
      <c r="V283" s="111"/>
      <c r="W283" s="59" t="s">
        <v>548</v>
      </c>
      <c r="X283" s="33" t="str">
        <f>+VLOOKUP(OtherClients[[#This Row],[Part]],PartControl!$A$2:$E$564,5,FALSE)</f>
        <v>INFASCO</v>
      </c>
      <c r="Y283" s="108">
        <f>IF(OtherClients[[#This Row],[Re-certified or New]]&lt;&gt;"Re-certified",IF(OtherClients[[#This Row],[Client]]="infasco",VLOOKUP(OtherClients[[#This Row],[Part]],PartControl!$A$2:$E$564,2,FALSE),OtherClients[[#This Row],[Total Quantity]]*VLOOKUP(OtherClients[[#This Row],[Part]],PartControl!$A$2:$E$564,2,FALSE)),0)</f>
        <v>106.94</v>
      </c>
      <c r="Z283" s="108">
        <f>IF(OtherClients[[#This Row],[Re-certified or New]]&lt;&gt;"Re-certified",IF(OtherClients[[#This Row],[Client]]="infasco",VLOOKUP(OtherClients[[#This Row],[Part]],PartControl!$A$2:$E$564,2,FALSE),OtherClients[[#This Row],[Total Quantity]]*VLOOKUP(OtherClients[[#This Row],[Part]],PartControl!$A$2:$E$564,2,FALSE)),0)</f>
        <v>106.94</v>
      </c>
    </row>
    <row r="284" spans="1:26" ht="25.15" hidden="1" customHeight="1" x14ac:dyDescent="0.25">
      <c r="A284" s="112">
        <v>46240</v>
      </c>
      <c r="B284" s="5" t="s">
        <v>624</v>
      </c>
      <c r="C284" s="5">
        <v>11549170</v>
      </c>
      <c r="D284" s="5">
        <v>713824</v>
      </c>
      <c r="E284" s="33">
        <v>36</v>
      </c>
      <c r="F284" s="60">
        <v>400</v>
      </c>
      <c r="G284" s="60">
        <f>+OtherClients[[#This Row],[Boxes / Pieces]]*OtherClients[[#This Row],[Unit Quantity]]</f>
        <v>14400</v>
      </c>
      <c r="H284" s="60">
        <v>292</v>
      </c>
      <c r="I284" s="60" t="s">
        <v>278</v>
      </c>
      <c r="J284" s="104"/>
      <c r="K284" s="33" t="s">
        <v>278</v>
      </c>
      <c r="L284" s="111"/>
      <c r="M284" s="33" t="s">
        <v>278</v>
      </c>
      <c r="N284" s="111"/>
      <c r="O284" s="33" t="s">
        <v>278</v>
      </c>
      <c r="P284" s="111"/>
      <c r="Q284" s="33" t="s">
        <v>587</v>
      </c>
      <c r="R284" s="111"/>
      <c r="S284" s="33" t="s">
        <v>278</v>
      </c>
      <c r="T284" s="111"/>
      <c r="U284" s="33" t="s">
        <v>278</v>
      </c>
      <c r="V284" s="111"/>
      <c r="W284" s="59" t="s">
        <v>548</v>
      </c>
      <c r="X284" s="33" t="str">
        <f>+VLOOKUP(OtherClients[[#This Row],[Part]],PartControl!$A$2:$E$564,5,FALSE)</f>
        <v>INFASCO</v>
      </c>
      <c r="Y284" s="108">
        <f>IF(OtherClients[[#This Row],[Re-certified or New]]&lt;&gt;"Re-certified",IF(OtherClients[[#This Row],[Client]]="infasco",VLOOKUP(OtherClients[[#This Row],[Part]],PartControl!$A$2:$E$564,2,FALSE),OtherClients[[#This Row],[Total Quantity]]*VLOOKUP(OtherClients[[#This Row],[Part]],PartControl!$A$2:$E$564,2,FALSE)),0)</f>
        <v>106.94</v>
      </c>
      <c r="Z284" s="108">
        <f>IF(OtherClients[[#This Row],[Re-certified or New]]&lt;&gt;"Re-certified",IF(OtherClients[[#This Row],[Client]]="infasco",VLOOKUP(OtherClients[[#This Row],[Part]],PartControl!$A$2:$E$564,2,FALSE),OtherClients[[#This Row],[Total Quantity]]*VLOOKUP(OtherClients[[#This Row],[Part]],PartControl!$A$2:$E$564,2,FALSE)),0)</f>
        <v>106.94</v>
      </c>
    </row>
    <row r="285" spans="1:26" ht="25.15" hidden="1" customHeight="1" x14ac:dyDescent="0.25">
      <c r="A285" s="112">
        <v>46240</v>
      </c>
      <c r="B285" s="5" t="s">
        <v>624</v>
      </c>
      <c r="C285" s="5">
        <v>11549170</v>
      </c>
      <c r="D285" s="5">
        <v>713843</v>
      </c>
      <c r="E285" s="33">
        <v>36</v>
      </c>
      <c r="F285" s="60">
        <v>400</v>
      </c>
      <c r="G285" s="60">
        <f>+OtherClients[[#This Row],[Boxes / Pieces]]*OtherClients[[#This Row],[Unit Quantity]]</f>
        <v>14400</v>
      </c>
      <c r="H285" s="60">
        <v>292</v>
      </c>
      <c r="I285" s="60" t="s">
        <v>278</v>
      </c>
      <c r="J285" s="104"/>
      <c r="K285" s="33" t="s">
        <v>278</v>
      </c>
      <c r="L285" s="111"/>
      <c r="M285" s="33" t="s">
        <v>278</v>
      </c>
      <c r="N285" s="111"/>
      <c r="O285" s="33" t="s">
        <v>278</v>
      </c>
      <c r="P285" s="111"/>
      <c r="Q285" s="33" t="s">
        <v>587</v>
      </c>
      <c r="R285" s="111"/>
      <c r="S285" s="33" t="s">
        <v>278</v>
      </c>
      <c r="T285" s="111"/>
      <c r="U285" s="33" t="s">
        <v>278</v>
      </c>
      <c r="V285" s="111"/>
      <c r="W285" s="59" t="s">
        <v>548</v>
      </c>
      <c r="X285" s="33" t="str">
        <f>+VLOOKUP(OtherClients[[#This Row],[Part]],PartControl!$A$2:$E$564,5,FALSE)</f>
        <v>INFASCO</v>
      </c>
      <c r="Y285" s="108">
        <f>IF(OtherClients[[#This Row],[Re-certified or New]]&lt;&gt;"Re-certified",IF(OtherClients[[#This Row],[Client]]="infasco",VLOOKUP(OtherClients[[#This Row],[Part]],PartControl!$A$2:$E$564,2,FALSE),OtherClients[[#This Row],[Total Quantity]]*VLOOKUP(OtherClients[[#This Row],[Part]],PartControl!$A$2:$E$564,2,FALSE)),0)</f>
        <v>106.94</v>
      </c>
      <c r="Z285" s="108">
        <f>IF(OtherClients[[#This Row],[Re-certified or New]]&lt;&gt;"Re-certified",IF(OtherClients[[#This Row],[Client]]="infasco",VLOOKUP(OtherClients[[#This Row],[Part]],PartControl!$A$2:$E$564,2,FALSE),OtherClients[[#This Row],[Total Quantity]]*VLOOKUP(OtherClients[[#This Row],[Part]],PartControl!$A$2:$E$564,2,FALSE)),0)</f>
        <v>106.94</v>
      </c>
    </row>
    <row r="286" spans="1:26" ht="25.15" hidden="1" customHeight="1" x14ac:dyDescent="0.25">
      <c r="A286" s="112">
        <v>46240</v>
      </c>
      <c r="B286" s="5" t="s">
        <v>624</v>
      </c>
      <c r="C286" s="5">
        <v>11546774</v>
      </c>
      <c r="D286" s="5">
        <v>713587</v>
      </c>
      <c r="E286" s="33">
        <v>25</v>
      </c>
      <c r="F286" s="60">
        <v>450</v>
      </c>
      <c r="G286" s="60">
        <f>+OtherClients[[#This Row],[Boxes / Pieces]]*OtherClients[[#This Row],[Unit Quantity]]</f>
        <v>11250</v>
      </c>
      <c r="H286" s="60">
        <v>292</v>
      </c>
      <c r="I286" s="60" t="s">
        <v>278</v>
      </c>
      <c r="J286" s="104"/>
      <c r="K286" s="33" t="s">
        <v>278</v>
      </c>
      <c r="L286" s="111"/>
      <c r="M286" s="33" t="s">
        <v>278</v>
      </c>
      <c r="N286" s="111"/>
      <c r="O286" s="33" t="s">
        <v>278</v>
      </c>
      <c r="P286" s="111"/>
      <c r="Q286" s="33" t="s">
        <v>587</v>
      </c>
      <c r="R286" s="111"/>
      <c r="S286" s="33" t="s">
        <v>278</v>
      </c>
      <c r="T286" s="111"/>
      <c r="U286" s="33" t="s">
        <v>278</v>
      </c>
      <c r="V286" s="111"/>
      <c r="W286" s="59" t="s">
        <v>633</v>
      </c>
      <c r="X286" s="33" t="str">
        <f>+VLOOKUP(OtherClients[[#This Row],[Part]],PartControl!$A$2:$E$564,5,FALSE)</f>
        <v>infasco</v>
      </c>
      <c r="Y286" s="108">
        <f>IF(OtherClients[[#This Row],[Re-certified or New]]&lt;&gt;"Re-certified",IF(OtherClients[[#This Row],[Client]]="infasco",VLOOKUP(OtherClients[[#This Row],[Part]],PartControl!$A$2:$E$564,2,FALSE),OtherClients[[#This Row],[Total Quantity]]*VLOOKUP(OtherClients[[#This Row],[Part]],PartControl!$A$2:$E$564,2,FALSE)),0)</f>
        <v>0</v>
      </c>
      <c r="Z286" s="108">
        <f>IF(OtherClients[[#This Row],[Re-certified or New]]&lt;&gt;"Re-certified",IF(OtherClients[[#This Row],[Client]]="infasco",VLOOKUP(OtherClients[[#This Row],[Part]],PartControl!$A$2:$E$564,2,FALSE),OtherClients[[#This Row],[Total Quantity]]*VLOOKUP(OtherClients[[#This Row],[Part]],PartControl!$A$2:$E$564,2,FALSE)),0)</f>
        <v>0</v>
      </c>
    </row>
    <row r="287" spans="1:26" ht="25.15" hidden="1" customHeight="1" x14ac:dyDescent="0.25">
      <c r="A287" s="112">
        <v>46240</v>
      </c>
      <c r="B287" s="5" t="s">
        <v>244</v>
      </c>
      <c r="C287" s="5">
        <v>11549168</v>
      </c>
      <c r="D287" s="5">
        <v>713683</v>
      </c>
      <c r="E287" s="33">
        <f>36-30</f>
        <v>6</v>
      </c>
      <c r="F287" s="60">
        <v>1000</v>
      </c>
      <c r="G287" s="60">
        <f>+OtherClients[[#This Row],[Boxes / Pieces]]*OtherClients[[#This Row],[Unit Quantity]]</f>
        <v>6000</v>
      </c>
      <c r="H287" s="60">
        <v>292</v>
      </c>
      <c r="I287" s="60" t="s">
        <v>278</v>
      </c>
      <c r="J287" s="104"/>
      <c r="K287" s="33" t="s">
        <v>278</v>
      </c>
      <c r="L287" s="111"/>
      <c r="M287" s="33" t="s">
        <v>278</v>
      </c>
      <c r="N287" s="111"/>
      <c r="O287" s="33" t="s">
        <v>278</v>
      </c>
      <c r="P287" s="111"/>
      <c r="Q287" s="33" t="s">
        <v>587</v>
      </c>
      <c r="R287" s="111"/>
      <c r="S287" s="33" t="s">
        <v>278</v>
      </c>
      <c r="T287" s="111"/>
      <c r="U287" s="33" t="s">
        <v>278</v>
      </c>
      <c r="V287" s="111"/>
      <c r="W287" s="59" t="s">
        <v>548</v>
      </c>
      <c r="X287" s="33" t="str">
        <f>+VLOOKUP(OtherClients[[#This Row],[Part]],PartControl!$A$2:$E$564,5,FALSE)</f>
        <v>INFASCO</v>
      </c>
      <c r="Y287" s="108">
        <f>IF(OtherClients[[#This Row],[Re-certified or New]]&lt;&gt;"Re-certified",IF(OtherClients[[#This Row],[Client]]="infasco",VLOOKUP(OtherClients[[#This Row],[Part]],PartControl!$A$2:$E$564,2,FALSE),OtherClients[[#This Row],[Total Quantity]]*VLOOKUP(OtherClients[[#This Row],[Part]],PartControl!$A$2:$E$564,2,FALSE)),0)</f>
        <v>106.94</v>
      </c>
      <c r="Z287" s="108">
        <f>IF(OtherClients[[#This Row],[Re-certified or New]]&lt;&gt;"Re-certified",IF(OtherClients[[#This Row],[Client]]="infasco",VLOOKUP(OtherClients[[#This Row],[Part]],PartControl!$A$2:$E$564,2,FALSE),OtherClients[[#This Row],[Total Quantity]]*VLOOKUP(OtherClients[[#This Row],[Part]],PartControl!$A$2:$E$564,2,FALSE)),0)</f>
        <v>106.94</v>
      </c>
    </row>
    <row r="288" spans="1:26" ht="25.15" hidden="1" customHeight="1" x14ac:dyDescent="0.25">
      <c r="A288" s="112">
        <v>46240</v>
      </c>
      <c r="B288" s="5" t="s">
        <v>245</v>
      </c>
      <c r="C288" s="5">
        <v>11546456</v>
      </c>
      <c r="D288" s="5">
        <v>715615</v>
      </c>
      <c r="E288" s="33">
        <f>21-8</f>
        <v>13</v>
      </c>
      <c r="F288" s="60">
        <v>2700</v>
      </c>
      <c r="G288" s="60">
        <f>+OtherClients[[#This Row],[Boxes / Pieces]]*OtherClients[[#This Row],[Unit Quantity]]</f>
        <v>35100</v>
      </c>
      <c r="H288" s="60">
        <v>292</v>
      </c>
      <c r="I288" s="60" t="s">
        <v>278</v>
      </c>
      <c r="J288" s="104"/>
      <c r="K288" s="33" t="s">
        <v>278</v>
      </c>
      <c r="L288" s="111"/>
      <c r="M288" s="33" t="s">
        <v>278</v>
      </c>
      <c r="N288" s="111"/>
      <c r="O288" s="33" t="s">
        <v>278</v>
      </c>
      <c r="P288" s="111"/>
      <c r="Q288" s="33" t="s">
        <v>587</v>
      </c>
      <c r="R288" s="111"/>
      <c r="S288" s="33" t="s">
        <v>278</v>
      </c>
      <c r="T288" s="111"/>
      <c r="U288" s="33" t="s">
        <v>278</v>
      </c>
      <c r="V288" s="111"/>
      <c r="W288" s="59" t="s">
        <v>548</v>
      </c>
      <c r="X288" s="33" t="str">
        <f>+VLOOKUP(OtherClients[[#This Row],[Part]],PartControl!$A$2:$E$564,5,FALSE)</f>
        <v>INFASCO</v>
      </c>
      <c r="Y288" s="108">
        <f>IF(OtherClients[[#This Row],[Re-certified or New]]&lt;&gt;"Re-certified",IF(OtherClients[[#This Row],[Client]]="infasco",VLOOKUP(OtherClients[[#This Row],[Part]],PartControl!$A$2:$E$564,2,FALSE),OtherClients[[#This Row],[Total Quantity]]*VLOOKUP(OtherClients[[#This Row],[Part]],PartControl!$A$2:$E$564,2,FALSE)),0)</f>
        <v>106.94</v>
      </c>
      <c r="Z288" s="108">
        <f>IF(OtherClients[[#This Row],[Re-certified or New]]&lt;&gt;"Re-certified",IF(OtherClients[[#This Row],[Client]]="infasco",VLOOKUP(OtherClients[[#This Row],[Part]],PartControl!$A$2:$E$564,2,FALSE),OtherClients[[#This Row],[Total Quantity]]*VLOOKUP(OtherClients[[#This Row],[Part]],PartControl!$A$2:$E$564,2,FALSE)),0)</f>
        <v>106.94</v>
      </c>
    </row>
    <row r="289" spans="1:26" ht="25.15" hidden="1" customHeight="1" x14ac:dyDescent="0.25">
      <c r="A289" s="112">
        <v>46240</v>
      </c>
      <c r="B289" s="5" t="s">
        <v>245</v>
      </c>
      <c r="C289" s="5">
        <v>11546377</v>
      </c>
      <c r="D289" s="5">
        <v>715737</v>
      </c>
      <c r="E289" s="33">
        <v>10</v>
      </c>
      <c r="F289" s="60">
        <v>2150</v>
      </c>
      <c r="G289" s="60">
        <f>+OtherClients[[#This Row],[Boxes / Pieces]]*OtherClients[[#This Row],[Unit Quantity]]</f>
        <v>21500</v>
      </c>
      <c r="H289" s="60">
        <v>292</v>
      </c>
      <c r="I289" s="60" t="s">
        <v>278</v>
      </c>
      <c r="J289" s="104"/>
      <c r="K289" s="33" t="s">
        <v>278</v>
      </c>
      <c r="L289" s="111"/>
      <c r="M289" s="33" t="s">
        <v>278</v>
      </c>
      <c r="N289" s="111"/>
      <c r="O289" s="33" t="s">
        <v>278</v>
      </c>
      <c r="P289" s="111"/>
      <c r="Q289" s="33" t="s">
        <v>587</v>
      </c>
      <c r="R289" s="111"/>
      <c r="S289" s="33" t="s">
        <v>278</v>
      </c>
      <c r="T289" s="111"/>
      <c r="U289" s="33" t="s">
        <v>278</v>
      </c>
      <c r="V289" s="111"/>
      <c r="W289" s="59" t="s">
        <v>633</v>
      </c>
      <c r="X289" s="33" t="str">
        <f>+VLOOKUP(OtherClients[[#This Row],[Part]],PartControl!$A$2:$E$564,5,FALSE)</f>
        <v>INFASCO</v>
      </c>
      <c r="Y289" s="108">
        <f>IF(OtherClients[[#This Row],[Re-certified or New]]&lt;&gt;"Re-certified",IF(OtherClients[[#This Row],[Client]]="infasco",VLOOKUP(OtherClients[[#This Row],[Part]],PartControl!$A$2:$E$564,2,FALSE),OtherClients[[#This Row],[Total Quantity]]*VLOOKUP(OtherClients[[#This Row],[Part]],PartControl!$A$2:$E$564,2,FALSE)),0)</f>
        <v>0</v>
      </c>
      <c r="Z289" s="108">
        <f>IF(OtherClients[[#This Row],[Re-certified or New]]&lt;&gt;"Re-certified",IF(OtherClients[[#This Row],[Client]]="infasco",VLOOKUP(OtherClients[[#This Row],[Part]],PartControl!$A$2:$E$564,2,FALSE),OtherClients[[#This Row],[Total Quantity]]*VLOOKUP(OtherClients[[#This Row],[Part]],PartControl!$A$2:$E$564,2,FALSE)),0)</f>
        <v>0</v>
      </c>
    </row>
    <row r="290" spans="1:26" ht="25.15" hidden="1" customHeight="1" x14ac:dyDescent="0.25">
      <c r="A290" s="112">
        <v>46240</v>
      </c>
      <c r="B290" s="5" t="s">
        <v>251</v>
      </c>
      <c r="C290" s="5" t="s">
        <v>806</v>
      </c>
      <c r="D290" s="5">
        <v>705253</v>
      </c>
      <c r="E290" s="33">
        <v>37</v>
      </c>
      <c r="F290" s="60">
        <v>1000</v>
      </c>
      <c r="G290" s="60">
        <f>+OtherClients[[#This Row],[Boxes / Pieces]]*OtherClients[[#This Row],[Unit Quantity]]</f>
        <v>37000</v>
      </c>
      <c r="H290" s="60">
        <v>292</v>
      </c>
      <c r="I290" s="60" t="s">
        <v>278</v>
      </c>
      <c r="J290" s="104"/>
      <c r="K290" s="33" t="s">
        <v>278</v>
      </c>
      <c r="L290" s="111"/>
      <c r="M290" s="33" t="s">
        <v>278</v>
      </c>
      <c r="N290" s="111"/>
      <c r="O290" s="33" t="s">
        <v>278</v>
      </c>
      <c r="P290" s="111"/>
      <c r="Q290" s="33" t="s">
        <v>587</v>
      </c>
      <c r="R290" s="111"/>
      <c r="S290" s="33" t="s">
        <v>278</v>
      </c>
      <c r="T290" s="111"/>
      <c r="U290" s="33" t="s">
        <v>278</v>
      </c>
      <c r="V290" s="111"/>
      <c r="W290" s="59" t="s">
        <v>548</v>
      </c>
      <c r="X290" s="33" t="str">
        <f>+VLOOKUP(OtherClients[[#This Row],[Part]],PartControl!$A$2:$E$564,5,FALSE)</f>
        <v>infasco</v>
      </c>
      <c r="Y290" s="108">
        <f>IF(OtherClients[[#This Row],[Re-certified or New]]&lt;&gt;"Re-certified",IF(OtherClients[[#This Row],[Client]]="infasco",VLOOKUP(OtherClients[[#This Row],[Part]],PartControl!$A$2:$E$564,2,FALSE),OtherClients[[#This Row],[Total Quantity]]*VLOOKUP(OtherClients[[#This Row],[Part]],PartControl!$A$2:$E$564,2,FALSE)),0)</f>
        <v>106.94</v>
      </c>
      <c r="Z290" s="108">
        <f>IF(OtherClients[[#This Row],[Re-certified or New]]&lt;&gt;"Re-certified",IF(OtherClients[[#This Row],[Client]]="infasco",VLOOKUP(OtherClients[[#This Row],[Part]],PartControl!$A$2:$E$564,2,FALSE),OtherClients[[#This Row],[Total Quantity]]*VLOOKUP(OtherClients[[#This Row],[Part]],PartControl!$A$2:$E$564,2,FALSE)),0)</f>
        <v>106.94</v>
      </c>
    </row>
    <row r="291" spans="1:26" ht="25.15" hidden="1" customHeight="1" x14ac:dyDescent="0.25">
      <c r="A291" s="112">
        <v>46240</v>
      </c>
      <c r="B291" s="5" t="s">
        <v>232</v>
      </c>
      <c r="C291" s="5">
        <v>11546545</v>
      </c>
      <c r="D291" s="5">
        <v>714666</v>
      </c>
      <c r="E291" s="33">
        <v>36</v>
      </c>
      <c r="F291" s="60">
        <v>2500</v>
      </c>
      <c r="G291" s="60">
        <f>+OtherClients[[#This Row],[Boxes / Pieces]]*OtherClients[[#This Row],[Unit Quantity]]</f>
        <v>90000</v>
      </c>
      <c r="H291" s="60">
        <v>275</v>
      </c>
      <c r="I291" s="60" t="s">
        <v>278</v>
      </c>
      <c r="J291" s="104"/>
      <c r="K291" s="33" t="s">
        <v>278</v>
      </c>
      <c r="L291" s="111"/>
      <c r="M291" s="33" t="s">
        <v>278</v>
      </c>
      <c r="N291" s="111"/>
      <c r="O291" s="33" t="s">
        <v>278</v>
      </c>
      <c r="P291" s="111"/>
      <c r="Q291" s="33" t="s">
        <v>587</v>
      </c>
      <c r="R291" s="111"/>
      <c r="S291" s="33" t="s">
        <v>278</v>
      </c>
      <c r="T291" s="111"/>
      <c r="U291" s="33" t="s">
        <v>278</v>
      </c>
      <c r="V291" s="111"/>
      <c r="W291" s="59" t="s">
        <v>548</v>
      </c>
      <c r="X291" s="33" t="str">
        <f>+VLOOKUP(OtherClients[[#This Row],[Part]],PartControl!$A$2:$E$564,5,FALSE)</f>
        <v>infasco</v>
      </c>
      <c r="Y291" s="108">
        <f>IF(OtherClients[[#This Row],[Re-certified or New]]&lt;&gt;"Re-certified",IF(OtherClients[[#This Row],[Client]]="infasco",VLOOKUP(OtherClients[[#This Row],[Part]],PartControl!$A$2:$E$564,2,FALSE),OtherClients[[#This Row],[Total Quantity]]*VLOOKUP(OtherClients[[#This Row],[Part]],PartControl!$A$2:$E$564,2,FALSE)),0)</f>
        <v>106.94</v>
      </c>
      <c r="Z291" s="108">
        <f>IF(OtherClients[[#This Row],[Re-certified or New]]&lt;&gt;"Re-certified",IF(OtherClients[[#This Row],[Client]]="infasco",VLOOKUP(OtherClients[[#This Row],[Part]],PartControl!$A$2:$E$564,2,FALSE),OtherClients[[#This Row],[Total Quantity]]*VLOOKUP(OtherClients[[#This Row],[Part]],PartControl!$A$2:$E$564,2,FALSE)),0)</f>
        <v>106.94</v>
      </c>
    </row>
    <row r="292" spans="1:26" ht="25.15" hidden="1" customHeight="1" x14ac:dyDescent="0.25">
      <c r="A292" s="112">
        <v>46240</v>
      </c>
      <c r="B292" s="5" t="s">
        <v>232</v>
      </c>
      <c r="C292" s="5">
        <v>11546545</v>
      </c>
      <c r="D292" s="5">
        <v>716193</v>
      </c>
      <c r="E292" s="33">
        <v>8</v>
      </c>
      <c r="F292" s="60">
        <v>2500</v>
      </c>
      <c r="G292" s="60">
        <f>+OtherClients[[#This Row],[Boxes / Pieces]]*OtherClients[[#This Row],[Unit Quantity]]</f>
        <v>20000</v>
      </c>
      <c r="H292" s="60">
        <v>275</v>
      </c>
      <c r="I292" s="60" t="s">
        <v>278</v>
      </c>
      <c r="J292" s="104"/>
      <c r="K292" s="33" t="s">
        <v>278</v>
      </c>
      <c r="L292" s="111"/>
      <c r="M292" s="33" t="s">
        <v>278</v>
      </c>
      <c r="N292" s="111"/>
      <c r="O292" s="33" t="s">
        <v>278</v>
      </c>
      <c r="P292" s="111"/>
      <c r="Q292" s="33" t="s">
        <v>587</v>
      </c>
      <c r="R292" s="111"/>
      <c r="S292" s="33" t="s">
        <v>278</v>
      </c>
      <c r="T292" s="111"/>
      <c r="U292" s="33" t="s">
        <v>278</v>
      </c>
      <c r="V292" s="111"/>
      <c r="W292" s="59" t="s">
        <v>633</v>
      </c>
      <c r="X292" s="33" t="str">
        <f>+VLOOKUP(OtherClients[[#This Row],[Part]],PartControl!$A$2:$E$564,5,FALSE)</f>
        <v>infasco</v>
      </c>
      <c r="Y292" s="108">
        <f>IF(OtherClients[[#This Row],[Re-certified or New]]&lt;&gt;"Re-certified",IF(OtherClients[[#This Row],[Client]]="infasco",VLOOKUP(OtherClients[[#This Row],[Part]],PartControl!$A$2:$E$564,2,FALSE),OtherClients[[#This Row],[Total Quantity]]*VLOOKUP(OtherClients[[#This Row],[Part]],PartControl!$A$2:$E$564,2,FALSE)),0)</f>
        <v>0</v>
      </c>
      <c r="Z292" s="108">
        <f>IF(OtherClients[[#This Row],[Re-certified or New]]&lt;&gt;"Re-certified",IF(OtherClients[[#This Row],[Client]]="infasco",VLOOKUP(OtherClients[[#This Row],[Part]],PartControl!$A$2:$E$564,2,FALSE),OtherClients[[#This Row],[Total Quantity]]*VLOOKUP(OtherClients[[#This Row],[Part]],PartControl!$A$2:$E$564,2,FALSE)),0)</f>
        <v>0</v>
      </c>
    </row>
    <row r="293" spans="1:26" ht="25.15" hidden="1" customHeight="1" x14ac:dyDescent="0.25">
      <c r="A293" s="112">
        <v>46240</v>
      </c>
      <c r="B293" s="5" t="s">
        <v>233</v>
      </c>
      <c r="C293" s="5">
        <v>11546456</v>
      </c>
      <c r="D293" s="5">
        <v>715614</v>
      </c>
      <c r="E293" s="33">
        <f>17-10</f>
        <v>7</v>
      </c>
      <c r="F293" s="60">
        <v>2700</v>
      </c>
      <c r="G293" s="60">
        <f>+OtherClients[[#This Row],[Boxes / Pieces]]*OtherClients[[#This Row],[Unit Quantity]]</f>
        <v>18900</v>
      </c>
      <c r="H293" s="60">
        <v>275</v>
      </c>
      <c r="I293" s="60" t="s">
        <v>278</v>
      </c>
      <c r="J293" s="104"/>
      <c r="K293" s="33" t="s">
        <v>278</v>
      </c>
      <c r="L293" s="111"/>
      <c r="M293" s="33" t="s">
        <v>278</v>
      </c>
      <c r="N293" s="111"/>
      <c r="O293" s="33" t="s">
        <v>278</v>
      </c>
      <c r="P293" s="111"/>
      <c r="Q293" s="33" t="s">
        <v>587</v>
      </c>
      <c r="R293" s="111"/>
      <c r="S293" s="33" t="s">
        <v>278</v>
      </c>
      <c r="T293" s="111"/>
      <c r="U293" s="33" t="s">
        <v>278</v>
      </c>
      <c r="V293" s="111"/>
      <c r="W293" s="59" t="s">
        <v>548</v>
      </c>
      <c r="X293" s="33" t="str">
        <f>+VLOOKUP(OtherClients[[#This Row],[Part]],PartControl!$A$2:$E$564,5,FALSE)</f>
        <v>INFASCO</v>
      </c>
      <c r="Y293" s="108">
        <f>IF(OtherClients[[#This Row],[Re-certified or New]]&lt;&gt;"Re-certified",IF(OtherClients[[#This Row],[Client]]="infasco",VLOOKUP(OtherClients[[#This Row],[Part]],PartControl!$A$2:$E$564,2,FALSE),OtherClients[[#This Row],[Total Quantity]]*VLOOKUP(OtherClients[[#This Row],[Part]],PartControl!$A$2:$E$564,2,FALSE)),0)</f>
        <v>106.94</v>
      </c>
      <c r="Z293" s="108">
        <f>IF(OtherClients[[#This Row],[Re-certified or New]]&lt;&gt;"Re-certified",IF(OtherClients[[#This Row],[Client]]="infasco",VLOOKUP(OtherClients[[#This Row],[Part]],PartControl!$A$2:$E$564,2,FALSE),OtherClients[[#This Row],[Total Quantity]]*VLOOKUP(OtherClients[[#This Row],[Part]],PartControl!$A$2:$E$564,2,FALSE)),0)</f>
        <v>106.94</v>
      </c>
    </row>
    <row r="294" spans="1:26" ht="25.15" hidden="1" customHeight="1" x14ac:dyDescent="0.25">
      <c r="A294" s="112">
        <v>46240</v>
      </c>
      <c r="B294" s="5" t="s">
        <v>233</v>
      </c>
      <c r="C294" s="5">
        <v>11546545</v>
      </c>
      <c r="D294" s="5">
        <v>714667</v>
      </c>
      <c r="E294" s="33">
        <v>36</v>
      </c>
      <c r="F294" s="60">
        <v>2500</v>
      </c>
      <c r="G294" s="60">
        <f>+OtherClients[[#This Row],[Boxes / Pieces]]*OtherClients[[#This Row],[Unit Quantity]]</f>
        <v>90000</v>
      </c>
      <c r="H294" s="60">
        <v>275</v>
      </c>
      <c r="I294" s="60" t="s">
        <v>278</v>
      </c>
      <c r="J294" s="104"/>
      <c r="K294" s="33" t="s">
        <v>278</v>
      </c>
      <c r="L294" s="111"/>
      <c r="M294" s="33" t="s">
        <v>278</v>
      </c>
      <c r="N294" s="111"/>
      <c r="O294" s="33" t="s">
        <v>278</v>
      </c>
      <c r="P294" s="111"/>
      <c r="Q294" s="33" t="s">
        <v>587</v>
      </c>
      <c r="R294" s="111"/>
      <c r="S294" s="33" t="s">
        <v>278</v>
      </c>
      <c r="T294" s="111"/>
      <c r="U294" s="33" t="s">
        <v>278</v>
      </c>
      <c r="V294" s="111"/>
      <c r="W294" s="59" t="s">
        <v>548</v>
      </c>
      <c r="X294" s="33" t="str">
        <f>+VLOOKUP(OtherClients[[#This Row],[Part]],PartControl!$A$2:$E$564,5,FALSE)</f>
        <v>infasco</v>
      </c>
      <c r="Y294" s="108">
        <f>IF(OtherClients[[#This Row],[Re-certified or New]]&lt;&gt;"Re-certified",IF(OtherClients[[#This Row],[Client]]="infasco",VLOOKUP(OtherClients[[#This Row],[Part]],PartControl!$A$2:$E$564,2,FALSE),OtherClients[[#This Row],[Total Quantity]]*VLOOKUP(OtherClients[[#This Row],[Part]],PartControl!$A$2:$E$564,2,FALSE)),0)</f>
        <v>106.94</v>
      </c>
      <c r="Z294" s="108">
        <f>IF(OtherClients[[#This Row],[Re-certified or New]]&lt;&gt;"Re-certified",IF(OtherClients[[#This Row],[Client]]="infasco",VLOOKUP(OtherClients[[#This Row],[Part]],PartControl!$A$2:$E$564,2,FALSE),OtherClients[[#This Row],[Total Quantity]]*VLOOKUP(OtherClients[[#This Row],[Part]],PartControl!$A$2:$E$564,2,FALSE)),0)</f>
        <v>106.94</v>
      </c>
    </row>
    <row r="295" spans="1:26" ht="25.15" hidden="1" customHeight="1" x14ac:dyDescent="0.25">
      <c r="A295" s="112">
        <v>46240</v>
      </c>
      <c r="B295" s="5" t="s">
        <v>234</v>
      </c>
      <c r="C295" s="5" t="s">
        <v>728</v>
      </c>
      <c r="D295" s="5">
        <v>714145</v>
      </c>
      <c r="E295" s="33">
        <f>27-18</f>
        <v>9</v>
      </c>
      <c r="F295" s="60">
        <v>1500</v>
      </c>
      <c r="G295" s="60">
        <f>+OtherClients[[#This Row],[Boxes / Pieces]]*OtherClients[[#This Row],[Unit Quantity]]</f>
        <v>13500</v>
      </c>
      <c r="H295" s="60">
        <v>275</v>
      </c>
      <c r="I295" s="60" t="s">
        <v>278</v>
      </c>
      <c r="J295" s="104"/>
      <c r="K295" s="33" t="s">
        <v>278</v>
      </c>
      <c r="L295" s="111"/>
      <c r="M295" s="33" t="s">
        <v>278</v>
      </c>
      <c r="N295" s="111"/>
      <c r="O295" s="33" t="s">
        <v>278</v>
      </c>
      <c r="P295" s="111"/>
      <c r="Q295" s="33" t="s">
        <v>587</v>
      </c>
      <c r="R295" s="111"/>
      <c r="S295" s="33" t="s">
        <v>278</v>
      </c>
      <c r="T295" s="111"/>
      <c r="U295" s="33" t="s">
        <v>278</v>
      </c>
      <c r="V295" s="111"/>
      <c r="W295" s="59" t="s">
        <v>548</v>
      </c>
      <c r="X295" s="33" t="str">
        <f>+VLOOKUP(OtherClients[[#This Row],[Part]],PartControl!$A$2:$E$564,5,FALSE)</f>
        <v>infasco</v>
      </c>
      <c r="Y295" s="108">
        <f>IF(OtherClients[[#This Row],[Re-certified or New]]&lt;&gt;"Re-certified",IF(OtherClients[[#This Row],[Client]]="infasco",VLOOKUP(OtherClients[[#This Row],[Part]],PartControl!$A$2:$E$564,2,FALSE),OtherClients[[#This Row],[Total Quantity]]*VLOOKUP(OtherClients[[#This Row],[Part]],PartControl!$A$2:$E$564,2,FALSE)),0)</f>
        <v>106.94</v>
      </c>
      <c r="Z295" s="108">
        <f>IF(OtherClients[[#This Row],[Re-certified or New]]&lt;&gt;"Re-certified",IF(OtherClients[[#This Row],[Client]]="infasco",VLOOKUP(OtherClients[[#This Row],[Part]],PartControl!$A$2:$E$564,2,FALSE),OtherClients[[#This Row],[Total Quantity]]*VLOOKUP(OtherClients[[#This Row],[Part]],PartControl!$A$2:$E$564,2,FALSE)),0)</f>
        <v>106.94</v>
      </c>
    </row>
    <row r="296" spans="1:26" ht="25.15" hidden="1" customHeight="1" x14ac:dyDescent="0.25">
      <c r="A296" s="112">
        <v>46240</v>
      </c>
      <c r="B296" s="5" t="s">
        <v>234</v>
      </c>
      <c r="C296" s="5">
        <v>11546545</v>
      </c>
      <c r="D296" s="5">
        <v>714671</v>
      </c>
      <c r="E296" s="33">
        <v>19</v>
      </c>
      <c r="F296" s="60">
        <v>2500</v>
      </c>
      <c r="G296" s="60">
        <f>+OtherClients[[#This Row],[Boxes / Pieces]]*OtherClients[[#This Row],[Unit Quantity]]</f>
        <v>47500</v>
      </c>
      <c r="H296" s="60">
        <v>275</v>
      </c>
      <c r="I296" s="60" t="s">
        <v>278</v>
      </c>
      <c r="J296" s="104"/>
      <c r="K296" s="33" t="s">
        <v>278</v>
      </c>
      <c r="L296" s="111"/>
      <c r="M296" s="33" t="s">
        <v>278</v>
      </c>
      <c r="N296" s="111"/>
      <c r="O296" s="33" t="s">
        <v>278</v>
      </c>
      <c r="P296" s="111"/>
      <c r="Q296" s="33" t="s">
        <v>587</v>
      </c>
      <c r="R296" s="111"/>
      <c r="S296" s="33" t="s">
        <v>278</v>
      </c>
      <c r="T296" s="111"/>
      <c r="U296" s="33" t="s">
        <v>278</v>
      </c>
      <c r="V296" s="111"/>
      <c r="W296" s="59" t="s">
        <v>633</v>
      </c>
      <c r="X296" s="33" t="str">
        <f>+VLOOKUP(OtherClients[[#This Row],[Part]],PartControl!$A$2:$E$564,5,FALSE)</f>
        <v>infasco</v>
      </c>
      <c r="Y296" s="108">
        <f>IF(OtherClients[[#This Row],[Re-certified or New]]&lt;&gt;"Re-certified",IF(OtherClients[[#This Row],[Client]]="infasco",VLOOKUP(OtherClients[[#This Row],[Part]],PartControl!$A$2:$E$564,2,FALSE),OtherClients[[#This Row],[Total Quantity]]*VLOOKUP(OtherClients[[#This Row],[Part]],PartControl!$A$2:$E$564,2,FALSE)),0)</f>
        <v>0</v>
      </c>
      <c r="Z296" s="108">
        <f>IF(OtherClients[[#This Row],[Re-certified or New]]&lt;&gt;"Re-certified",IF(OtherClients[[#This Row],[Client]]="infasco",VLOOKUP(OtherClients[[#This Row],[Part]],PartControl!$A$2:$E$564,2,FALSE),OtherClients[[#This Row],[Total Quantity]]*VLOOKUP(OtherClients[[#This Row],[Part]],PartControl!$A$2:$E$564,2,FALSE)),0)</f>
        <v>0</v>
      </c>
    </row>
    <row r="297" spans="1:26" ht="25.15" hidden="1" customHeight="1" x14ac:dyDescent="0.25">
      <c r="A297" s="112">
        <v>46240</v>
      </c>
      <c r="B297" s="5" t="s">
        <v>238</v>
      </c>
      <c r="C297" s="5">
        <v>11549170</v>
      </c>
      <c r="D297" s="5">
        <v>713821</v>
      </c>
      <c r="E297" s="33">
        <f>36-27</f>
        <v>9</v>
      </c>
      <c r="F297" s="60">
        <v>400</v>
      </c>
      <c r="G297" s="60">
        <f>+OtherClients[[#This Row],[Boxes / Pieces]]*OtherClients[[#This Row],[Unit Quantity]]</f>
        <v>3600</v>
      </c>
      <c r="H297" s="60">
        <v>275</v>
      </c>
      <c r="I297" s="60" t="s">
        <v>278</v>
      </c>
      <c r="J297" s="104"/>
      <c r="K297" s="33" t="s">
        <v>278</v>
      </c>
      <c r="L297" s="111"/>
      <c r="M297" s="33" t="s">
        <v>278</v>
      </c>
      <c r="N297" s="111"/>
      <c r="O297" s="33" t="s">
        <v>278</v>
      </c>
      <c r="P297" s="111"/>
      <c r="Q297" s="33" t="s">
        <v>587</v>
      </c>
      <c r="R297" s="111"/>
      <c r="S297" s="33" t="s">
        <v>278</v>
      </c>
      <c r="T297" s="111"/>
      <c r="U297" s="33" t="s">
        <v>278</v>
      </c>
      <c r="V297" s="111"/>
      <c r="W297" s="59" t="s">
        <v>548</v>
      </c>
      <c r="X297" s="33" t="str">
        <f>+VLOOKUP(OtherClients[[#This Row],[Part]],PartControl!$A$2:$E$564,5,FALSE)</f>
        <v>INFASCO</v>
      </c>
      <c r="Y297" s="108">
        <f>IF(OtherClients[[#This Row],[Re-certified or New]]&lt;&gt;"Re-certified",IF(OtherClients[[#This Row],[Client]]="infasco",VLOOKUP(OtherClients[[#This Row],[Part]],PartControl!$A$2:$E$564,2,FALSE),OtherClients[[#This Row],[Total Quantity]]*VLOOKUP(OtherClients[[#This Row],[Part]],PartControl!$A$2:$E$564,2,FALSE)),0)</f>
        <v>106.94</v>
      </c>
      <c r="Z297" s="108">
        <f>IF(OtherClients[[#This Row],[Re-certified or New]]&lt;&gt;"Re-certified",IF(OtherClients[[#This Row],[Client]]="infasco",VLOOKUP(OtherClients[[#This Row],[Part]],PartControl!$A$2:$E$564,2,FALSE),OtherClients[[#This Row],[Total Quantity]]*VLOOKUP(OtherClients[[#This Row],[Part]],PartControl!$A$2:$E$564,2,FALSE)),0)</f>
        <v>106.94</v>
      </c>
    </row>
    <row r="298" spans="1:26" ht="25.15" hidden="1" customHeight="1" x14ac:dyDescent="0.25">
      <c r="A298" s="112">
        <v>46240</v>
      </c>
      <c r="B298" s="5" t="s">
        <v>238</v>
      </c>
      <c r="C298" s="5">
        <v>11549170</v>
      </c>
      <c r="D298" s="5">
        <v>713827</v>
      </c>
      <c r="E298" s="33">
        <v>59</v>
      </c>
      <c r="F298" s="60">
        <v>400</v>
      </c>
      <c r="G298" s="60">
        <f>+OtherClients[[#This Row],[Boxes / Pieces]]*OtherClients[[#This Row],[Unit Quantity]]</f>
        <v>23600</v>
      </c>
      <c r="H298" s="60">
        <v>275</v>
      </c>
      <c r="I298" s="60" t="s">
        <v>278</v>
      </c>
      <c r="J298" s="104"/>
      <c r="K298" s="33" t="s">
        <v>278</v>
      </c>
      <c r="L298" s="111"/>
      <c r="M298" s="33" t="s">
        <v>278</v>
      </c>
      <c r="N298" s="111"/>
      <c r="O298" s="33" t="s">
        <v>278</v>
      </c>
      <c r="P298" s="111"/>
      <c r="Q298" s="33" t="s">
        <v>587</v>
      </c>
      <c r="R298" s="111"/>
      <c r="S298" s="33" t="s">
        <v>278</v>
      </c>
      <c r="T298" s="111"/>
      <c r="U298" s="33" t="s">
        <v>278</v>
      </c>
      <c r="V298" s="111"/>
      <c r="W298" s="59" t="s">
        <v>548</v>
      </c>
      <c r="X298" s="33" t="str">
        <f>+VLOOKUP(OtherClients[[#This Row],[Part]],PartControl!$A$2:$E$564,5,FALSE)</f>
        <v>INFASCO</v>
      </c>
      <c r="Y298" s="108">
        <f>IF(OtherClients[[#This Row],[Re-certified or New]]&lt;&gt;"Re-certified",IF(OtherClients[[#This Row],[Client]]="infasco",VLOOKUP(OtherClients[[#This Row],[Part]],PartControl!$A$2:$E$564,2,FALSE),OtherClients[[#This Row],[Total Quantity]]*VLOOKUP(OtherClients[[#This Row],[Part]],PartControl!$A$2:$E$564,2,FALSE)),0)</f>
        <v>106.94</v>
      </c>
      <c r="Z298" s="108">
        <f>IF(OtherClients[[#This Row],[Re-certified or New]]&lt;&gt;"Re-certified",IF(OtherClients[[#This Row],[Client]]="infasco",VLOOKUP(OtherClients[[#This Row],[Part]],PartControl!$A$2:$E$564,2,FALSE),OtherClients[[#This Row],[Total Quantity]]*VLOOKUP(OtherClients[[#This Row],[Part]],PartControl!$A$2:$E$564,2,FALSE)),0)</f>
        <v>106.94</v>
      </c>
    </row>
    <row r="299" spans="1:26" ht="25.15" hidden="1" customHeight="1" x14ac:dyDescent="0.25">
      <c r="A299" s="112">
        <v>46240</v>
      </c>
      <c r="B299" s="5" t="s">
        <v>238</v>
      </c>
      <c r="C299" s="5">
        <v>11516074</v>
      </c>
      <c r="D299" s="5">
        <v>714303</v>
      </c>
      <c r="E299" s="33">
        <v>15</v>
      </c>
      <c r="F299" s="60">
        <v>700</v>
      </c>
      <c r="G299" s="60">
        <f>+OtherClients[[#This Row],[Boxes / Pieces]]*OtherClients[[#This Row],[Unit Quantity]]</f>
        <v>10500</v>
      </c>
      <c r="H299" s="60">
        <v>275</v>
      </c>
      <c r="I299" s="60" t="s">
        <v>278</v>
      </c>
      <c r="J299" s="104"/>
      <c r="K299" s="33" t="s">
        <v>278</v>
      </c>
      <c r="L299" s="111"/>
      <c r="M299" s="33" t="s">
        <v>278</v>
      </c>
      <c r="N299" s="111"/>
      <c r="O299" s="33" t="s">
        <v>278</v>
      </c>
      <c r="P299" s="111"/>
      <c r="Q299" s="33" t="s">
        <v>587</v>
      </c>
      <c r="R299" s="111"/>
      <c r="S299" s="33" t="s">
        <v>278</v>
      </c>
      <c r="T299" s="111"/>
      <c r="U299" s="33" t="s">
        <v>278</v>
      </c>
      <c r="V299" s="111"/>
      <c r="W299" s="59" t="s">
        <v>633</v>
      </c>
      <c r="X299" s="33" t="str">
        <f>+VLOOKUP(OtherClients[[#This Row],[Part]],PartControl!$A$2:$E$564,5,FALSE)</f>
        <v>infasco</v>
      </c>
      <c r="Y299" s="108">
        <f>IF(OtherClients[[#This Row],[Re-certified or New]]&lt;&gt;"Re-certified",IF(OtherClients[[#This Row],[Client]]="infasco",VLOOKUP(OtherClients[[#This Row],[Part]],PartControl!$A$2:$E$564,2,FALSE),OtherClients[[#This Row],[Total Quantity]]*VLOOKUP(OtherClients[[#This Row],[Part]],PartControl!$A$2:$E$564,2,FALSE)),0)</f>
        <v>0</v>
      </c>
      <c r="Z299" s="108">
        <f>IF(OtherClients[[#This Row],[Re-certified or New]]&lt;&gt;"Re-certified",IF(OtherClients[[#This Row],[Client]]="infasco",VLOOKUP(OtherClients[[#This Row],[Part]],PartControl!$A$2:$E$564,2,FALSE),OtherClients[[#This Row],[Total Quantity]]*VLOOKUP(OtherClients[[#This Row],[Part]],PartControl!$A$2:$E$564,2,FALSE)),0)</f>
        <v>0</v>
      </c>
    </row>
    <row r="300" spans="1:26" ht="25.15" hidden="1" customHeight="1" x14ac:dyDescent="0.25">
      <c r="A300" s="112">
        <v>46240</v>
      </c>
      <c r="B300" s="5" t="s">
        <v>242</v>
      </c>
      <c r="C300" s="5">
        <v>11549170</v>
      </c>
      <c r="D300" s="5">
        <v>713700</v>
      </c>
      <c r="E300" s="33">
        <f>36-33</f>
        <v>3</v>
      </c>
      <c r="F300" s="60">
        <v>400</v>
      </c>
      <c r="G300" s="60">
        <f>+OtherClients[[#This Row],[Boxes / Pieces]]*OtherClients[[#This Row],[Unit Quantity]]</f>
        <v>1200</v>
      </c>
      <c r="H300" s="60">
        <v>275</v>
      </c>
      <c r="I300" s="60" t="s">
        <v>278</v>
      </c>
      <c r="J300" s="104"/>
      <c r="K300" s="33" t="s">
        <v>278</v>
      </c>
      <c r="L300" s="111"/>
      <c r="M300" s="33" t="s">
        <v>278</v>
      </c>
      <c r="N300" s="111"/>
      <c r="O300" s="33" t="s">
        <v>278</v>
      </c>
      <c r="P300" s="111"/>
      <c r="Q300" s="33" t="s">
        <v>587</v>
      </c>
      <c r="R300" s="111"/>
      <c r="S300" s="33" t="s">
        <v>278</v>
      </c>
      <c r="T300" s="111"/>
      <c r="U300" s="33" t="s">
        <v>278</v>
      </c>
      <c r="V300" s="111"/>
      <c r="W300" s="59" t="s">
        <v>548</v>
      </c>
      <c r="X300" s="33" t="str">
        <f>+VLOOKUP(OtherClients[[#This Row],[Part]],PartControl!$A$2:$E$564,5,FALSE)</f>
        <v>INFASCO</v>
      </c>
      <c r="Y300" s="108">
        <f>IF(OtherClients[[#This Row],[Re-certified or New]]&lt;&gt;"Re-certified",IF(OtherClients[[#This Row],[Client]]="infasco",VLOOKUP(OtherClients[[#This Row],[Part]],PartControl!$A$2:$E$564,2,FALSE),OtherClients[[#This Row],[Total Quantity]]*VLOOKUP(OtherClients[[#This Row],[Part]],PartControl!$A$2:$E$564,2,FALSE)),0)</f>
        <v>106.94</v>
      </c>
      <c r="Z300" s="108">
        <f>IF(OtherClients[[#This Row],[Re-certified or New]]&lt;&gt;"Re-certified",IF(OtherClients[[#This Row],[Client]]="infasco",VLOOKUP(OtherClients[[#This Row],[Part]],PartControl!$A$2:$E$564,2,FALSE),OtherClients[[#This Row],[Total Quantity]]*VLOOKUP(OtherClients[[#This Row],[Part]],PartControl!$A$2:$E$564,2,FALSE)),0)</f>
        <v>106.94</v>
      </c>
    </row>
    <row r="301" spans="1:26" ht="25.15" hidden="1" customHeight="1" x14ac:dyDescent="0.25">
      <c r="A301" s="112">
        <v>46240</v>
      </c>
      <c r="B301" s="5" t="s">
        <v>242</v>
      </c>
      <c r="C301" s="5">
        <v>11549170</v>
      </c>
      <c r="D301" s="5">
        <v>713849</v>
      </c>
      <c r="E301" s="33">
        <v>36</v>
      </c>
      <c r="F301" s="60">
        <v>400</v>
      </c>
      <c r="G301" s="60">
        <f>+OtherClients[[#This Row],[Boxes / Pieces]]*OtherClients[[#This Row],[Unit Quantity]]</f>
        <v>14400</v>
      </c>
      <c r="H301" s="60">
        <v>275</v>
      </c>
      <c r="I301" s="60" t="s">
        <v>278</v>
      </c>
      <c r="J301" s="104"/>
      <c r="K301" s="33" t="s">
        <v>278</v>
      </c>
      <c r="L301" s="111"/>
      <c r="M301" s="33" t="s">
        <v>278</v>
      </c>
      <c r="N301" s="111"/>
      <c r="O301" s="33" t="s">
        <v>278</v>
      </c>
      <c r="P301" s="111"/>
      <c r="Q301" s="33" t="s">
        <v>587</v>
      </c>
      <c r="R301" s="111"/>
      <c r="S301" s="33" t="s">
        <v>278</v>
      </c>
      <c r="T301" s="111"/>
      <c r="U301" s="33" t="s">
        <v>278</v>
      </c>
      <c r="V301" s="111"/>
      <c r="W301" s="59" t="s">
        <v>548</v>
      </c>
      <c r="X301" s="33" t="str">
        <f>+VLOOKUP(OtherClients[[#This Row],[Part]],PartControl!$A$2:$E$564,5,FALSE)</f>
        <v>INFASCO</v>
      </c>
      <c r="Y301" s="108">
        <f>IF(OtherClients[[#This Row],[Re-certified or New]]&lt;&gt;"Re-certified",IF(OtherClients[[#This Row],[Client]]="infasco",VLOOKUP(OtherClients[[#This Row],[Part]],PartControl!$A$2:$E$564,2,FALSE),OtherClients[[#This Row],[Total Quantity]]*VLOOKUP(OtherClients[[#This Row],[Part]],PartControl!$A$2:$E$564,2,FALSE)),0)</f>
        <v>106.94</v>
      </c>
      <c r="Z301" s="108">
        <f>IF(OtherClients[[#This Row],[Re-certified or New]]&lt;&gt;"Re-certified",IF(OtherClients[[#This Row],[Client]]="infasco",VLOOKUP(OtherClients[[#This Row],[Part]],PartControl!$A$2:$E$564,2,FALSE),OtherClients[[#This Row],[Total Quantity]]*VLOOKUP(OtherClients[[#This Row],[Part]],PartControl!$A$2:$E$564,2,FALSE)),0)</f>
        <v>106.94</v>
      </c>
    </row>
    <row r="302" spans="1:26" ht="25.15" hidden="1" customHeight="1" x14ac:dyDescent="0.25">
      <c r="A302" s="112">
        <v>46240</v>
      </c>
      <c r="B302" s="5" t="s">
        <v>242</v>
      </c>
      <c r="C302" s="5" t="s">
        <v>647</v>
      </c>
      <c r="D302" s="5">
        <v>713986</v>
      </c>
      <c r="E302" s="33">
        <v>9</v>
      </c>
      <c r="F302" s="60">
        <v>750</v>
      </c>
      <c r="G302" s="60">
        <f>+OtherClients[[#This Row],[Boxes / Pieces]]*OtherClients[[#This Row],[Unit Quantity]]</f>
        <v>6750</v>
      </c>
      <c r="H302" s="60">
        <v>275</v>
      </c>
      <c r="I302" s="60" t="s">
        <v>278</v>
      </c>
      <c r="J302" s="104"/>
      <c r="K302" s="33" t="s">
        <v>278</v>
      </c>
      <c r="L302" s="111"/>
      <c r="M302" s="33" t="s">
        <v>278</v>
      </c>
      <c r="N302" s="111"/>
      <c r="O302" s="33" t="s">
        <v>278</v>
      </c>
      <c r="P302" s="111"/>
      <c r="Q302" s="33" t="s">
        <v>587</v>
      </c>
      <c r="R302" s="111"/>
      <c r="S302" s="33" t="s">
        <v>278</v>
      </c>
      <c r="T302" s="111"/>
      <c r="U302" s="33" t="s">
        <v>278</v>
      </c>
      <c r="V302" s="111"/>
      <c r="W302" s="59" t="s">
        <v>633</v>
      </c>
      <c r="X302" s="33" t="str">
        <f>+VLOOKUP(OtherClients[[#This Row],[Part]],PartControl!$A$2:$E$564,5,FALSE)</f>
        <v>infasco</v>
      </c>
      <c r="Y302" s="108">
        <f>IF(OtherClients[[#This Row],[Re-certified or New]]&lt;&gt;"Re-certified",IF(OtherClients[[#This Row],[Client]]="infasco",VLOOKUP(OtherClients[[#This Row],[Part]],PartControl!$A$2:$E$564,2,FALSE),OtherClients[[#This Row],[Total Quantity]]*VLOOKUP(OtherClients[[#This Row],[Part]],PartControl!$A$2:$E$564,2,FALSE)),0)</f>
        <v>0</v>
      </c>
      <c r="Z302" s="108">
        <f>IF(OtherClients[[#This Row],[Re-certified or New]]&lt;&gt;"Re-certified",IF(OtherClients[[#This Row],[Client]]="infasco",VLOOKUP(OtherClients[[#This Row],[Part]],PartControl!$A$2:$E$564,2,FALSE),OtherClients[[#This Row],[Total Quantity]]*VLOOKUP(OtherClients[[#This Row],[Part]],PartControl!$A$2:$E$564,2,FALSE)),0)</f>
        <v>0</v>
      </c>
    </row>
    <row r="303" spans="1:26" ht="25.15" hidden="1" customHeight="1" x14ac:dyDescent="0.25">
      <c r="A303" s="112">
        <v>46240</v>
      </c>
      <c r="B303" s="5" t="s">
        <v>863</v>
      </c>
      <c r="C303" s="5" t="s">
        <v>835</v>
      </c>
      <c r="D303" s="5">
        <v>714345</v>
      </c>
      <c r="E303" s="33">
        <f>36-20</f>
        <v>16</v>
      </c>
      <c r="F303" s="60">
        <v>660</v>
      </c>
      <c r="G303" s="60">
        <f>+OtherClients[[#This Row],[Boxes / Pieces]]*OtherClients[[#This Row],[Unit Quantity]]</f>
        <v>10560</v>
      </c>
      <c r="H303" s="60">
        <v>275</v>
      </c>
      <c r="I303" s="60" t="s">
        <v>278</v>
      </c>
      <c r="J303" s="104"/>
      <c r="K303" s="33" t="s">
        <v>278</v>
      </c>
      <c r="L303" s="111"/>
      <c r="M303" s="33" t="s">
        <v>278</v>
      </c>
      <c r="N303" s="111"/>
      <c r="O303" s="33" t="s">
        <v>278</v>
      </c>
      <c r="P303" s="111"/>
      <c r="Q303" s="33" t="s">
        <v>587</v>
      </c>
      <c r="R303" s="111"/>
      <c r="S303" s="33" t="s">
        <v>278</v>
      </c>
      <c r="T303" s="111"/>
      <c r="U303" s="33" t="s">
        <v>278</v>
      </c>
      <c r="V303" s="111"/>
      <c r="W303" s="59" t="s">
        <v>548</v>
      </c>
      <c r="X303" s="33" t="str">
        <f>+VLOOKUP(OtherClients[[#This Row],[Part]],PartControl!$A$2:$E$564,5,FALSE)</f>
        <v>infasco</v>
      </c>
      <c r="Y303" s="108">
        <f>IF(OtherClients[[#This Row],[Re-certified or New]]&lt;&gt;"Re-certified",IF(OtherClients[[#This Row],[Client]]="infasco",VLOOKUP(OtherClients[[#This Row],[Part]],PartControl!$A$2:$E$564,2,FALSE),OtherClients[[#This Row],[Total Quantity]]*VLOOKUP(OtherClients[[#This Row],[Part]],PartControl!$A$2:$E$564,2,FALSE)),0)</f>
        <v>135.08000000000001</v>
      </c>
      <c r="Z303" s="108">
        <f>IF(OtherClients[[#This Row],[Re-certified or New]]&lt;&gt;"Re-certified",IF(OtherClients[[#This Row],[Client]]="infasco",VLOOKUP(OtherClients[[#This Row],[Part]],PartControl!$A$2:$E$564,2,FALSE),OtherClients[[#This Row],[Total Quantity]]*VLOOKUP(OtherClients[[#This Row],[Part]],PartControl!$A$2:$E$564,2,FALSE)),0)</f>
        <v>135.08000000000001</v>
      </c>
    </row>
    <row r="304" spans="1:26" ht="25.15" hidden="1" customHeight="1" x14ac:dyDescent="0.25">
      <c r="A304" s="112">
        <v>46240</v>
      </c>
      <c r="B304" s="5" t="s">
        <v>863</v>
      </c>
      <c r="C304" s="5" t="s">
        <v>835</v>
      </c>
      <c r="D304" s="5">
        <v>714347</v>
      </c>
      <c r="E304" s="33">
        <v>24</v>
      </c>
      <c r="F304" s="60">
        <v>660</v>
      </c>
      <c r="G304" s="60">
        <f>+OtherClients[[#This Row],[Boxes / Pieces]]*OtherClients[[#This Row],[Unit Quantity]]</f>
        <v>15840</v>
      </c>
      <c r="H304" s="60">
        <v>275</v>
      </c>
      <c r="I304" s="60" t="s">
        <v>278</v>
      </c>
      <c r="J304" s="104"/>
      <c r="K304" s="33" t="s">
        <v>278</v>
      </c>
      <c r="L304" s="111"/>
      <c r="M304" s="33" t="s">
        <v>278</v>
      </c>
      <c r="N304" s="111"/>
      <c r="O304" s="33" t="s">
        <v>278</v>
      </c>
      <c r="P304" s="111"/>
      <c r="Q304" s="33" t="s">
        <v>587</v>
      </c>
      <c r="R304" s="111"/>
      <c r="S304" s="33" t="s">
        <v>278</v>
      </c>
      <c r="T304" s="111"/>
      <c r="U304" s="33" t="s">
        <v>278</v>
      </c>
      <c r="V304" s="111"/>
      <c r="W304" s="59" t="s">
        <v>548</v>
      </c>
      <c r="X304" s="33" t="str">
        <f>+VLOOKUP(OtherClients[[#This Row],[Part]],PartControl!$A$2:$E$564,5,FALSE)</f>
        <v>infasco</v>
      </c>
      <c r="Y304" s="108">
        <f>IF(OtherClients[[#This Row],[Re-certified or New]]&lt;&gt;"Re-certified",IF(OtherClients[[#This Row],[Client]]="infasco",VLOOKUP(OtherClients[[#This Row],[Part]],PartControl!$A$2:$E$564,2,FALSE),OtherClients[[#This Row],[Total Quantity]]*VLOOKUP(OtherClients[[#This Row],[Part]],PartControl!$A$2:$E$564,2,FALSE)),0)</f>
        <v>135.08000000000001</v>
      </c>
      <c r="Z304" s="108">
        <f>IF(OtherClients[[#This Row],[Re-certified or New]]&lt;&gt;"Re-certified",IF(OtherClients[[#This Row],[Client]]="infasco",VLOOKUP(OtherClients[[#This Row],[Part]],PartControl!$A$2:$E$564,2,FALSE),OtherClients[[#This Row],[Total Quantity]]*VLOOKUP(OtherClients[[#This Row],[Part]],PartControl!$A$2:$E$564,2,FALSE)),0)</f>
        <v>135.08000000000001</v>
      </c>
    </row>
    <row r="305" spans="1:26" ht="25.15" hidden="1" customHeight="1" x14ac:dyDescent="0.25">
      <c r="A305" s="112">
        <v>46240</v>
      </c>
      <c r="B305" s="5" t="s">
        <v>252</v>
      </c>
      <c r="C305" s="5" t="s">
        <v>718</v>
      </c>
      <c r="D305" s="5">
        <v>714424</v>
      </c>
      <c r="E305" s="33">
        <v>36</v>
      </c>
      <c r="F305" s="60">
        <v>3500</v>
      </c>
      <c r="G305" s="60">
        <f>+OtherClients[[#This Row],[Boxes / Pieces]]*OtherClients[[#This Row],[Unit Quantity]]</f>
        <v>126000</v>
      </c>
      <c r="H305" s="60">
        <v>275</v>
      </c>
      <c r="I305" s="60" t="s">
        <v>278</v>
      </c>
      <c r="J305" s="104"/>
      <c r="K305" s="33" t="s">
        <v>278</v>
      </c>
      <c r="L305" s="111"/>
      <c r="M305" s="33" t="s">
        <v>278</v>
      </c>
      <c r="N305" s="111"/>
      <c r="O305" s="33" t="s">
        <v>278</v>
      </c>
      <c r="P305" s="111"/>
      <c r="Q305" s="33" t="s">
        <v>587</v>
      </c>
      <c r="R305" s="111"/>
      <c r="S305" s="33" t="s">
        <v>278</v>
      </c>
      <c r="T305" s="111"/>
      <c r="U305" s="33" t="s">
        <v>278</v>
      </c>
      <c r="V305" s="111"/>
      <c r="W305" s="59" t="s">
        <v>548</v>
      </c>
      <c r="X305" s="33" t="str">
        <f>+VLOOKUP(OtherClients[[#This Row],[Part]],PartControl!$A$2:$E$564,5,FALSE)</f>
        <v>infasco</v>
      </c>
      <c r="Y305" s="108">
        <f>IF(OtherClients[[#This Row],[Re-certified or New]]&lt;&gt;"Re-certified",IF(OtherClients[[#This Row],[Client]]="infasco",VLOOKUP(OtherClients[[#This Row],[Part]],PartControl!$A$2:$E$564,2,FALSE),OtherClients[[#This Row],[Total Quantity]]*VLOOKUP(OtherClients[[#This Row],[Part]],PartControl!$A$2:$E$564,2,FALSE)),0)</f>
        <v>106.94</v>
      </c>
      <c r="Z305" s="108">
        <f>IF(OtherClients[[#This Row],[Re-certified or New]]&lt;&gt;"Re-certified",IF(OtherClients[[#This Row],[Client]]="infasco",VLOOKUP(OtherClients[[#This Row],[Part]],PartControl!$A$2:$E$564,2,FALSE),OtherClients[[#This Row],[Total Quantity]]*VLOOKUP(OtherClients[[#This Row],[Part]],PartControl!$A$2:$E$564,2,FALSE)),0)</f>
        <v>106.94</v>
      </c>
    </row>
    <row r="306" spans="1:26" ht="25.15" hidden="1" customHeight="1" x14ac:dyDescent="0.25">
      <c r="A306" s="112">
        <v>46240</v>
      </c>
      <c r="B306" s="5" t="s">
        <v>235</v>
      </c>
      <c r="C306" s="5">
        <v>11546566</v>
      </c>
      <c r="D306" s="5">
        <v>714434</v>
      </c>
      <c r="E306" s="33">
        <v>10</v>
      </c>
      <c r="F306" s="60">
        <v>1800</v>
      </c>
      <c r="G306" s="60">
        <f>+OtherClients[[#This Row],[Boxes / Pieces]]*OtherClients[[#This Row],[Unit Quantity]]</f>
        <v>18000</v>
      </c>
      <c r="H306" s="60">
        <v>290</v>
      </c>
      <c r="I306" s="60" t="s">
        <v>278</v>
      </c>
      <c r="J306" s="104"/>
      <c r="K306" s="33" t="s">
        <v>278</v>
      </c>
      <c r="L306" s="111"/>
      <c r="M306" s="33" t="s">
        <v>278</v>
      </c>
      <c r="N306" s="111"/>
      <c r="O306" s="33" t="s">
        <v>278</v>
      </c>
      <c r="P306" s="111"/>
      <c r="Q306" s="33" t="s">
        <v>587</v>
      </c>
      <c r="R306" s="111"/>
      <c r="S306" s="33" t="s">
        <v>278</v>
      </c>
      <c r="T306" s="111"/>
      <c r="U306" s="33" t="s">
        <v>278</v>
      </c>
      <c r="V306" s="111"/>
      <c r="W306" s="59" t="s">
        <v>633</v>
      </c>
      <c r="X306" s="33" t="str">
        <f>+VLOOKUP(OtherClients[[#This Row],[Part]],PartControl!$A$2:$E$564,5,FALSE)</f>
        <v>infasco</v>
      </c>
      <c r="Y306" s="108">
        <f>IF(OtherClients[[#This Row],[Re-certified or New]]&lt;&gt;"Re-certified",IF(OtherClients[[#This Row],[Client]]="infasco",VLOOKUP(OtherClients[[#This Row],[Part]],PartControl!$A$2:$E$564,2,FALSE),OtherClients[[#This Row],[Total Quantity]]*VLOOKUP(OtherClients[[#This Row],[Part]],PartControl!$A$2:$E$564,2,FALSE)),0)</f>
        <v>0</v>
      </c>
      <c r="Z306" s="108">
        <f>IF(OtherClients[[#This Row],[Re-certified or New]]&lt;&gt;"Re-certified",IF(OtherClients[[#This Row],[Client]]="infasco",VLOOKUP(OtherClients[[#This Row],[Part]],PartControl!$A$2:$E$564,2,FALSE),OtherClients[[#This Row],[Total Quantity]]*VLOOKUP(OtherClients[[#This Row],[Part]],PartControl!$A$2:$E$564,2,FALSE)),0)</f>
        <v>0</v>
      </c>
    </row>
    <row r="307" spans="1:26" ht="25.15" hidden="1" customHeight="1" x14ac:dyDescent="0.25">
      <c r="A307" s="112">
        <v>46240</v>
      </c>
      <c r="B307" s="5" t="s">
        <v>236</v>
      </c>
      <c r="C307" s="5">
        <v>11561645</v>
      </c>
      <c r="D307" s="5">
        <v>714429</v>
      </c>
      <c r="E307" s="33">
        <v>29</v>
      </c>
      <c r="F307" s="60">
        <v>4000</v>
      </c>
      <c r="G307" s="60">
        <f>+OtherClients[[#This Row],[Boxes / Pieces]]*OtherClients[[#This Row],[Unit Quantity]]</f>
        <v>116000</v>
      </c>
      <c r="H307" s="60">
        <v>290</v>
      </c>
      <c r="I307" s="60" t="s">
        <v>278</v>
      </c>
      <c r="J307" s="104"/>
      <c r="K307" s="33" t="s">
        <v>278</v>
      </c>
      <c r="L307" s="111"/>
      <c r="M307" s="33" t="s">
        <v>278</v>
      </c>
      <c r="N307" s="111"/>
      <c r="O307" s="33" t="s">
        <v>278</v>
      </c>
      <c r="P307" s="111"/>
      <c r="Q307" s="33" t="s">
        <v>587</v>
      </c>
      <c r="R307" s="111"/>
      <c r="S307" s="33" t="s">
        <v>278</v>
      </c>
      <c r="T307" s="111"/>
      <c r="U307" s="33" t="s">
        <v>278</v>
      </c>
      <c r="V307" s="111"/>
      <c r="W307" s="59" t="s">
        <v>548</v>
      </c>
      <c r="X307" s="33" t="str">
        <f>+VLOOKUP(OtherClients[[#This Row],[Part]],PartControl!$A$2:$E$564,5,FALSE)</f>
        <v>infasco</v>
      </c>
      <c r="Y307" s="108">
        <f>IF(OtherClients[[#This Row],[Re-certified or New]]&lt;&gt;"Re-certified",IF(OtherClients[[#This Row],[Client]]="infasco",VLOOKUP(OtherClients[[#This Row],[Part]],PartControl!$A$2:$E$564,2,FALSE),OtherClients[[#This Row],[Total Quantity]]*VLOOKUP(OtherClients[[#This Row],[Part]],PartControl!$A$2:$E$564,2,FALSE)),0)</f>
        <v>106.94</v>
      </c>
      <c r="Z307" s="108">
        <f>IF(OtherClients[[#This Row],[Re-certified or New]]&lt;&gt;"Re-certified",IF(OtherClients[[#This Row],[Client]]="infasco",VLOOKUP(OtherClients[[#This Row],[Part]],PartControl!$A$2:$E$564,2,FALSE),OtherClients[[#This Row],[Total Quantity]]*VLOOKUP(OtherClients[[#This Row],[Part]],PartControl!$A$2:$E$564,2,FALSE)),0)</f>
        <v>106.94</v>
      </c>
    </row>
    <row r="308" spans="1:26" ht="25.15" hidden="1" customHeight="1" x14ac:dyDescent="0.25">
      <c r="A308" s="112">
        <v>46240</v>
      </c>
      <c r="B308" s="5" t="s">
        <v>236</v>
      </c>
      <c r="C308" s="5">
        <v>11546545</v>
      </c>
      <c r="D308" s="5">
        <v>716192</v>
      </c>
      <c r="E308" s="33">
        <v>13</v>
      </c>
      <c r="F308" s="60">
        <v>2500</v>
      </c>
      <c r="G308" s="60">
        <f>+OtherClients[[#This Row],[Boxes / Pieces]]*OtherClients[[#This Row],[Unit Quantity]]</f>
        <v>32500</v>
      </c>
      <c r="H308" s="60">
        <v>290</v>
      </c>
      <c r="I308" s="60" t="s">
        <v>278</v>
      </c>
      <c r="J308" s="104"/>
      <c r="K308" s="33" t="s">
        <v>278</v>
      </c>
      <c r="L308" s="111"/>
      <c r="M308" s="33" t="s">
        <v>278</v>
      </c>
      <c r="N308" s="111"/>
      <c r="O308" s="33" t="s">
        <v>278</v>
      </c>
      <c r="P308" s="111"/>
      <c r="Q308" s="33" t="s">
        <v>587</v>
      </c>
      <c r="R308" s="111"/>
      <c r="S308" s="33" t="s">
        <v>278</v>
      </c>
      <c r="T308" s="111"/>
      <c r="U308" s="33" t="s">
        <v>278</v>
      </c>
      <c r="V308" s="111"/>
      <c r="W308" s="59" t="s">
        <v>633</v>
      </c>
      <c r="X308" s="33" t="str">
        <f>+VLOOKUP(OtherClients[[#This Row],[Part]],PartControl!$A$2:$E$564,5,FALSE)</f>
        <v>infasco</v>
      </c>
      <c r="Y308" s="108">
        <f>IF(OtherClients[[#This Row],[Re-certified or New]]&lt;&gt;"Re-certified",IF(OtherClients[[#This Row],[Client]]="infasco",VLOOKUP(OtherClients[[#This Row],[Part]],PartControl!$A$2:$E$564,2,FALSE),OtherClients[[#This Row],[Total Quantity]]*VLOOKUP(OtherClients[[#This Row],[Part]],PartControl!$A$2:$E$564,2,FALSE)),0)</f>
        <v>0</v>
      </c>
      <c r="Z308" s="108">
        <f>IF(OtherClients[[#This Row],[Re-certified or New]]&lt;&gt;"Re-certified",IF(OtherClients[[#This Row],[Client]]="infasco",VLOOKUP(OtherClients[[#This Row],[Part]],PartControl!$A$2:$E$564,2,FALSE),OtherClients[[#This Row],[Total Quantity]]*VLOOKUP(OtherClients[[#This Row],[Part]],PartControl!$A$2:$E$564,2,FALSE)),0)</f>
        <v>0</v>
      </c>
    </row>
    <row r="309" spans="1:26" ht="25.15" hidden="1" customHeight="1" x14ac:dyDescent="0.25">
      <c r="A309" s="112">
        <v>46240</v>
      </c>
      <c r="B309" s="5" t="s">
        <v>237</v>
      </c>
      <c r="C309" s="5">
        <v>11549170</v>
      </c>
      <c r="D309" s="5">
        <v>713822</v>
      </c>
      <c r="E309" s="33">
        <v>35</v>
      </c>
      <c r="F309" s="60">
        <v>400</v>
      </c>
      <c r="G309" s="60">
        <f>+OtherClients[[#This Row],[Boxes / Pieces]]*OtherClients[[#This Row],[Unit Quantity]]</f>
        <v>14000</v>
      </c>
      <c r="H309" s="60">
        <v>290</v>
      </c>
      <c r="I309" s="60" t="s">
        <v>278</v>
      </c>
      <c r="J309" s="104"/>
      <c r="K309" s="33" t="s">
        <v>278</v>
      </c>
      <c r="L309" s="111"/>
      <c r="M309" s="33" t="s">
        <v>278</v>
      </c>
      <c r="N309" s="111"/>
      <c r="O309" s="33" t="s">
        <v>278</v>
      </c>
      <c r="P309" s="111"/>
      <c r="Q309" s="33" t="s">
        <v>587</v>
      </c>
      <c r="R309" s="111"/>
      <c r="S309" s="33" t="s">
        <v>278</v>
      </c>
      <c r="T309" s="111"/>
      <c r="U309" s="33" t="s">
        <v>278</v>
      </c>
      <c r="V309" s="111"/>
      <c r="W309" s="59" t="s">
        <v>548</v>
      </c>
      <c r="X309" s="33" t="str">
        <f>+VLOOKUP(OtherClients[[#This Row],[Part]],PartControl!$A$2:$E$564,5,FALSE)</f>
        <v>INFASCO</v>
      </c>
      <c r="Y309" s="108">
        <f>IF(OtherClients[[#This Row],[Re-certified or New]]&lt;&gt;"Re-certified",IF(OtherClients[[#This Row],[Client]]="infasco",VLOOKUP(OtherClients[[#This Row],[Part]],PartControl!$A$2:$E$564,2,FALSE),OtherClients[[#This Row],[Total Quantity]]*VLOOKUP(OtherClients[[#This Row],[Part]],PartControl!$A$2:$E$564,2,FALSE)),0)</f>
        <v>106.94</v>
      </c>
      <c r="Z309" s="108">
        <f>IF(OtherClients[[#This Row],[Re-certified or New]]&lt;&gt;"Re-certified",IF(OtherClients[[#This Row],[Client]]="infasco",VLOOKUP(OtherClients[[#This Row],[Part]],PartControl!$A$2:$E$564,2,FALSE),OtherClients[[#This Row],[Total Quantity]]*VLOOKUP(OtherClients[[#This Row],[Part]],PartControl!$A$2:$E$564,2,FALSE)),0)</f>
        <v>106.94</v>
      </c>
    </row>
    <row r="310" spans="1:26" ht="25.15" hidden="1" customHeight="1" x14ac:dyDescent="0.25">
      <c r="A310" s="112">
        <v>46240</v>
      </c>
      <c r="B310" s="5" t="s">
        <v>237</v>
      </c>
      <c r="C310" s="5" t="s">
        <v>645</v>
      </c>
      <c r="D310" s="5">
        <v>715859</v>
      </c>
      <c r="E310" s="33">
        <v>34</v>
      </c>
      <c r="F310" s="60">
        <v>1000</v>
      </c>
      <c r="G310" s="60">
        <f>+OtherClients[[#This Row],[Boxes / Pieces]]*OtherClients[[#This Row],[Unit Quantity]]</f>
        <v>34000</v>
      </c>
      <c r="H310" s="60">
        <v>290</v>
      </c>
      <c r="I310" s="60" t="s">
        <v>278</v>
      </c>
      <c r="J310" s="104"/>
      <c r="K310" s="33" t="s">
        <v>278</v>
      </c>
      <c r="L310" s="111"/>
      <c r="M310" s="33" t="s">
        <v>278</v>
      </c>
      <c r="N310" s="111"/>
      <c r="O310" s="33" t="s">
        <v>278</v>
      </c>
      <c r="P310" s="111"/>
      <c r="Q310" s="33" t="s">
        <v>587</v>
      </c>
      <c r="R310" s="111"/>
      <c r="S310" s="33" t="s">
        <v>278</v>
      </c>
      <c r="T310" s="111"/>
      <c r="U310" s="33" t="s">
        <v>278</v>
      </c>
      <c r="V310" s="111"/>
      <c r="W310" s="59" t="s">
        <v>548</v>
      </c>
      <c r="X310" s="33" t="str">
        <f>+VLOOKUP(OtherClients[[#This Row],[Part]],PartControl!$A$2:$E$564,5,FALSE)</f>
        <v>infasco</v>
      </c>
      <c r="Y310" s="108">
        <f>IF(OtherClients[[#This Row],[Re-certified or New]]&lt;&gt;"Re-certified",IF(OtherClients[[#This Row],[Client]]="infasco",VLOOKUP(OtherClients[[#This Row],[Part]],PartControl!$A$2:$E$564,2,FALSE),OtherClients[[#This Row],[Total Quantity]]*VLOOKUP(OtherClients[[#This Row],[Part]],PartControl!$A$2:$E$564,2,FALSE)),0)</f>
        <v>106.94</v>
      </c>
      <c r="Z310" s="108">
        <f>IF(OtherClients[[#This Row],[Re-certified or New]]&lt;&gt;"Re-certified",IF(OtherClients[[#This Row],[Client]]="infasco",VLOOKUP(OtherClients[[#This Row],[Part]],PartControl!$A$2:$E$564,2,FALSE),OtherClients[[#This Row],[Total Quantity]]*VLOOKUP(OtherClients[[#This Row],[Part]],PartControl!$A$2:$E$564,2,FALSE)),0)</f>
        <v>106.94</v>
      </c>
    </row>
    <row r="311" spans="1:26" ht="25.15" hidden="1" customHeight="1" x14ac:dyDescent="0.25">
      <c r="A311" s="112">
        <v>46240</v>
      </c>
      <c r="B311" s="5" t="s">
        <v>237</v>
      </c>
      <c r="C311" s="5" t="s">
        <v>790</v>
      </c>
      <c r="D311" s="5">
        <v>715835</v>
      </c>
      <c r="E311" s="33">
        <v>1</v>
      </c>
      <c r="F311" s="60">
        <v>39000</v>
      </c>
      <c r="G311" s="60">
        <f>+OtherClients[[#This Row],[Boxes / Pieces]]*OtherClients[[#This Row],[Unit Quantity]]</f>
        <v>39000</v>
      </c>
      <c r="H311" s="60">
        <v>290</v>
      </c>
      <c r="I311" s="60" t="s">
        <v>278</v>
      </c>
      <c r="J311" s="104"/>
      <c r="K311" s="33" t="s">
        <v>278</v>
      </c>
      <c r="L311" s="111"/>
      <c r="M311" s="33" t="s">
        <v>278</v>
      </c>
      <c r="N311" s="111"/>
      <c r="O311" s="33" t="s">
        <v>278</v>
      </c>
      <c r="P311" s="111"/>
      <c r="Q311" s="33" t="s">
        <v>587</v>
      </c>
      <c r="R311" s="111"/>
      <c r="S311" s="33" t="s">
        <v>278</v>
      </c>
      <c r="T311" s="111"/>
      <c r="U311" s="33" t="s">
        <v>278</v>
      </c>
      <c r="V311" s="111"/>
      <c r="W311" s="59" t="s">
        <v>548</v>
      </c>
      <c r="X311" s="33" t="str">
        <f>+VLOOKUP(OtherClients[[#This Row],[Part]],PartControl!$A$2:$E$564,5,FALSE)</f>
        <v>infasco</v>
      </c>
      <c r="Y311" s="108">
        <f>IF(OtherClients[[#This Row],[Re-certified or New]]&lt;&gt;"Re-certified",IF(OtherClients[[#This Row],[Client]]="infasco",VLOOKUP(OtherClients[[#This Row],[Part]],PartControl!$A$2:$E$564,2,FALSE),OtherClients[[#This Row],[Total Quantity]]*VLOOKUP(OtherClients[[#This Row],[Part]],PartControl!$A$2:$E$564,2,FALSE)),0)</f>
        <v>129.44999999999999</v>
      </c>
      <c r="Z311" s="108">
        <f>IF(OtherClients[[#This Row],[Re-certified or New]]&lt;&gt;"Re-certified",IF(OtherClients[[#This Row],[Client]]="infasco",VLOOKUP(OtherClients[[#This Row],[Part]],PartControl!$A$2:$E$564,2,FALSE),OtherClients[[#This Row],[Total Quantity]]*VLOOKUP(OtherClients[[#This Row],[Part]],PartControl!$A$2:$E$564,2,FALSE)),0)</f>
        <v>129.44999999999999</v>
      </c>
    </row>
    <row r="312" spans="1:26" ht="25.15" hidden="1" customHeight="1" x14ac:dyDescent="0.25">
      <c r="A312" s="112">
        <v>46240</v>
      </c>
      <c r="B312" s="5" t="s">
        <v>237</v>
      </c>
      <c r="C312" s="5" t="s">
        <v>306</v>
      </c>
      <c r="D312" s="5">
        <v>715714</v>
      </c>
      <c r="E312" s="33">
        <v>1</v>
      </c>
      <c r="F312" s="60">
        <v>17000</v>
      </c>
      <c r="G312" s="60">
        <f>+OtherClients[[#This Row],[Boxes / Pieces]]*OtherClients[[#This Row],[Unit Quantity]]</f>
        <v>17000</v>
      </c>
      <c r="H312" s="60">
        <v>290</v>
      </c>
      <c r="I312" s="60" t="s">
        <v>278</v>
      </c>
      <c r="J312" s="104"/>
      <c r="K312" s="33" t="s">
        <v>278</v>
      </c>
      <c r="L312" s="111"/>
      <c r="M312" s="33" t="s">
        <v>278</v>
      </c>
      <c r="N312" s="111"/>
      <c r="O312" s="33" t="s">
        <v>278</v>
      </c>
      <c r="P312" s="111"/>
      <c r="Q312" s="33" t="s">
        <v>587</v>
      </c>
      <c r="R312" s="111"/>
      <c r="S312" s="33" t="s">
        <v>278</v>
      </c>
      <c r="T312" s="111"/>
      <c r="U312" s="33" t="s">
        <v>278</v>
      </c>
      <c r="V312" s="111"/>
      <c r="W312" s="59" t="s">
        <v>633</v>
      </c>
      <c r="X312" s="33" t="str">
        <f>+VLOOKUP(OtherClients[[#This Row],[Part]],PartControl!$A$2:$E$564,5,FALSE)</f>
        <v>INFASCO</v>
      </c>
      <c r="Y312" s="108">
        <f>IF(OtherClients[[#This Row],[Re-certified or New]]&lt;&gt;"Re-certified",IF(OtherClients[[#This Row],[Client]]="infasco",VLOOKUP(OtherClients[[#This Row],[Part]],PartControl!$A$2:$E$564,2,FALSE),OtherClients[[#This Row],[Total Quantity]]*VLOOKUP(OtherClients[[#This Row],[Part]],PartControl!$A$2:$E$564,2,FALSE)),0)</f>
        <v>0</v>
      </c>
      <c r="Z312" s="108">
        <f>IF(OtherClients[[#This Row],[Re-certified or New]]&lt;&gt;"Re-certified",IF(OtherClients[[#This Row],[Client]]="infasco",VLOOKUP(OtherClients[[#This Row],[Part]],PartControl!$A$2:$E$564,2,FALSE),OtherClients[[#This Row],[Total Quantity]]*VLOOKUP(OtherClients[[#This Row],[Part]],PartControl!$A$2:$E$564,2,FALSE)),0)</f>
        <v>0</v>
      </c>
    </row>
    <row r="313" spans="1:26" ht="25.15" hidden="1" customHeight="1" x14ac:dyDescent="0.25">
      <c r="A313" s="112">
        <v>46240</v>
      </c>
      <c r="B313" s="5" t="s">
        <v>239</v>
      </c>
      <c r="C313" s="5">
        <v>11549170</v>
      </c>
      <c r="D313" s="5">
        <v>713851</v>
      </c>
      <c r="E313" s="33">
        <f>40-16</f>
        <v>24</v>
      </c>
      <c r="F313" s="60">
        <v>400</v>
      </c>
      <c r="G313" s="60">
        <f>+OtherClients[[#This Row],[Boxes / Pieces]]*OtherClients[[#This Row],[Unit Quantity]]</f>
        <v>9600</v>
      </c>
      <c r="H313" s="60">
        <v>290</v>
      </c>
      <c r="I313" s="60" t="s">
        <v>278</v>
      </c>
      <c r="J313" s="104"/>
      <c r="K313" s="33" t="s">
        <v>278</v>
      </c>
      <c r="L313" s="111"/>
      <c r="M313" s="33" t="s">
        <v>278</v>
      </c>
      <c r="N313" s="111"/>
      <c r="O313" s="33" t="s">
        <v>278</v>
      </c>
      <c r="P313" s="111"/>
      <c r="Q313" s="33" t="s">
        <v>587</v>
      </c>
      <c r="R313" s="111"/>
      <c r="S313" s="33" t="s">
        <v>278</v>
      </c>
      <c r="T313" s="111"/>
      <c r="U313" s="33" t="s">
        <v>278</v>
      </c>
      <c r="V313" s="111"/>
      <c r="W313" s="59" t="s">
        <v>548</v>
      </c>
      <c r="X313" s="33" t="str">
        <f>+VLOOKUP(OtherClients[[#This Row],[Part]],PartControl!$A$2:$E$564,5,FALSE)</f>
        <v>INFASCO</v>
      </c>
      <c r="Y313" s="108">
        <f>IF(OtherClients[[#This Row],[Re-certified or New]]&lt;&gt;"Re-certified",IF(OtherClients[[#This Row],[Client]]="infasco",VLOOKUP(OtherClients[[#This Row],[Part]],PartControl!$A$2:$E$564,2,FALSE),OtherClients[[#This Row],[Total Quantity]]*VLOOKUP(OtherClients[[#This Row],[Part]],PartControl!$A$2:$E$564,2,FALSE)),0)</f>
        <v>106.94</v>
      </c>
      <c r="Z313" s="108">
        <f>IF(OtherClients[[#This Row],[Re-certified or New]]&lt;&gt;"Re-certified",IF(OtherClients[[#This Row],[Client]]="infasco",VLOOKUP(OtherClients[[#This Row],[Part]],PartControl!$A$2:$E$564,2,FALSE),OtherClients[[#This Row],[Total Quantity]]*VLOOKUP(OtherClients[[#This Row],[Part]],PartControl!$A$2:$E$564,2,FALSE)),0)</f>
        <v>106.94</v>
      </c>
    </row>
    <row r="314" spans="1:26" ht="25.15" hidden="1" customHeight="1" x14ac:dyDescent="0.25">
      <c r="A314" s="112">
        <v>46240</v>
      </c>
      <c r="B314" s="5" t="s">
        <v>239</v>
      </c>
      <c r="C314" s="5">
        <v>11549170</v>
      </c>
      <c r="D314" s="5">
        <v>713826</v>
      </c>
      <c r="E314" s="33">
        <v>42</v>
      </c>
      <c r="F314" s="60">
        <v>400</v>
      </c>
      <c r="G314" s="60">
        <f>+OtherClients[[#This Row],[Boxes / Pieces]]*OtherClients[[#This Row],[Unit Quantity]]</f>
        <v>16800</v>
      </c>
      <c r="H314" s="60">
        <v>290</v>
      </c>
      <c r="I314" s="60" t="s">
        <v>278</v>
      </c>
      <c r="J314" s="104"/>
      <c r="K314" s="33" t="s">
        <v>278</v>
      </c>
      <c r="L314" s="111"/>
      <c r="M314" s="33" t="s">
        <v>278</v>
      </c>
      <c r="N314" s="111"/>
      <c r="O314" s="33" t="s">
        <v>278</v>
      </c>
      <c r="P314" s="111"/>
      <c r="Q314" s="33" t="s">
        <v>587</v>
      </c>
      <c r="R314" s="111"/>
      <c r="S314" s="33" t="s">
        <v>278</v>
      </c>
      <c r="T314" s="111"/>
      <c r="U314" s="33" t="s">
        <v>278</v>
      </c>
      <c r="V314" s="111"/>
      <c r="W314" s="59" t="s">
        <v>548</v>
      </c>
      <c r="X314" s="33" t="str">
        <f>+VLOOKUP(OtherClients[[#This Row],[Part]],PartControl!$A$2:$E$564,5,FALSE)</f>
        <v>INFASCO</v>
      </c>
      <c r="Y314" s="108">
        <f>IF(OtherClients[[#This Row],[Re-certified or New]]&lt;&gt;"Re-certified",IF(OtherClients[[#This Row],[Client]]="infasco",VLOOKUP(OtherClients[[#This Row],[Part]],PartControl!$A$2:$E$564,2,FALSE),OtherClients[[#This Row],[Total Quantity]]*VLOOKUP(OtherClients[[#This Row],[Part]],PartControl!$A$2:$E$564,2,FALSE)),0)</f>
        <v>106.94</v>
      </c>
      <c r="Z314" s="108">
        <f>IF(OtherClients[[#This Row],[Re-certified or New]]&lt;&gt;"Re-certified",IF(OtherClients[[#This Row],[Client]]="infasco",VLOOKUP(OtherClients[[#This Row],[Part]],PartControl!$A$2:$E$564,2,FALSE),OtherClients[[#This Row],[Total Quantity]]*VLOOKUP(OtherClients[[#This Row],[Part]],PartControl!$A$2:$E$564,2,FALSE)),0)</f>
        <v>106.94</v>
      </c>
    </row>
    <row r="315" spans="1:26" ht="25.15" hidden="1" customHeight="1" x14ac:dyDescent="0.25">
      <c r="A315" s="112">
        <v>46240</v>
      </c>
      <c r="B315" s="5" t="s">
        <v>239</v>
      </c>
      <c r="C315" s="5">
        <v>11546774</v>
      </c>
      <c r="D315" s="5">
        <v>713583</v>
      </c>
      <c r="E315" s="33">
        <v>22</v>
      </c>
      <c r="F315" s="60">
        <v>450</v>
      </c>
      <c r="G315" s="60">
        <f>+OtherClients[[#This Row],[Boxes / Pieces]]*OtherClients[[#This Row],[Unit Quantity]]</f>
        <v>9900</v>
      </c>
      <c r="H315" s="60">
        <v>290</v>
      </c>
      <c r="I315" s="60" t="s">
        <v>278</v>
      </c>
      <c r="J315" s="104"/>
      <c r="K315" s="33" t="s">
        <v>278</v>
      </c>
      <c r="L315" s="111"/>
      <c r="M315" s="33" t="s">
        <v>278</v>
      </c>
      <c r="N315" s="111"/>
      <c r="O315" s="33" t="s">
        <v>278</v>
      </c>
      <c r="P315" s="111"/>
      <c r="Q315" s="33" t="s">
        <v>587</v>
      </c>
      <c r="R315" s="111"/>
      <c r="S315" s="33" t="s">
        <v>278</v>
      </c>
      <c r="T315" s="111"/>
      <c r="U315" s="33" t="s">
        <v>278</v>
      </c>
      <c r="V315" s="111"/>
      <c r="W315" s="59" t="s">
        <v>633</v>
      </c>
      <c r="X315" s="33" t="str">
        <f>+VLOOKUP(OtherClients[[#This Row],[Part]],PartControl!$A$2:$E$564,5,FALSE)</f>
        <v>infasco</v>
      </c>
      <c r="Y315" s="108">
        <f>IF(OtherClients[[#This Row],[Re-certified or New]]&lt;&gt;"Re-certified",IF(OtherClients[[#This Row],[Client]]="infasco",VLOOKUP(OtherClients[[#This Row],[Part]],PartControl!$A$2:$E$564,2,FALSE),OtherClients[[#This Row],[Total Quantity]]*VLOOKUP(OtherClients[[#This Row],[Part]],PartControl!$A$2:$E$564,2,FALSE)),0)</f>
        <v>0</v>
      </c>
      <c r="Z315" s="108">
        <f>IF(OtherClients[[#This Row],[Re-certified or New]]&lt;&gt;"Re-certified",IF(OtherClients[[#This Row],[Client]]="infasco",VLOOKUP(OtherClients[[#This Row],[Part]],PartControl!$A$2:$E$564,2,FALSE),OtherClients[[#This Row],[Total Quantity]]*VLOOKUP(OtherClients[[#This Row],[Part]],PartControl!$A$2:$E$564,2,FALSE)),0)</f>
        <v>0</v>
      </c>
    </row>
    <row r="316" spans="1:26" ht="25.15" hidden="1" customHeight="1" x14ac:dyDescent="0.25">
      <c r="A316" s="112">
        <v>46240</v>
      </c>
      <c r="B316" s="5" t="s">
        <v>250</v>
      </c>
      <c r="C316" s="5">
        <v>11549168</v>
      </c>
      <c r="D316" s="5">
        <v>713693</v>
      </c>
      <c r="E316" s="33">
        <f>36-7</f>
        <v>29</v>
      </c>
      <c r="F316" s="60">
        <v>1000</v>
      </c>
      <c r="G316" s="60">
        <f>+OtherClients[[#This Row],[Boxes / Pieces]]*OtherClients[[#This Row],[Unit Quantity]]</f>
        <v>29000</v>
      </c>
      <c r="H316" s="60">
        <v>290</v>
      </c>
      <c r="I316" s="60" t="s">
        <v>278</v>
      </c>
      <c r="J316" s="104"/>
      <c r="K316" s="33" t="s">
        <v>278</v>
      </c>
      <c r="L316" s="111"/>
      <c r="M316" s="33" t="s">
        <v>278</v>
      </c>
      <c r="N316" s="111"/>
      <c r="O316" s="33" t="s">
        <v>278</v>
      </c>
      <c r="P316" s="111"/>
      <c r="Q316" s="33" t="s">
        <v>587</v>
      </c>
      <c r="R316" s="111"/>
      <c r="S316" s="33" t="s">
        <v>278</v>
      </c>
      <c r="T316" s="111"/>
      <c r="U316" s="33" t="s">
        <v>278</v>
      </c>
      <c r="V316" s="111"/>
      <c r="W316" s="59" t="s">
        <v>548</v>
      </c>
      <c r="X316" s="33" t="str">
        <f>+VLOOKUP(OtherClients[[#This Row],[Part]],PartControl!$A$2:$E$564,5,FALSE)</f>
        <v>INFASCO</v>
      </c>
      <c r="Y316" s="108">
        <f>IF(OtherClients[[#This Row],[Re-certified or New]]&lt;&gt;"Re-certified",IF(OtherClients[[#This Row],[Client]]="infasco",VLOOKUP(OtherClients[[#This Row],[Part]],PartControl!$A$2:$E$564,2,FALSE),OtherClients[[#This Row],[Total Quantity]]*VLOOKUP(OtherClients[[#This Row],[Part]],PartControl!$A$2:$E$564,2,FALSE)),0)</f>
        <v>106.94</v>
      </c>
      <c r="Z316" s="108">
        <f>IF(OtherClients[[#This Row],[Re-certified or New]]&lt;&gt;"Re-certified",IF(OtherClients[[#This Row],[Client]]="infasco",VLOOKUP(OtherClients[[#This Row],[Part]],PartControl!$A$2:$E$564,2,FALSE),OtherClients[[#This Row],[Total Quantity]]*VLOOKUP(OtherClients[[#This Row],[Part]],PartControl!$A$2:$E$564,2,FALSE)),0)</f>
        <v>106.94</v>
      </c>
    </row>
    <row r="317" spans="1:26" ht="25.15" hidden="1" customHeight="1" x14ac:dyDescent="0.25">
      <c r="A317" s="112">
        <v>46240</v>
      </c>
      <c r="B317" s="5" t="s">
        <v>250</v>
      </c>
      <c r="C317" s="5">
        <v>11549168</v>
      </c>
      <c r="D317" s="5">
        <v>712781</v>
      </c>
      <c r="E317" s="33">
        <f>36+12</f>
        <v>48</v>
      </c>
      <c r="F317" s="60">
        <v>1000</v>
      </c>
      <c r="G317" s="60">
        <f>+OtherClients[[#This Row],[Boxes / Pieces]]*OtherClients[[#This Row],[Unit Quantity]]</f>
        <v>48000</v>
      </c>
      <c r="H317" s="60">
        <v>290</v>
      </c>
      <c r="I317" s="60" t="s">
        <v>278</v>
      </c>
      <c r="J317" s="104"/>
      <c r="K317" s="33" t="s">
        <v>278</v>
      </c>
      <c r="L317" s="111"/>
      <c r="M317" s="33" t="s">
        <v>278</v>
      </c>
      <c r="N317" s="111"/>
      <c r="O317" s="33" t="s">
        <v>278</v>
      </c>
      <c r="P317" s="111"/>
      <c r="Q317" s="33" t="s">
        <v>587</v>
      </c>
      <c r="R317" s="111"/>
      <c r="S317" s="33" t="s">
        <v>278</v>
      </c>
      <c r="T317" s="111"/>
      <c r="U317" s="33" t="s">
        <v>278</v>
      </c>
      <c r="V317" s="111"/>
      <c r="W317" s="59" t="s">
        <v>633</v>
      </c>
      <c r="X317" s="33" t="str">
        <f>+VLOOKUP(OtherClients[[#This Row],[Part]],PartControl!$A$2:$E$564,5,FALSE)</f>
        <v>INFASCO</v>
      </c>
      <c r="Y317" s="108">
        <f>IF(OtherClients[[#This Row],[Re-certified or New]]&lt;&gt;"Re-certified",IF(OtherClients[[#This Row],[Client]]="infasco",VLOOKUP(OtherClients[[#This Row],[Part]],PartControl!$A$2:$E$564,2,FALSE),OtherClients[[#This Row],[Total Quantity]]*VLOOKUP(OtherClients[[#This Row],[Part]],PartControl!$A$2:$E$564,2,FALSE)),0)</f>
        <v>0</v>
      </c>
      <c r="Z317" s="108">
        <f>IF(OtherClients[[#This Row],[Re-certified or New]]&lt;&gt;"Re-certified",IF(OtherClients[[#This Row],[Client]]="infasco",VLOOKUP(OtherClients[[#This Row],[Part]],PartControl!$A$2:$E$564,2,FALSE),OtherClients[[#This Row],[Total Quantity]]*VLOOKUP(OtherClients[[#This Row],[Part]],PartControl!$A$2:$E$564,2,FALSE)),0)</f>
        <v>0</v>
      </c>
    </row>
    <row r="318" spans="1:26" ht="25.15" hidden="1" customHeight="1" x14ac:dyDescent="0.25">
      <c r="A318" s="112">
        <v>46240</v>
      </c>
      <c r="B318" s="5" t="s">
        <v>357</v>
      </c>
      <c r="C318" s="5">
        <v>11546456</v>
      </c>
      <c r="D318" s="5">
        <v>713895</v>
      </c>
      <c r="E318" s="33">
        <f>36+3-16</f>
        <v>23</v>
      </c>
      <c r="F318" s="60">
        <v>2700</v>
      </c>
      <c r="G318" s="60">
        <f>+OtherClients[[#This Row],[Boxes / Pieces]]*OtherClients[[#This Row],[Unit Quantity]]</f>
        <v>62100</v>
      </c>
      <c r="H318" s="60">
        <v>280</v>
      </c>
      <c r="I318" s="60" t="s">
        <v>278</v>
      </c>
      <c r="J318" s="104"/>
      <c r="K318" s="33" t="s">
        <v>278</v>
      </c>
      <c r="L318" s="111"/>
      <c r="M318" s="33" t="s">
        <v>278</v>
      </c>
      <c r="N318" s="111"/>
      <c r="O318" s="33" t="s">
        <v>278</v>
      </c>
      <c r="P318" s="111"/>
      <c r="Q318" s="33" t="s">
        <v>587</v>
      </c>
      <c r="R318" s="111"/>
      <c r="S318" s="33" t="s">
        <v>278</v>
      </c>
      <c r="T318" s="111"/>
      <c r="U318" s="33" t="s">
        <v>278</v>
      </c>
      <c r="V318" s="111"/>
      <c r="W318" s="59" t="s">
        <v>548</v>
      </c>
      <c r="X318" s="33" t="str">
        <f>+VLOOKUP(OtherClients[[#This Row],[Part]],PartControl!$A$2:$E$564,5,FALSE)</f>
        <v>INFASCO</v>
      </c>
      <c r="Y318" s="108">
        <f>IF(OtherClients[[#This Row],[Re-certified or New]]&lt;&gt;"Re-certified",IF(OtherClients[[#This Row],[Client]]="infasco",VLOOKUP(OtherClients[[#This Row],[Part]],PartControl!$A$2:$E$564,2,FALSE),OtherClients[[#This Row],[Total Quantity]]*VLOOKUP(OtherClients[[#This Row],[Part]],PartControl!$A$2:$E$564,2,FALSE)),0)</f>
        <v>106.94</v>
      </c>
      <c r="Z318" s="108">
        <f>IF(OtherClients[[#This Row],[Re-certified or New]]&lt;&gt;"Re-certified",IF(OtherClients[[#This Row],[Client]]="infasco",VLOOKUP(OtherClients[[#This Row],[Part]],PartControl!$A$2:$E$564,2,FALSE),OtherClients[[#This Row],[Total Quantity]]*VLOOKUP(OtherClients[[#This Row],[Part]],PartControl!$A$2:$E$564,2,FALSE)),0)</f>
        <v>106.94</v>
      </c>
    </row>
    <row r="319" spans="1:26" ht="25.15" hidden="1" customHeight="1" x14ac:dyDescent="0.25">
      <c r="A319" s="112">
        <v>46240</v>
      </c>
      <c r="B319" s="5" t="s">
        <v>357</v>
      </c>
      <c r="C319" s="5">
        <v>11546545</v>
      </c>
      <c r="D319" s="5">
        <v>716191</v>
      </c>
      <c r="E319" s="33">
        <v>20</v>
      </c>
      <c r="F319" s="60">
        <v>2500</v>
      </c>
      <c r="G319" s="60">
        <f>+OtherClients[[#This Row],[Boxes / Pieces]]*OtherClients[[#This Row],[Unit Quantity]]</f>
        <v>50000</v>
      </c>
      <c r="H319" s="60">
        <v>280</v>
      </c>
      <c r="I319" s="60" t="s">
        <v>278</v>
      </c>
      <c r="J319" s="104"/>
      <c r="K319" s="33" t="s">
        <v>278</v>
      </c>
      <c r="L319" s="111"/>
      <c r="M319" s="33" t="s">
        <v>278</v>
      </c>
      <c r="N319" s="111"/>
      <c r="O319" s="33" t="s">
        <v>278</v>
      </c>
      <c r="P319" s="111"/>
      <c r="Q319" s="33" t="s">
        <v>587</v>
      </c>
      <c r="R319" s="111"/>
      <c r="S319" s="33" t="s">
        <v>278</v>
      </c>
      <c r="T319" s="111"/>
      <c r="U319" s="33" t="s">
        <v>278</v>
      </c>
      <c r="V319" s="111"/>
      <c r="W319" s="59" t="s">
        <v>548</v>
      </c>
      <c r="X319" s="33" t="str">
        <f>+VLOOKUP(OtherClients[[#This Row],[Part]],PartControl!$A$2:$E$564,5,FALSE)</f>
        <v>infasco</v>
      </c>
      <c r="Y319" s="108">
        <f>IF(OtherClients[[#This Row],[Re-certified or New]]&lt;&gt;"Re-certified",IF(OtherClients[[#This Row],[Client]]="infasco",VLOOKUP(OtherClients[[#This Row],[Part]],PartControl!$A$2:$E$564,2,FALSE),OtherClients[[#This Row],[Total Quantity]]*VLOOKUP(OtherClients[[#This Row],[Part]],PartControl!$A$2:$E$564,2,FALSE)),0)</f>
        <v>106.94</v>
      </c>
      <c r="Z319" s="108">
        <f>IF(OtherClients[[#This Row],[Re-certified or New]]&lt;&gt;"Re-certified",IF(OtherClients[[#This Row],[Client]]="infasco",VLOOKUP(OtherClients[[#This Row],[Part]],PartControl!$A$2:$E$564,2,FALSE),OtherClients[[#This Row],[Total Quantity]]*VLOOKUP(OtherClients[[#This Row],[Part]],PartControl!$A$2:$E$564,2,FALSE)),0)</f>
        <v>106.94</v>
      </c>
    </row>
    <row r="320" spans="1:26" ht="25.15" hidden="1" customHeight="1" x14ac:dyDescent="0.25">
      <c r="A320" s="112">
        <v>46240</v>
      </c>
      <c r="B320" s="5" t="s">
        <v>357</v>
      </c>
      <c r="C320" s="5">
        <v>11546545</v>
      </c>
      <c r="D320" s="5">
        <v>716190</v>
      </c>
      <c r="E320" s="33">
        <v>26</v>
      </c>
      <c r="F320" s="60">
        <v>2500</v>
      </c>
      <c r="G320" s="60">
        <f>+OtherClients[[#This Row],[Boxes / Pieces]]*OtherClients[[#This Row],[Unit Quantity]]</f>
        <v>65000</v>
      </c>
      <c r="H320" s="60">
        <v>280</v>
      </c>
      <c r="I320" s="60" t="s">
        <v>278</v>
      </c>
      <c r="J320" s="104"/>
      <c r="K320" s="33" t="s">
        <v>278</v>
      </c>
      <c r="L320" s="111"/>
      <c r="M320" s="33" t="s">
        <v>278</v>
      </c>
      <c r="N320" s="111"/>
      <c r="O320" s="33" t="s">
        <v>278</v>
      </c>
      <c r="P320" s="111"/>
      <c r="Q320" s="33" t="s">
        <v>587</v>
      </c>
      <c r="R320" s="111"/>
      <c r="S320" s="33" t="s">
        <v>278</v>
      </c>
      <c r="T320" s="111"/>
      <c r="U320" s="33" t="s">
        <v>278</v>
      </c>
      <c r="V320" s="111"/>
      <c r="W320" s="59" t="s">
        <v>633</v>
      </c>
      <c r="X320" s="33" t="str">
        <f>+VLOOKUP(OtherClients[[#This Row],[Part]],PartControl!$A$2:$E$564,5,FALSE)</f>
        <v>infasco</v>
      </c>
      <c r="Y320" s="108">
        <f>IF(OtherClients[[#This Row],[Re-certified or New]]&lt;&gt;"Re-certified",IF(OtherClients[[#This Row],[Client]]="infasco",VLOOKUP(OtherClients[[#This Row],[Part]],PartControl!$A$2:$E$564,2,FALSE),OtherClients[[#This Row],[Total Quantity]]*VLOOKUP(OtherClients[[#This Row],[Part]],PartControl!$A$2:$E$564,2,FALSE)),0)</f>
        <v>0</v>
      </c>
      <c r="Z320" s="108">
        <f>IF(OtherClients[[#This Row],[Re-certified or New]]&lt;&gt;"Re-certified",IF(OtherClients[[#This Row],[Client]]="infasco",VLOOKUP(OtherClients[[#This Row],[Part]],PartControl!$A$2:$E$564,2,FALSE),OtherClients[[#This Row],[Total Quantity]]*VLOOKUP(OtherClients[[#This Row],[Part]],PartControl!$A$2:$E$564,2,FALSE)),0)</f>
        <v>0</v>
      </c>
    </row>
    <row r="321" spans="1:26" ht="25.15" hidden="1" customHeight="1" x14ac:dyDescent="0.25">
      <c r="A321" s="112">
        <v>46240</v>
      </c>
      <c r="B321" s="5" t="s">
        <v>834</v>
      </c>
      <c r="C321" s="5">
        <v>11546377</v>
      </c>
      <c r="D321" s="5">
        <v>715734</v>
      </c>
      <c r="E321" s="33">
        <v>33</v>
      </c>
      <c r="F321" s="60">
        <v>2150</v>
      </c>
      <c r="G321" s="60">
        <f>+OtherClients[[#This Row],[Boxes / Pieces]]*OtherClients[[#This Row],[Unit Quantity]]</f>
        <v>70950</v>
      </c>
      <c r="H321" s="60">
        <v>280</v>
      </c>
      <c r="I321" s="60" t="s">
        <v>278</v>
      </c>
      <c r="J321" s="104"/>
      <c r="K321" s="33" t="s">
        <v>278</v>
      </c>
      <c r="L321" s="111"/>
      <c r="M321" s="33" t="s">
        <v>278</v>
      </c>
      <c r="N321" s="111"/>
      <c r="O321" s="33" t="s">
        <v>278</v>
      </c>
      <c r="P321" s="111"/>
      <c r="Q321" s="33" t="s">
        <v>587</v>
      </c>
      <c r="R321" s="111"/>
      <c r="S321" s="33" t="s">
        <v>278</v>
      </c>
      <c r="T321" s="111"/>
      <c r="U321" s="33" t="s">
        <v>278</v>
      </c>
      <c r="V321" s="111"/>
      <c r="W321" s="59" t="s">
        <v>633</v>
      </c>
      <c r="X321" s="33" t="str">
        <f>+VLOOKUP(OtherClients[[#This Row],[Part]],PartControl!$A$2:$E$564,5,FALSE)</f>
        <v>INFASCO</v>
      </c>
      <c r="Y321" s="108">
        <f>IF(OtherClients[[#This Row],[Re-certified or New]]&lt;&gt;"Re-certified",IF(OtherClients[[#This Row],[Client]]="infasco",VLOOKUP(OtherClients[[#This Row],[Part]],PartControl!$A$2:$E$564,2,FALSE),OtherClients[[#This Row],[Total Quantity]]*VLOOKUP(OtherClients[[#This Row],[Part]],PartControl!$A$2:$E$564,2,FALSE)),0)</f>
        <v>0</v>
      </c>
      <c r="Z321" s="108">
        <f>IF(OtherClients[[#This Row],[Re-certified or New]]&lt;&gt;"Re-certified",IF(OtherClients[[#This Row],[Client]]="infasco",VLOOKUP(OtherClients[[#This Row],[Part]],PartControl!$A$2:$E$564,2,FALSE),OtherClients[[#This Row],[Total Quantity]]*VLOOKUP(OtherClients[[#This Row],[Part]],PartControl!$A$2:$E$564,2,FALSE)),0)</f>
        <v>0</v>
      </c>
    </row>
    <row r="322" spans="1:26" ht="25.15" hidden="1" customHeight="1" x14ac:dyDescent="0.25">
      <c r="A322" s="112">
        <v>46240</v>
      </c>
      <c r="B322" s="5" t="s">
        <v>634</v>
      </c>
      <c r="C322" s="5">
        <v>11549168</v>
      </c>
      <c r="D322" s="5">
        <v>713695</v>
      </c>
      <c r="E322" s="33">
        <f>36-8</f>
        <v>28</v>
      </c>
      <c r="F322" s="60">
        <v>1000</v>
      </c>
      <c r="G322" s="60">
        <f>+OtherClients[[#This Row],[Boxes / Pieces]]*OtherClients[[#This Row],[Unit Quantity]]</f>
        <v>28000</v>
      </c>
      <c r="H322" s="60">
        <v>280</v>
      </c>
      <c r="I322" s="60" t="s">
        <v>278</v>
      </c>
      <c r="J322" s="104"/>
      <c r="K322" s="33" t="s">
        <v>278</v>
      </c>
      <c r="L322" s="111"/>
      <c r="M322" s="33" t="s">
        <v>278</v>
      </c>
      <c r="N322" s="111"/>
      <c r="O322" s="33" t="s">
        <v>278</v>
      </c>
      <c r="P322" s="111"/>
      <c r="Q322" s="33" t="s">
        <v>587</v>
      </c>
      <c r="R322" s="111"/>
      <c r="S322" s="33" t="s">
        <v>278</v>
      </c>
      <c r="T322" s="111"/>
      <c r="U322" s="33" t="s">
        <v>278</v>
      </c>
      <c r="V322" s="111"/>
      <c r="W322" s="59" t="s">
        <v>548</v>
      </c>
      <c r="X322" s="33" t="str">
        <f>+VLOOKUP(OtherClients[[#This Row],[Part]],PartControl!$A$2:$E$564,5,FALSE)</f>
        <v>INFASCO</v>
      </c>
      <c r="Y322" s="108">
        <f>IF(OtherClients[[#This Row],[Re-certified or New]]&lt;&gt;"Re-certified",IF(OtherClients[[#This Row],[Client]]="infasco",VLOOKUP(OtherClients[[#This Row],[Part]],PartControl!$A$2:$E$564,2,FALSE),OtherClients[[#This Row],[Total Quantity]]*VLOOKUP(OtherClients[[#This Row],[Part]],PartControl!$A$2:$E$564,2,FALSE)),0)</f>
        <v>106.94</v>
      </c>
      <c r="Z322" s="108">
        <f>IF(OtherClients[[#This Row],[Re-certified or New]]&lt;&gt;"Re-certified",IF(OtherClients[[#This Row],[Client]]="infasco",VLOOKUP(OtherClients[[#This Row],[Part]],PartControl!$A$2:$E$564,2,FALSE),OtherClients[[#This Row],[Total Quantity]]*VLOOKUP(OtherClients[[#This Row],[Part]],PartControl!$A$2:$E$564,2,FALSE)),0)</f>
        <v>106.94</v>
      </c>
    </row>
    <row r="323" spans="1:26" ht="25.15" hidden="1" customHeight="1" x14ac:dyDescent="0.25">
      <c r="A323" s="112">
        <v>46240</v>
      </c>
      <c r="B323" s="5" t="s">
        <v>636</v>
      </c>
      <c r="C323" s="5">
        <v>11549168</v>
      </c>
      <c r="D323" s="5">
        <v>712005</v>
      </c>
      <c r="E323" s="33">
        <v>45</v>
      </c>
      <c r="F323" s="60">
        <v>1000</v>
      </c>
      <c r="G323" s="60">
        <f>+OtherClients[[#This Row],[Boxes / Pieces]]*OtherClients[[#This Row],[Unit Quantity]]</f>
        <v>45000</v>
      </c>
      <c r="H323" s="60">
        <v>280</v>
      </c>
      <c r="I323" s="60" t="s">
        <v>278</v>
      </c>
      <c r="J323" s="104"/>
      <c r="K323" s="33" t="s">
        <v>278</v>
      </c>
      <c r="L323" s="111"/>
      <c r="M323" s="33" t="s">
        <v>278</v>
      </c>
      <c r="N323" s="111"/>
      <c r="O323" s="33" t="s">
        <v>278</v>
      </c>
      <c r="P323" s="111"/>
      <c r="Q323" s="33" t="s">
        <v>587</v>
      </c>
      <c r="R323" s="111"/>
      <c r="S323" s="33" t="s">
        <v>278</v>
      </c>
      <c r="T323" s="111"/>
      <c r="U323" s="33" t="s">
        <v>278</v>
      </c>
      <c r="V323" s="111"/>
      <c r="W323" s="59" t="s">
        <v>548</v>
      </c>
      <c r="X323" s="33" t="str">
        <f>+VLOOKUP(OtherClients[[#This Row],[Part]],PartControl!$A$2:$E$564,5,FALSE)</f>
        <v>INFASCO</v>
      </c>
      <c r="Y323" s="108">
        <f>IF(OtherClients[[#This Row],[Re-certified or New]]&lt;&gt;"Re-certified",IF(OtherClients[[#This Row],[Client]]="infasco",VLOOKUP(OtherClients[[#This Row],[Part]],PartControl!$A$2:$E$564,2,FALSE),OtherClients[[#This Row],[Total Quantity]]*VLOOKUP(OtherClients[[#This Row],[Part]],PartControl!$A$2:$E$564,2,FALSE)),0)</f>
        <v>106.94</v>
      </c>
      <c r="Z323" s="108">
        <f>IF(OtherClients[[#This Row],[Re-certified or New]]&lt;&gt;"Re-certified",IF(OtherClients[[#This Row],[Client]]="infasco",VLOOKUP(OtherClients[[#This Row],[Part]],PartControl!$A$2:$E$564,2,FALSE),OtherClients[[#This Row],[Total Quantity]]*VLOOKUP(OtherClients[[#This Row],[Part]],PartControl!$A$2:$E$564,2,FALSE)),0)</f>
        <v>106.94</v>
      </c>
    </row>
    <row r="324" spans="1:26" ht="25.15" hidden="1" customHeight="1" x14ac:dyDescent="0.25">
      <c r="A324" s="112">
        <v>46240</v>
      </c>
      <c r="B324" s="5" t="s">
        <v>637</v>
      </c>
      <c r="C324" s="5" t="s">
        <v>873</v>
      </c>
      <c r="D324" s="5">
        <v>707097</v>
      </c>
      <c r="E324" s="33">
        <v>3</v>
      </c>
      <c r="F324" s="60">
        <v>4000</v>
      </c>
      <c r="G324" s="60">
        <f>+OtherClients[[#This Row],[Boxes / Pieces]]*OtherClients[[#This Row],[Unit Quantity]]</f>
        <v>12000</v>
      </c>
      <c r="H324" s="60">
        <v>280</v>
      </c>
      <c r="I324" s="60" t="s">
        <v>278</v>
      </c>
      <c r="J324" s="104"/>
      <c r="K324" s="33" t="s">
        <v>278</v>
      </c>
      <c r="L324" s="111"/>
      <c r="M324" s="33" t="s">
        <v>278</v>
      </c>
      <c r="N324" s="111"/>
      <c r="O324" s="33" t="s">
        <v>278</v>
      </c>
      <c r="P324" s="111"/>
      <c r="Q324" s="33" t="s">
        <v>587</v>
      </c>
      <c r="R324" s="111"/>
      <c r="S324" s="33" t="s">
        <v>278</v>
      </c>
      <c r="T324" s="111"/>
      <c r="U324" s="33" t="s">
        <v>278</v>
      </c>
      <c r="V324" s="111"/>
      <c r="W324" s="59" t="s">
        <v>548</v>
      </c>
      <c r="X324" s="33" t="e">
        <f>+VLOOKUP(OtherClients[[#This Row],[Part]],PartControl!$A$2:$E$564,5,FALSE)</f>
        <v>#N/A</v>
      </c>
      <c r="Y324" s="108" t="e">
        <f>IF(OtherClients[[#This Row],[Re-certified or New]]&lt;&gt;"Re-certified",IF(OtherClients[[#This Row],[Client]]="infasco",VLOOKUP(OtherClients[[#This Row],[Part]],PartControl!$A$2:$E$564,2,FALSE),OtherClients[[#This Row],[Total Quantity]]*VLOOKUP(OtherClients[[#This Row],[Part]],PartControl!$A$2:$E$564,2,FALSE)),0)</f>
        <v>#N/A</v>
      </c>
      <c r="Z324" s="108" t="e">
        <f>IF(OtherClients[[#This Row],[Re-certified or New]]&lt;&gt;"Re-certified",IF(OtherClients[[#This Row],[Client]]="infasco",VLOOKUP(OtherClients[[#This Row],[Part]],PartControl!$A$2:$E$564,2,FALSE),OtherClients[[#This Row],[Total Quantity]]*VLOOKUP(OtherClients[[#This Row],[Part]],PartControl!$A$2:$E$564,2,FALSE)),0)</f>
        <v>#N/A</v>
      </c>
    </row>
    <row r="325" spans="1:26" ht="25.15" hidden="1" customHeight="1" x14ac:dyDescent="0.25">
      <c r="A325" s="112">
        <v>46240</v>
      </c>
      <c r="B325" s="5" t="s">
        <v>637</v>
      </c>
      <c r="C325" s="5">
        <v>11546545</v>
      </c>
      <c r="D325" s="5">
        <v>714673</v>
      </c>
      <c r="E325" s="33">
        <v>36</v>
      </c>
      <c r="F325" s="60">
        <v>2500</v>
      </c>
      <c r="G325" s="60">
        <f>+OtherClients[[#This Row],[Boxes / Pieces]]*OtherClients[[#This Row],[Unit Quantity]]</f>
        <v>90000</v>
      </c>
      <c r="H325" s="60">
        <v>280</v>
      </c>
      <c r="I325" s="60" t="s">
        <v>278</v>
      </c>
      <c r="J325" s="104"/>
      <c r="K325" s="33" t="s">
        <v>278</v>
      </c>
      <c r="L325" s="111"/>
      <c r="M325" s="33" t="s">
        <v>278</v>
      </c>
      <c r="N325" s="111"/>
      <c r="O325" s="33" t="s">
        <v>278</v>
      </c>
      <c r="P325" s="111"/>
      <c r="Q325" s="33" t="s">
        <v>587</v>
      </c>
      <c r="R325" s="111"/>
      <c r="S325" s="33" t="s">
        <v>278</v>
      </c>
      <c r="T325" s="111"/>
      <c r="U325" s="33" t="s">
        <v>278</v>
      </c>
      <c r="V325" s="111"/>
      <c r="W325" s="59" t="s">
        <v>548</v>
      </c>
      <c r="X325" s="33" t="str">
        <f>+VLOOKUP(OtherClients[[#This Row],[Part]],PartControl!$A$2:$E$564,5,FALSE)</f>
        <v>infasco</v>
      </c>
      <c r="Y325" s="108">
        <f>IF(OtherClients[[#This Row],[Re-certified or New]]&lt;&gt;"Re-certified",IF(OtherClients[[#This Row],[Client]]="infasco",VLOOKUP(OtherClients[[#This Row],[Part]],PartControl!$A$2:$E$564,2,FALSE),OtherClients[[#This Row],[Total Quantity]]*VLOOKUP(OtherClients[[#This Row],[Part]],PartControl!$A$2:$E$564,2,FALSE)),0)</f>
        <v>106.94</v>
      </c>
      <c r="Z325" s="108">
        <f>IF(OtherClients[[#This Row],[Re-certified or New]]&lt;&gt;"Re-certified",IF(OtherClients[[#This Row],[Client]]="infasco",VLOOKUP(OtherClients[[#This Row],[Part]],PartControl!$A$2:$E$564,2,FALSE),OtherClients[[#This Row],[Total Quantity]]*VLOOKUP(OtherClients[[#This Row],[Part]],PartControl!$A$2:$E$564,2,FALSE)),0)</f>
        <v>106.94</v>
      </c>
    </row>
    <row r="326" spans="1:26" ht="25.15" hidden="1" customHeight="1" x14ac:dyDescent="0.25">
      <c r="A326" s="112">
        <v>46240</v>
      </c>
      <c r="B326" s="5" t="s">
        <v>637</v>
      </c>
      <c r="C326" s="5">
        <v>11546545</v>
      </c>
      <c r="D326" s="5">
        <v>716189</v>
      </c>
      <c r="E326" s="33">
        <v>18</v>
      </c>
      <c r="F326" s="60">
        <v>2500</v>
      </c>
      <c r="G326" s="60">
        <f>+OtherClients[[#This Row],[Boxes / Pieces]]*OtherClients[[#This Row],[Unit Quantity]]</f>
        <v>45000</v>
      </c>
      <c r="H326" s="60">
        <v>280</v>
      </c>
      <c r="I326" s="60" t="s">
        <v>278</v>
      </c>
      <c r="J326" s="104"/>
      <c r="K326" s="33" t="s">
        <v>278</v>
      </c>
      <c r="L326" s="111"/>
      <c r="M326" s="33" t="s">
        <v>278</v>
      </c>
      <c r="N326" s="111"/>
      <c r="O326" s="33" t="s">
        <v>278</v>
      </c>
      <c r="P326" s="111"/>
      <c r="Q326" s="33" t="s">
        <v>587</v>
      </c>
      <c r="R326" s="111"/>
      <c r="S326" s="33" t="s">
        <v>278</v>
      </c>
      <c r="T326" s="111"/>
      <c r="U326" s="33" t="s">
        <v>278</v>
      </c>
      <c r="V326" s="111"/>
      <c r="W326" s="59" t="s">
        <v>633</v>
      </c>
      <c r="X326" s="33" t="str">
        <f>+VLOOKUP(OtherClients[[#This Row],[Part]],PartControl!$A$2:$E$564,5,FALSE)</f>
        <v>infasco</v>
      </c>
      <c r="Y326" s="108">
        <f>IF(OtherClients[[#This Row],[Re-certified or New]]&lt;&gt;"Re-certified",IF(OtherClients[[#This Row],[Client]]="infasco",VLOOKUP(OtherClients[[#This Row],[Part]],PartControl!$A$2:$E$564,2,FALSE),OtherClients[[#This Row],[Total Quantity]]*VLOOKUP(OtherClients[[#This Row],[Part]],PartControl!$A$2:$E$564,2,FALSE)),0)</f>
        <v>0</v>
      </c>
      <c r="Z326" s="108">
        <f>IF(OtherClients[[#This Row],[Re-certified or New]]&lt;&gt;"Re-certified",IF(OtherClients[[#This Row],[Client]]="infasco",VLOOKUP(OtherClients[[#This Row],[Part]],PartControl!$A$2:$E$564,2,FALSE),OtherClients[[#This Row],[Total Quantity]]*VLOOKUP(OtherClients[[#This Row],[Part]],PartControl!$A$2:$E$564,2,FALSE)),0)</f>
        <v>0</v>
      </c>
    </row>
    <row r="327" spans="1:26" ht="25.15" hidden="1" customHeight="1" x14ac:dyDescent="0.25">
      <c r="A327" s="112">
        <v>46240</v>
      </c>
      <c r="B327" s="5" t="s">
        <v>635</v>
      </c>
      <c r="C327" s="5" t="s">
        <v>700</v>
      </c>
      <c r="D327" s="5">
        <v>714022</v>
      </c>
      <c r="E327" s="33">
        <f>36+8-36</f>
        <v>8</v>
      </c>
      <c r="F327" s="60">
        <v>1000</v>
      </c>
      <c r="G327" s="60">
        <f>+OtherClients[[#This Row],[Boxes / Pieces]]*OtherClients[[#This Row],[Unit Quantity]]</f>
        <v>8000</v>
      </c>
      <c r="H327" s="60">
        <v>280</v>
      </c>
      <c r="I327" s="60" t="s">
        <v>278</v>
      </c>
      <c r="J327" s="104"/>
      <c r="K327" s="33" t="s">
        <v>278</v>
      </c>
      <c r="L327" s="111"/>
      <c r="M327" s="33" t="s">
        <v>278</v>
      </c>
      <c r="N327" s="111"/>
      <c r="O327" s="33" t="s">
        <v>278</v>
      </c>
      <c r="P327" s="111"/>
      <c r="Q327" s="33" t="s">
        <v>587</v>
      </c>
      <c r="R327" s="111"/>
      <c r="S327" s="33" t="s">
        <v>278</v>
      </c>
      <c r="T327" s="111"/>
      <c r="U327" s="33" t="s">
        <v>278</v>
      </c>
      <c r="V327" s="111"/>
      <c r="W327" s="59" t="s">
        <v>548</v>
      </c>
      <c r="X327" s="33" t="str">
        <f>+VLOOKUP(OtherClients[[#This Row],[Part]],PartControl!$A$2:$E$564,5,FALSE)</f>
        <v>infasco</v>
      </c>
      <c r="Y327" s="108">
        <f>IF(OtherClients[[#This Row],[Re-certified or New]]&lt;&gt;"Re-certified",IF(OtherClients[[#This Row],[Client]]="infasco",VLOOKUP(OtherClients[[#This Row],[Part]],PartControl!$A$2:$E$564,2,FALSE),OtherClients[[#This Row],[Total Quantity]]*VLOOKUP(OtherClients[[#This Row],[Part]],PartControl!$A$2:$E$564,2,FALSE)),0)</f>
        <v>106.94</v>
      </c>
      <c r="Z327" s="108">
        <f>IF(OtherClients[[#This Row],[Re-certified or New]]&lt;&gt;"Re-certified",IF(OtherClients[[#This Row],[Client]]="infasco",VLOOKUP(OtherClients[[#This Row],[Part]],PartControl!$A$2:$E$564,2,FALSE),OtherClients[[#This Row],[Total Quantity]]*VLOOKUP(OtherClients[[#This Row],[Part]],PartControl!$A$2:$E$564,2,FALSE)),0)</f>
        <v>106.94</v>
      </c>
    </row>
    <row r="328" spans="1:26" ht="25.15" hidden="1" customHeight="1" x14ac:dyDescent="0.25">
      <c r="A328" s="112">
        <v>46240</v>
      </c>
      <c r="B328" s="5" t="s">
        <v>635</v>
      </c>
      <c r="C328" s="5" t="s">
        <v>730</v>
      </c>
      <c r="D328" s="5">
        <v>713717</v>
      </c>
      <c r="E328" s="33">
        <v>20</v>
      </c>
      <c r="F328" s="60">
        <v>3500</v>
      </c>
      <c r="G328" s="60">
        <f>+OtherClients[[#This Row],[Boxes / Pieces]]*OtherClients[[#This Row],[Unit Quantity]]</f>
        <v>70000</v>
      </c>
      <c r="H328" s="60">
        <v>280</v>
      </c>
      <c r="I328" s="60" t="s">
        <v>278</v>
      </c>
      <c r="J328" s="104"/>
      <c r="K328" s="33" t="s">
        <v>278</v>
      </c>
      <c r="L328" s="111"/>
      <c r="M328" s="33" t="s">
        <v>278</v>
      </c>
      <c r="N328" s="111"/>
      <c r="O328" s="33" t="s">
        <v>278</v>
      </c>
      <c r="P328" s="111"/>
      <c r="Q328" s="33" t="s">
        <v>587</v>
      </c>
      <c r="R328" s="111"/>
      <c r="S328" s="33" t="s">
        <v>278</v>
      </c>
      <c r="T328" s="111"/>
      <c r="U328" s="33" t="s">
        <v>278</v>
      </c>
      <c r="V328" s="111"/>
      <c r="W328" s="59" t="s">
        <v>633</v>
      </c>
      <c r="X328" s="33" t="str">
        <f>+VLOOKUP(OtherClients[[#This Row],[Part]],PartControl!$A$2:$E$564,5,FALSE)</f>
        <v>infasco</v>
      </c>
      <c r="Y328" s="108">
        <f>IF(OtherClients[[#This Row],[Re-certified or New]]&lt;&gt;"Re-certified",IF(OtherClients[[#This Row],[Client]]="infasco",VLOOKUP(OtherClients[[#This Row],[Part]],PartControl!$A$2:$E$564,2,FALSE),OtherClients[[#This Row],[Total Quantity]]*VLOOKUP(OtherClients[[#This Row],[Part]],PartControl!$A$2:$E$564,2,FALSE)),0)</f>
        <v>0</v>
      </c>
      <c r="Z328" s="108">
        <f>IF(OtherClients[[#This Row],[Re-certified or New]]&lt;&gt;"Re-certified",IF(OtherClients[[#This Row],[Client]]="infasco",VLOOKUP(OtherClients[[#This Row],[Part]],PartControl!$A$2:$E$564,2,FALSE),OtherClients[[#This Row],[Total Quantity]]*VLOOKUP(OtherClients[[#This Row],[Part]],PartControl!$A$2:$E$564,2,FALSE)),0)</f>
        <v>0</v>
      </c>
    </row>
    <row r="329" spans="1:26" ht="25.15" hidden="1" customHeight="1" x14ac:dyDescent="0.25">
      <c r="A329" s="112">
        <v>46240</v>
      </c>
      <c r="B329" s="5" t="s">
        <v>249</v>
      </c>
      <c r="C329" s="5">
        <v>11612078</v>
      </c>
      <c r="D329" s="5">
        <v>708875</v>
      </c>
      <c r="E329" s="33">
        <v>21</v>
      </c>
      <c r="F329" s="60">
        <v>1850</v>
      </c>
      <c r="G329" s="60">
        <f>+OtherClients[[#This Row],[Boxes / Pieces]]*OtherClients[[#This Row],[Unit Quantity]]</f>
        <v>38850</v>
      </c>
      <c r="H329" s="60">
        <v>4</v>
      </c>
      <c r="I329" s="60" t="s">
        <v>278</v>
      </c>
      <c r="J329" s="104"/>
      <c r="K329" s="33" t="s">
        <v>278</v>
      </c>
      <c r="L329" s="111"/>
      <c r="M329" s="33" t="s">
        <v>278</v>
      </c>
      <c r="N329" s="111"/>
      <c r="O329" s="33" t="s">
        <v>278</v>
      </c>
      <c r="P329" s="111"/>
      <c r="Q329" s="33" t="s">
        <v>587</v>
      </c>
      <c r="R329" s="111"/>
      <c r="S329" s="33" t="s">
        <v>278</v>
      </c>
      <c r="T329" s="111"/>
      <c r="U329" s="33" t="s">
        <v>278</v>
      </c>
      <c r="V329" s="111"/>
      <c r="W329" s="59" t="s">
        <v>548</v>
      </c>
      <c r="X329" s="33" t="str">
        <f>+VLOOKUP(OtherClients[[#This Row],[Part]],PartControl!$A$2:$E$564,5,FALSE)</f>
        <v>infasco</v>
      </c>
      <c r="Y329" s="108">
        <f>IF(OtherClients[[#This Row],[Re-certified or New]]&lt;&gt;"Re-certified",IF(OtherClients[[#This Row],[Client]]="infasco",VLOOKUP(OtherClients[[#This Row],[Part]],PartControl!$A$2:$E$564,2,FALSE),OtherClients[[#This Row],[Total Quantity]]*VLOOKUP(OtherClients[[#This Row],[Part]],PartControl!$A$2:$E$564,2,FALSE)),0)</f>
        <v>247.64</v>
      </c>
      <c r="Z329" s="108">
        <f>IF(OtherClients[[#This Row],[Re-certified or New]]&lt;&gt;"Re-certified",IF(OtherClients[[#This Row],[Client]]="infasco",VLOOKUP(OtherClients[[#This Row],[Part]],PartControl!$A$2:$E$564,2,FALSE),OtherClients[[#This Row],[Total Quantity]]*VLOOKUP(OtherClients[[#This Row],[Part]],PartControl!$A$2:$E$564,2,FALSE)),0)</f>
        <v>247.64</v>
      </c>
    </row>
    <row r="330" spans="1:26" ht="25.15" hidden="1" customHeight="1" x14ac:dyDescent="0.25">
      <c r="A330" s="112">
        <v>46240</v>
      </c>
      <c r="B330" s="5" t="s">
        <v>249</v>
      </c>
      <c r="C330" s="5">
        <v>11612078</v>
      </c>
      <c r="D330" s="5">
        <v>707327</v>
      </c>
      <c r="E330" s="33">
        <v>5</v>
      </c>
      <c r="F330" s="60">
        <v>1850</v>
      </c>
      <c r="G330" s="60">
        <f>+OtherClients[[#This Row],[Boxes / Pieces]]*OtherClients[[#This Row],[Unit Quantity]]</f>
        <v>9250</v>
      </c>
      <c r="H330" s="60">
        <v>4</v>
      </c>
      <c r="I330" s="60" t="s">
        <v>278</v>
      </c>
      <c r="J330" s="104"/>
      <c r="K330" s="33" t="s">
        <v>278</v>
      </c>
      <c r="L330" s="111"/>
      <c r="M330" s="33" t="s">
        <v>278</v>
      </c>
      <c r="N330" s="111"/>
      <c r="O330" s="33" t="s">
        <v>278</v>
      </c>
      <c r="P330" s="111"/>
      <c r="Q330" s="33" t="s">
        <v>587</v>
      </c>
      <c r="R330" s="111"/>
      <c r="S330" s="33" t="s">
        <v>278</v>
      </c>
      <c r="T330" s="111"/>
      <c r="U330" s="33" t="s">
        <v>278</v>
      </c>
      <c r="V330" s="111"/>
      <c r="W330" s="59" t="s">
        <v>633</v>
      </c>
      <c r="X330" s="33" t="str">
        <f>+VLOOKUP(OtherClients[[#This Row],[Part]],PartControl!$A$2:$E$564,5,FALSE)</f>
        <v>infasco</v>
      </c>
      <c r="Y330" s="108">
        <f>IF(OtherClients[[#This Row],[Re-certified or New]]&lt;&gt;"Re-certified",IF(OtherClients[[#This Row],[Client]]="infasco",VLOOKUP(OtherClients[[#This Row],[Part]],PartControl!$A$2:$E$564,2,FALSE),OtherClients[[#This Row],[Total Quantity]]*VLOOKUP(OtherClients[[#This Row],[Part]],PartControl!$A$2:$E$564,2,FALSE)),0)</f>
        <v>0</v>
      </c>
      <c r="Z330" s="108">
        <f>IF(OtherClients[[#This Row],[Re-certified or New]]&lt;&gt;"Re-certified",IF(OtherClients[[#This Row],[Client]]="infasco",VLOOKUP(OtherClients[[#This Row],[Part]],PartControl!$A$2:$E$564,2,FALSE),OtherClients[[#This Row],[Total Quantity]]*VLOOKUP(OtherClients[[#This Row],[Part]],PartControl!$A$2:$E$564,2,FALSE)),0)</f>
        <v>0</v>
      </c>
    </row>
    <row r="331" spans="1:26" ht="25.15" hidden="1" customHeight="1" x14ac:dyDescent="0.25">
      <c r="A331" s="112">
        <v>46240</v>
      </c>
      <c r="B331" s="5" t="s">
        <v>246</v>
      </c>
      <c r="C331" s="5" t="s">
        <v>303</v>
      </c>
      <c r="D331" s="5">
        <v>714133</v>
      </c>
      <c r="E331" s="33">
        <v>1</v>
      </c>
      <c r="F331" s="60">
        <v>41000</v>
      </c>
      <c r="G331" s="60">
        <f>+OtherClients[[#This Row],[Boxes / Pieces]]*OtherClients[[#This Row],[Unit Quantity]]</f>
        <v>41000</v>
      </c>
      <c r="H331" s="60">
        <v>272</v>
      </c>
      <c r="I331" s="60" t="s">
        <v>278</v>
      </c>
      <c r="J331" s="104"/>
      <c r="K331" s="33" t="s">
        <v>278</v>
      </c>
      <c r="L331" s="111"/>
      <c r="M331" s="33" t="s">
        <v>278</v>
      </c>
      <c r="N331" s="111"/>
      <c r="O331" s="33" t="s">
        <v>278</v>
      </c>
      <c r="P331" s="111"/>
      <c r="Q331" s="33" t="s">
        <v>587</v>
      </c>
      <c r="R331" s="111"/>
      <c r="S331" s="33" t="s">
        <v>278</v>
      </c>
      <c r="T331" s="111"/>
      <c r="U331" s="33" t="s">
        <v>278</v>
      </c>
      <c r="V331" s="111"/>
      <c r="W331" s="59" t="s">
        <v>548</v>
      </c>
      <c r="X331" s="33" t="str">
        <f>+VLOOKUP(OtherClients[[#This Row],[Part]],PartControl!$A$2:$E$564,5,FALSE)</f>
        <v>INFASCO</v>
      </c>
      <c r="Y331" s="108">
        <f>IF(OtherClients[[#This Row],[Re-certified or New]]&lt;&gt;"Re-certified",IF(OtherClients[[#This Row],[Client]]="infasco",VLOOKUP(OtherClients[[#This Row],[Part]],PartControl!$A$2:$E$564,2,FALSE),OtherClients[[#This Row],[Total Quantity]]*VLOOKUP(OtherClients[[#This Row],[Part]],PartControl!$A$2:$E$564,2,FALSE)),0)</f>
        <v>129.44999999999999</v>
      </c>
      <c r="Z331" s="108">
        <f>IF(OtherClients[[#This Row],[Re-certified or New]]&lt;&gt;"Re-certified",IF(OtherClients[[#This Row],[Client]]="infasco",VLOOKUP(OtherClients[[#This Row],[Part]],PartControl!$A$2:$E$564,2,FALSE),OtherClients[[#This Row],[Total Quantity]]*VLOOKUP(OtherClients[[#This Row],[Part]],PartControl!$A$2:$E$564,2,FALSE)),0)</f>
        <v>129.44999999999999</v>
      </c>
    </row>
    <row r="332" spans="1:26" ht="25.15" hidden="1" customHeight="1" x14ac:dyDescent="0.25">
      <c r="A332" s="112">
        <v>46240</v>
      </c>
      <c r="B332" s="5" t="s">
        <v>246</v>
      </c>
      <c r="C332" s="5" t="s">
        <v>303</v>
      </c>
      <c r="D332" s="5">
        <v>714132</v>
      </c>
      <c r="E332" s="33">
        <v>1</v>
      </c>
      <c r="F332" s="60">
        <v>38000</v>
      </c>
      <c r="G332" s="60">
        <f>+OtherClients[[#This Row],[Boxes / Pieces]]*OtherClients[[#This Row],[Unit Quantity]]</f>
        <v>38000</v>
      </c>
      <c r="H332" s="60">
        <v>272</v>
      </c>
      <c r="I332" s="60" t="s">
        <v>278</v>
      </c>
      <c r="J332" s="104"/>
      <c r="K332" s="33" t="s">
        <v>278</v>
      </c>
      <c r="L332" s="111"/>
      <c r="M332" s="33" t="s">
        <v>278</v>
      </c>
      <c r="N332" s="111"/>
      <c r="O332" s="33" t="s">
        <v>278</v>
      </c>
      <c r="P332" s="111"/>
      <c r="Q332" s="33" t="s">
        <v>587</v>
      </c>
      <c r="R332" s="111"/>
      <c r="S332" s="33" t="s">
        <v>278</v>
      </c>
      <c r="T332" s="111"/>
      <c r="U332" s="33" t="s">
        <v>278</v>
      </c>
      <c r="V332" s="111"/>
      <c r="W332" s="59" t="s">
        <v>633</v>
      </c>
      <c r="X332" s="33" t="str">
        <f>+VLOOKUP(OtherClients[[#This Row],[Part]],PartControl!$A$2:$E$564,5,FALSE)</f>
        <v>INFASCO</v>
      </c>
      <c r="Y332" s="108">
        <f>IF(OtherClients[[#This Row],[Re-certified or New]]&lt;&gt;"Re-certified",IF(OtherClients[[#This Row],[Client]]="infasco",VLOOKUP(OtherClients[[#This Row],[Part]],PartControl!$A$2:$E$564,2,FALSE),OtherClients[[#This Row],[Total Quantity]]*VLOOKUP(OtherClients[[#This Row],[Part]],PartControl!$A$2:$E$564,2,FALSE)),0)</f>
        <v>0</v>
      </c>
      <c r="Z332" s="108">
        <f>IF(OtherClients[[#This Row],[Re-certified or New]]&lt;&gt;"Re-certified",IF(OtherClients[[#This Row],[Client]]="infasco",VLOOKUP(OtherClients[[#This Row],[Part]],PartControl!$A$2:$E$564,2,FALSE),OtherClients[[#This Row],[Total Quantity]]*VLOOKUP(OtherClients[[#This Row],[Part]],PartControl!$A$2:$E$564,2,FALSE)),0)</f>
        <v>0</v>
      </c>
    </row>
    <row r="333" spans="1:26" ht="25.15" hidden="1" customHeight="1" x14ac:dyDescent="0.25">
      <c r="A333" s="112">
        <v>46240</v>
      </c>
      <c r="B333" s="5" t="s">
        <v>342</v>
      </c>
      <c r="C333" s="5" t="s">
        <v>642</v>
      </c>
      <c r="D333" s="5">
        <v>715706</v>
      </c>
      <c r="E333" s="33">
        <v>34</v>
      </c>
      <c r="F333" s="60">
        <v>2800</v>
      </c>
      <c r="G333" s="60">
        <f>+OtherClients[[#This Row],[Boxes / Pieces]]*OtherClients[[#This Row],[Unit Quantity]]</f>
        <v>95200</v>
      </c>
      <c r="H333" s="60" t="s">
        <v>811</v>
      </c>
      <c r="I333" s="60" t="s">
        <v>278</v>
      </c>
      <c r="J333" s="104"/>
      <c r="K333" s="33" t="s">
        <v>278</v>
      </c>
      <c r="L333" s="111"/>
      <c r="M333" s="33" t="s">
        <v>278</v>
      </c>
      <c r="N333" s="111"/>
      <c r="O333" s="33" t="s">
        <v>278</v>
      </c>
      <c r="P333" s="111"/>
      <c r="Q333" s="33" t="s">
        <v>587</v>
      </c>
      <c r="R333" s="111"/>
      <c r="S333" s="33" t="s">
        <v>278</v>
      </c>
      <c r="T333" s="111"/>
      <c r="U333" s="33" t="s">
        <v>278</v>
      </c>
      <c r="V333" s="111"/>
      <c r="W333" s="59" t="s">
        <v>548</v>
      </c>
      <c r="X333" s="33" t="str">
        <f>+VLOOKUP(OtherClients[[#This Row],[Part]],PartControl!$A$2:$E$564,5,FALSE)</f>
        <v>infasco</v>
      </c>
      <c r="Y333" s="108">
        <f>IF(OtherClients[[#This Row],[Re-certified or New]]&lt;&gt;"Re-certified",IF(OtherClients[[#This Row],[Client]]="infasco",VLOOKUP(OtherClients[[#This Row],[Part]],PartControl!$A$2:$E$564,2,FALSE),OtherClients[[#This Row],[Total Quantity]]*VLOOKUP(OtherClients[[#This Row],[Part]],PartControl!$A$2:$E$564,2,FALSE)),0)</f>
        <v>106.94</v>
      </c>
      <c r="Z333" s="108">
        <f>IF(OtherClients[[#This Row],[Re-certified or New]]&lt;&gt;"Re-certified",IF(OtherClients[[#This Row],[Client]]="infasco",VLOOKUP(OtherClients[[#This Row],[Part]],PartControl!$A$2:$E$564,2,FALSE),OtherClients[[#This Row],[Total Quantity]]*VLOOKUP(OtherClients[[#This Row],[Part]],PartControl!$A$2:$E$564,2,FALSE)),0)</f>
        <v>106.94</v>
      </c>
    </row>
    <row r="334" spans="1:26" ht="25.15" hidden="1" customHeight="1" x14ac:dyDescent="0.25">
      <c r="A334" s="112">
        <v>46240</v>
      </c>
      <c r="B334" s="5" t="s">
        <v>342</v>
      </c>
      <c r="C334" s="5">
        <v>11548147</v>
      </c>
      <c r="D334" s="5">
        <v>714397</v>
      </c>
      <c r="E334" s="33">
        <v>36</v>
      </c>
      <c r="F334" s="60">
        <v>250</v>
      </c>
      <c r="G334" s="60">
        <f>+OtherClients[[#This Row],[Boxes / Pieces]]*OtherClients[[#This Row],[Unit Quantity]]</f>
        <v>9000</v>
      </c>
      <c r="H334" s="60" t="s">
        <v>811</v>
      </c>
      <c r="I334" s="60" t="s">
        <v>278</v>
      </c>
      <c r="J334" s="104"/>
      <c r="K334" s="33" t="s">
        <v>278</v>
      </c>
      <c r="L334" s="111"/>
      <c r="M334" s="33" t="s">
        <v>278</v>
      </c>
      <c r="N334" s="111"/>
      <c r="O334" s="33" t="s">
        <v>278</v>
      </c>
      <c r="P334" s="111"/>
      <c r="Q334" s="33" t="s">
        <v>587</v>
      </c>
      <c r="R334" s="111"/>
      <c r="S334" s="33" t="s">
        <v>278</v>
      </c>
      <c r="T334" s="111"/>
      <c r="U334" s="33" t="s">
        <v>278</v>
      </c>
      <c r="V334" s="111"/>
      <c r="W334" s="59" t="s">
        <v>548</v>
      </c>
      <c r="X334" s="33" t="str">
        <f>+VLOOKUP(OtherClients[[#This Row],[Part]],PartControl!$A$2:$E$564,5,FALSE)</f>
        <v>infasco</v>
      </c>
      <c r="Y334" s="108">
        <f>IF(OtherClients[[#This Row],[Re-certified or New]]&lt;&gt;"Re-certified",IF(OtherClients[[#This Row],[Client]]="infasco",VLOOKUP(OtherClients[[#This Row],[Part]],PartControl!$A$2:$E$564,2,FALSE),OtherClients[[#This Row],[Total Quantity]]*VLOOKUP(OtherClients[[#This Row],[Part]],PartControl!$A$2:$E$564,2,FALSE)),0)</f>
        <v>280.15999999999997</v>
      </c>
      <c r="Z334" s="108">
        <f>IF(OtherClients[[#This Row],[Re-certified or New]]&lt;&gt;"Re-certified",IF(OtherClients[[#This Row],[Client]]="infasco",VLOOKUP(OtherClients[[#This Row],[Part]],PartControl!$A$2:$E$564,2,FALSE),OtherClients[[#This Row],[Total Quantity]]*VLOOKUP(OtherClients[[#This Row],[Part]],PartControl!$A$2:$E$564,2,FALSE)),0)</f>
        <v>280.15999999999997</v>
      </c>
    </row>
    <row r="335" spans="1:26" ht="25.15" hidden="1" customHeight="1" x14ac:dyDescent="0.25">
      <c r="A335" s="112">
        <v>46240</v>
      </c>
      <c r="B335" s="5" t="s">
        <v>342</v>
      </c>
      <c r="C335" s="5">
        <v>11548147</v>
      </c>
      <c r="D335" s="5">
        <v>714396</v>
      </c>
      <c r="E335" s="33">
        <v>9</v>
      </c>
      <c r="F335" s="60">
        <v>250</v>
      </c>
      <c r="G335" s="60">
        <f>+OtherClients[[#This Row],[Boxes / Pieces]]*OtherClients[[#This Row],[Unit Quantity]]</f>
        <v>2250</v>
      </c>
      <c r="H335" s="60" t="s">
        <v>811</v>
      </c>
      <c r="I335" s="60" t="s">
        <v>278</v>
      </c>
      <c r="J335" s="104"/>
      <c r="K335" s="33" t="s">
        <v>278</v>
      </c>
      <c r="L335" s="111"/>
      <c r="M335" s="33" t="s">
        <v>278</v>
      </c>
      <c r="N335" s="111"/>
      <c r="O335" s="33" t="s">
        <v>278</v>
      </c>
      <c r="P335" s="111"/>
      <c r="Q335" s="33" t="s">
        <v>587</v>
      </c>
      <c r="R335" s="111"/>
      <c r="S335" s="33" t="s">
        <v>278</v>
      </c>
      <c r="T335" s="111"/>
      <c r="U335" s="33" t="s">
        <v>278</v>
      </c>
      <c r="V335" s="111"/>
      <c r="W335" s="59" t="s">
        <v>548</v>
      </c>
      <c r="X335" s="33" t="str">
        <f>+VLOOKUP(OtherClients[[#This Row],[Part]],PartControl!$A$2:$E$564,5,FALSE)</f>
        <v>infasco</v>
      </c>
      <c r="Y335" s="108">
        <f>IF(OtherClients[[#This Row],[Re-certified or New]]&lt;&gt;"Re-certified",IF(OtherClients[[#This Row],[Client]]="infasco",VLOOKUP(OtherClients[[#This Row],[Part]],PartControl!$A$2:$E$564,2,FALSE),OtherClients[[#This Row],[Total Quantity]]*VLOOKUP(OtherClients[[#This Row],[Part]],PartControl!$A$2:$E$564,2,FALSE)),0)</f>
        <v>280.15999999999997</v>
      </c>
      <c r="Z335" s="108">
        <f>IF(OtherClients[[#This Row],[Re-certified or New]]&lt;&gt;"Re-certified",IF(OtherClients[[#This Row],[Client]]="infasco",VLOOKUP(OtherClients[[#This Row],[Part]],PartControl!$A$2:$E$564,2,FALSE),OtherClients[[#This Row],[Total Quantity]]*VLOOKUP(OtherClients[[#This Row],[Part]],PartControl!$A$2:$E$564,2,FALSE)),0)</f>
        <v>280.15999999999997</v>
      </c>
    </row>
    <row r="336" spans="1:26" ht="25.15" hidden="1" customHeight="1" x14ac:dyDescent="0.25">
      <c r="A336" s="112">
        <v>46240</v>
      </c>
      <c r="B336" s="5" t="s">
        <v>342</v>
      </c>
      <c r="C336" s="5" t="s">
        <v>874</v>
      </c>
      <c r="D336" s="5">
        <v>716200</v>
      </c>
      <c r="E336" s="33">
        <v>31</v>
      </c>
      <c r="F336" s="60">
        <v>2900</v>
      </c>
      <c r="G336" s="60">
        <f>+OtherClients[[#This Row],[Boxes / Pieces]]*OtherClients[[#This Row],[Unit Quantity]]</f>
        <v>89900</v>
      </c>
      <c r="H336" s="60" t="s">
        <v>811</v>
      </c>
      <c r="I336" s="60" t="s">
        <v>278</v>
      </c>
      <c r="J336" s="104"/>
      <c r="K336" s="33" t="s">
        <v>278</v>
      </c>
      <c r="L336" s="111"/>
      <c r="M336" s="33" t="s">
        <v>278</v>
      </c>
      <c r="N336" s="111"/>
      <c r="O336" s="33" t="s">
        <v>278</v>
      </c>
      <c r="P336" s="111"/>
      <c r="Q336" s="33" t="s">
        <v>587</v>
      </c>
      <c r="R336" s="111"/>
      <c r="S336" s="33" t="s">
        <v>278</v>
      </c>
      <c r="T336" s="111"/>
      <c r="U336" s="33" t="s">
        <v>278</v>
      </c>
      <c r="V336" s="111"/>
      <c r="W336" s="59" t="s">
        <v>548</v>
      </c>
      <c r="X336" s="33" t="e">
        <f>+VLOOKUP(OtherClients[[#This Row],[Part]],PartControl!$A$2:$E$564,5,FALSE)</f>
        <v>#N/A</v>
      </c>
      <c r="Y336" s="108" t="e">
        <f>IF(OtherClients[[#This Row],[Re-certified or New]]&lt;&gt;"Re-certified",IF(OtherClients[[#This Row],[Client]]="infasco",VLOOKUP(OtherClients[[#This Row],[Part]],PartControl!$A$2:$E$564,2,FALSE),OtherClients[[#This Row],[Total Quantity]]*VLOOKUP(OtherClients[[#This Row],[Part]],PartControl!$A$2:$E$564,2,FALSE)),0)</f>
        <v>#N/A</v>
      </c>
      <c r="Z336" s="108" t="e">
        <f>IF(OtherClients[[#This Row],[Re-certified or New]]&lt;&gt;"Re-certified",IF(OtherClients[[#This Row],[Client]]="infasco",VLOOKUP(OtherClients[[#This Row],[Part]],PartControl!$A$2:$E$564,2,FALSE),OtherClients[[#This Row],[Total Quantity]]*VLOOKUP(OtherClients[[#This Row],[Part]],PartControl!$A$2:$E$564,2,FALSE)),0)</f>
        <v>#N/A</v>
      </c>
    </row>
    <row r="337" spans="1:26" ht="25.15" hidden="1" customHeight="1" x14ac:dyDescent="0.25">
      <c r="A337" s="112">
        <v>46240</v>
      </c>
      <c r="B337" s="5" t="s">
        <v>342</v>
      </c>
      <c r="C337" s="5" t="s">
        <v>649</v>
      </c>
      <c r="D337" s="5">
        <v>714014</v>
      </c>
      <c r="E337" s="33">
        <v>36</v>
      </c>
      <c r="F337" s="60">
        <v>1250</v>
      </c>
      <c r="G337" s="60">
        <f>+OtherClients[[#This Row],[Boxes / Pieces]]*OtherClients[[#This Row],[Unit Quantity]]</f>
        <v>45000</v>
      </c>
      <c r="H337" s="60" t="s">
        <v>811</v>
      </c>
      <c r="I337" s="60" t="s">
        <v>278</v>
      </c>
      <c r="J337" s="104"/>
      <c r="K337" s="33" t="s">
        <v>278</v>
      </c>
      <c r="L337" s="111"/>
      <c r="M337" s="33" t="s">
        <v>278</v>
      </c>
      <c r="N337" s="111"/>
      <c r="O337" s="33" t="s">
        <v>278</v>
      </c>
      <c r="P337" s="111"/>
      <c r="Q337" s="33" t="s">
        <v>587</v>
      </c>
      <c r="R337" s="111"/>
      <c r="S337" s="33" t="s">
        <v>278</v>
      </c>
      <c r="T337" s="111"/>
      <c r="U337" s="33" t="s">
        <v>278</v>
      </c>
      <c r="V337" s="111"/>
      <c r="W337" s="59" t="s">
        <v>548</v>
      </c>
      <c r="X337" s="33" t="str">
        <f>+VLOOKUP(OtherClients[[#This Row],[Part]],PartControl!$A$2:$E$564,5,FALSE)</f>
        <v>infasco</v>
      </c>
      <c r="Y337" s="108">
        <f>IF(OtherClients[[#This Row],[Re-certified or New]]&lt;&gt;"Re-certified",IF(OtherClients[[#This Row],[Client]]="infasco",VLOOKUP(OtherClients[[#This Row],[Part]],PartControl!$A$2:$E$564,2,FALSE),OtherClients[[#This Row],[Total Quantity]]*VLOOKUP(OtherClients[[#This Row],[Part]],PartControl!$A$2:$E$564,2,FALSE)),0)</f>
        <v>135.07999999999998</v>
      </c>
      <c r="Z337" s="108">
        <f>IF(OtherClients[[#This Row],[Re-certified or New]]&lt;&gt;"Re-certified",IF(OtherClients[[#This Row],[Client]]="infasco",VLOOKUP(OtherClients[[#This Row],[Part]],PartControl!$A$2:$E$564,2,FALSE),OtherClients[[#This Row],[Total Quantity]]*VLOOKUP(OtherClients[[#This Row],[Part]],PartControl!$A$2:$E$564,2,FALSE)),0)</f>
        <v>135.07999999999998</v>
      </c>
    </row>
    <row r="338" spans="1:26" ht="25.15" hidden="1" customHeight="1" x14ac:dyDescent="0.25">
      <c r="A338" s="112">
        <v>46240</v>
      </c>
      <c r="B338" s="5" t="s">
        <v>342</v>
      </c>
      <c r="C338" s="5" t="s">
        <v>649</v>
      </c>
      <c r="D338" s="5">
        <v>714584</v>
      </c>
      <c r="E338" s="33">
        <v>27</v>
      </c>
      <c r="F338" s="60">
        <v>1250</v>
      </c>
      <c r="G338" s="60">
        <f>+OtherClients[[#This Row],[Boxes / Pieces]]*OtherClients[[#This Row],[Unit Quantity]]</f>
        <v>33750</v>
      </c>
      <c r="H338" s="60" t="s">
        <v>811</v>
      </c>
      <c r="I338" s="60" t="s">
        <v>278</v>
      </c>
      <c r="J338" s="104"/>
      <c r="K338" s="33" t="s">
        <v>278</v>
      </c>
      <c r="L338" s="111"/>
      <c r="M338" s="33" t="s">
        <v>278</v>
      </c>
      <c r="N338" s="111"/>
      <c r="O338" s="33" t="s">
        <v>278</v>
      </c>
      <c r="P338" s="111"/>
      <c r="Q338" s="33" t="s">
        <v>587</v>
      </c>
      <c r="R338" s="111"/>
      <c r="S338" s="33" t="s">
        <v>278</v>
      </c>
      <c r="T338" s="111"/>
      <c r="U338" s="33" t="s">
        <v>278</v>
      </c>
      <c r="V338" s="111"/>
      <c r="W338" s="59" t="s">
        <v>548</v>
      </c>
      <c r="X338" s="33" t="str">
        <f>+VLOOKUP(OtherClients[[#This Row],[Part]],PartControl!$A$2:$E$564,5,FALSE)</f>
        <v>infasco</v>
      </c>
      <c r="Y338" s="108">
        <f>IF(OtherClients[[#This Row],[Re-certified or New]]&lt;&gt;"Re-certified",IF(OtherClients[[#This Row],[Client]]="infasco",VLOOKUP(OtherClients[[#This Row],[Part]],PartControl!$A$2:$E$564,2,FALSE),OtherClients[[#This Row],[Total Quantity]]*VLOOKUP(OtherClients[[#This Row],[Part]],PartControl!$A$2:$E$564,2,FALSE)),0)</f>
        <v>135.07999999999998</v>
      </c>
      <c r="Z338" s="108">
        <f>IF(OtherClients[[#This Row],[Re-certified or New]]&lt;&gt;"Re-certified",IF(OtherClients[[#This Row],[Client]]="infasco",VLOOKUP(OtherClients[[#This Row],[Part]],PartControl!$A$2:$E$564,2,FALSE),OtherClients[[#This Row],[Total Quantity]]*VLOOKUP(OtherClients[[#This Row],[Part]],PartControl!$A$2:$E$564,2,FALSE)),0)</f>
        <v>135.07999999999998</v>
      </c>
    </row>
    <row r="339" spans="1:26" ht="25.15" hidden="1" customHeight="1" x14ac:dyDescent="0.25">
      <c r="A339" s="112">
        <v>46240</v>
      </c>
      <c r="B339" s="5" t="s">
        <v>342</v>
      </c>
      <c r="C339" s="5" t="s">
        <v>670</v>
      </c>
      <c r="D339" s="5">
        <v>714003</v>
      </c>
      <c r="E339" s="33">
        <v>47</v>
      </c>
      <c r="F339" s="60">
        <v>520</v>
      </c>
      <c r="G339" s="60">
        <f>+OtherClients[[#This Row],[Boxes / Pieces]]*OtherClients[[#This Row],[Unit Quantity]]</f>
        <v>24440</v>
      </c>
      <c r="H339" s="60" t="s">
        <v>811</v>
      </c>
      <c r="I339" s="60" t="s">
        <v>278</v>
      </c>
      <c r="J339" s="104"/>
      <c r="K339" s="33" t="s">
        <v>278</v>
      </c>
      <c r="L339" s="111"/>
      <c r="M339" s="33" t="s">
        <v>278</v>
      </c>
      <c r="N339" s="111"/>
      <c r="O339" s="33" t="s">
        <v>278</v>
      </c>
      <c r="P339" s="111"/>
      <c r="Q339" s="33" t="s">
        <v>587</v>
      </c>
      <c r="R339" s="111"/>
      <c r="S339" s="33" t="s">
        <v>278</v>
      </c>
      <c r="T339" s="111"/>
      <c r="U339" s="33" t="s">
        <v>278</v>
      </c>
      <c r="V339" s="111"/>
      <c r="W339" s="59" t="s">
        <v>548</v>
      </c>
      <c r="X339" s="33" t="str">
        <f>+VLOOKUP(OtherClients[[#This Row],[Part]],PartControl!$A$2:$E$564,5,FALSE)</f>
        <v>infasco</v>
      </c>
      <c r="Y339" s="108">
        <f>IF(OtherClients[[#This Row],[Re-certified or New]]&lt;&gt;"Re-certified",IF(OtherClients[[#This Row],[Client]]="infasco",VLOOKUP(OtherClients[[#This Row],[Part]],PartControl!$A$2:$E$564,2,FALSE),OtherClients[[#This Row],[Total Quantity]]*VLOOKUP(OtherClients[[#This Row],[Part]],PartControl!$A$2:$E$564,2,FALSE)),0)</f>
        <v>135.07999999999998</v>
      </c>
      <c r="Z339" s="108">
        <f>IF(OtherClients[[#This Row],[Re-certified or New]]&lt;&gt;"Re-certified",IF(OtherClients[[#This Row],[Client]]="infasco",VLOOKUP(OtherClients[[#This Row],[Part]],PartControl!$A$2:$E$564,2,FALSE),OtherClients[[#This Row],[Total Quantity]]*VLOOKUP(OtherClients[[#This Row],[Part]],PartControl!$A$2:$E$564,2,FALSE)),0)</f>
        <v>135.07999999999998</v>
      </c>
    </row>
    <row r="340" spans="1:26" ht="25.15" hidden="1" customHeight="1" x14ac:dyDescent="0.25">
      <c r="A340" s="112">
        <v>46240</v>
      </c>
      <c r="B340" s="5" t="s">
        <v>342</v>
      </c>
      <c r="C340" s="5" t="s">
        <v>649</v>
      </c>
      <c r="D340" s="5">
        <v>714582</v>
      </c>
      <c r="E340" s="33">
        <v>32</v>
      </c>
      <c r="F340" s="60">
        <v>1250</v>
      </c>
      <c r="G340" s="60">
        <f>+OtherClients[[#This Row],[Boxes / Pieces]]*OtherClients[[#This Row],[Unit Quantity]]</f>
        <v>40000</v>
      </c>
      <c r="H340" s="60" t="s">
        <v>811</v>
      </c>
      <c r="I340" s="60" t="s">
        <v>278</v>
      </c>
      <c r="J340" s="104"/>
      <c r="K340" s="33" t="s">
        <v>278</v>
      </c>
      <c r="L340" s="111"/>
      <c r="M340" s="33" t="s">
        <v>278</v>
      </c>
      <c r="N340" s="111"/>
      <c r="O340" s="33" t="s">
        <v>278</v>
      </c>
      <c r="P340" s="111"/>
      <c r="Q340" s="33" t="s">
        <v>587</v>
      </c>
      <c r="R340" s="111"/>
      <c r="S340" s="33" t="s">
        <v>278</v>
      </c>
      <c r="T340" s="111"/>
      <c r="U340" s="33" t="s">
        <v>278</v>
      </c>
      <c r="V340" s="111"/>
      <c r="W340" s="59" t="s">
        <v>548</v>
      </c>
      <c r="X340" s="33" t="str">
        <f>+VLOOKUP(OtherClients[[#This Row],[Part]],PartControl!$A$2:$E$564,5,FALSE)</f>
        <v>infasco</v>
      </c>
      <c r="Y340" s="108">
        <f>IF(OtherClients[[#This Row],[Re-certified or New]]&lt;&gt;"Re-certified",IF(OtherClients[[#This Row],[Client]]="infasco",VLOOKUP(OtherClients[[#This Row],[Part]],PartControl!$A$2:$E$564,2,FALSE),OtherClients[[#This Row],[Total Quantity]]*VLOOKUP(OtherClients[[#This Row],[Part]],PartControl!$A$2:$E$564,2,FALSE)),0)</f>
        <v>135.07999999999998</v>
      </c>
      <c r="Z340" s="108">
        <f>IF(OtherClients[[#This Row],[Re-certified or New]]&lt;&gt;"Re-certified",IF(OtherClients[[#This Row],[Client]]="infasco",VLOOKUP(OtherClients[[#This Row],[Part]],PartControl!$A$2:$E$564,2,FALSE),OtherClients[[#This Row],[Total Quantity]]*VLOOKUP(OtherClients[[#This Row],[Part]],PartControl!$A$2:$E$564,2,FALSE)),0)</f>
        <v>135.07999999999998</v>
      </c>
    </row>
    <row r="341" spans="1:26" ht="25.15" hidden="1" customHeight="1" x14ac:dyDescent="0.25">
      <c r="A341" s="112">
        <v>46240</v>
      </c>
      <c r="B341" s="5" t="s">
        <v>342</v>
      </c>
      <c r="C341" s="5">
        <v>11546566</v>
      </c>
      <c r="D341" s="5">
        <v>714435</v>
      </c>
      <c r="E341" s="33">
        <v>24</v>
      </c>
      <c r="F341" s="60">
        <v>1800</v>
      </c>
      <c r="G341" s="60">
        <f>+OtherClients[[#This Row],[Boxes / Pieces]]*OtherClients[[#This Row],[Unit Quantity]]</f>
        <v>43200</v>
      </c>
      <c r="H341" s="60" t="s">
        <v>811</v>
      </c>
      <c r="I341" s="60" t="s">
        <v>278</v>
      </c>
      <c r="J341" s="104"/>
      <c r="K341" s="33" t="s">
        <v>278</v>
      </c>
      <c r="L341" s="111"/>
      <c r="M341" s="33" t="s">
        <v>278</v>
      </c>
      <c r="N341" s="111"/>
      <c r="O341" s="33" t="s">
        <v>278</v>
      </c>
      <c r="P341" s="111"/>
      <c r="Q341" s="33" t="s">
        <v>587</v>
      </c>
      <c r="R341" s="111"/>
      <c r="S341" s="33" t="s">
        <v>278</v>
      </c>
      <c r="T341" s="111"/>
      <c r="U341" s="33" t="s">
        <v>278</v>
      </c>
      <c r="V341" s="111"/>
      <c r="W341" s="59" t="s">
        <v>548</v>
      </c>
      <c r="X341" s="33" t="str">
        <f>+VLOOKUP(OtherClients[[#This Row],[Part]],PartControl!$A$2:$E$564,5,FALSE)</f>
        <v>infasco</v>
      </c>
      <c r="Y341" s="108">
        <f>IF(OtherClients[[#This Row],[Re-certified or New]]&lt;&gt;"Re-certified",IF(OtherClients[[#This Row],[Client]]="infasco",VLOOKUP(OtherClients[[#This Row],[Part]],PartControl!$A$2:$E$564,2,FALSE),OtherClients[[#This Row],[Total Quantity]]*VLOOKUP(OtherClients[[#This Row],[Part]],PartControl!$A$2:$E$564,2,FALSE)),0)</f>
        <v>135.07999999999998</v>
      </c>
      <c r="Z341" s="108">
        <f>IF(OtherClients[[#This Row],[Re-certified or New]]&lt;&gt;"Re-certified",IF(OtherClients[[#This Row],[Client]]="infasco",VLOOKUP(OtherClients[[#This Row],[Part]],PartControl!$A$2:$E$564,2,FALSE),OtherClients[[#This Row],[Total Quantity]]*VLOOKUP(OtherClients[[#This Row],[Part]],PartControl!$A$2:$E$564,2,FALSE)),0)</f>
        <v>135.07999999999998</v>
      </c>
    </row>
    <row r="342" spans="1:26" ht="25.15" hidden="1" customHeight="1" x14ac:dyDescent="0.25">
      <c r="A342" s="112">
        <v>46240</v>
      </c>
      <c r="B342" s="5" t="s">
        <v>343</v>
      </c>
      <c r="C342" s="5" t="s">
        <v>648</v>
      </c>
      <c r="D342" s="5">
        <v>713982</v>
      </c>
      <c r="E342" s="33">
        <v>34</v>
      </c>
      <c r="F342" s="60">
        <v>3000</v>
      </c>
      <c r="G342" s="60">
        <f>+OtherClients[[#This Row],[Boxes / Pieces]]*OtherClients[[#This Row],[Unit Quantity]]</f>
        <v>102000</v>
      </c>
      <c r="H342" s="60" t="s">
        <v>757</v>
      </c>
      <c r="I342" s="60" t="s">
        <v>278</v>
      </c>
      <c r="J342" s="104"/>
      <c r="K342" s="33" t="s">
        <v>278</v>
      </c>
      <c r="L342" s="111"/>
      <c r="M342" s="33" t="s">
        <v>278</v>
      </c>
      <c r="N342" s="111"/>
      <c r="O342" s="33" t="s">
        <v>278</v>
      </c>
      <c r="P342" s="111"/>
      <c r="Q342" s="33" t="s">
        <v>587</v>
      </c>
      <c r="R342" s="111"/>
      <c r="S342" s="33" t="s">
        <v>278</v>
      </c>
      <c r="T342" s="111"/>
      <c r="U342" s="33" t="s">
        <v>278</v>
      </c>
      <c r="V342" s="111"/>
      <c r="W342" s="59" t="s">
        <v>548</v>
      </c>
      <c r="X342" s="33" t="str">
        <f>+VLOOKUP(OtherClients[[#This Row],[Part]],PartControl!$A$2:$E$564,5,FALSE)</f>
        <v>infasco</v>
      </c>
      <c r="Y342" s="108">
        <f>IF(OtherClients[[#This Row],[Re-certified or New]]&lt;&gt;"Re-certified",IF(OtherClients[[#This Row],[Client]]="infasco",VLOOKUP(OtherClients[[#This Row],[Part]],PartControl!$A$2:$E$564,2,FALSE),OtherClients[[#This Row],[Total Quantity]]*VLOOKUP(OtherClients[[#This Row],[Part]],PartControl!$A$2:$E$564,2,FALSE)),0)</f>
        <v>106.94</v>
      </c>
      <c r="Z342" s="108">
        <f>IF(OtherClients[[#This Row],[Re-certified or New]]&lt;&gt;"Re-certified",IF(OtherClients[[#This Row],[Client]]="infasco",VLOOKUP(OtherClients[[#This Row],[Part]],PartControl!$A$2:$E$564,2,FALSE),OtherClients[[#This Row],[Total Quantity]]*VLOOKUP(OtherClients[[#This Row],[Part]],PartControl!$A$2:$E$564,2,FALSE)),0)</f>
        <v>106.94</v>
      </c>
    </row>
    <row r="343" spans="1:26" ht="25.15" hidden="1" customHeight="1" x14ac:dyDescent="0.25">
      <c r="A343" s="112">
        <v>46240</v>
      </c>
      <c r="B343" s="5" t="s">
        <v>343</v>
      </c>
      <c r="C343" s="5" t="s">
        <v>646</v>
      </c>
      <c r="D343" s="5">
        <v>714561</v>
      </c>
      <c r="E343" s="33">
        <v>36</v>
      </c>
      <c r="F343" s="60">
        <v>290</v>
      </c>
      <c r="G343" s="60">
        <f>+OtherClients[[#This Row],[Boxes / Pieces]]*OtherClients[[#This Row],[Unit Quantity]]</f>
        <v>10440</v>
      </c>
      <c r="H343" s="60" t="s">
        <v>757</v>
      </c>
      <c r="I343" s="60" t="s">
        <v>278</v>
      </c>
      <c r="J343" s="104"/>
      <c r="K343" s="33" t="s">
        <v>278</v>
      </c>
      <c r="L343" s="111"/>
      <c r="M343" s="33" t="s">
        <v>278</v>
      </c>
      <c r="N343" s="111"/>
      <c r="O343" s="33" t="s">
        <v>278</v>
      </c>
      <c r="P343" s="111"/>
      <c r="Q343" s="33" t="s">
        <v>587</v>
      </c>
      <c r="R343" s="111"/>
      <c r="S343" s="33" t="s">
        <v>278</v>
      </c>
      <c r="T343" s="111"/>
      <c r="U343" s="33" t="s">
        <v>278</v>
      </c>
      <c r="V343" s="111"/>
      <c r="W343" s="59" t="s">
        <v>548</v>
      </c>
      <c r="X343" s="33" t="str">
        <f>+VLOOKUP(OtherClients[[#This Row],[Part]],PartControl!$A$2:$E$564,5,FALSE)</f>
        <v>infasco</v>
      </c>
      <c r="Y343" s="108">
        <f>IF(OtherClients[[#This Row],[Re-certified or New]]&lt;&gt;"Re-certified",IF(OtherClients[[#This Row],[Client]]="infasco",VLOOKUP(OtherClients[[#This Row],[Part]],PartControl!$A$2:$E$564,2,FALSE),OtherClients[[#This Row],[Total Quantity]]*VLOOKUP(OtherClients[[#This Row],[Part]],PartControl!$A$2:$E$564,2,FALSE)),0)</f>
        <v>106.94</v>
      </c>
      <c r="Z343" s="108">
        <f>IF(OtherClients[[#This Row],[Re-certified or New]]&lt;&gt;"Re-certified",IF(OtherClients[[#This Row],[Client]]="infasco",VLOOKUP(OtherClients[[#This Row],[Part]],PartControl!$A$2:$E$564,2,FALSE),OtherClients[[#This Row],[Total Quantity]]*VLOOKUP(OtherClients[[#This Row],[Part]],PartControl!$A$2:$E$564,2,FALSE)),0)</f>
        <v>106.94</v>
      </c>
    </row>
    <row r="344" spans="1:26" ht="25.15" hidden="1" customHeight="1" x14ac:dyDescent="0.25">
      <c r="A344" s="112">
        <v>46240</v>
      </c>
      <c r="B344" s="5" t="s">
        <v>343</v>
      </c>
      <c r="C344" s="5" t="s">
        <v>646</v>
      </c>
      <c r="D344" s="5">
        <v>713985</v>
      </c>
      <c r="E344" s="33">
        <v>8</v>
      </c>
      <c r="F344" s="60">
        <v>290</v>
      </c>
      <c r="G344" s="60">
        <f>+OtherClients[[#This Row],[Boxes / Pieces]]*OtherClients[[#This Row],[Unit Quantity]]</f>
        <v>2320</v>
      </c>
      <c r="H344" s="60" t="s">
        <v>757</v>
      </c>
      <c r="I344" s="60" t="s">
        <v>278</v>
      </c>
      <c r="J344" s="104"/>
      <c r="K344" s="33" t="s">
        <v>278</v>
      </c>
      <c r="L344" s="111"/>
      <c r="M344" s="33" t="s">
        <v>278</v>
      </c>
      <c r="N344" s="111"/>
      <c r="O344" s="33" t="s">
        <v>278</v>
      </c>
      <c r="P344" s="111"/>
      <c r="Q344" s="33" t="s">
        <v>587</v>
      </c>
      <c r="R344" s="111"/>
      <c r="S344" s="33" t="s">
        <v>278</v>
      </c>
      <c r="T344" s="111"/>
      <c r="U344" s="33" t="s">
        <v>278</v>
      </c>
      <c r="V344" s="111"/>
      <c r="W344" s="59" t="s">
        <v>548</v>
      </c>
      <c r="X344" s="33" t="str">
        <f>+VLOOKUP(OtherClients[[#This Row],[Part]],PartControl!$A$2:$E$564,5,FALSE)</f>
        <v>infasco</v>
      </c>
      <c r="Y344" s="108">
        <f>IF(OtherClients[[#This Row],[Re-certified or New]]&lt;&gt;"Re-certified",IF(OtherClients[[#This Row],[Client]]="infasco",VLOOKUP(OtherClients[[#This Row],[Part]],PartControl!$A$2:$E$564,2,FALSE),OtherClients[[#This Row],[Total Quantity]]*VLOOKUP(OtherClients[[#This Row],[Part]],PartControl!$A$2:$E$564,2,FALSE)),0)</f>
        <v>106.94</v>
      </c>
      <c r="Z344" s="108">
        <f>IF(OtherClients[[#This Row],[Re-certified or New]]&lt;&gt;"Re-certified",IF(OtherClients[[#This Row],[Client]]="infasco",VLOOKUP(OtherClients[[#This Row],[Part]],PartControl!$A$2:$E$564,2,FALSE),OtherClients[[#This Row],[Total Quantity]]*VLOOKUP(OtherClients[[#This Row],[Part]],PartControl!$A$2:$E$564,2,FALSE)),0)</f>
        <v>106.94</v>
      </c>
    </row>
    <row r="345" spans="1:26" ht="25.15" hidden="1" customHeight="1" x14ac:dyDescent="0.25">
      <c r="A345" s="112">
        <v>46240</v>
      </c>
      <c r="B345" s="5" t="s">
        <v>343</v>
      </c>
      <c r="C345" s="5" t="s">
        <v>565</v>
      </c>
      <c r="D345" s="5">
        <v>713553</v>
      </c>
      <c r="E345" s="33">
        <v>1</v>
      </c>
      <c r="F345" s="60">
        <v>20000</v>
      </c>
      <c r="G345" s="60">
        <f>+OtherClients[[#This Row],[Boxes / Pieces]]*OtherClients[[#This Row],[Unit Quantity]]</f>
        <v>20000</v>
      </c>
      <c r="H345" s="60" t="s">
        <v>757</v>
      </c>
      <c r="I345" s="60" t="s">
        <v>278</v>
      </c>
      <c r="J345" s="104"/>
      <c r="K345" s="33" t="s">
        <v>278</v>
      </c>
      <c r="L345" s="111"/>
      <c r="M345" s="33" t="s">
        <v>278</v>
      </c>
      <c r="N345" s="111"/>
      <c r="O345" s="33" t="s">
        <v>278</v>
      </c>
      <c r="P345" s="111"/>
      <c r="Q345" s="33" t="s">
        <v>587</v>
      </c>
      <c r="R345" s="111"/>
      <c r="S345" s="33" t="s">
        <v>278</v>
      </c>
      <c r="T345" s="111"/>
      <c r="U345" s="33" t="s">
        <v>278</v>
      </c>
      <c r="V345" s="111"/>
      <c r="W345" s="59" t="s">
        <v>548</v>
      </c>
      <c r="X345" s="33" t="str">
        <f>+VLOOKUP(OtherClients[[#This Row],[Part]],PartControl!$A$2:$E$564,5,FALSE)</f>
        <v>Infasco</v>
      </c>
      <c r="Y345" s="108">
        <f>IF(OtherClients[[#This Row],[Re-certified or New]]&lt;&gt;"Re-certified",IF(OtherClients[[#This Row],[Client]]="infasco",VLOOKUP(OtherClients[[#This Row],[Part]],PartControl!$A$2:$E$564,2,FALSE),OtherClients[[#This Row],[Total Quantity]]*VLOOKUP(OtherClients[[#This Row],[Part]],PartControl!$A$2:$E$564,2,FALSE)),0)</f>
        <v>106.94</v>
      </c>
      <c r="Z345" s="108">
        <f>IF(OtherClients[[#This Row],[Re-certified or New]]&lt;&gt;"Re-certified",IF(OtherClients[[#This Row],[Client]]="infasco",VLOOKUP(OtherClients[[#This Row],[Part]],PartControl!$A$2:$E$564,2,FALSE),OtherClients[[#This Row],[Total Quantity]]*VLOOKUP(OtherClients[[#This Row],[Part]],PartControl!$A$2:$E$564,2,FALSE)),0)</f>
        <v>106.94</v>
      </c>
    </row>
    <row r="346" spans="1:26" ht="25.15" hidden="1" customHeight="1" x14ac:dyDescent="0.25">
      <c r="A346" s="112">
        <v>46240</v>
      </c>
      <c r="B346" s="5" t="s">
        <v>343</v>
      </c>
      <c r="C346" s="5">
        <v>92468</v>
      </c>
      <c r="D346" s="5">
        <v>714431</v>
      </c>
      <c r="E346" s="33">
        <v>25</v>
      </c>
      <c r="F346" s="60">
        <v>1000</v>
      </c>
      <c r="G346" s="60">
        <f>+OtherClients[[#This Row],[Boxes / Pieces]]*OtherClients[[#This Row],[Unit Quantity]]</f>
        <v>25000</v>
      </c>
      <c r="H346" s="60" t="s">
        <v>757</v>
      </c>
      <c r="I346" s="60" t="s">
        <v>278</v>
      </c>
      <c r="J346" s="104"/>
      <c r="K346" s="33" t="s">
        <v>278</v>
      </c>
      <c r="L346" s="111"/>
      <c r="M346" s="33" t="s">
        <v>278</v>
      </c>
      <c r="N346" s="111"/>
      <c r="O346" s="33" t="s">
        <v>278</v>
      </c>
      <c r="P346" s="111"/>
      <c r="Q346" s="33" t="s">
        <v>587</v>
      </c>
      <c r="R346" s="111"/>
      <c r="S346" s="33" t="s">
        <v>278</v>
      </c>
      <c r="T346" s="111"/>
      <c r="U346" s="33" t="s">
        <v>278</v>
      </c>
      <c r="V346" s="111"/>
      <c r="W346" s="59" t="s">
        <v>548</v>
      </c>
      <c r="X346" s="33" t="str">
        <f>+VLOOKUP(OtherClients[[#This Row],[Part]],PartControl!$A$2:$E$564,5,FALSE)</f>
        <v>INFASCO</v>
      </c>
      <c r="Y346" s="108">
        <f>IF(OtherClients[[#This Row],[Re-certified or New]]&lt;&gt;"Re-certified",IF(OtherClients[[#This Row],[Client]]="infasco",VLOOKUP(OtherClients[[#This Row],[Part]],PartControl!$A$2:$E$564,2,FALSE),OtherClients[[#This Row],[Total Quantity]]*VLOOKUP(OtherClients[[#This Row],[Part]],PartControl!$A$2:$E$564,2,FALSE)),0)</f>
        <v>135.07999999999998</v>
      </c>
      <c r="Z346" s="108">
        <f>IF(OtherClients[[#This Row],[Re-certified or New]]&lt;&gt;"Re-certified",IF(OtherClients[[#This Row],[Client]]="infasco",VLOOKUP(OtherClients[[#This Row],[Part]],PartControl!$A$2:$E$564,2,FALSE),OtherClients[[#This Row],[Total Quantity]]*VLOOKUP(OtherClients[[#This Row],[Part]],PartControl!$A$2:$E$564,2,FALSE)),0)</f>
        <v>135.07999999999998</v>
      </c>
    </row>
    <row r="347" spans="1:26" ht="25.15" hidden="1" customHeight="1" x14ac:dyDescent="0.25">
      <c r="A347" s="112">
        <v>46240</v>
      </c>
      <c r="B347" s="5" t="s">
        <v>343</v>
      </c>
      <c r="C347" s="5" t="s">
        <v>642</v>
      </c>
      <c r="D347" s="5">
        <v>715707</v>
      </c>
      <c r="E347" s="33">
        <v>35</v>
      </c>
      <c r="F347" s="60">
        <v>2800</v>
      </c>
      <c r="G347" s="60">
        <f>+OtherClients[[#This Row],[Boxes / Pieces]]*OtherClients[[#This Row],[Unit Quantity]]</f>
        <v>98000</v>
      </c>
      <c r="H347" s="60" t="s">
        <v>757</v>
      </c>
      <c r="I347" s="60" t="s">
        <v>278</v>
      </c>
      <c r="J347" s="104"/>
      <c r="K347" s="33" t="s">
        <v>278</v>
      </c>
      <c r="L347" s="111"/>
      <c r="M347" s="33" t="s">
        <v>278</v>
      </c>
      <c r="N347" s="111"/>
      <c r="O347" s="33" t="s">
        <v>278</v>
      </c>
      <c r="P347" s="111"/>
      <c r="Q347" s="33" t="s">
        <v>587</v>
      </c>
      <c r="R347" s="111"/>
      <c r="S347" s="33" t="s">
        <v>278</v>
      </c>
      <c r="T347" s="111"/>
      <c r="U347" s="33" t="s">
        <v>278</v>
      </c>
      <c r="V347" s="111"/>
      <c r="W347" s="59" t="s">
        <v>548</v>
      </c>
      <c r="X347" s="33" t="str">
        <f>+VLOOKUP(OtherClients[[#This Row],[Part]],PartControl!$A$2:$E$564,5,FALSE)</f>
        <v>infasco</v>
      </c>
      <c r="Y347" s="108">
        <f>IF(OtherClients[[#This Row],[Re-certified or New]]&lt;&gt;"Re-certified",IF(OtherClients[[#This Row],[Client]]="infasco",VLOOKUP(OtherClients[[#This Row],[Part]],PartControl!$A$2:$E$564,2,FALSE),OtherClients[[#This Row],[Total Quantity]]*VLOOKUP(OtherClients[[#This Row],[Part]],PartControl!$A$2:$E$564,2,FALSE)),0)</f>
        <v>106.94</v>
      </c>
      <c r="Z347" s="108">
        <f>IF(OtherClients[[#This Row],[Re-certified or New]]&lt;&gt;"Re-certified",IF(OtherClients[[#This Row],[Client]]="infasco",VLOOKUP(OtherClients[[#This Row],[Part]],PartControl!$A$2:$E$564,2,FALSE),OtherClients[[#This Row],[Total Quantity]]*VLOOKUP(OtherClients[[#This Row],[Part]],PartControl!$A$2:$E$564,2,FALSE)),0)</f>
        <v>106.94</v>
      </c>
    </row>
    <row r="348" spans="1:26" ht="25.15" hidden="1" customHeight="1" x14ac:dyDescent="0.25">
      <c r="A348" s="112">
        <v>46240</v>
      </c>
      <c r="B348" s="5" t="s">
        <v>343</v>
      </c>
      <c r="C348" s="5" t="s">
        <v>306</v>
      </c>
      <c r="D348" s="5">
        <v>715666</v>
      </c>
      <c r="E348" s="33">
        <v>1</v>
      </c>
      <c r="F348" s="60">
        <v>35000</v>
      </c>
      <c r="G348" s="60">
        <f>+OtherClients[[#This Row],[Boxes / Pieces]]*OtherClients[[#This Row],[Unit Quantity]]</f>
        <v>35000</v>
      </c>
      <c r="H348" s="60" t="s">
        <v>757</v>
      </c>
      <c r="I348" s="60" t="s">
        <v>278</v>
      </c>
      <c r="J348" s="104"/>
      <c r="K348" s="33" t="s">
        <v>278</v>
      </c>
      <c r="L348" s="111"/>
      <c r="M348" s="33" t="s">
        <v>278</v>
      </c>
      <c r="N348" s="111"/>
      <c r="O348" s="33" t="s">
        <v>278</v>
      </c>
      <c r="P348" s="111"/>
      <c r="Q348" s="33" t="s">
        <v>587</v>
      </c>
      <c r="R348" s="111"/>
      <c r="S348" s="33" t="s">
        <v>278</v>
      </c>
      <c r="T348" s="111"/>
      <c r="U348" s="33" t="s">
        <v>278</v>
      </c>
      <c r="V348" s="111"/>
      <c r="W348" s="59" t="s">
        <v>548</v>
      </c>
      <c r="X348" s="33" t="str">
        <f>+VLOOKUP(OtherClients[[#This Row],[Part]],PartControl!$A$2:$E$564,5,FALSE)</f>
        <v>INFASCO</v>
      </c>
      <c r="Y348" s="108">
        <f>IF(OtherClients[[#This Row],[Re-certified or New]]&lt;&gt;"Re-certified",IF(OtherClients[[#This Row],[Client]]="infasco",VLOOKUP(OtherClients[[#This Row],[Part]],PartControl!$A$2:$E$564,2,FALSE),OtherClients[[#This Row],[Total Quantity]]*VLOOKUP(OtherClients[[#This Row],[Part]],PartControl!$A$2:$E$564,2,FALSE)),0)</f>
        <v>129.44999999999999</v>
      </c>
      <c r="Z348" s="108">
        <f>IF(OtherClients[[#This Row],[Re-certified or New]]&lt;&gt;"Re-certified",IF(OtherClients[[#This Row],[Client]]="infasco",VLOOKUP(OtherClients[[#This Row],[Part]],PartControl!$A$2:$E$564,2,FALSE),OtherClients[[#This Row],[Total Quantity]]*VLOOKUP(OtherClients[[#This Row],[Part]],PartControl!$A$2:$E$564,2,FALSE)),0)</f>
        <v>129.44999999999999</v>
      </c>
    </row>
    <row r="349" spans="1:26" ht="25.15" hidden="1" customHeight="1" x14ac:dyDescent="0.25">
      <c r="A349" s="112">
        <v>46240</v>
      </c>
      <c r="B349" s="5" t="s">
        <v>344</v>
      </c>
      <c r="C349" s="5" t="s">
        <v>732</v>
      </c>
      <c r="D349" s="5">
        <v>710688</v>
      </c>
      <c r="E349" s="33">
        <f>36+7-11</f>
        <v>32</v>
      </c>
      <c r="F349" s="60">
        <v>1000</v>
      </c>
      <c r="G349" s="60">
        <f>+OtherClients[[#This Row],[Boxes / Pieces]]*OtherClients[[#This Row],[Unit Quantity]]</f>
        <v>32000</v>
      </c>
      <c r="H349" s="60" t="s">
        <v>816</v>
      </c>
      <c r="I349" s="60" t="s">
        <v>278</v>
      </c>
      <c r="J349" s="104"/>
      <c r="K349" s="33" t="s">
        <v>278</v>
      </c>
      <c r="L349" s="111"/>
      <c r="M349" s="33" t="s">
        <v>278</v>
      </c>
      <c r="N349" s="111"/>
      <c r="O349" s="33" t="s">
        <v>278</v>
      </c>
      <c r="P349" s="111"/>
      <c r="Q349" s="33" t="s">
        <v>587</v>
      </c>
      <c r="R349" s="111"/>
      <c r="S349" s="33" t="s">
        <v>278</v>
      </c>
      <c r="T349" s="111"/>
      <c r="U349" s="33" t="s">
        <v>278</v>
      </c>
      <c r="V349" s="111"/>
      <c r="W349" s="59" t="s">
        <v>548</v>
      </c>
      <c r="X349" s="33" t="str">
        <f>+VLOOKUP(OtherClients[[#This Row],[Part]],PartControl!$A$2:$E$564,5,FALSE)</f>
        <v>infasco</v>
      </c>
      <c r="Y349" s="108">
        <f>IF(OtherClients[[#This Row],[Re-certified or New]]&lt;&gt;"Re-certified",IF(OtherClients[[#This Row],[Client]]="infasco",VLOOKUP(OtherClients[[#This Row],[Part]],PartControl!$A$2:$E$564,2,FALSE),OtherClients[[#This Row],[Total Quantity]]*VLOOKUP(OtherClients[[#This Row],[Part]],PartControl!$A$2:$E$564,2,FALSE)),0)</f>
        <v>213.88</v>
      </c>
      <c r="Z349" s="108">
        <f>IF(OtherClients[[#This Row],[Re-certified or New]]&lt;&gt;"Re-certified",IF(OtherClients[[#This Row],[Client]]="infasco",VLOOKUP(OtherClients[[#This Row],[Part]],PartControl!$A$2:$E$564,2,FALSE),OtherClients[[#This Row],[Total Quantity]]*VLOOKUP(OtherClients[[#This Row],[Part]],PartControl!$A$2:$E$564,2,FALSE)),0)</f>
        <v>213.88</v>
      </c>
    </row>
    <row r="350" spans="1:26" ht="25.15" hidden="1" customHeight="1" x14ac:dyDescent="0.25">
      <c r="A350" s="112">
        <v>46240</v>
      </c>
      <c r="B350" s="5" t="s">
        <v>344</v>
      </c>
      <c r="C350" s="5" t="s">
        <v>649</v>
      </c>
      <c r="D350" s="5">
        <v>714586</v>
      </c>
      <c r="E350" s="33">
        <v>30</v>
      </c>
      <c r="F350" s="60">
        <v>1250</v>
      </c>
      <c r="G350" s="60">
        <f>+OtherClients[[#This Row],[Boxes / Pieces]]*OtherClients[[#This Row],[Unit Quantity]]</f>
        <v>37500</v>
      </c>
      <c r="H350" s="60" t="s">
        <v>816</v>
      </c>
      <c r="I350" s="60" t="s">
        <v>278</v>
      </c>
      <c r="J350" s="104"/>
      <c r="K350" s="33" t="s">
        <v>278</v>
      </c>
      <c r="L350" s="111"/>
      <c r="M350" s="33" t="s">
        <v>278</v>
      </c>
      <c r="N350" s="111"/>
      <c r="O350" s="33" t="s">
        <v>278</v>
      </c>
      <c r="P350" s="111"/>
      <c r="Q350" s="33" t="s">
        <v>587</v>
      </c>
      <c r="R350" s="111"/>
      <c r="S350" s="33" t="s">
        <v>278</v>
      </c>
      <c r="T350" s="111"/>
      <c r="U350" s="33" t="s">
        <v>278</v>
      </c>
      <c r="V350" s="111"/>
      <c r="W350" s="59" t="s">
        <v>548</v>
      </c>
      <c r="X350" s="33" t="str">
        <f>+VLOOKUP(OtherClients[[#This Row],[Part]],PartControl!$A$2:$E$564,5,FALSE)</f>
        <v>infasco</v>
      </c>
      <c r="Y350" s="108">
        <f>IF(OtherClients[[#This Row],[Re-certified or New]]&lt;&gt;"Re-certified",IF(OtherClients[[#This Row],[Client]]="infasco",VLOOKUP(OtherClients[[#This Row],[Part]],PartControl!$A$2:$E$564,2,FALSE),OtherClients[[#This Row],[Total Quantity]]*VLOOKUP(OtherClients[[#This Row],[Part]],PartControl!$A$2:$E$564,2,FALSE)),0)</f>
        <v>135.07999999999998</v>
      </c>
      <c r="Z350" s="108">
        <f>IF(OtherClients[[#This Row],[Re-certified or New]]&lt;&gt;"Re-certified",IF(OtherClients[[#This Row],[Client]]="infasco",VLOOKUP(OtherClients[[#This Row],[Part]],PartControl!$A$2:$E$564,2,FALSE),OtherClients[[#This Row],[Total Quantity]]*VLOOKUP(OtherClients[[#This Row],[Part]],PartControl!$A$2:$E$564,2,FALSE)),0)</f>
        <v>135.07999999999998</v>
      </c>
    </row>
    <row r="351" spans="1:26" ht="25.15" hidden="1" customHeight="1" x14ac:dyDescent="0.25">
      <c r="A351" s="112">
        <v>46240</v>
      </c>
      <c r="B351" s="5" t="s">
        <v>344</v>
      </c>
      <c r="C351" s="5" t="s">
        <v>645</v>
      </c>
      <c r="D351" s="5">
        <v>715862</v>
      </c>
      <c r="E351" s="33">
        <v>8</v>
      </c>
      <c r="F351" s="60">
        <v>1000</v>
      </c>
      <c r="G351" s="60">
        <f>+OtherClients[[#This Row],[Boxes / Pieces]]*OtherClients[[#This Row],[Unit Quantity]]</f>
        <v>8000</v>
      </c>
      <c r="H351" s="60" t="s">
        <v>816</v>
      </c>
      <c r="I351" s="60" t="s">
        <v>278</v>
      </c>
      <c r="J351" s="104"/>
      <c r="K351" s="33" t="s">
        <v>278</v>
      </c>
      <c r="L351" s="111"/>
      <c r="M351" s="33" t="s">
        <v>278</v>
      </c>
      <c r="N351" s="111"/>
      <c r="O351" s="33" t="s">
        <v>278</v>
      </c>
      <c r="P351" s="111"/>
      <c r="Q351" s="33" t="s">
        <v>587</v>
      </c>
      <c r="R351" s="111"/>
      <c r="S351" s="33" t="s">
        <v>278</v>
      </c>
      <c r="T351" s="111"/>
      <c r="U351" s="33" t="s">
        <v>278</v>
      </c>
      <c r="V351" s="111"/>
      <c r="W351" s="59" t="s">
        <v>548</v>
      </c>
      <c r="X351" s="33" t="str">
        <f>+VLOOKUP(OtherClients[[#This Row],[Part]],PartControl!$A$2:$E$564,5,FALSE)</f>
        <v>infasco</v>
      </c>
      <c r="Y351" s="108">
        <f>IF(OtherClients[[#This Row],[Re-certified or New]]&lt;&gt;"Re-certified",IF(OtherClients[[#This Row],[Client]]="infasco",VLOOKUP(OtherClients[[#This Row],[Part]],PartControl!$A$2:$E$564,2,FALSE),OtherClients[[#This Row],[Total Quantity]]*VLOOKUP(OtherClients[[#This Row],[Part]],PartControl!$A$2:$E$564,2,FALSE)),0)</f>
        <v>106.94</v>
      </c>
      <c r="Z351" s="108">
        <f>IF(OtherClients[[#This Row],[Re-certified or New]]&lt;&gt;"Re-certified",IF(OtherClients[[#This Row],[Client]]="infasco",VLOOKUP(OtherClients[[#This Row],[Part]],PartControl!$A$2:$E$564,2,FALSE),OtherClients[[#This Row],[Total Quantity]]*VLOOKUP(OtherClients[[#This Row],[Part]],PartControl!$A$2:$E$564,2,FALSE)),0)</f>
        <v>106.94</v>
      </c>
    </row>
    <row r="352" spans="1:26" ht="25.15" hidden="1" customHeight="1" x14ac:dyDescent="0.25">
      <c r="A352" s="112">
        <v>46240</v>
      </c>
      <c r="B352" s="5" t="s">
        <v>344</v>
      </c>
      <c r="C352" s="5" t="s">
        <v>642</v>
      </c>
      <c r="D352" s="5">
        <v>715709</v>
      </c>
      <c r="E352" s="33">
        <v>36</v>
      </c>
      <c r="F352" s="60">
        <v>2800</v>
      </c>
      <c r="G352" s="60">
        <f>+OtherClients[[#This Row],[Boxes / Pieces]]*OtherClients[[#This Row],[Unit Quantity]]</f>
        <v>100800</v>
      </c>
      <c r="H352" s="60" t="s">
        <v>816</v>
      </c>
      <c r="I352" s="60" t="s">
        <v>278</v>
      </c>
      <c r="J352" s="104"/>
      <c r="K352" s="33" t="s">
        <v>278</v>
      </c>
      <c r="L352" s="111"/>
      <c r="M352" s="33" t="s">
        <v>278</v>
      </c>
      <c r="N352" s="111"/>
      <c r="O352" s="33" t="s">
        <v>278</v>
      </c>
      <c r="P352" s="111"/>
      <c r="Q352" s="33" t="s">
        <v>587</v>
      </c>
      <c r="R352" s="111"/>
      <c r="S352" s="33" t="s">
        <v>278</v>
      </c>
      <c r="T352" s="111"/>
      <c r="U352" s="33" t="s">
        <v>278</v>
      </c>
      <c r="V352" s="111"/>
      <c r="W352" s="59" t="s">
        <v>548</v>
      </c>
      <c r="X352" s="33" t="str">
        <f>+VLOOKUP(OtherClients[[#This Row],[Part]],PartControl!$A$2:$E$564,5,FALSE)</f>
        <v>infasco</v>
      </c>
      <c r="Y352" s="108">
        <f>IF(OtherClients[[#This Row],[Re-certified or New]]&lt;&gt;"Re-certified",IF(OtherClients[[#This Row],[Client]]="infasco",VLOOKUP(OtherClients[[#This Row],[Part]],PartControl!$A$2:$E$564,2,FALSE),OtherClients[[#This Row],[Total Quantity]]*VLOOKUP(OtherClients[[#This Row],[Part]],PartControl!$A$2:$E$564,2,FALSE)),0)</f>
        <v>106.94</v>
      </c>
      <c r="Z352" s="108">
        <f>IF(OtherClients[[#This Row],[Re-certified or New]]&lt;&gt;"Re-certified",IF(OtherClients[[#This Row],[Client]]="infasco",VLOOKUP(OtherClients[[#This Row],[Part]],PartControl!$A$2:$E$564,2,FALSE),OtherClients[[#This Row],[Total Quantity]]*VLOOKUP(OtherClients[[#This Row],[Part]],PartControl!$A$2:$E$564,2,FALSE)),0)</f>
        <v>106.94</v>
      </c>
    </row>
    <row r="353" spans="1:26" ht="25.15" hidden="1" customHeight="1" x14ac:dyDescent="0.25">
      <c r="A353" s="112">
        <v>46240</v>
      </c>
      <c r="B353" s="5" t="s">
        <v>344</v>
      </c>
      <c r="C353" s="5" t="s">
        <v>306</v>
      </c>
      <c r="D353" s="5">
        <v>715712</v>
      </c>
      <c r="E353" s="33">
        <v>1</v>
      </c>
      <c r="F353" s="60">
        <v>42900</v>
      </c>
      <c r="G353" s="60">
        <f>+OtherClients[[#This Row],[Boxes / Pieces]]*OtherClients[[#This Row],[Unit Quantity]]</f>
        <v>42900</v>
      </c>
      <c r="H353" s="60" t="s">
        <v>816</v>
      </c>
      <c r="I353" s="60" t="s">
        <v>278</v>
      </c>
      <c r="J353" s="104"/>
      <c r="K353" s="33" t="s">
        <v>278</v>
      </c>
      <c r="L353" s="111"/>
      <c r="M353" s="33" t="s">
        <v>278</v>
      </c>
      <c r="N353" s="111"/>
      <c r="O353" s="33" t="s">
        <v>278</v>
      </c>
      <c r="P353" s="111"/>
      <c r="Q353" s="33" t="s">
        <v>587</v>
      </c>
      <c r="R353" s="111"/>
      <c r="S353" s="33" t="s">
        <v>278</v>
      </c>
      <c r="T353" s="111"/>
      <c r="U353" s="33" t="s">
        <v>278</v>
      </c>
      <c r="V353" s="111"/>
      <c r="W353" s="59" t="s">
        <v>548</v>
      </c>
      <c r="X353" s="33" t="str">
        <f>+VLOOKUP(OtherClients[[#This Row],[Part]],PartControl!$A$2:$E$564,5,FALSE)</f>
        <v>INFASCO</v>
      </c>
      <c r="Y353" s="108">
        <f>IF(OtherClients[[#This Row],[Re-certified or New]]&lt;&gt;"Re-certified",IF(OtherClients[[#This Row],[Client]]="infasco",VLOOKUP(OtherClients[[#This Row],[Part]],PartControl!$A$2:$E$564,2,FALSE),OtherClients[[#This Row],[Total Quantity]]*VLOOKUP(OtherClients[[#This Row],[Part]],PartControl!$A$2:$E$564,2,FALSE)),0)</f>
        <v>129.44999999999999</v>
      </c>
      <c r="Z353" s="108">
        <f>IF(OtherClients[[#This Row],[Re-certified or New]]&lt;&gt;"Re-certified",IF(OtherClients[[#This Row],[Client]]="infasco",VLOOKUP(OtherClients[[#This Row],[Part]],PartControl!$A$2:$E$564,2,FALSE),OtherClients[[#This Row],[Total Quantity]]*VLOOKUP(OtherClients[[#This Row],[Part]],PartControl!$A$2:$E$564,2,FALSE)),0)</f>
        <v>129.44999999999999</v>
      </c>
    </row>
    <row r="354" spans="1:26" ht="25.15" hidden="1" customHeight="1" x14ac:dyDescent="0.25">
      <c r="A354" s="112">
        <v>46240</v>
      </c>
      <c r="B354" s="5" t="s">
        <v>344</v>
      </c>
      <c r="C354" s="5" t="s">
        <v>306</v>
      </c>
      <c r="D354" s="5">
        <v>715838</v>
      </c>
      <c r="E354" s="33">
        <v>1</v>
      </c>
      <c r="F354" s="60">
        <f>15*1000</f>
        <v>15000</v>
      </c>
      <c r="G354" s="60">
        <f>+OtherClients[[#This Row],[Boxes / Pieces]]*OtherClients[[#This Row],[Unit Quantity]]</f>
        <v>15000</v>
      </c>
      <c r="H354" s="60" t="s">
        <v>816</v>
      </c>
      <c r="I354" s="60" t="s">
        <v>278</v>
      </c>
      <c r="J354" s="104"/>
      <c r="K354" s="33" t="s">
        <v>278</v>
      </c>
      <c r="L354" s="111"/>
      <c r="M354" s="33" t="s">
        <v>278</v>
      </c>
      <c r="N354" s="111"/>
      <c r="O354" s="33" t="s">
        <v>278</v>
      </c>
      <c r="P354" s="111"/>
      <c r="Q354" s="33" t="s">
        <v>587</v>
      </c>
      <c r="R354" s="111"/>
      <c r="S354" s="33" t="s">
        <v>278</v>
      </c>
      <c r="T354" s="111"/>
      <c r="U354" s="33" t="s">
        <v>278</v>
      </c>
      <c r="V354" s="111"/>
      <c r="W354" s="59" t="s">
        <v>633</v>
      </c>
      <c r="X354" s="33" t="str">
        <f>+VLOOKUP(OtherClients[[#This Row],[Part]],PartControl!$A$2:$E$564,5,FALSE)</f>
        <v>INFASCO</v>
      </c>
      <c r="Y354" s="108">
        <f>IF(OtherClients[[#This Row],[Re-certified or New]]&lt;&gt;"Re-certified",IF(OtherClients[[#This Row],[Client]]="infasco",VLOOKUP(OtherClients[[#This Row],[Part]],PartControl!$A$2:$E$564,2,FALSE),OtherClients[[#This Row],[Total Quantity]]*VLOOKUP(OtherClients[[#This Row],[Part]],PartControl!$A$2:$E$564,2,FALSE)),0)</f>
        <v>0</v>
      </c>
      <c r="Z354" s="108">
        <f>IF(OtherClients[[#This Row],[Re-certified or New]]&lt;&gt;"Re-certified",IF(OtherClients[[#This Row],[Client]]="infasco",VLOOKUP(OtherClients[[#This Row],[Part]],PartControl!$A$2:$E$564,2,FALSE),OtherClients[[#This Row],[Total Quantity]]*VLOOKUP(OtherClients[[#This Row],[Part]],PartControl!$A$2:$E$564,2,FALSE)),0)</f>
        <v>0</v>
      </c>
    </row>
    <row r="355" spans="1:26" ht="25.15" hidden="1" customHeight="1" x14ac:dyDescent="0.25">
      <c r="A355" s="112">
        <v>46240</v>
      </c>
      <c r="B355" s="5" t="s">
        <v>345</v>
      </c>
      <c r="C355" s="5" t="s">
        <v>648</v>
      </c>
      <c r="D355" s="5">
        <v>713983</v>
      </c>
      <c r="E355" s="33">
        <v>32</v>
      </c>
      <c r="F355" s="60">
        <v>3000</v>
      </c>
      <c r="G355" s="60">
        <f>+OtherClients[[#This Row],[Boxes / Pieces]]*OtherClients[[#This Row],[Unit Quantity]]</f>
        <v>96000</v>
      </c>
      <c r="H355" s="60" t="s">
        <v>849</v>
      </c>
      <c r="I355" s="60" t="s">
        <v>278</v>
      </c>
      <c r="J355" s="104"/>
      <c r="K355" s="33" t="s">
        <v>278</v>
      </c>
      <c r="L355" s="111"/>
      <c r="M355" s="33" t="s">
        <v>278</v>
      </c>
      <c r="N355" s="111"/>
      <c r="O355" s="33" t="s">
        <v>278</v>
      </c>
      <c r="P355" s="111"/>
      <c r="Q355" s="33" t="s">
        <v>587</v>
      </c>
      <c r="R355" s="111"/>
      <c r="S355" s="33" t="s">
        <v>278</v>
      </c>
      <c r="T355" s="111"/>
      <c r="U355" s="33" t="s">
        <v>278</v>
      </c>
      <c r="V355" s="111"/>
      <c r="W355" s="59" t="s">
        <v>548</v>
      </c>
      <c r="X355" s="33" t="str">
        <f>+VLOOKUP(OtherClients[[#This Row],[Part]],PartControl!$A$2:$E$564,5,FALSE)</f>
        <v>infasco</v>
      </c>
      <c r="Y355" s="108">
        <f>IF(OtherClients[[#This Row],[Re-certified or New]]&lt;&gt;"Re-certified",IF(OtherClients[[#This Row],[Client]]="infasco",VLOOKUP(OtherClients[[#This Row],[Part]],PartControl!$A$2:$E$564,2,FALSE),OtherClients[[#This Row],[Total Quantity]]*VLOOKUP(OtherClients[[#This Row],[Part]],PartControl!$A$2:$E$564,2,FALSE)),0)</f>
        <v>106.94</v>
      </c>
      <c r="Z355" s="108">
        <f>IF(OtherClients[[#This Row],[Re-certified or New]]&lt;&gt;"Re-certified",IF(OtherClients[[#This Row],[Client]]="infasco",VLOOKUP(OtherClients[[#This Row],[Part]],PartControl!$A$2:$E$564,2,FALSE),OtherClients[[#This Row],[Total Quantity]]*VLOOKUP(OtherClients[[#This Row],[Part]],PartControl!$A$2:$E$564,2,FALSE)),0)</f>
        <v>106.94</v>
      </c>
    </row>
    <row r="356" spans="1:26" ht="25.15" hidden="1" customHeight="1" x14ac:dyDescent="0.25">
      <c r="A356" s="112">
        <v>46240</v>
      </c>
      <c r="B356" s="5" t="s">
        <v>345</v>
      </c>
      <c r="C356" s="5" t="s">
        <v>16</v>
      </c>
      <c r="D356" s="5">
        <v>711771</v>
      </c>
      <c r="E356" s="33">
        <v>38</v>
      </c>
      <c r="F356" s="60">
        <v>1400</v>
      </c>
      <c r="G356" s="60">
        <f>+OtherClients[[#This Row],[Boxes / Pieces]]*OtherClients[[#This Row],[Unit Quantity]]</f>
        <v>53200</v>
      </c>
      <c r="H356" s="60" t="s">
        <v>849</v>
      </c>
      <c r="I356" s="60" t="s">
        <v>278</v>
      </c>
      <c r="J356" s="104"/>
      <c r="K356" s="33" t="s">
        <v>278</v>
      </c>
      <c r="L356" s="111"/>
      <c r="M356" s="33" t="s">
        <v>278</v>
      </c>
      <c r="N356" s="111"/>
      <c r="O356" s="33" t="s">
        <v>278</v>
      </c>
      <c r="P356" s="111"/>
      <c r="Q356" s="33" t="s">
        <v>587</v>
      </c>
      <c r="R356" s="111"/>
      <c r="S356" s="33" t="s">
        <v>278</v>
      </c>
      <c r="T356" s="111"/>
      <c r="U356" s="33" t="s">
        <v>278</v>
      </c>
      <c r="V356" s="111"/>
      <c r="W356" s="59" t="s">
        <v>548</v>
      </c>
      <c r="X356" s="33" t="str">
        <f>+VLOOKUP(OtherClients[[#This Row],[Part]],PartControl!$A$2:$E$564,5,FALSE)</f>
        <v>infasco</v>
      </c>
      <c r="Y356" s="108">
        <f>IF(OtherClients[[#This Row],[Re-certified or New]]&lt;&gt;"Re-certified",IF(OtherClients[[#This Row],[Client]]="infasco",VLOOKUP(OtherClients[[#This Row],[Part]],PartControl!$A$2:$E$564,2,FALSE),OtherClients[[#This Row],[Total Quantity]]*VLOOKUP(OtherClients[[#This Row],[Part]],PartControl!$A$2:$E$564,2,FALSE)),0)</f>
        <v>106.94</v>
      </c>
      <c r="Z356" s="108">
        <f>IF(OtherClients[[#This Row],[Re-certified or New]]&lt;&gt;"Re-certified",IF(OtherClients[[#This Row],[Client]]="infasco",VLOOKUP(OtherClients[[#This Row],[Part]],PartControl!$A$2:$E$564,2,FALSE),OtherClients[[#This Row],[Total Quantity]]*VLOOKUP(OtherClients[[#This Row],[Part]],PartControl!$A$2:$E$564,2,FALSE)),0)</f>
        <v>106.94</v>
      </c>
    </row>
    <row r="357" spans="1:26" ht="25.15" hidden="1" customHeight="1" x14ac:dyDescent="0.25">
      <c r="A357" s="112">
        <v>46240</v>
      </c>
      <c r="B357" s="5" t="s">
        <v>345</v>
      </c>
      <c r="C357" s="5" t="s">
        <v>649</v>
      </c>
      <c r="D357" s="5">
        <v>714583</v>
      </c>
      <c r="E357" s="33">
        <v>36</v>
      </c>
      <c r="F357" s="60">
        <v>1250</v>
      </c>
      <c r="G357" s="60">
        <f>+OtherClients[[#This Row],[Boxes / Pieces]]*OtherClients[[#This Row],[Unit Quantity]]</f>
        <v>45000</v>
      </c>
      <c r="H357" s="60" t="s">
        <v>849</v>
      </c>
      <c r="I357" s="60" t="s">
        <v>278</v>
      </c>
      <c r="J357" s="104"/>
      <c r="K357" s="33" t="s">
        <v>278</v>
      </c>
      <c r="L357" s="111"/>
      <c r="M357" s="33" t="s">
        <v>278</v>
      </c>
      <c r="N357" s="111"/>
      <c r="O357" s="33" t="s">
        <v>278</v>
      </c>
      <c r="P357" s="111"/>
      <c r="Q357" s="33" t="s">
        <v>587</v>
      </c>
      <c r="R357" s="111"/>
      <c r="S357" s="33" t="s">
        <v>278</v>
      </c>
      <c r="T357" s="111"/>
      <c r="U357" s="33" t="s">
        <v>278</v>
      </c>
      <c r="V357" s="111"/>
      <c r="W357" s="59" t="s">
        <v>548</v>
      </c>
      <c r="X357" s="33" t="str">
        <f>+VLOOKUP(OtherClients[[#This Row],[Part]],PartControl!$A$2:$E$564,5,FALSE)</f>
        <v>infasco</v>
      </c>
      <c r="Y357" s="108">
        <f>IF(OtherClients[[#This Row],[Re-certified or New]]&lt;&gt;"Re-certified",IF(OtherClients[[#This Row],[Client]]="infasco",VLOOKUP(OtherClients[[#This Row],[Part]],PartControl!$A$2:$E$564,2,FALSE),OtherClients[[#This Row],[Total Quantity]]*VLOOKUP(OtherClients[[#This Row],[Part]],PartControl!$A$2:$E$564,2,FALSE)),0)</f>
        <v>135.07999999999998</v>
      </c>
      <c r="Z357" s="108">
        <f>IF(OtherClients[[#This Row],[Re-certified or New]]&lt;&gt;"Re-certified",IF(OtherClients[[#This Row],[Client]]="infasco",VLOOKUP(OtherClients[[#This Row],[Part]],PartControl!$A$2:$E$564,2,FALSE),OtherClients[[#This Row],[Total Quantity]]*VLOOKUP(OtherClients[[#This Row],[Part]],PartControl!$A$2:$E$564,2,FALSE)),0)</f>
        <v>135.07999999999998</v>
      </c>
    </row>
    <row r="358" spans="1:26" ht="25.15" hidden="1" customHeight="1" x14ac:dyDescent="0.25">
      <c r="A358" s="112">
        <v>46240</v>
      </c>
      <c r="B358" s="5" t="s">
        <v>345</v>
      </c>
      <c r="C358" s="5" t="s">
        <v>649</v>
      </c>
      <c r="D358" s="5">
        <v>714015</v>
      </c>
      <c r="E358" s="33">
        <v>25</v>
      </c>
      <c r="F358" s="60">
        <v>1250</v>
      </c>
      <c r="G358" s="60">
        <f>+OtherClients[[#This Row],[Boxes / Pieces]]*OtherClients[[#This Row],[Unit Quantity]]</f>
        <v>31250</v>
      </c>
      <c r="H358" s="60" t="s">
        <v>849</v>
      </c>
      <c r="I358" s="60" t="s">
        <v>278</v>
      </c>
      <c r="J358" s="104"/>
      <c r="K358" s="33" t="s">
        <v>278</v>
      </c>
      <c r="L358" s="111"/>
      <c r="M358" s="33" t="s">
        <v>278</v>
      </c>
      <c r="N358" s="111"/>
      <c r="O358" s="33" t="s">
        <v>278</v>
      </c>
      <c r="P358" s="111"/>
      <c r="Q358" s="33" t="s">
        <v>587</v>
      </c>
      <c r="R358" s="111"/>
      <c r="S358" s="33" t="s">
        <v>278</v>
      </c>
      <c r="T358" s="111"/>
      <c r="U358" s="33" t="s">
        <v>278</v>
      </c>
      <c r="V358" s="111"/>
      <c r="W358" s="59" t="s">
        <v>548</v>
      </c>
      <c r="X358" s="33" t="str">
        <f>+VLOOKUP(OtherClients[[#This Row],[Part]],PartControl!$A$2:$E$564,5,FALSE)</f>
        <v>infasco</v>
      </c>
      <c r="Y358" s="108">
        <f>IF(OtherClients[[#This Row],[Re-certified or New]]&lt;&gt;"Re-certified",IF(OtherClients[[#This Row],[Client]]="infasco",VLOOKUP(OtherClients[[#This Row],[Part]],PartControl!$A$2:$E$564,2,FALSE),OtherClients[[#This Row],[Total Quantity]]*VLOOKUP(OtherClients[[#This Row],[Part]],PartControl!$A$2:$E$564,2,FALSE)),0)</f>
        <v>135.07999999999998</v>
      </c>
      <c r="Z358" s="108">
        <f>IF(OtherClients[[#This Row],[Re-certified or New]]&lt;&gt;"Re-certified",IF(OtherClients[[#This Row],[Client]]="infasco",VLOOKUP(OtherClients[[#This Row],[Part]],PartControl!$A$2:$E$564,2,FALSE),OtherClients[[#This Row],[Total Quantity]]*VLOOKUP(OtherClients[[#This Row],[Part]],PartControl!$A$2:$E$564,2,FALSE)),0)</f>
        <v>135.07999999999998</v>
      </c>
    </row>
    <row r="359" spans="1:26" ht="25.15" hidden="1" customHeight="1" x14ac:dyDescent="0.25">
      <c r="A359" s="112">
        <v>46240</v>
      </c>
      <c r="B359" s="5" t="s">
        <v>345</v>
      </c>
      <c r="C359" s="5" t="s">
        <v>732</v>
      </c>
      <c r="D359" s="5">
        <v>705484</v>
      </c>
      <c r="E359" s="33">
        <v>27</v>
      </c>
      <c r="F359" s="60">
        <v>1000</v>
      </c>
      <c r="G359" s="60">
        <f>+OtherClients[[#This Row],[Boxes / Pieces]]*OtherClients[[#This Row],[Unit Quantity]]</f>
        <v>27000</v>
      </c>
      <c r="H359" s="60" t="s">
        <v>849</v>
      </c>
      <c r="I359" s="60" t="s">
        <v>278</v>
      </c>
      <c r="J359" s="104"/>
      <c r="K359" s="33" t="s">
        <v>278</v>
      </c>
      <c r="L359" s="111"/>
      <c r="M359" s="33" t="s">
        <v>278</v>
      </c>
      <c r="N359" s="111"/>
      <c r="O359" s="33" t="s">
        <v>278</v>
      </c>
      <c r="P359" s="111"/>
      <c r="Q359" s="33" t="s">
        <v>587</v>
      </c>
      <c r="R359" s="111"/>
      <c r="S359" s="33" t="s">
        <v>278</v>
      </c>
      <c r="T359" s="111"/>
      <c r="U359" s="33" t="s">
        <v>278</v>
      </c>
      <c r="V359" s="111"/>
      <c r="W359" s="59" t="s">
        <v>633</v>
      </c>
      <c r="X359" s="33" t="str">
        <f>+VLOOKUP(OtherClients[[#This Row],[Part]],PartControl!$A$2:$E$564,5,FALSE)</f>
        <v>infasco</v>
      </c>
      <c r="Y359" s="108">
        <f>IF(OtherClients[[#This Row],[Re-certified or New]]&lt;&gt;"Re-certified",IF(OtherClients[[#This Row],[Client]]="infasco",VLOOKUP(OtherClients[[#This Row],[Part]],PartControl!$A$2:$E$564,2,FALSE),OtherClients[[#This Row],[Total Quantity]]*VLOOKUP(OtherClients[[#This Row],[Part]],PartControl!$A$2:$E$564,2,FALSE)),0)</f>
        <v>0</v>
      </c>
      <c r="Z359" s="108">
        <f>IF(OtherClients[[#This Row],[Re-certified or New]]&lt;&gt;"Re-certified",IF(OtherClients[[#This Row],[Client]]="infasco",VLOOKUP(OtherClients[[#This Row],[Part]],PartControl!$A$2:$E$564,2,FALSE),OtherClients[[#This Row],[Total Quantity]]*VLOOKUP(OtherClients[[#This Row],[Part]],PartControl!$A$2:$E$564,2,FALSE)),0)</f>
        <v>0</v>
      </c>
    </row>
    <row r="360" spans="1:26" ht="25.15" hidden="1" customHeight="1" x14ac:dyDescent="0.25">
      <c r="A360" s="112">
        <v>46240</v>
      </c>
      <c r="B360" s="5" t="s">
        <v>346</v>
      </c>
      <c r="C360" s="5" t="s">
        <v>645</v>
      </c>
      <c r="D360" s="5">
        <v>715861</v>
      </c>
      <c r="E360" s="33">
        <v>4</v>
      </c>
      <c r="F360" s="60">
        <v>1000</v>
      </c>
      <c r="G360" s="60">
        <f>+OtherClients[[#This Row],[Boxes / Pieces]]*OtherClients[[#This Row],[Unit Quantity]]</f>
        <v>4000</v>
      </c>
      <c r="H360" s="60" t="s">
        <v>871</v>
      </c>
      <c r="I360" s="60" t="s">
        <v>278</v>
      </c>
      <c r="J360" s="104"/>
      <c r="K360" s="33" t="s">
        <v>278</v>
      </c>
      <c r="L360" s="111"/>
      <c r="M360" s="33" t="s">
        <v>278</v>
      </c>
      <c r="N360" s="111"/>
      <c r="O360" s="33" t="s">
        <v>278</v>
      </c>
      <c r="P360" s="111"/>
      <c r="Q360" s="33" t="s">
        <v>587</v>
      </c>
      <c r="R360" s="111"/>
      <c r="S360" s="33" t="s">
        <v>278</v>
      </c>
      <c r="T360" s="111"/>
      <c r="U360" s="33" t="s">
        <v>278</v>
      </c>
      <c r="V360" s="111"/>
      <c r="W360" s="59" t="s">
        <v>548</v>
      </c>
      <c r="X360" s="33" t="str">
        <f>+VLOOKUP(OtherClients[[#This Row],[Part]],PartControl!$A$2:$E$564,5,FALSE)</f>
        <v>infasco</v>
      </c>
      <c r="Y360" s="108">
        <f>IF(OtherClients[[#This Row],[Re-certified or New]]&lt;&gt;"Re-certified",IF(OtherClients[[#This Row],[Client]]="infasco",VLOOKUP(OtherClients[[#This Row],[Part]],PartControl!$A$2:$E$564,2,FALSE),OtherClients[[#This Row],[Total Quantity]]*VLOOKUP(OtherClients[[#This Row],[Part]],PartControl!$A$2:$E$564,2,FALSE)),0)</f>
        <v>106.94</v>
      </c>
      <c r="Z360" s="108">
        <f>IF(OtherClients[[#This Row],[Re-certified or New]]&lt;&gt;"Re-certified",IF(OtherClients[[#This Row],[Client]]="infasco",VLOOKUP(OtherClients[[#This Row],[Part]],PartControl!$A$2:$E$564,2,FALSE),OtherClients[[#This Row],[Total Quantity]]*VLOOKUP(OtherClients[[#This Row],[Part]],PartControl!$A$2:$E$564,2,FALSE)),0)</f>
        <v>106.94</v>
      </c>
    </row>
    <row r="361" spans="1:26" ht="25.15" hidden="1" customHeight="1" x14ac:dyDescent="0.25">
      <c r="A361" s="112">
        <v>46240</v>
      </c>
      <c r="B361" s="5" t="s">
        <v>346</v>
      </c>
      <c r="C361" s="5" t="s">
        <v>645</v>
      </c>
      <c r="D361" s="5">
        <v>715863</v>
      </c>
      <c r="E361" s="33">
        <v>27</v>
      </c>
      <c r="F361" s="60">
        <v>1000</v>
      </c>
      <c r="G361" s="60">
        <f>+OtherClients[[#This Row],[Boxes / Pieces]]*OtherClients[[#This Row],[Unit Quantity]]</f>
        <v>27000</v>
      </c>
      <c r="H361" s="60" t="s">
        <v>871</v>
      </c>
      <c r="I361" s="60" t="s">
        <v>278</v>
      </c>
      <c r="J361" s="104"/>
      <c r="K361" s="33" t="s">
        <v>278</v>
      </c>
      <c r="L361" s="111"/>
      <c r="M361" s="33" t="s">
        <v>278</v>
      </c>
      <c r="N361" s="111"/>
      <c r="O361" s="33" t="s">
        <v>278</v>
      </c>
      <c r="P361" s="111"/>
      <c r="Q361" s="33" t="s">
        <v>587</v>
      </c>
      <c r="R361" s="111"/>
      <c r="S361" s="33" t="s">
        <v>278</v>
      </c>
      <c r="T361" s="111"/>
      <c r="U361" s="33" t="s">
        <v>278</v>
      </c>
      <c r="V361" s="111"/>
      <c r="W361" s="59" t="s">
        <v>548</v>
      </c>
      <c r="X361" s="33" t="str">
        <f>+VLOOKUP(OtherClients[[#This Row],[Part]],PartControl!$A$2:$E$564,5,FALSE)</f>
        <v>infasco</v>
      </c>
      <c r="Y361" s="108">
        <f>IF(OtherClients[[#This Row],[Re-certified or New]]&lt;&gt;"Re-certified",IF(OtherClients[[#This Row],[Client]]="infasco",VLOOKUP(OtherClients[[#This Row],[Part]],PartControl!$A$2:$E$564,2,FALSE),OtherClients[[#This Row],[Total Quantity]]*VLOOKUP(OtherClients[[#This Row],[Part]],PartControl!$A$2:$E$564,2,FALSE)),0)</f>
        <v>106.94</v>
      </c>
      <c r="Z361" s="108">
        <f>IF(OtherClients[[#This Row],[Re-certified or New]]&lt;&gt;"Re-certified",IF(OtherClients[[#This Row],[Client]]="infasco",VLOOKUP(OtherClients[[#This Row],[Part]],PartControl!$A$2:$E$564,2,FALSE),OtherClients[[#This Row],[Total Quantity]]*VLOOKUP(OtherClients[[#This Row],[Part]],PartControl!$A$2:$E$564,2,FALSE)),0)</f>
        <v>106.94</v>
      </c>
    </row>
    <row r="362" spans="1:26" ht="25.15" hidden="1" customHeight="1" x14ac:dyDescent="0.25">
      <c r="A362" s="112">
        <v>46240</v>
      </c>
      <c r="B362" s="5" t="s">
        <v>346</v>
      </c>
      <c r="C362" s="5" t="s">
        <v>642</v>
      </c>
      <c r="D362" s="5">
        <v>715702</v>
      </c>
      <c r="E362" s="33">
        <f>36+4</f>
        <v>40</v>
      </c>
      <c r="F362" s="60">
        <v>2800</v>
      </c>
      <c r="G362" s="60">
        <f>+OtherClients[[#This Row],[Boxes / Pieces]]*OtherClients[[#This Row],[Unit Quantity]]</f>
        <v>112000</v>
      </c>
      <c r="H362" s="60" t="s">
        <v>871</v>
      </c>
      <c r="I362" s="60" t="s">
        <v>278</v>
      </c>
      <c r="J362" s="104"/>
      <c r="K362" s="33" t="s">
        <v>278</v>
      </c>
      <c r="L362" s="111"/>
      <c r="M362" s="33" t="s">
        <v>278</v>
      </c>
      <c r="N362" s="111"/>
      <c r="O362" s="33" t="s">
        <v>278</v>
      </c>
      <c r="P362" s="111"/>
      <c r="Q362" s="33" t="s">
        <v>587</v>
      </c>
      <c r="R362" s="111"/>
      <c r="S362" s="33" t="s">
        <v>278</v>
      </c>
      <c r="T362" s="111"/>
      <c r="U362" s="33" t="s">
        <v>278</v>
      </c>
      <c r="V362" s="111"/>
      <c r="W362" s="59" t="s">
        <v>548</v>
      </c>
      <c r="X362" s="33" t="str">
        <f>+VLOOKUP(OtherClients[[#This Row],[Part]],PartControl!$A$2:$E$564,5,FALSE)</f>
        <v>infasco</v>
      </c>
      <c r="Y362" s="108">
        <f>IF(OtherClients[[#This Row],[Re-certified or New]]&lt;&gt;"Re-certified",IF(OtherClients[[#This Row],[Client]]="infasco",VLOOKUP(OtherClients[[#This Row],[Part]],PartControl!$A$2:$E$564,2,FALSE),OtherClients[[#This Row],[Total Quantity]]*VLOOKUP(OtherClients[[#This Row],[Part]],PartControl!$A$2:$E$564,2,FALSE)),0)</f>
        <v>106.94</v>
      </c>
      <c r="Z362" s="108">
        <f>IF(OtherClients[[#This Row],[Re-certified or New]]&lt;&gt;"Re-certified",IF(OtherClients[[#This Row],[Client]]="infasco",VLOOKUP(OtherClients[[#This Row],[Part]],PartControl!$A$2:$E$564,2,FALSE),OtherClients[[#This Row],[Total Quantity]]*VLOOKUP(OtherClients[[#This Row],[Part]],PartControl!$A$2:$E$564,2,FALSE)),0)</f>
        <v>106.94</v>
      </c>
    </row>
    <row r="363" spans="1:26" ht="25.15" hidden="1" customHeight="1" x14ac:dyDescent="0.25">
      <c r="A363" s="112">
        <v>46240</v>
      </c>
      <c r="B363" s="5" t="s">
        <v>346</v>
      </c>
      <c r="C363" s="5">
        <v>11611122</v>
      </c>
      <c r="D363" s="5">
        <v>713559</v>
      </c>
      <c r="E363" s="33">
        <v>5</v>
      </c>
      <c r="F363" s="60">
        <v>1850</v>
      </c>
      <c r="G363" s="60">
        <f>+OtherClients[[#This Row],[Boxes / Pieces]]*OtherClients[[#This Row],[Unit Quantity]]</f>
        <v>9250</v>
      </c>
      <c r="H363" s="60" t="s">
        <v>871</v>
      </c>
      <c r="I363" s="60" t="s">
        <v>278</v>
      </c>
      <c r="J363" s="104"/>
      <c r="K363" s="33" t="s">
        <v>278</v>
      </c>
      <c r="L363" s="111"/>
      <c r="M363" s="33" t="s">
        <v>278</v>
      </c>
      <c r="N363" s="111"/>
      <c r="O363" s="33" t="s">
        <v>278</v>
      </c>
      <c r="P363" s="111"/>
      <c r="Q363" s="33" t="s">
        <v>587</v>
      </c>
      <c r="R363" s="111"/>
      <c r="S363" s="33" t="s">
        <v>278</v>
      </c>
      <c r="T363" s="111"/>
      <c r="U363" s="33" t="s">
        <v>278</v>
      </c>
      <c r="V363" s="111"/>
      <c r="W363" s="59" t="s">
        <v>633</v>
      </c>
      <c r="X363" s="33" t="str">
        <f>+VLOOKUP(OtherClients[[#This Row],[Part]],PartControl!$A$2:$E$564,5,FALSE)</f>
        <v>INFASCO</v>
      </c>
      <c r="Y363" s="108">
        <f>IF(OtherClients[[#This Row],[Re-certified or New]]&lt;&gt;"Re-certified",IF(OtherClients[[#This Row],[Client]]="infasco",VLOOKUP(OtherClients[[#This Row],[Part]],PartControl!$A$2:$E$564,2,FALSE),OtherClients[[#This Row],[Total Quantity]]*VLOOKUP(OtherClients[[#This Row],[Part]],PartControl!$A$2:$E$564,2,FALSE)),0)</f>
        <v>0</v>
      </c>
      <c r="Z363" s="108">
        <f>IF(OtherClients[[#This Row],[Re-certified or New]]&lt;&gt;"Re-certified",IF(OtherClients[[#This Row],[Client]]="infasco",VLOOKUP(OtherClients[[#This Row],[Part]],PartControl!$A$2:$E$564,2,FALSE),OtherClients[[#This Row],[Total Quantity]]*VLOOKUP(OtherClients[[#This Row],[Part]],PartControl!$A$2:$E$564,2,FALSE)),0)</f>
        <v>0</v>
      </c>
    </row>
    <row r="364" spans="1:26" ht="25.15" hidden="1" customHeight="1" x14ac:dyDescent="0.25">
      <c r="A364" s="112">
        <v>46240</v>
      </c>
      <c r="B364" s="5" t="s">
        <v>346</v>
      </c>
      <c r="C364" s="5">
        <v>92468</v>
      </c>
      <c r="D364" s="5">
        <v>714430</v>
      </c>
      <c r="E364" s="33">
        <v>24</v>
      </c>
      <c r="F364" s="60">
        <v>1000</v>
      </c>
      <c r="G364" s="60">
        <f>+OtherClients[[#This Row],[Boxes / Pieces]]*OtherClients[[#This Row],[Unit Quantity]]</f>
        <v>24000</v>
      </c>
      <c r="H364" s="60" t="s">
        <v>871</v>
      </c>
      <c r="I364" s="60" t="s">
        <v>278</v>
      </c>
      <c r="J364" s="104"/>
      <c r="K364" s="33" t="s">
        <v>278</v>
      </c>
      <c r="L364" s="111"/>
      <c r="M364" s="33" t="s">
        <v>278</v>
      </c>
      <c r="N364" s="111"/>
      <c r="O364" s="33" t="s">
        <v>278</v>
      </c>
      <c r="P364" s="111"/>
      <c r="Q364" s="33" t="s">
        <v>587</v>
      </c>
      <c r="R364" s="111"/>
      <c r="S364" s="33" t="s">
        <v>278</v>
      </c>
      <c r="T364" s="111"/>
      <c r="U364" s="33" t="s">
        <v>278</v>
      </c>
      <c r="V364" s="111"/>
      <c r="W364" s="59" t="s">
        <v>548</v>
      </c>
      <c r="X364" s="33" t="str">
        <f>+VLOOKUP(OtherClients[[#This Row],[Part]],PartControl!$A$2:$E$564,5,FALSE)</f>
        <v>INFASCO</v>
      </c>
      <c r="Y364" s="108">
        <f>IF(OtherClients[[#This Row],[Re-certified or New]]&lt;&gt;"Re-certified",IF(OtherClients[[#This Row],[Client]]="infasco",VLOOKUP(OtherClients[[#This Row],[Part]],PartControl!$A$2:$E$564,2,FALSE),OtherClients[[#This Row],[Total Quantity]]*VLOOKUP(OtherClients[[#This Row],[Part]],PartControl!$A$2:$E$564,2,FALSE)),0)</f>
        <v>135.07999999999998</v>
      </c>
      <c r="Z364" s="108">
        <f>IF(OtherClients[[#This Row],[Re-certified or New]]&lt;&gt;"Re-certified",IF(OtherClients[[#This Row],[Client]]="infasco",VLOOKUP(OtherClients[[#This Row],[Part]],PartControl!$A$2:$E$564,2,FALSE),OtherClients[[#This Row],[Total Quantity]]*VLOOKUP(OtherClients[[#This Row],[Part]],PartControl!$A$2:$E$564,2,FALSE)),0)</f>
        <v>135.07999999999998</v>
      </c>
    </row>
    <row r="365" spans="1:26" ht="25.15" hidden="1" customHeight="1" x14ac:dyDescent="0.25">
      <c r="A365" s="112">
        <v>46240</v>
      </c>
      <c r="B365" s="5" t="s">
        <v>346</v>
      </c>
      <c r="C365" s="5" t="s">
        <v>649</v>
      </c>
      <c r="D365" s="5">
        <v>714587</v>
      </c>
      <c r="E365" s="33">
        <v>30</v>
      </c>
      <c r="F365" s="60">
        <v>1250</v>
      </c>
      <c r="G365" s="60">
        <f>+OtherClients[[#This Row],[Boxes / Pieces]]*OtherClients[[#This Row],[Unit Quantity]]</f>
        <v>37500</v>
      </c>
      <c r="H365" s="60" t="s">
        <v>871</v>
      </c>
      <c r="I365" s="60" t="s">
        <v>278</v>
      </c>
      <c r="J365" s="104"/>
      <c r="K365" s="33" t="s">
        <v>278</v>
      </c>
      <c r="L365" s="111"/>
      <c r="M365" s="33" t="s">
        <v>278</v>
      </c>
      <c r="N365" s="111"/>
      <c r="O365" s="33" t="s">
        <v>278</v>
      </c>
      <c r="P365" s="111"/>
      <c r="Q365" s="33" t="s">
        <v>587</v>
      </c>
      <c r="R365" s="111"/>
      <c r="S365" s="33" t="s">
        <v>278</v>
      </c>
      <c r="T365" s="111"/>
      <c r="U365" s="33" t="s">
        <v>278</v>
      </c>
      <c r="V365" s="111"/>
      <c r="W365" s="59" t="s">
        <v>548</v>
      </c>
      <c r="X365" s="33" t="str">
        <f>+VLOOKUP(OtherClients[[#This Row],[Part]],PartControl!$A$2:$E$564,5,FALSE)</f>
        <v>infasco</v>
      </c>
      <c r="Y365" s="108">
        <f>IF(OtherClients[[#This Row],[Re-certified or New]]&lt;&gt;"Re-certified",IF(OtherClients[[#This Row],[Client]]="infasco",VLOOKUP(OtherClients[[#This Row],[Part]],PartControl!$A$2:$E$564,2,FALSE),OtherClients[[#This Row],[Total Quantity]]*VLOOKUP(OtherClients[[#This Row],[Part]],PartControl!$A$2:$E$564,2,FALSE)),0)</f>
        <v>135.07999999999998</v>
      </c>
      <c r="Z365" s="108">
        <f>IF(OtherClients[[#This Row],[Re-certified or New]]&lt;&gt;"Re-certified",IF(OtherClients[[#This Row],[Client]]="infasco",VLOOKUP(OtherClients[[#This Row],[Part]],PartControl!$A$2:$E$564,2,FALSE),OtherClients[[#This Row],[Total Quantity]]*VLOOKUP(OtherClients[[#This Row],[Part]],PartControl!$A$2:$E$564,2,FALSE)),0)</f>
        <v>135.07999999999998</v>
      </c>
    </row>
    <row r="366" spans="1:26" ht="25.15" hidden="1" customHeight="1" x14ac:dyDescent="0.25">
      <c r="A366" s="112">
        <v>46240</v>
      </c>
      <c r="B366" s="5" t="s">
        <v>346</v>
      </c>
      <c r="C366" s="5" t="s">
        <v>646</v>
      </c>
      <c r="D366" s="5">
        <v>713984</v>
      </c>
      <c r="E366" s="33">
        <v>36</v>
      </c>
      <c r="F366" s="60">
        <v>290</v>
      </c>
      <c r="G366" s="60">
        <f>+OtherClients[[#This Row],[Boxes / Pieces]]*OtherClients[[#This Row],[Unit Quantity]]</f>
        <v>10440</v>
      </c>
      <c r="H366" s="60" t="s">
        <v>871</v>
      </c>
      <c r="I366" s="60" t="s">
        <v>278</v>
      </c>
      <c r="J366" s="104"/>
      <c r="K366" s="33" t="s">
        <v>278</v>
      </c>
      <c r="L366" s="111"/>
      <c r="M366" s="33" t="s">
        <v>278</v>
      </c>
      <c r="N366" s="111"/>
      <c r="O366" s="33" t="s">
        <v>278</v>
      </c>
      <c r="P366" s="111"/>
      <c r="Q366" s="33" t="s">
        <v>587</v>
      </c>
      <c r="R366" s="111"/>
      <c r="S366" s="33" t="s">
        <v>278</v>
      </c>
      <c r="T366" s="111"/>
      <c r="U366" s="33" t="s">
        <v>278</v>
      </c>
      <c r="V366" s="111"/>
      <c r="W366" s="59" t="s">
        <v>548</v>
      </c>
      <c r="X366" s="33" t="str">
        <f>+VLOOKUP(OtherClients[[#This Row],[Part]],PartControl!$A$2:$E$564,5,FALSE)</f>
        <v>infasco</v>
      </c>
      <c r="Y366" s="108">
        <f>IF(OtherClients[[#This Row],[Re-certified or New]]&lt;&gt;"Re-certified",IF(OtherClients[[#This Row],[Client]]="infasco",VLOOKUP(OtherClients[[#This Row],[Part]],PartControl!$A$2:$E$564,2,FALSE),OtherClients[[#This Row],[Total Quantity]]*VLOOKUP(OtherClients[[#This Row],[Part]],PartControl!$A$2:$E$564,2,FALSE)),0)</f>
        <v>106.94</v>
      </c>
      <c r="Z366" s="108">
        <f>IF(OtherClients[[#This Row],[Re-certified or New]]&lt;&gt;"Re-certified",IF(OtherClients[[#This Row],[Client]]="infasco",VLOOKUP(OtherClients[[#This Row],[Part]],PartControl!$A$2:$E$564,2,FALSE),OtherClients[[#This Row],[Total Quantity]]*VLOOKUP(OtherClients[[#This Row],[Part]],PartControl!$A$2:$E$564,2,FALSE)),0)</f>
        <v>106.94</v>
      </c>
    </row>
    <row r="367" spans="1:26" ht="25.15" hidden="1" customHeight="1" x14ac:dyDescent="0.25">
      <c r="A367" s="112">
        <v>46240</v>
      </c>
      <c r="B367" s="5" t="s">
        <v>346</v>
      </c>
      <c r="C367" s="5" t="s">
        <v>646</v>
      </c>
      <c r="D367" s="5">
        <v>714560</v>
      </c>
      <c r="E367" s="33">
        <v>30</v>
      </c>
      <c r="F367" s="60">
        <v>290</v>
      </c>
      <c r="G367" s="60">
        <f>+OtherClients[[#This Row],[Boxes / Pieces]]*OtherClients[[#This Row],[Unit Quantity]]</f>
        <v>8700</v>
      </c>
      <c r="H367" s="60" t="s">
        <v>871</v>
      </c>
      <c r="I367" s="60" t="s">
        <v>278</v>
      </c>
      <c r="J367" s="104"/>
      <c r="K367" s="33" t="s">
        <v>278</v>
      </c>
      <c r="L367" s="111"/>
      <c r="M367" s="33" t="s">
        <v>278</v>
      </c>
      <c r="N367" s="111"/>
      <c r="O367" s="33" t="s">
        <v>278</v>
      </c>
      <c r="P367" s="111"/>
      <c r="Q367" s="33" t="s">
        <v>587</v>
      </c>
      <c r="R367" s="111"/>
      <c r="S367" s="33" t="s">
        <v>278</v>
      </c>
      <c r="T367" s="111"/>
      <c r="U367" s="33" t="s">
        <v>278</v>
      </c>
      <c r="V367" s="111"/>
      <c r="W367" s="59" t="s">
        <v>548</v>
      </c>
      <c r="X367" s="33" t="str">
        <f>+VLOOKUP(OtherClients[[#This Row],[Part]],PartControl!$A$2:$E$564,5,FALSE)</f>
        <v>infasco</v>
      </c>
      <c r="Y367" s="108">
        <f>IF(OtherClients[[#This Row],[Re-certified or New]]&lt;&gt;"Re-certified",IF(OtherClients[[#This Row],[Client]]="infasco",VLOOKUP(OtherClients[[#This Row],[Part]],PartControl!$A$2:$E$564,2,FALSE),OtherClients[[#This Row],[Total Quantity]]*VLOOKUP(OtherClients[[#This Row],[Part]],PartControl!$A$2:$E$564,2,FALSE)),0)</f>
        <v>106.94</v>
      </c>
      <c r="Z367" s="108">
        <f>IF(OtherClients[[#This Row],[Re-certified or New]]&lt;&gt;"Re-certified",IF(OtherClients[[#This Row],[Client]]="infasco",VLOOKUP(OtherClients[[#This Row],[Part]],PartControl!$A$2:$E$564,2,FALSE),OtherClients[[#This Row],[Total Quantity]]*VLOOKUP(OtherClients[[#This Row],[Part]],PartControl!$A$2:$E$564,2,FALSE)),0)</f>
        <v>106.94</v>
      </c>
    </row>
    <row r="368" spans="1:26" ht="25.15" hidden="1" customHeight="1" x14ac:dyDescent="0.25">
      <c r="A368" s="112">
        <v>46240</v>
      </c>
      <c r="B368" s="5" t="s">
        <v>346</v>
      </c>
      <c r="C368" s="5" t="s">
        <v>649</v>
      </c>
      <c r="D368" s="5">
        <v>714585</v>
      </c>
      <c r="E368" s="33">
        <v>37</v>
      </c>
      <c r="F368" s="60">
        <v>1250</v>
      </c>
      <c r="G368" s="60">
        <f>+OtherClients[[#This Row],[Boxes / Pieces]]*OtherClients[[#This Row],[Unit Quantity]]</f>
        <v>46250</v>
      </c>
      <c r="H368" s="60" t="s">
        <v>871</v>
      </c>
      <c r="I368" s="60" t="s">
        <v>278</v>
      </c>
      <c r="J368" s="104"/>
      <c r="K368" s="33" t="s">
        <v>278</v>
      </c>
      <c r="L368" s="111"/>
      <c r="M368" s="33" t="s">
        <v>278</v>
      </c>
      <c r="N368" s="111"/>
      <c r="O368" s="33" t="s">
        <v>278</v>
      </c>
      <c r="P368" s="111"/>
      <c r="Q368" s="33" t="s">
        <v>587</v>
      </c>
      <c r="R368" s="111"/>
      <c r="S368" s="33" t="s">
        <v>278</v>
      </c>
      <c r="T368" s="111"/>
      <c r="U368" s="33" t="s">
        <v>278</v>
      </c>
      <c r="V368" s="111"/>
      <c r="W368" s="59" t="s">
        <v>548</v>
      </c>
      <c r="X368" s="33" t="str">
        <f>+VLOOKUP(OtherClients[[#This Row],[Part]],PartControl!$A$2:$E$564,5,FALSE)</f>
        <v>infasco</v>
      </c>
      <c r="Y368" s="108">
        <f>IF(OtherClients[[#This Row],[Re-certified or New]]&lt;&gt;"Re-certified",IF(OtherClients[[#This Row],[Client]]="infasco",VLOOKUP(OtherClients[[#This Row],[Part]],PartControl!$A$2:$E$564,2,FALSE),OtherClients[[#This Row],[Total Quantity]]*VLOOKUP(OtherClients[[#This Row],[Part]],PartControl!$A$2:$E$564,2,FALSE)),0)</f>
        <v>135.07999999999998</v>
      </c>
      <c r="Z368" s="108">
        <f>IF(OtherClients[[#This Row],[Re-certified or New]]&lt;&gt;"Re-certified",IF(OtherClients[[#This Row],[Client]]="infasco",VLOOKUP(OtherClients[[#This Row],[Part]],PartControl!$A$2:$E$564,2,FALSE),OtherClients[[#This Row],[Total Quantity]]*VLOOKUP(OtherClients[[#This Row],[Part]],PartControl!$A$2:$E$564,2,FALSE)),0)</f>
        <v>135.07999999999998</v>
      </c>
    </row>
    <row r="369" spans="1:26" ht="25.15" hidden="1" customHeight="1" x14ac:dyDescent="0.25">
      <c r="A369" s="112">
        <v>46240</v>
      </c>
      <c r="B369" s="5" t="s">
        <v>347</v>
      </c>
      <c r="C369" s="5">
        <v>11546566</v>
      </c>
      <c r="D369" s="5">
        <v>714437</v>
      </c>
      <c r="E369" s="33">
        <v>27</v>
      </c>
      <c r="F369" s="60">
        <v>1800</v>
      </c>
      <c r="G369" s="60">
        <f>+OtherClients[[#This Row],[Boxes / Pieces]]*OtherClients[[#This Row],[Unit Quantity]]</f>
        <v>48600</v>
      </c>
      <c r="H369" s="60">
        <v>279</v>
      </c>
      <c r="I369" s="60" t="s">
        <v>278</v>
      </c>
      <c r="J369" s="104"/>
      <c r="K369" s="33" t="s">
        <v>278</v>
      </c>
      <c r="L369" s="111"/>
      <c r="M369" s="33" t="s">
        <v>278</v>
      </c>
      <c r="N369" s="111"/>
      <c r="O369" s="33" t="s">
        <v>278</v>
      </c>
      <c r="P369" s="111"/>
      <c r="Q369" s="33" t="s">
        <v>587</v>
      </c>
      <c r="R369" s="111"/>
      <c r="S369" s="33" t="s">
        <v>278</v>
      </c>
      <c r="T369" s="111"/>
      <c r="U369" s="33" t="s">
        <v>278</v>
      </c>
      <c r="V369" s="111"/>
      <c r="W369" s="59" t="s">
        <v>548</v>
      </c>
      <c r="X369" s="33" t="str">
        <f>+VLOOKUP(OtherClients[[#This Row],[Part]],PartControl!$A$2:$E$564,5,FALSE)</f>
        <v>infasco</v>
      </c>
      <c r="Y369" s="108">
        <f>IF(OtherClients[[#This Row],[Re-certified or New]]&lt;&gt;"Re-certified",IF(OtherClients[[#This Row],[Client]]="infasco",VLOOKUP(OtherClients[[#This Row],[Part]],PartControl!$A$2:$E$564,2,FALSE),OtherClients[[#This Row],[Total Quantity]]*VLOOKUP(OtherClients[[#This Row],[Part]],PartControl!$A$2:$E$564,2,FALSE)),0)</f>
        <v>135.07999999999998</v>
      </c>
      <c r="Z369" s="108">
        <f>IF(OtherClients[[#This Row],[Re-certified or New]]&lt;&gt;"Re-certified",IF(OtherClients[[#This Row],[Client]]="infasco",VLOOKUP(OtherClients[[#This Row],[Part]],PartControl!$A$2:$E$564,2,FALSE),OtherClients[[#This Row],[Total Quantity]]*VLOOKUP(OtherClients[[#This Row],[Part]],PartControl!$A$2:$E$564,2,FALSE)),0)</f>
        <v>135.07999999999998</v>
      </c>
    </row>
    <row r="370" spans="1:26" ht="25.15" hidden="1" customHeight="1" x14ac:dyDescent="0.25">
      <c r="A370" s="112">
        <v>46240</v>
      </c>
      <c r="B370" s="5" t="s">
        <v>347</v>
      </c>
      <c r="C370" s="5" t="s">
        <v>829</v>
      </c>
      <c r="D370" s="5">
        <v>703943</v>
      </c>
      <c r="E370" s="33">
        <v>33</v>
      </c>
      <c r="F370" s="60">
        <v>2500</v>
      </c>
      <c r="G370" s="60">
        <f>+OtherClients[[#This Row],[Boxes / Pieces]]*OtherClients[[#This Row],[Unit Quantity]]</f>
        <v>82500</v>
      </c>
      <c r="H370" s="60">
        <v>279</v>
      </c>
      <c r="I370" s="60" t="s">
        <v>278</v>
      </c>
      <c r="J370" s="104"/>
      <c r="K370" s="33" t="s">
        <v>278</v>
      </c>
      <c r="L370" s="111"/>
      <c r="M370" s="33" t="s">
        <v>278</v>
      </c>
      <c r="N370" s="111"/>
      <c r="O370" s="33" t="s">
        <v>278</v>
      </c>
      <c r="P370" s="111"/>
      <c r="Q370" s="33" t="s">
        <v>587</v>
      </c>
      <c r="R370" s="111"/>
      <c r="S370" s="33" t="s">
        <v>278</v>
      </c>
      <c r="T370" s="111"/>
      <c r="U370" s="33" t="s">
        <v>278</v>
      </c>
      <c r="V370" s="111"/>
      <c r="W370" s="59" t="s">
        <v>633</v>
      </c>
      <c r="X370" s="33" t="str">
        <f>+VLOOKUP(OtherClients[[#This Row],[Part]],PartControl!$A$2:$E$564,5,FALSE)</f>
        <v>Infasco</v>
      </c>
      <c r="Y370" s="108">
        <f>IF(OtherClients[[#This Row],[Re-certified or New]]&lt;&gt;"Re-certified",IF(OtherClients[[#This Row],[Client]]="infasco",VLOOKUP(OtherClients[[#This Row],[Part]],PartControl!$A$2:$E$564,2,FALSE),OtherClients[[#This Row],[Total Quantity]]*VLOOKUP(OtherClients[[#This Row],[Part]],PartControl!$A$2:$E$564,2,FALSE)),0)</f>
        <v>0</v>
      </c>
      <c r="Z370" s="108">
        <f>IF(OtherClients[[#This Row],[Re-certified or New]]&lt;&gt;"Re-certified",IF(OtherClients[[#This Row],[Client]]="infasco",VLOOKUP(OtherClients[[#This Row],[Part]],PartControl!$A$2:$E$564,2,FALSE),OtherClients[[#This Row],[Total Quantity]]*VLOOKUP(OtherClients[[#This Row],[Part]],PartControl!$A$2:$E$564,2,FALSE)),0)</f>
        <v>0</v>
      </c>
    </row>
    <row r="371" spans="1:26" ht="25.15" hidden="1" customHeight="1" x14ac:dyDescent="0.25">
      <c r="A371" s="112">
        <v>46240</v>
      </c>
      <c r="B371" s="5" t="s">
        <v>240</v>
      </c>
      <c r="C371" s="5">
        <v>11549168</v>
      </c>
      <c r="D371" s="5">
        <v>713694</v>
      </c>
      <c r="E371" s="33">
        <f>36-26</f>
        <v>10</v>
      </c>
      <c r="F371" s="60">
        <v>1000</v>
      </c>
      <c r="G371" s="60">
        <f>+OtherClients[[#This Row],[Boxes / Pieces]]*OtherClients[[#This Row],[Unit Quantity]]</f>
        <v>10000</v>
      </c>
      <c r="H371" s="60">
        <v>290</v>
      </c>
      <c r="I371" s="60" t="s">
        <v>278</v>
      </c>
      <c r="J371" s="104"/>
      <c r="K371" s="33" t="s">
        <v>278</v>
      </c>
      <c r="L371" s="111"/>
      <c r="M371" s="33" t="s">
        <v>278</v>
      </c>
      <c r="N371" s="111"/>
      <c r="O371" s="33" t="s">
        <v>278</v>
      </c>
      <c r="P371" s="111"/>
      <c r="Q371" s="33" t="s">
        <v>587</v>
      </c>
      <c r="R371" s="111"/>
      <c r="S371" s="33" t="s">
        <v>278</v>
      </c>
      <c r="T371" s="111"/>
      <c r="U371" s="33" t="s">
        <v>278</v>
      </c>
      <c r="V371" s="111"/>
      <c r="W371" s="59" t="s">
        <v>548</v>
      </c>
      <c r="X371" s="33" t="str">
        <f>+VLOOKUP(OtherClients[[#This Row],[Part]],PartControl!$A$2:$E$564,5,FALSE)</f>
        <v>INFASCO</v>
      </c>
      <c r="Y371" s="108">
        <f>IF(OtherClients[[#This Row],[Re-certified or New]]&lt;&gt;"Re-certified",IF(OtherClients[[#This Row],[Client]]="infasco",VLOOKUP(OtherClients[[#This Row],[Part]],PartControl!$A$2:$E$564,2,FALSE),OtherClients[[#This Row],[Total Quantity]]*VLOOKUP(OtherClients[[#This Row],[Part]],PartControl!$A$2:$E$564,2,FALSE)),0)</f>
        <v>106.94</v>
      </c>
      <c r="Z371" s="108">
        <f>IF(OtherClients[[#This Row],[Re-certified or New]]&lt;&gt;"Re-certified",IF(OtherClients[[#This Row],[Client]]="infasco",VLOOKUP(OtherClients[[#This Row],[Part]],PartControl!$A$2:$E$564,2,FALSE),OtherClients[[#This Row],[Total Quantity]]*VLOOKUP(OtherClients[[#This Row],[Part]],PartControl!$A$2:$E$564,2,FALSE)),0)</f>
        <v>106.94</v>
      </c>
    </row>
    <row r="372" spans="1:26" ht="25.15" hidden="1" customHeight="1" x14ac:dyDescent="0.25">
      <c r="A372" s="112">
        <v>46240</v>
      </c>
      <c r="B372" s="5" t="s">
        <v>240</v>
      </c>
      <c r="C372" s="5">
        <v>11549168</v>
      </c>
      <c r="D372" s="5">
        <v>713684</v>
      </c>
      <c r="E372" s="33">
        <v>36</v>
      </c>
      <c r="F372" s="60">
        <v>1000</v>
      </c>
      <c r="G372" s="60">
        <f>+OtherClients[[#This Row],[Boxes / Pieces]]*OtherClients[[#This Row],[Unit Quantity]]</f>
        <v>36000</v>
      </c>
      <c r="H372" s="60">
        <v>290</v>
      </c>
      <c r="I372" s="60" t="s">
        <v>278</v>
      </c>
      <c r="J372" s="104"/>
      <c r="K372" s="33" t="s">
        <v>278</v>
      </c>
      <c r="L372" s="111"/>
      <c r="M372" s="33" t="s">
        <v>278</v>
      </c>
      <c r="N372" s="111"/>
      <c r="O372" s="33" t="s">
        <v>278</v>
      </c>
      <c r="P372" s="111"/>
      <c r="Q372" s="33" t="s">
        <v>587</v>
      </c>
      <c r="R372" s="111"/>
      <c r="S372" s="33" t="s">
        <v>278</v>
      </c>
      <c r="T372" s="111"/>
      <c r="U372" s="33" t="s">
        <v>278</v>
      </c>
      <c r="V372" s="111"/>
      <c r="W372" s="59" t="s">
        <v>548</v>
      </c>
      <c r="X372" s="33" t="str">
        <f>+VLOOKUP(OtherClients[[#This Row],[Part]],PartControl!$A$2:$E$564,5,FALSE)</f>
        <v>INFASCO</v>
      </c>
      <c r="Y372" s="108">
        <f>IF(OtherClients[[#This Row],[Re-certified or New]]&lt;&gt;"Re-certified",IF(OtherClients[[#This Row],[Client]]="infasco",VLOOKUP(OtherClients[[#This Row],[Part]],PartControl!$A$2:$E$564,2,FALSE),OtherClients[[#This Row],[Total Quantity]]*VLOOKUP(OtherClients[[#This Row],[Part]],PartControl!$A$2:$E$564,2,FALSE)),0)</f>
        <v>106.94</v>
      </c>
      <c r="Z372" s="108">
        <f>IF(OtherClients[[#This Row],[Re-certified or New]]&lt;&gt;"Re-certified",IF(OtherClients[[#This Row],[Client]]="infasco",VLOOKUP(OtherClients[[#This Row],[Part]],PartControl!$A$2:$E$564,2,FALSE),OtherClients[[#This Row],[Total Quantity]]*VLOOKUP(OtherClients[[#This Row],[Part]],PartControl!$A$2:$E$564,2,FALSE)),0)</f>
        <v>106.94</v>
      </c>
    </row>
    <row r="373" spans="1:26" ht="25.15" hidden="1" customHeight="1" x14ac:dyDescent="0.25">
      <c r="A373" s="112">
        <v>46240</v>
      </c>
      <c r="B373" s="5" t="s">
        <v>240</v>
      </c>
      <c r="C373" s="5" t="s">
        <v>565</v>
      </c>
      <c r="D373" s="5">
        <v>711250</v>
      </c>
      <c r="E373" s="33">
        <v>1</v>
      </c>
      <c r="F373" s="60">
        <v>20000</v>
      </c>
      <c r="G373" s="60">
        <f>+OtherClients[[#This Row],[Boxes / Pieces]]*OtherClients[[#This Row],[Unit Quantity]]</f>
        <v>20000</v>
      </c>
      <c r="H373" s="60">
        <v>290</v>
      </c>
      <c r="I373" s="60" t="s">
        <v>278</v>
      </c>
      <c r="J373" s="104"/>
      <c r="K373" s="33" t="s">
        <v>278</v>
      </c>
      <c r="L373" s="111"/>
      <c r="M373" s="33" t="s">
        <v>278</v>
      </c>
      <c r="N373" s="111"/>
      <c r="O373" s="33" t="s">
        <v>278</v>
      </c>
      <c r="P373" s="111"/>
      <c r="Q373" s="33" t="s">
        <v>587</v>
      </c>
      <c r="R373" s="111"/>
      <c r="S373" s="33" t="s">
        <v>278</v>
      </c>
      <c r="T373" s="111"/>
      <c r="U373" s="33" t="s">
        <v>278</v>
      </c>
      <c r="V373" s="111"/>
      <c r="W373" s="59" t="s">
        <v>548</v>
      </c>
      <c r="X373" s="33" t="str">
        <f>+VLOOKUP(OtherClients[[#This Row],[Part]],PartControl!$A$2:$E$564,5,FALSE)</f>
        <v>Infasco</v>
      </c>
      <c r="Y373" s="108">
        <f>IF(OtherClients[[#This Row],[Re-certified or New]]&lt;&gt;"Re-certified",IF(OtherClients[[#This Row],[Client]]="infasco",VLOOKUP(OtherClients[[#This Row],[Part]],PartControl!$A$2:$E$564,2,FALSE),OtherClients[[#This Row],[Total Quantity]]*VLOOKUP(OtherClients[[#This Row],[Part]],PartControl!$A$2:$E$564,2,FALSE)),0)</f>
        <v>106.94</v>
      </c>
      <c r="Z373" s="108">
        <f>IF(OtherClients[[#This Row],[Re-certified or New]]&lt;&gt;"Re-certified",IF(OtherClients[[#This Row],[Client]]="infasco",VLOOKUP(OtherClients[[#This Row],[Part]],PartControl!$A$2:$E$564,2,FALSE),OtherClients[[#This Row],[Total Quantity]]*VLOOKUP(OtherClients[[#This Row],[Part]],PartControl!$A$2:$E$564,2,FALSE)),0)</f>
        <v>106.94</v>
      </c>
    </row>
    <row r="374" spans="1:26" ht="25.15" hidden="1" customHeight="1" x14ac:dyDescent="0.25">
      <c r="A374" s="112">
        <v>46241.695208333331</v>
      </c>
      <c r="B374" s="5" t="s">
        <v>252</v>
      </c>
      <c r="C374" s="5" t="s">
        <v>642</v>
      </c>
      <c r="D374" s="5">
        <v>715710</v>
      </c>
      <c r="E374" s="33">
        <v>36</v>
      </c>
      <c r="F374" s="60">
        <v>2800</v>
      </c>
      <c r="G374" s="60">
        <v>100800</v>
      </c>
      <c r="H374" s="60">
        <v>275</v>
      </c>
      <c r="I374" s="60" t="s">
        <v>278</v>
      </c>
      <c r="J374" s="104"/>
      <c r="K374" s="33" t="s">
        <v>278</v>
      </c>
      <c r="L374" s="111"/>
      <c r="M374" s="33" t="s">
        <v>278</v>
      </c>
      <c r="N374" s="111"/>
      <c r="O374" s="33" t="s">
        <v>278</v>
      </c>
      <c r="P374" s="111"/>
      <c r="Q374" s="33" t="s">
        <v>587</v>
      </c>
      <c r="R374" s="111"/>
      <c r="S374" s="33" t="s">
        <v>278</v>
      </c>
      <c r="T374" s="111"/>
      <c r="U374" s="33" t="s">
        <v>278</v>
      </c>
      <c r="V374" s="111"/>
      <c r="W374" s="59" t="s">
        <v>548</v>
      </c>
      <c r="X374" s="33" t="str">
        <f>+VLOOKUP(OtherClients[[#This Row],[Part]],PartControl!$A$2:$E$564,5,FALSE)</f>
        <v>infasco</v>
      </c>
      <c r="Y374" s="111">
        <v>106.94</v>
      </c>
      <c r="Z374" s="108">
        <f>IF(OtherClients[[#This Row],[Re-certified or New]]&lt;&gt;"Re-certified",IF(OtherClients[[#This Row],[Client]]="infasco",VLOOKUP(OtherClients[[#This Row],[Part]],PartControl!$A$2:$E$564,2,FALSE),OtherClients[[#This Row],[Total Quantity]]*VLOOKUP(OtherClients[[#This Row],[Part]],PartControl!$A$2:$E$564,2,FALSE)),0)</f>
        <v>106.94</v>
      </c>
    </row>
    <row r="375" spans="1:26" ht="25.15" hidden="1" customHeight="1" x14ac:dyDescent="0.25">
      <c r="A375" s="112">
        <v>46241.695208333331</v>
      </c>
      <c r="B375" s="5" t="s">
        <v>232</v>
      </c>
      <c r="C375" s="5">
        <v>11546545</v>
      </c>
      <c r="D375" s="5">
        <v>716193</v>
      </c>
      <c r="E375" s="33">
        <f>36-8</f>
        <v>28</v>
      </c>
      <c r="F375" s="60">
        <v>2500</v>
      </c>
      <c r="G375" s="60">
        <f>+OtherClients[[#This Row],[Boxes / Pieces]]*OtherClients[[#This Row],[Unit Quantity]]</f>
        <v>70000</v>
      </c>
      <c r="H375" s="60">
        <v>275</v>
      </c>
      <c r="I375" s="60" t="s">
        <v>278</v>
      </c>
      <c r="J375" s="104"/>
      <c r="K375" s="33" t="s">
        <v>278</v>
      </c>
      <c r="L375" s="111"/>
      <c r="M375" s="33" t="s">
        <v>278</v>
      </c>
      <c r="N375" s="111"/>
      <c r="O375" s="33" t="s">
        <v>278</v>
      </c>
      <c r="P375" s="111"/>
      <c r="Q375" s="33" t="s">
        <v>587</v>
      </c>
      <c r="R375" s="111"/>
      <c r="S375" s="33" t="s">
        <v>278</v>
      </c>
      <c r="T375" s="111"/>
      <c r="U375" s="33" t="s">
        <v>278</v>
      </c>
      <c r="V375" s="111"/>
      <c r="W375" s="59" t="s">
        <v>548</v>
      </c>
      <c r="X375" s="33" t="str">
        <f>+VLOOKUP(OtherClients[[#This Row],[Part]],PartControl!$A$2:$E$564,5,FALSE)</f>
        <v>infasco</v>
      </c>
      <c r="Y375" s="108">
        <f>IF(OtherClients[[#This Row],[Re-certified or New]]&lt;&gt;"Re-certified",IF(OtherClients[[#This Row],[Client]]="infasco",VLOOKUP(OtherClients[[#This Row],[Part]],PartControl!$A$2:$E$564,2,FALSE),OtherClients[[#This Row],[Total Quantity]]*VLOOKUP(OtherClients[[#This Row],[Part]],PartControl!$A$2:$E$564,2,FALSE)),0)</f>
        <v>106.94</v>
      </c>
      <c r="Z375" s="108">
        <f>IF(OtherClients[[#This Row],[Re-certified or New]]&lt;&gt;"Re-certified",IF(OtherClients[[#This Row],[Client]]="infasco",VLOOKUP(OtherClients[[#This Row],[Part]],PartControl!$A$2:$E$564,2,FALSE),OtherClients[[#This Row],[Total Quantity]]*VLOOKUP(OtherClients[[#This Row],[Part]],PartControl!$A$2:$E$564,2,FALSE)),0)</f>
        <v>106.94</v>
      </c>
    </row>
    <row r="376" spans="1:26" ht="25.15" hidden="1" customHeight="1" x14ac:dyDescent="0.25">
      <c r="A376" s="112">
        <v>46241.695208333331</v>
      </c>
      <c r="B376" s="5" t="s">
        <v>232</v>
      </c>
      <c r="C376" s="5">
        <v>11546545</v>
      </c>
      <c r="D376" s="5">
        <v>714668</v>
      </c>
      <c r="E376" s="33">
        <v>27</v>
      </c>
      <c r="F376" s="60">
        <v>2500</v>
      </c>
      <c r="G376" s="60">
        <f>+OtherClients[[#This Row],[Boxes / Pieces]]*OtherClients[[#This Row],[Unit Quantity]]</f>
        <v>67500</v>
      </c>
      <c r="H376" s="60">
        <v>275</v>
      </c>
      <c r="I376" s="60" t="s">
        <v>278</v>
      </c>
      <c r="J376" s="104"/>
      <c r="K376" s="33" t="s">
        <v>278</v>
      </c>
      <c r="L376" s="111"/>
      <c r="M376" s="33" t="s">
        <v>278</v>
      </c>
      <c r="N376" s="111"/>
      <c r="O376" s="33" t="s">
        <v>278</v>
      </c>
      <c r="P376" s="111"/>
      <c r="Q376" s="33" t="s">
        <v>587</v>
      </c>
      <c r="R376" s="111"/>
      <c r="S376" s="33" t="s">
        <v>278</v>
      </c>
      <c r="T376" s="111"/>
      <c r="U376" s="33" t="s">
        <v>278</v>
      </c>
      <c r="V376" s="111"/>
      <c r="W376" s="59" t="s">
        <v>633</v>
      </c>
      <c r="X376" s="33" t="str">
        <f>+VLOOKUP(OtherClients[[#This Row],[Part]],PartControl!$A$2:$E$564,5,FALSE)</f>
        <v>infasco</v>
      </c>
      <c r="Y376" s="108">
        <f>IF(OtherClients[[#This Row],[Re-certified or New]]&lt;&gt;"Re-certified",IF(OtherClients[[#This Row],[Client]]="infasco",VLOOKUP(OtherClients[[#This Row],[Part]],PartControl!$A$2:$E$564,2,FALSE),OtherClients[[#This Row],[Total Quantity]]*VLOOKUP(OtherClients[[#This Row],[Part]],PartControl!$A$2:$E$564,2,FALSE)),0)</f>
        <v>0</v>
      </c>
      <c r="Z376" s="108">
        <f>IF(OtherClients[[#This Row],[Re-certified or New]]&lt;&gt;"Re-certified",IF(OtherClients[[#This Row],[Client]]="infasco",VLOOKUP(OtherClients[[#This Row],[Part]],PartControl!$A$2:$E$564,2,FALSE),OtherClients[[#This Row],[Total Quantity]]*VLOOKUP(OtherClients[[#This Row],[Part]],PartControl!$A$2:$E$564,2,FALSE)),0)</f>
        <v>0</v>
      </c>
    </row>
    <row r="377" spans="1:26" ht="25.15" hidden="1" customHeight="1" x14ac:dyDescent="0.25">
      <c r="A377" s="112">
        <v>46241.695208333331</v>
      </c>
      <c r="B377" s="5" t="s">
        <v>242</v>
      </c>
      <c r="C377" s="5" t="s">
        <v>647</v>
      </c>
      <c r="D377" s="5">
        <v>713986</v>
      </c>
      <c r="E377" s="33">
        <f>36-9</f>
        <v>27</v>
      </c>
      <c r="F377" s="60">
        <v>750</v>
      </c>
      <c r="G377" s="60">
        <f>+OtherClients[[#This Row],[Boxes / Pieces]]*OtherClients[[#This Row],[Unit Quantity]]</f>
        <v>20250</v>
      </c>
      <c r="H377" s="60">
        <v>275</v>
      </c>
      <c r="I377" s="60" t="s">
        <v>278</v>
      </c>
      <c r="J377" s="104"/>
      <c r="K377" s="33" t="s">
        <v>278</v>
      </c>
      <c r="L377" s="111"/>
      <c r="M377" s="33" t="s">
        <v>278</v>
      </c>
      <c r="N377" s="111"/>
      <c r="O377" s="33" t="s">
        <v>278</v>
      </c>
      <c r="P377" s="111"/>
      <c r="Q377" s="33" t="s">
        <v>587</v>
      </c>
      <c r="R377" s="111"/>
      <c r="S377" s="33" t="s">
        <v>278</v>
      </c>
      <c r="T377" s="111"/>
      <c r="U377" s="33" t="s">
        <v>278</v>
      </c>
      <c r="V377" s="111"/>
      <c r="W377" s="59" t="s">
        <v>548</v>
      </c>
      <c r="X377" s="33" t="str">
        <f>+VLOOKUP(OtherClients[[#This Row],[Part]],PartControl!$A$2:$E$564,5,FALSE)</f>
        <v>infasco</v>
      </c>
      <c r="Y377" s="108">
        <f>IF(OtherClients[[#This Row],[Re-certified or New]]&lt;&gt;"Re-certified",IF(OtherClients[[#This Row],[Client]]="infasco",VLOOKUP(OtherClients[[#This Row],[Part]],PartControl!$A$2:$E$564,2,FALSE),OtherClients[[#This Row],[Total Quantity]]*VLOOKUP(OtherClients[[#This Row],[Part]],PartControl!$A$2:$E$564,2,FALSE)),0)</f>
        <v>106.94</v>
      </c>
      <c r="Z377" s="108">
        <f>IF(OtherClients[[#This Row],[Re-certified or New]]&lt;&gt;"Re-certified",IF(OtherClients[[#This Row],[Client]]="infasco",VLOOKUP(OtherClients[[#This Row],[Part]],PartControl!$A$2:$E$564,2,FALSE),OtherClients[[#This Row],[Total Quantity]]*VLOOKUP(OtherClients[[#This Row],[Part]],PartControl!$A$2:$E$564,2,FALSE)),0)</f>
        <v>106.94</v>
      </c>
    </row>
    <row r="378" spans="1:26" ht="25.15" hidden="1" customHeight="1" x14ac:dyDescent="0.25">
      <c r="A378" s="112">
        <v>46241.695208333331</v>
      </c>
      <c r="B378" s="5" t="s">
        <v>242</v>
      </c>
      <c r="C378" s="5" t="s">
        <v>647</v>
      </c>
      <c r="D378" s="5">
        <v>714562</v>
      </c>
      <c r="E378" s="33">
        <v>17</v>
      </c>
      <c r="F378" s="60">
        <v>750</v>
      </c>
      <c r="G378" s="60">
        <f>+OtherClients[[#This Row],[Boxes / Pieces]]*OtherClients[[#This Row],[Unit Quantity]]</f>
        <v>12750</v>
      </c>
      <c r="H378" s="60">
        <v>275</v>
      </c>
      <c r="I378" s="60" t="s">
        <v>278</v>
      </c>
      <c r="J378" s="104"/>
      <c r="K378" s="33" t="s">
        <v>278</v>
      </c>
      <c r="L378" s="111"/>
      <c r="M378" s="33" t="s">
        <v>278</v>
      </c>
      <c r="N378" s="111"/>
      <c r="O378" s="33" t="s">
        <v>278</v>
      </c>
      <c r="P378" s="111"/>
      <c r="Q378" s="33" t="s">
        <v>587</v>
      </c>
      <c r="R378" s="111"/>
      <c r="S378" s="33" t="s">
        <v>278</v>
      </c>
      <c r="T378" s="111"/>
      <c r="U378" s="33" t="s">
        <v>278</v>
      </c>
      <c r="V378" s="111"/>
      <c r="W378" s="59" t="s">
        <v>548</v>
      </c>
      <c r="X378" s="33" t="str">
        <f>+VLOOKUP(OtherClients[[#This Row],[Part]],PartControl!$A$2:$E$564,5,FALSE)</f>
        <v>infasco</v>
      </c>
      <c r="Y378" s="108">
        <f>IF(OtherClients[[#This Row],[Re-certified or New]]&lt;&gt;"Re-certified",IF(OtherClients[[#This Row],[Client]]="infasco",VLOOKUP(OtherClients[[#This Row],[Part]],PartControl!$A$2:$E$564,2,FALSE),OtherClients[[#This Row],[Total Quantity]]*VLOOKUP(OtherClients[[#This Row],[Part]],PartControl!$A$2:$E$564,2,FALSE)),0)</f>
        <v>106.94</v>
      </c>
      <c r="Z378" s="108">
        <f>IF(OtherClients[[#This Row],[Re-certified or New]]&lt;&gt;"Re-certified",IF(OtherClients[[#This Row],[Client]]="infasco",VLOOKUP(OtherClients[[#This Row],[Part]],PartControl!$A$2:$E$564,2,FALSE),OtherClients[[#This Row],[Total Quantity]]*VLOOKUP(OtherClients[[#This Row],[Part]],PartControl!$A$2:$E$564,2,FALSE)),0)</f>
        <v>106.94</v>
      </c>
    </row>
    <row r="379" spans="1:26" ht="25.15" hidden="1" customHeight="1" x14ac:dyDescent="0.25">
      <c r="A379" s="112">
        <v>46241.695208333331</v>
      </c>
      <c r="B379" s="5" t="s">
        <v>242</v>
      </c>
      <c r="C379" s="5" t="s">
        <v>647</v>
      </c>
      <c r="D379" s="5">
        <v>713987</v>
      </c>
      <c r="E379" s="33">
        <v>8</v>
      </c>
      <c r="F379" s="60">
        <v>750</v>
      </c>
      <c r="G379" s="60">
        <f>+OtherClients[[#This Row],[Boxes / Pieces]]*OtherClients[[#This Row],[Unit Quantity]]</f>
        <v>6000</v>
      </c>
      <c r="H379" s="60">
        <v>275</v>
      </c>
      <c r="I379" s="60" t="s">
        <v>278</v>
      </c>
      <c r="J379" s="104"/>
      <c r="K379" s="33" t="s">
        <v>278</v>
      </c>
      <c r="L379" s="111"/>
      <c r="M379" s="33" t="s">
        <v>278</v>
      </c>
      <c r="N379" s="111"/>
      <c r="O379" s="33" t="s">
        <v>278</v>
      </c>
      <c r="P379" s="111"/>
      <c r="Q379" s="33" t="s">
        <v>587</v>
      </c>
      <c r="R379" s="111"/>
      <c r="S379" s="33" t="s">
        <v>278</v>
      </c>
      <c r="T379" s="111"/>
      <c r="U379" s="33" t="s">
        <v>278</v>
      </c>
      <c r="V379" s="111"/>
      <c r="W379" s="59" t="s">
        <v>633</v>
      </c>
      <c r="X379" s="33" t="str">
        <f>+VLOOKUP(OtherClients[[#This Row],[Part]],PartControl!$A$2:$E$564,5,FALSE)</f>
        <v>infasco</v>
      </c>
      <c r="Y379" s="108">
        <f>IF(OtherClients[[#This Row],[Re-certified or New]]&lt;&gt;"Re-certified",IF(OtherClients[[#This Row],[Client]]="infasco",VLOOKUP(OtherClients[[#This Row],[Part]],PartControl!$A$2:$E$564,2,FALSE),OtherClients[[#This Row],[Total Quantity]]*VLOOKUP(OtherClients[[#This Row],[Part]],PartControl!$A$2:$E$564,2,FALSE)),0)</f>
        <v>0</v>
      </c>
      <c r="Z379" s="108">
        <f>IF(OtherClients[[#This Row],[Re-certified or New]]&lt;&gt;"Re-certified",IF(OtherClients[[#This Row],[Client]]="infasco",VLOOKUP(OtherClients[[#This Row],[Part]],PartControl!$A$2:$E$564,2,FALSE),OtherClients[[#This Row],[Total Quantity]]*VLOOKUP(OtherClients[[#This Row],[Part]],PartControl!$A$2:$E$564,2,FALSE)),0)</f>
        <v>0</v>
      </c>
    </row>
    <row r="380" spans="1:26" ht="25.15" hidden="1" customHeight="1" x14ac:dyDescent="0.25">
      <c r="A380" s="112">
        <v>46241.695208333331</v>
      </c>
      <c r="B380" s="5" t="s">
        <v>234</v>
      </c>
      <c r="C380" s="5">
        <v>11546545</v>
      </c>
      <c r="D380" s="5">
        <v>714671</v>
      </c>
      <c r="E380" s="33">
        <f>36-19</f>
        <v>17</v>
      </c>
      <c r="F380" s="60">
        <v>2500</v>
      </c>
      <c r="G380" s="60">
        <f>+OtherClients[[#This Row],[Boxes / Pieces]]*OtherClients[[#This Row],[Unit Quantity]]</f>
        <v>42500</v>
      </c>
      <c r="H380" s="60">
        <v>275</v>
      </c>
      <c r="I380" s="60" t="s">
        <v>278</v>
      </c>
      <c r="J380" s="104"/>
      <c r="K380" s="33" t="s">
        <v>278</v>
      </c>
      <c r="L380" s="111"/>
      <c r="M380" s="33" t="s">
        <v>278</v>
      </c>
      <c r="N380" s="111"/>
      <c r="O380" s="33" t="s">
        <v>278</v>
      </c>
      <c r="P380" s="111"/>
      <c r="Q380" s="33" t="s">
        <v>587</v>
      </c>
      <c r="R380" s="111"/>
      <c r="S380" s="33" t="s">
        <v>278</v>
      </c>
      <c r="T380" s="111"/>
      <c r="U380" s="33" t="s">
        <v>278</v>
      </c>
      <c r="V380" s="111"/>
      <c r="W380" s="59" t="s">
        <v>548</v>
      </c>
      <c r="X380" s="33" t="str">
        <f>+VLOOKUP(OtherClients[[#This Row],[Part]],PartControl!$A$2:$E$564,5,FALSE)</f>
        <v>infasco</v>
      </c>
      <c r="Y380" s="108">
        <f>IF(OtherClients[[#This Row],[Re-certified or New]]&lt;&gt;"Re-certified",IF(OtherClients[[#This Row],[Client]]="infasco",VLOOKUP(OtherClients[[#This Row],[Part]],PartControl!$A$2:$E$564,2,FALSE),OtherClients[[#This Row],[Total Quantity]]*VLOOKUP(OtherClients[[#This Row],[Part]],PartControl!$A$2:$E$564,2,FALSE)),0)</f>
        <v>106.94</v>
      </c>
      <c r="Z380" s="108">
        <f>IF(OtherClients[[#This Row],[Re-certified or New]]&lt;&gt;"Re-certified",IF(OtherClients[[#This Row],[Client]]="infasco",VLOOKUP(OtherClients[[#This Row],[Part]],PartControl!$A$2:$E$564,2,FALSE),OtherClients[[#This Row],[Total Quantity]]*VLOOKUP(OtherClients[[#This Row],[Part]],PartControl!$A$2:$E$564,2,FALSE)),0)</f>
        <v>106.94</v>
      </c>
    </row>
    <row r="381" spans="1:26" ht="25.15" hidden="1" customHeight="1" x14ac:dyDescent="0.25">
      <c r="A381" s="112">
        <v>46241.695208333331</v>
      </c>
      <c r="B381" s="5" t="s">
        <v>234</v>
      </c>
      <c r="C381" s="5" t="s">
        <v>642</v>
      </c>
      <c r="D381" s="5">
        <v>715711</v>
      </c>
      <c r="E381" s="33">
        <v>5</v>
      </c>
      <c r="F381" s="60">
        <v>2800</v>
      </c>
      <c r="G381" s="60">
        <f>+OtherClients[[#This Row],[Boxes / Pieces]]*OtherClients[[#This Row],[Unit Quantity]]</f>
        <v>14000</v>
      </c>
      <c r="H381" s="60">
        <v>275</v>
      </c>
      <c r="I381" s="60" t="s">
        <v>278</v>
      </c>
      <c r="J381" s="104"/>
      <c r="K381" s="33" t="s">
        <v>278</v>
      </c>
      <c r="L381" s="111"/>
      <c r="M381" s="33" t="s">
        <v>278</v>
      </c>
      <c r="N381" s="111"/>
      <c r="O381" s="33" t="s">
        <v>278</v>
      </c>
      <c r="P381" s="111"/>
      <c r="Q381" s="33" t="s">
        <v>587</v>
      </c>
      <c r="R381" s="111"/>
      <c r="S381" s="33" t="s">
        <v>278</v>
      </c>
      <c r="T381" s="111"/>
      <c r="U381" s="33" t="s">
        <v>278</v>
      </c>
      <c r="V381" s="111"/>
      <c r="W381" s="59" t="s">
        <v>633</v>
      </c>
      <c r="X381" s="33" t="str">
        <f>+VLOOKUP(OtherClients[[#This Row],[Part]],PartControl!$A$2:$E$564,5,FALSE)</f>
        <v>infasco</v>
      </c>
      <c r="Y381" s="108">
        <f>IF(OtherClients[[#This Row],[Re-certified or New]]&lt;&gt;"Re-certified",IF(OtherClients[[#This Row],[Client]]="infasco",VLOOKUP(OtherClients[[#This Row],[Part]],PartControl!$A$2:$E$564,2,FALSE),OtherClients[[#This Row],[Total Quantity]]*VLOOKUP(OtherClients[[#This Row],[Part]],PartControl!$A$2:$E$564,2,FALSE)),0)</f>
        <v>0</v>
      </c>
      <c r="Z381" s="108">
        <f>IF(OtherClients[[#This Row],[Re-certified or New]]&lt;&gt;"Re-certified",IF(OtherClients[[#This Row],[Client]]="infasco",VLOOKUP(OtherClients[[#This Row],[Part]],PartControl!$A$2:$E$564,2,FALSE),OtherClients[[#This Row],[Total Quantity]]*VLOOKUP(OtherClients[[#This Row],[Part]],PartControl!$A$2:$E$564,2,FALSE)),0)</f>
        <v>0</v>
      </c>
    </row>
    <row r="382" spans="1:26" ht="25.15" hidden="1" customHeight="1" x14ac:dyDescent="0.25">
      <c r="A382" s="112">
        <v>46241.695208333331</v>
      </c>
      <c r="B382" s="5" t="s">
        <v>238</v>
      </c>
      <c r="C382" s="5">
        <v>11516074</v>
      </c>
      <c r="D382" s="5">
        <v>714303</v>
      </c>
      <c r="E382" s="33">
        <f>36-15</f>
        <v>21</v>
      </c>
      <c r="F382" s="60">
        <v>700</v>
      </c>
      <c r="G382" s="60">
        <f>+OtherClients[[#This Row],[Boxes / Pieces]]*OtherClients[[#This Row],[Unit Quantity]]</f>
        <v>14700</v>
      </c>
      <c r="H382" s="60">
        <v>275</v>
      </c>
      <c r="I382" s="60" t="s">
        <v>278</v>
      </c>
      <c r="J382" s="104"/>
      <c r="K382" s="33" t="s">
        <v>278</v>
      </c>
      <c r="L382" s="111"/>
      <c r="M382" s="33" t="s">
        <v>278</v>
      </c>
      <c r="N382" s="111"/>
      <c r="O382" s="33" t="s">
        <v>278</v>
      </c>
      <c r="P382" s="111"/>
      <c r="Q382" s="33" t="s">
        <v>587</v>
      </c>
      <c r="R382" s="111"/>
      <c r="S382" s="33" t="s">
        <v>278</v>
      </c>
      <c r="T382" s="111"/>
      <c r="U382" s="33" t="s">
        <v>278</v>
      </c>
      <c r="V382" s="111"/>
      <c r="W382" s="59" t="s">
        <v>548</v>
      </c>
      <c r="X382" s="33" t="str">
        <f>+VLOOKUP(OtherClients[[#This Row],[Part]],PartControl!$A$2:$E$564,5,FALSE)</f>
        <v>infasco</v>
      </c>
      <c r="Y382" s="108">
        <f>IF(OtherClients[[#This Row],[Re-certified or New]]&lt;&gt;"Re-certified",IF(OtherClients[[#This Row],[Client]]="infasco",VLOOKUP(OtherClients[[#This Row],[Part]],PartControl!$A$2:$E$564,2,FALSE),OtherClients[[#This Row],[Total Quantity]]*VLOOKUP(OtherClients[[#This Row],[Part]],PartControl!$A$2:$E$564,2,FALSE)),0)</f>
        <v>106.94</v>
      </c>
      <c r="Z382" s="108">
        <f>IF(OtherClients[[#This Row],[Re-certified or New]]&lt;&gt;"Re-certified",IF(OtherClients[[#This Row],[Client]]="infasco",VLOOKUP(OtherClients[[#This Row],[Part]],PartControl!$A$2:$E$564,2,FALSE),OtherClients[[#This Row],[Total Quantity]]*VLOOKUP(OtherClients[[#This Row],[Part]],PartControl!$A$2:$E$564,2,FALSE)),0)</f>
        <v>106.94</v>
      </c>
    </row>
    <row r="383" spans="1:26" ht="25.15" hidden="1" customHeight="1" x14ac:dyDescent="0.25">
      <c r="A383" s="112">
        <v>46241.695208333331</v>
      </c>
      <c r="B383" s="5" t="s">
        <v>238</v>
      </c>
      <c r="C383" s="5">
        <v>11516074</v>
      </c>
      <c r="D383" s="5">
        <v>714302</v>
      </c>
      <c r="E383" s="33">
        <v>19</v>
      </c>
      <c r="F383" s="60">
        <v>700</v>
      </c>
      <c r="G383" s="60">
        <f>+OtherClients[[#This Row],[Boxes / Pieces]]*OtherClients[[#This Row],[Unit Quantity]]</f>
        <v>13300</v>
      </c>
      <c r="H383" s="60">
        <v>275</v>
      </c>
      <c r="I383" s="60" t="s">
        <v>278</v>
      </c>
      <c r="J383" s="104"/>
      <c r="K383" s="33" t="s">
        <v>278</v>
      </c>
      <c r="L383" s="111"/>
      <c r="M383" s="33" t="s">
        <v>278</v>
      </c>
      <c r="N383" s="111"/>
      <c r="O383" s="33" t="s">
        <v>278</v>
      </c>
      <c r="P383" s="111"/>
      <c r="Q383" s="33" t="s">
        <v>587</v>
      </c>
      <c r="R383" s="111"/>
      <c r="S383" s="33" t="s">
        <v>278</v>
      </c>
      <c r="T383" s="111"/>
      <c r="U383" s="33" t="s">
        <v>278</v>
      </c>
      <c r="V383" s="111"/>
      <c r="W383" s="59" t="s">
        <v>548</v>
      </c>
      <c r="X383" s="33" t="str">
        <f>+VLOOKUP(OtherClients[[#This Row],[Part]],PartControl!$A$2:$E$564,5,FALSE)</f>
        <v>infasco</v>
      </c>
      <c r="Y383" s="108">
        <f>IF(OtherClients[[#This Row],[Re-certified or New]]&lt;&gt;"Re-certified",IF(OtherClients[[#This Row],[Client]]="infasco",VLOOKUP(OtherClients[[#This Row],[Part]],PartControl!$A$2:$E$564,2,FALSE),OtherClients[[#This Row],[Total Quantity]]*VLOOKUP(OtherClients[[#This Row],[Part]],PartControl!$A$2:$E$564,2,FALSE)),0)</f>
        <v>106.94</v>
      </c>
      <c r="Z383" s="108">
        <f>IF(OtherClients[[#This Row],[Re-certified or New]]&lt;&gt;"Re-certified",IF(OtherClients[[#This Row],[Client]]="infasco",VLOOKUP(OtherClients[[#This Row],[Part]],PartControl!$A$2:$E$564,2,FALSE),OtherClients[[#This Row],[Total Quantity]]*VLOOKUP(OtherClients[[#This Row],[Part]],PartControl!$A$2:$E$564,2,FALSE)),0)</f>
        <v>106.94</v>
      </c>
    </row>
    <row r="384" spans="1:26" ht="25.15" hidden="1" customHeight="1" x14ac:dyDescent="0.25">
      <c r="A384" s="112">
        <v>46241.695208333331</v>
      </c>
      <c r="B384" s="5" t="s">
        <v>233</v>
      </c>
      <c r="C384" s="5">
        <v>11546545</v>
      </c>
      <c r="D384" s="5">
        <v>716188</v>
      </c>
      <c r="E384" s="33">
        <v>36</v>
      </c>
      <c r="F384" s="60">
        <v>2500</v>
      </c>
      <c r="G384" s="60">
        <f>+OtherClients[[#This Row],[Boxes / Pieces]]*OtherClients[[#This Row],[Unit Quantity]]</f>
        <v>90000</v>
      </c>
      <c r="H384" s="60">
        <v>275</v>
      </c>
      <c r="I384" s="60" t="s">
        <v>278</v>
      </c>
      <c r="J384" s="104"/>
      <c r="K384" s="33" t="s">
        <v>278</v>
      </c>
      <c r="L384" s="111"/>
      <c r="M384" s="33" t="s">
        <v>278</v>
      </c>
      <c r="N384" s="111"/>
      <c r="O384" s="33" t="s">
        <v>278</v>
      </c>
      <c r="P384" s="111"/>
      <c r="Q384" s="33" t="s">
        <v>587</v>
      </c>
      <c r="R384" s="111"/>
      <c r="S384" s="33" t="s">
        <v>278</v>
      </c>
      <c r="T384" s="111"/>
      <c r="U384" s="33" t="s">
        <v>278</v>
      </c>
      <c r="V384" s="111"/>
      <c r="W384" s="59" t="s">
        <v>548</v>
      </c>
      <c r="X384" s="33" t="str">
        <f>+VLOOKUP(OtherClients[[#This Row],[Part]],PartControl!$A$2:$E$564,5,FALSE)</f>
        <v>infasco</v>
      </c>
      <c r="Y384" s="108">
        <f>IF(OtherClients[[#This Row],[Re-certified or New]]&lt;&gt;"Re-certified",IF(OtherClients[[#This Row],[Client]]="infasco",VLOOKUP(OtherClients[[#This Row],[Part]],PartControl!$A$2:$E$564,2,FALSE),OtherClients[[#This Row],[Total Quantity]]*VLOOKUP(OtherClients[[#This Row],[Part]],PartControl!$A$2:$E$564,2,FALSE)),0)</f>
        <v>106.94</v>
      </c>
      <c r="Z384" s="108">
        <f>IF(OtherClients[[#This Row],[Re-certified or New]]&lt;&gt;"Re-certified",IF(OtherClients[[#This Row],[Client]]="infasco",VLOOKUP(OtherClients[[#This Row],[Part]],PartControl!$A$2:$E$564,2,FALSE),OtherClients[[#This Row],[Total Quantity]]*VLOOKUP(OtherClients[[#This Row],[Part]],PartControl!$A$2:$E$564,2,FALSE)),0)</f>
        <v>106.94</v>
      </c>
    </row>
    <row r="385" spans="1:26" ht="25.15" hidden="1" customHeight="1" x14ac:dyDescent="0.25">
      <c r="A385" s="112">
        <v>46241.695208333331</v>
      </c>
      <c r="B385" s="5" t="s">
        <v>636</v>
      </c>
      <c r="C385" s="5" t="s">
        <v>647</v>
      </c>
      <c r="D385" s="5">
        <v>714563</v>
      </c>
      <c r="E385" s="33">
        <v>24</v>
      </c>
      <c r="F385" s="60">
        <v>750</v>
      </c>
      <c r="G385" s="60">
        <f>+OtherClients[[#This Row],[Boxes / Pieces]]*OtherClients[[#This Row],[Unit Quantity]]</f>
        <v>18000</v>
      </c>
      <c r="H385" s="60">
        <v>280</v>
      </c>
      <c r="I385" s="60" t="s">
        <v>278</v>
      </c>
      <c r="J385" s="104"/>
      <c r="K385" s="33" t="s">
        <v>278</v>
      </c>
      <c r="L385" s="111"/>
      <c r="M385" s="33" t="s">
        <v>278</v>
      </c>
      <c r="N385" s="111"/>
      <c r="O385" s="33" t="s">
        <v>278</v>
      </c>
      <c r="P385" s="111"/>
      <c r="Q385" s="33" t="s">
        <v>587</v>
      </c>
      <c r="R385" s="111"/>
      <c r="S385" s="33" t="s">
        <v>278</v>
      </c>
      <c r="T385" s="111"/>
      <c r="U385" s="33" t="s">
        <v>278</v>
      </c>
      <c r="V385" s="111"/>
      <c r="W385" s="59" t="s">
        <v>633</v>
      </c>
      <c r="X385" s="33" t="str">
        <f>+VLOOKUP(OtherClients[[#This Row],[Part]],PartControl!$A$2:$E$564,5,FALSE)</f>
        <v>infasco</v>
      </c>
      <c r="Y385" s="108">
        <f>IF(OtherClients[[#This Row],[Re-certified or New]]&lt;&gt;"Re-certified",IF(OtherClients[[#This Row],[Client]]="infasco",VLOOKUP(OtherClients[[#This Row],[Part]],PartControl!$A$2:$E$564,2,FALSE),OtherClients[[#This Row],[Total Quantity]]*VLOOKUP(OtherClients[[#This Row],[Part]],PartControl!$A$2:$E$564,2,FALSE)),0)</f>
        <v>0</v>
      </c>
      <c r="Z385" s="108">
        <f>IF(OtherClients[[#This Row],[Re-certified or New]]&lt;&gt;"Re-certified",IF(OtherClients[[#This Row],[Client]]="infasco",VLOOKUP(OtherClients[[#This Row],[Part]],PartControl!$A$2:$E$564,2,FALSE),OtherClients[[#This Row],[Total Quantity]]*VLOOKUP(OtherClients[[#This Row],[Part]],PartControl!$A$2:$E$564,2,FALSE)),0)</f>
        <v>0</v>
      </c>
    </row>
    <row r="386" spans="1:26" ht="25.15" hidden="1" customHeight="1" x14ac:dyDescent="0.25">
      <c r="A386" s="112">
        <v>46241.695208333331</v>
      </c>
      <c r="B386" s="5" t="s">
        <v>637</v>
      </c>
      <c r="C386" s="5">
        <v>11546545</v>
      </c>
      <c r="D386" s="5">
        <v>716189</v>
      </c>
      <c r="E386" s="33">
        <f>36-18</f>
        <v>18</v>
      </c>
      <c r="F386" s="60">
        <v>2500</v>
      </c>
      <c r="G386" s="60">
        <f>+OtherClients[[#This Row],[Boxes / Pieces]]*OtherClients[[#This Row],[Unit Quantity]]</f>
        <v>45000</v>
      </c>
      <c r="H386" s="60">
        <v>280</v>
      </c>
      <c r="I386" s="60" t="s">
        <v>278</v>
      </c>
      <c r="J386" s="104"/>
      <c r="K386" s="33" t="s">
        <v>278</v>
      </c>
      <c r="L386" s="111"/>
      <c r="M386" s="33" t="s">
        <v>278</v>
      </c>
      <c r="N386" s="111"/>
      <c r="O386" s="33" t="s">
        <v>278</v>
      </c>
      <c r="P386" s="111"/>
      <c r="Q386" s="33" t="s">
        <v>587</v>
      </c>
      <c r="R386" s="111"/>
      <c r="S386" s="33" t="s">
        <v>278</v>
      </c>
      <c r="T386" s="111"/>
      <c r="U386" s="33" t="s">
        <v>278</v>
      </c>
      <c r="V386" s="111"/>
      <c r="W386" s="59" t="s">
        <v>548</v>
      </c>
      <c r="X386" s="33" t="str">
        <f>+VLOOKUP(OtherClients[[#This Row],[Part]],PartControl!$A$2:$E$564,5,FALSE)</f>
        <v>infasco</v>
      </c>
      <c r="Y386" s="108">
        <f>IF(OtherClients[[#This Row],[Re-certified or New]]&lt;&gt;"Re-certified",IF(OtherClients[[#This Row],[Client]]="infasco",VLOOKUP(OtherClients[[#This Row],[Part]],PartControl!$A$2:$E$564,2,FALSE),OtherClients[[#This Row],[Total Quantity]]*VLOOKUP(OtherClients[[#This Row],[Part]],PartControl!$A$2:$E$564,2,FALSE)),0)</f>
        <v>106.94</v>
      </c>
      <c r="Z386" s="108">
        <f>IF(OtherClients[[#This Row],[Re-certified or New]]&lt;&gt;"Re-certified",IF(OtherClients[[#This Row],[Client]]="infasco",VLOOKUP(OtherClients[[#This Row],[Part]],PartControl!$A$2:$E$564,2,FALSE),OtherClients[[#This Row],[Total Quantity]]*VLOOKUP(OtherClients[[#This Row],[Part]],PartControl!$A$2:$E$564,2,FALSE)),0)</f>
        <v>106.94</v>
      </c>
    </row>
    <row r="387" spans="1:26" ht="25.15" hidden="1" customHeight="1" x14ac:dyDescent="0.25">
      <c r="A387" s="112">
        <v>46241.695208333331</v>
      </c>
      <c r="B387" s="5" t="s">
        <v>635</v>
      </c>
      <c r="C387" s="5" t="s">
        <v>730</v>
      </c>
      <c r="D387" s="5">
        <v>713717</v>
      </c>
      <c r="E387" s="33">
        <f>36+4-20</f>
        <v>20</v>
      </c>
      <c r="F387" s="60">
        <v>3500</v>
      </c>
      <c r="G387" s="60">
        <f>+OtherClients[[#This Row],[Boxes / Pieces]]*OtherClients[[#This Row],[Unit Quantity]]</f>
        <v>70000</v>
      </c>
      <c r="H387" s="60">
        <v>280</v>
      </c>
      <c r="I387" s="60" t="s">
        <v>278</v>
      </c>
      <c r="J387" s="104"/>
      <c r="K387" s="33" t="s">
        <v>278</v>
      </c>
      <c r="L387" s="111"/>
      <c r="M387" s="33" t="s">
        <v>278</v>
      </c>
      <c r="N387" s="111"/>
      <c r="O387" s="33" t="s">
        <v>278</v>
      </c>
      <c r="P387" s="111"/>
      <c r="Q387" s="33" t="s">
        <v>587</v>
      </c>
      <c r="R387" s="111"/>
      <c r="S387" s="33" t="s">
        <v>278</v>
      </c>
      <c r="T387" s="111"/>
      <c r="U387" s="33" t="s">
        <v>278</v>
      </c>
      <c r="V387" s="111"/>
      <c r="W387" s="59" t="s">
        <v>548</v>
      </c>
      <c r="X387" s="33" t="str">
        <f>+VLOOKUP(OtherClients[[#This Row],[Part]],PartControl!$A$2:$E$564,5,FALSE)</f>
        <v>infasco</v>
      </c>
      <c r="Y387" s="108">
        <f>IF(OtherClients[[#This Row],[Re-certified or New]]&lt;&gt;"Re-certified",IF(OtherClients[[#This Row],[Client]]="infasco",VLOOKUP(OtherClients[[#This Row],[Part]],PartControl!$A$2:$E$564,2,FALSE),OtherClients[[#This Row],[Total Quantity]]*VLOOKUP(OtherClients[[#This Row],[Part]],PartControl!$A$2:$E$564,2,FALSE)),0)</f>
        <v>106.94</v>
      </c>
      <c r="Z387" s="108">
        <f>IF(OtherClients[[#This Row],[Re-certified or New]]&lt;&gt;"Re-certified",IF(OtherClients[[#This Row],[Client]]="infasco",VLOOKUP(OtherClients[[#This Row],[Part]],PartControl!$A$2:$E$564,2,FALSE),OtherClients[[#This Row],[Total Quantity]]*VLOOKUP(OtherClients[[#This Row],[Part]],PartControl!$A$2:$E$564,2,FALSE)),0)</f>
        <v>106.94</v>
      </c>
    </row>
    <row r="388" spans="1:26" ht="25.15" hidden="1" customHeight="1" x14ac:dyDescent="0.25">
      <c r="A388" s="112">
        <v>46241.695208333331</v>
      </c>
      <c r="B388" s="5" t="s">
        <v>634</v>
      </c>
      <c r="C388" s="5" t="s">
        <v>730</v>
      </c>
      <c r="D388" s="5">
        <v>710966</v>
      </c>
      <c r="E388" s="33">
        <v>25</v>
      </c>
      <c r="F388" s="60">
        <v>3500</v>
      </c>
      <c r="G388" s="60">
        <f>+OtherClients[[#This Row],[Boxes / Pieces]]*OtherClients[[#This Row],[Unit Quantity]]</f>
        <v>87500</v>
      </c>
      <c r="H388" s="60">
        <v>280</v>
      </c>
      <c r="I388" s="60" t="s">
        <v>278</v>
      </c>
      <c r="J388" s="104"/>
      <c r="K388" s="33" t="s">
        <v>278</v>
      </c>
      <c r="L388" s="111"/>
      <c r="M388" s="33" t="s">
        <v>278</v>
      </c>
      <c r="N388" s="111"/>
      <c r="O388" s="33" t="s">
        <v>278</v>
      </c>
      <c r="P388" s="111"/>
      <c r="Q388" s="33" t="s">
        <v>587</v>
      </c>
      <c r="R388" s="111"/>
      <c r="S388" s="33" t="s">
        <v>278</v>
      </c>
      <c r="T388" s="111"/>
      <c r="U388" s="33" t="s">
        <v>278</v>
      </c>
      <c r="V388" s="111"/>
      <c r="W388" s="59" t="s">
        <v>633</v>
      </c>
      <c r="X388" s="33" t="str">
        <f>+VLOOKUP(OtherClients[[#This Row],[Part]],PartControl!$A$2:$E$564,5,FALSE)</f>
        <v>infasco</v>
      </c>
      <c r="Y388" s="108">
        <f>IF(OtherClients[[#This Row],[Re-certified or New]]&lt;&gt;"Re-certified",IF(OtherClients[[#This Row],[Client]]="infasco",VLOOKUP(OtherClients[[#This Row],[Part]],PartControl!$A$2:$E$564,2,FALSE),OtherClients[[#This Row],[Total Quantity]]*VLOOKUP(OtherClients[[#This Row],[Part]],PartControl!$A$2:$E$564,2,FALSE)),0)</f>
        <v>0</v>
      </c>
      <c r="Z388" s="108">
        <f>IF(OtherClients[[#This Row],[Re-certified or New]]&lt;&gt;"Re-certified",IF(OtherClients[[#This Row],[Client]]="infasco",VLOOKUP(OtherClients[[#This Row],[Part]],PartControl!$A$2:$E$564,2,FALSE),OtherClients[[#This Row],[Total Quantity]]*VLOOKUP(OtherClients[[#This Row],[Part]],PartControl!$A$2:$E$564,2,FALSE)),0)</f>
        <v>0</v>
      </c>
    </row>
    <row r="389" spans="1:26" ht="25.15" hidden="1" customHeight="1" x14ac:dyDescent="0.25">
      <c r="A389" s="112">
        <v>46241.695208333331</v>
      </c>
      <c r="B389" s="5" t="s">
        <v>834</v>
      </c>
      <c r="C389" s="5">
        <v>11546377</v>
      </c>
      <c r="D389" s="5">
        <v>715734</v>
      </c>
      <c r="E389" s="33">
        <f>36-33</f>
        <v>3</v>
      </c>
      <c r="F389" s="60">
        <v>2150</v>
      </c>
      <c r="G389" s="60">
        <f>+OtherClients[[#This Row],[Boxes / Pieces]]*OtherClients[[#This Row],[Unit Quantity]]</f>
        <v>6450</v>
      </c>
      <c r="H389" s="60">
        <v>280</v>
      </c>
      <c r="I389" s="60" t="s">
        <v>278</v>
      </c>
      <c r="J389" s="104"/>
      <c r="K389" s="33" t="s">
        <v>278</v>
      </c>
      <c r="L389" s="111"/>
      <c r="M389" s="33" t="s">
        <v>278</v>
      </c>
      <c r="N389" s="111"/>
      <c r="O389" s="33" t="s">
        <v>278</v>
      </c>
      <c r="P389" s="111"/>
      <c r="Q389" s="33" t="s">
        <v>587</v>
      </c>
      <c r="R389" s="111"/>
      <c r="S389" s="33" t="s">
        <v>278</v>
      </c>
      <c r="T389" s="111"/>
      <c r="U389" s="33" t="s">
        <v>278</v>
      </c>
      <c r="V389" s="111"/>
      <c r="W389" s="59" t="s">
        <v>548</v>
      </c>
      <c r="X389" s="33" t="str">
        <f>+VLOOKUP(OtherClients[[#This Row],[Part]],PartControl!$A$2:$E$564,5,FALSE)</f>
        <v>INFASCO</v>
      </c>
      <c r="Y389" s="108">
        <f>IF(OtherClients[[#This Row],[Re-certified or New]]&lt;&gt;"Re-certified",IF(OtherClients[[#This Row],[Client]]="infasco",VLOOKUP(OtherClients[[#This Row],[Part]],PartControl!$A$2:$E$564,2,FALSE),OtherClients[[#This Row],[Total Quantity]]*VLOOKUP(OtherClients[[#This Row],[Part]],PartControl!$A$2:$E$564,2,FALSE)),0)</f>
        <v>106.94</v>
      </c>
      <c r="Z389" s="108">
        <f>IF(OtherClients[[#This Row],[Re-certified or New]]&lt;&gt;"Re-certified",IF(OtherClients[[#This Row],[Client]]="infasco",VLOOKUP(OtherClients[[#This Row],[Part]],PartControl!$A$2:$E$564,2,FALSE),OtherClients[[#This Row],[Total Quantity]]*VLOOKUP(OtherClients[[#This Row],[Part]],PartControl!$A$2:$E$564,2,FALSE)),0)</f>
        <v>106.94</v>
      </c>
    </row>
    <row r="390" spans="1:26" ht="25.15" hidden="1" customHeight="1" x14ac:dyDescent="0.25">
      <c r="A390" s="112">
        <v>46241.695208333331</v>
      </c>
      <c r="B390" s="5" t="s">
        <v>834</v>
      </c>
      <c r="C390" s="5">
        <v>11546377</v>
      </c>
      <c r="D390" s="5">
        <v>715735</v>
      </c>
      <c r="E390" s="33">
        <v>28</v>
      </c>
      <c r="F390" s="60">
        <v>2150</v>
      </c>
      <c r="G390" s="60">
        <f>+OtherClients[[#This Row],[Boxes / Pieces]]*OtherClients[[#This Row],[Unit Quantity]]</f>
        <v>60200</v>
      </c>
      <c r="H390" s="60">
        <v>280</v>
      </c>
      <c r="I390" s="60" t="s">
        <v>278</v>
      </c>
      <c r="J390" s="104"/>
      <c r="K390" s="33" t="s">
        <v>278</v>
      </c>
      <c r="L390" s="111"/>
      <c r="M390" s="33" t="s">
        <v>278</v>
      </c>
      <c r="N390" s="111"/>
      <c r="O390" s="33" t="s">
        <v>278</v>
      </c>
      <c r="P390" s="111"/>
      <c r="Q390" s="33" t="s">
        <v>587</v>
      </c>
      <c r="R390" s="111"/>
      <c r="S390" s="33" t="s">
        <v>278</v>
      </c>
      <c r="T390" s="111"/>
      <c r="U390" s="33" t="s">
        <v>278</v>
      </c>
      <c r="V390" s="111"/>
      <c r="W390" s="59" t="s">
        <v>548</v>
      </c>
      <c r="X390" s="33" t="str">
        <f>+VLOOKUP(OtherClients[[#This Row],[Part]],PartControl!$A$2:$E$564,5,FALSE)</f>
        <v>INFASCO</v>
      </c>
      <c r="Y390" s="108">
        <f>IF(OtherClients[[#This Row],[Re-certified or New]]&lt;&gt;"Re-certified",IF(OtherClients[[#This Row],[Client]]="infasco",VLOOKUP(OtherClients[[#This Row],[Part]],PartControl!$A$2:$E$564,2,FALSE),OtherClients[[#This Row],[Total Quantity]]*VLOOKUP(OtherClients[[#This Row],[Part]],PartControl!$A$2:$E$564,2,FALSE)),0)</f>
        <v>106.94</v>
      </c>
      <c r="Z390" s="108">
        <f>IF(OtherClients[[#This Row],[Re-certified or New]]&lt;&gt;"Re-certified",IF(OtherClients[[#This Row],[Client]]="infasco",VLOOKUP(OtherClients[[#This Row],[Part]],PartControl!$A$2:$E$564,2,FALSE),OtherClients[[#This Row],[Total Quantity]]*VLOOKUP(OtherClients[[#This Row],[Part]],PartControl!$A$2:$E$564,2,FALSE)),0)</f>
        <v>106.94</v>
      </c>
    </row>
    <row r="391" spans="1:26" ht="25.15" hidden="1" customHeight="1" x14ac:dyDescent="0.25">
      <c r="A391" s="112">
        <v>46241.695208333331</v>
      </c>
      <c r="B391" s="5" t="s">
        <v>834</v>
      </c>
      <c r="C391" s="5">
        <v>11546377</v>
      </c>
      <c r="D391" s="5">
        <v>715736</v>
      </c>
      <c r="E391" s="33">
        <v>12</v>
      </c>
      <c r="F391" s="60">
        <v>2150</v>
      </c>
      <c r="G391" s="60">
        <f>+OtherClients[[#This Row],[Boxes / Pieces]]*OtherClients[[#This Row],[Unit Quantity]]</f>
        <v>25800</v>
      </c>
      <c r="H391" s="60">
        <v>280</v>
      </c>
      <c r="I391" s="60" t="s">
        <v>278</v>
      </c>
      <c r="J391" s="104"/>
      <c r="K391" s="33" t="s">
        <v>278</v>
      </c>
      <c r="L391" s="111"/>
      <c r="M391" s="33" t="s">
        <v>278</v>
      </c>
      <c r="N391" s="111"/>
      <c r="O391" s="33" t="s">
        <v>278</v>
      </c>
      <c r="P391" s="111"/>
      <c r="Q391" s="33" t="s">
        <v>587</v>
      </c>
      <c r="R391" s="111"/>
      <c r="S391" s="33" t="s">
        <v>278</v>
      </c>
      <c r="T391" s="111"/>
      <c r="U391" s="33" t="s">
        <v>278</v>
      </c>
      <c r="V391" s="111"/>
      <c r="W391" s="59" t="s">
        <v>633</v>
      </c>
      <c r="X391" s="33" t="str">
        <f>+VLOOKUP(OtherClients[[#This Row],[Part]],PartControl!$A$2:$E$564,5,FALSE)</f>
        <v>INFASCO</v>
      </c>
      <c r="Y391" s="108">
        <f>IF(OtherClients[[#This Row],[Re-certified or New]]&lt;&gt;"Re-certified",IF(OtherClients[[#This Row],[Client]]="infasco",VLOOKUP(OtherClients[[#This Row],[Part]],PartControl!$A$2:$E$564,2,FALSE),OtherClients[[#This Row],[Total Quantity]]*VLOOKUP(OtherClients[[#This Row],[Part]],PartControl!$A$2:$E$564,2,FALSE)),0)</f>
        <v>0</v>
      </c>
      <c r="Z391" s="108">
        <f>IF(OtherClients[[#This Row],[Re-certified or New]]&lt;&gt;"Re-certified",IF(OtherClients[[#This Row],[Client]]="infasco",VLOOKUP(OtherClients[[#This Row],[Part]],PartControl!$A$2:$E$564,2,FALSE),OtherClients[[#This Row],[Total Quantity]]*VLOOKUP(OtherClients[[#This Row],[Part]],PartControl!$A$2:$E$564,2,FALSE)),0)</f>
        <v>0</v>
      </c>
    </row>
    <row r="392" spans="1:26" ht="25.15" hidden="1" customHeight="1" x14ac:dyDescent="0.25">
      <c r="A392" s="112">
        <v>46241.695208333331</v>
      </c>
      <c r="B392" s="5" t="s">
        <v>357</v>
      </c>
      <c r="C392" s="5">
        <v>11546545</v>
      </c>
      <c r="D392" s="5">
        <v>716190</v>
      </c>
      <c r="E392" s="33">
        <f>36-26</f>
        <v>10</v>
      </c>
      <c r="F392" s="60">
        <v>2500</v>
      </c>
      <c r="G392" s="60">
        <f>+OtherClients[[#This Row],[Boxes / Pieces]]*OtherClients[[#This Row],[Unit Quantity]]</f>
        <v>25000</v>
      </c>
      <c r="H392" s="60">
        <v>280</v>
      </c>
      <c r="I392" s="60" t="s">
        <v>278</v>
      </c>
      <c r="J392" s="104"/>
      <c r="K392" s="33" t="s">
        <v>278</v>
      </c>
      <c r="L392" s="111"/>
      <c r="M392" s="33" t="s">
        <v>278</v>
      </c>
      <c r="N392" s="111"/>
      <c r="O392" s="33" t="s">
        <v>278</v>
      </c>
      <c r="P392" s="111"/>
      <c r="Q392" s="33" t="s">
        <v>587</v>
      </c>
      <c r="R392" s="111"/>
      <c r="S392" s="33" t="s">
        <v>278</v>
      </c>
      <c r="T392" s="111"/>
      <c r="U392" s="33" t="s">
        <v>278</v>
      </c>
      <c r="V392" s="111"/>
      <c r="W392" s="59" t="s">
        <v>548</v>
      </c>
      <c r="X392" s="33" t="str">
        <f>+VLOOKUP(OtherClients[[#This Row],[Part]],PartControl!$A$2:$E$564,5,FALSE)</f>
        <v>infasco</v>
      </c>
      <c r="Y392" s="108">
        <f>IF(OtherClients[[#This Row],[Re-certified or New]]&lt;&gt;"Re-certified",IF(OtherClients[[#This Row],[Client]]="infasco",VLOOKUP(OtherClients[[#This Row],[Part]],PartControl!$A$2:$E$564,2,FALSE),OtherClients[[#This Row],[Total Quantity]]*VLOOKUP(OtherClients[[#This Row],[Part]],PartControl!$A$2:$E$564,2,FALSE)),0)</f>
        <v>106.94</v>
      </c>
      <c r="Z392" s="108">
        <f>IF(OtherClients[[#This Row],[Re-certified or New]]&lt;&gt;"Re-certified",IF(OtherClients[[#This Row],[Client]]="infasco",VLOOKUP(OtherClients[[#This Row],[Part]],PartControl!$A$2:$E$564,2,FALSE),OtherClients[[#This Row],[Total Quantity]]*VLOOKUP(OtherClients[[#This Row],[Part]],PartControl!$A$2:$E$564,2,FALSE)),0)</f>
        <v>106.94</v>
      </c>
    </row>
    <row r="393" spans="1:26" ht="25.15" hidden="1" customHeight="1" x14ac:dyDescent="0.25">
      <c r="A393" s="112">
        <v>46241.695208333331</v>
      </c>
      <c r="B393" s="5" t="s">
        <v>357</v>
      </c>
      <c r="C393" s="5">
        <v>11546545</v>
      </c>
      <c r="D393" s="5">
        <v>714669</v>
      </c>
      <c r="E393" s="33">
        <f>36+9</f>
        <v>45</v>
      </c>
      <c r="F393" s="60">
        <v>2500</v>
      </c>
      <c r="G393" s="60">
        <f>+OtherClients[[#This Row],[Boxes / Pieces]]*OtherClients[[#This Row],[Unit Quantity]]</f>
        <v>112500</v>
      </c>
      <c r="H393" s="60">
        <v>280</v>
      </c>
      <c r="I393" s="60" t="s">
        <v>278</v>
      </c>
      <c r="J393" s="104"/>
      <c r="K393" s="33" t="s">
        <v>278</v>
      </c>
      <c r="L393" s="111"/>
      <c r="M393" s="33" t="s">
        <v>278</v>
      </c>
      <c r="N393" s="111"/>
      <c r="O393" s="33" t="s">
        <v>278</v>
      </c>
      <c r="P393" s="111"/>
      <c r="Q393" s="33" t="s">
        <v>587</v>
      </c>
      <c r="R393" s="111"/>
      <c r="S393" s="33" t="s">
        <v>278</v>
      </c>
      <c r="T393" s="111"/>
      <c r="U393" s="33" t="s">
        <v>278</v>
      </c>
      <c r="V393" s="111"/>
      <c r="W393" s="59" t="s">
        <v>548</v>
      </c>
      <c r="X393" s="33" t="str">
        <f>+VLOOKUP(OtherClients[[#This Row],[Part]],PartControl!$A$2:$E$564,5,FALSE)</f>
        <v>infasco</v>
      </c>
      <c r="Y393" s="108">
        <f>IF(OtherClients[[#This Row],[Re-certified or New]]&lt;&gt;"Re-certified",IF(OtherClients[[#This Row],[Client]]="infasco",VLOOKUP(OtherClients[[#This Row],[Part]],PartControl!$A$2:$E$564,2,FALSE),OtherClients[[#This Row],[Total Quantity]]*VLOOKUP(OtherClients[[#This Row],[Part]],PartControl!$A$2:$E$564,2,FALSE)),0)</f>
        <v>106.94</v>
      </c>
      <c r="Z393" s="108">
        <f>IF(OtherClients[[#This Row],[Re-certified or New]]&lt;&gt;"Re-certified",IF(OtherClients[[#This Row],[Client]]="infasco",VLOOKUP(OtherClients[[#This Row],[Part]],PartControl!$A$2:$E$564,2,FALSE),OtherClients[[#This Row],[Total Quantity]]*VLOOKUP(OtherClients[[#This Row],[Part]],PartControl!$A$2:$E$564,2,FALSE)),0)</f>
        <v>106.94</v>
      </c>
    </row>
    <row r="394" spans="1:26" ht="25.15" hidden="1" customHeight="1" x14ac:dyDescent="0.25">
      <c r="A394" s="112">
        <v>46241.695208333331</v>
      </c>
      <c r="B394" s="5" t="s">
        <v>357</v>
      </c>
      <c r="C394" s="5" t="s">
        <v>642</v>
      </c>
      <c r="D394" s="5">
        <v>715704</v>
      </c>
      <c r="E394" s="33">
        <v>13</v>
      </c>
      <c r="F394" s="60">
        <v>2800</v>
      </c>
      <c r="G394" s="60">
        <f>+OtherClients[[#This Row],[Boxes / Pieces]]*OtherClients[[#This Row],[Unit Quantity]]</f>
        <v>36400</v>
      </c>
      <c r="H394" s="60">
        <v>280</v>
      </c>
      <c r="I394" s="60" t="s">
        <v>278</v>
      </c>
      <c r="J394" s="104"/>
      <c r="K394" s="33" t="s">
        <v>278</v>
      </c>
      <c r="L394" s="111"/>
      <c r="M394" s="33" t="s">
        <v>278</v>
      </c>
      <c r="N394" s="111"/>
      <c r="O394" s="33" t="s">
        <v>278</v>
      </c>
      <c r="P394" s="111"/>
      <c r="Q394" s="33" t="s">
        <v>587</v>
      </c>
      <c r="R394" s="111"/>
      <c r="S394" s="33" t="s">
        <v>278</v>
      </c>
      <c r="T394" s="111"/>
      <c r="U394" s="33" t="s">
        <v>278</v>
      </c>
      <c r="V394" s="111"/>
      <c r="W394" s="59" t="s">
        <v>633</v>
      </c>
      <c r="X394" s="33" t="str">
        <f>+VLOOKUP(OtherClients[[#This Row],[Part]],PartControl!$A$2:$E$564,5,FALSE)</f>
        <v>infasco</v>
      </c>
      <c r="Y394" s="108">
        <f>IF(OtherClients[[#This Row],[Re-certified or New]]&lt;&gt;"Re-certified",IF(OtherClients[[#This Row],[Client]]="infasco",VLOOKUP(OtherClients[[#This Row],[Part]],PartControl!$A$2:$E$564,2,FALSE),OtherClients[[#This Row],[Total Quantity]]*VLOOKUP(OtherClients[[#This Row],[Part]],PartControl!$A$2:$E$564,2,FALSE)),0)</f>
        <v>0</v>
      </c>
      <c r="Z394" s="108">
        <f>IF(OtherClients[[#This Row],[Re-certified or New]]&lt;&gt;"Re-certified",IF(OtherClients[[#This Row],[Client]]="infasco",VLOOKUP(OtherClients[[#This Row],[Part]],PartControl!$A$2:$E$564,2,FALSE),OtherClients[[#This Row],[Total Quantity]]*VLOOKUP(OtherClients[[#This Row],[Part]],PartControl!$A$2:$E$564,2,FALSE)),0)</f>
        <v>0</v>
      </c>
    </row>
    <row r="395" spans="1:26" ht="25.15" hidden="1" customHeight="1" x14ac:dyDescent="0.25">
      <c r="A395" s="112">
        <v>46241.695208333331</v>
      </c>
      <c r="B395" s="5" t="s">
        <v>249</v>
      </c>
      <c r="C395" s="5">
        <v>11612078</v>
      </c>
      <c r="D395" s="5">
        <v>707327</v>
      </c>
      <c r="E395" s="33">
        <v>11</v>
      </c>
      <c r="F395" s="60">
        <v>1850</v>
      </c>
      <c r="G395" s="60">
        <f>+OtherClients[[#This Row],[Boxes / Pieces]]*OtherClients[[#This Row],[Unit Quantity]]</f>
        <v>20350</v>
      </c>
      <c r="H395" s="60">
        <v>4</v>
      </c>
      <c r="I395" s="60" t="s">
        <v>278</v>
      </c>
      <c r="J395" s="104"/>
      <c r="K395" s="33" t="s">
        <v>278</v>
      </c>
      <c r="L395" s="111"/>
      <c r="M395" s="33" t="s">
        <v>278</v>
      </c>
      <c r="N395" s="111"/>
      <c r="O395" s="33" t="s">
        <v>278</v>
      </c>
      <c r="P395" s="111"/>
      <c r="Q395" s="33" t="s">
        <v>587</v>
      </c>
      <c r="R395" s="111"/>
      <c r="S395" s="33" t="s">
        <v>278</v>
      </c>
      <c r="T395" s="111"/>
      <c r="U395" s="33" t="s">
        <v>278</v>
      </c>
      <c r="V395" s="111"/>
      <c r="W395" s="59" t="s">
        <v>633</v>
      </c>
      <c r="X395" s="33" t="str">
        <f>+VLOOKUP(OtherClients[[#This Row],[Part]],PartControl!$A$2:$E$564,5,FALSE)</f>
        <v>infasco</v>
      </c>
      <c r="Y395" s="108">
        <f>IF(OtherClients[[#This Row],[Re-certified or New]]&lt;&gt;"Re-certified",IF(OtherClients[[#This Row],[Client]]="infasco",VLOOKUP(OtherClients[[#This Row],[Part]],PartControl!$A$2:$E$564,2,FALSE),OtherClients[[#This Row],[Total Quantity]]*VLOOKUP(OtherClients[[#This Row],[Part]],PartControl!$A$2:$E$564,2,FALSE)),0)</f>
        <v>0</v>
      </c>
      <c r="Z395" s="108">
        <f>IF(OtherClients[[#This Row],[Re-certified or New]]&lt;&gt;"Re-certified",IF(OtherClients[[#This Row],[Client]]="infasco",VLOOKUP(OtherClients[[#This Row],[Part]],PartControl!$A$2:$E$564,2,FALSE),OtherClients[[#This Row],[Total Quantity]]*VLOOKUP(OtherClients[[#This Row],[Part]],PartControl!$A$2:$E$564,2,FALSE)),0)</f>
        <v>0</v>
      </c>
    </row>
    <row r="396" spans="1:26" ht="25.15" hidden="1" customHeight="1" x14ac:dyDescent="0.25">
      <c r="A396" s="112">
        <v>46241.695208333331</v>
      </c>
      <c r="B396" s="5" t="s">
        <v>345</v>
      </c>
      <c r="C396" s="5" t="s">
        <v>732</v>
      </c>
      <c r="D396" s="5">
        <v>705484</v>
      </c>
      <c r="E396" s="33">
        <v>9</v>
      </c>
      <c r="F396" s="60">
        <v>1000</v>
      </c>
      <c r="G396" s="60">
        <f>+OtherClients[[#This Row],[Boxes / Pieces]]*OtherClients[[#This Row],[Unit Quantity]]</f>
        <v>9000</v>
      </c>
      <c r="H396" s="60" t="s">
        <v>849</v>
      </c>
      <c r="I396" s="60" t="s">
        <v>278</v>
      </c>
      <c r="J396" s="104"/>
      <c r="K396" s="33" t="s">
        <v>278</v>
      </c>
      <c r="L396" s="111"/>
      <c r="M396" s="33" t="s">
        <v>278</v>
      </c>
      <c r="N396" s="111"/>
      <c r="O396" s="33" t="s">
        <v>278</v>
      </c>
      <c r="P396" s="111"/>
      <c r="Q396" s="33" t="s">
        <v>587</v>
      </c>
      <c r="R396" s="111"/>
      <c r="S396" s="33" t="s">
        <v>278</v>
      </c>
      <c r="T396" s="111"/>
      <c r="U396" s="33" t="s">
        <v>278</v>
      </c>
      <c r="V396" s="111"/>
      <c r="W396" s="59" t="s">
        <v>548</v>
      </c>
      <c r="X396" s="33" t="str">
        <f>+VLOOKUP(OtherClients[[#This Row],[Part]],PartControl!$A$2:$E$564,5,FALSE)</f>
        <v>infasco</v>
      </c>
      <c r="Y396" s="108">
        <f>IF(OtherClients[[#This Row],[Re-certified or New]]&lt;&gt;"Re-certified",IF(OtherClients[[#This Row],[Client]]="infasco",VLOOKUP(OtherClients[[#This Row],[Part]],PartControl!$A$2:$E$564,2,FALSE),OtherClients[[#This Row],[Total Quantity]]*VLOOKUP(OtherClients[[#This Row],[Part]],PartControl!$A$2:$E$564,2,FALSE)),0)</f>
        <v>213.88</v>
      </c>
      <c r="Z396" s="108">
        <f>IF(OtherClients[[#This Row],[Re-certified or New]]&lt;&gt;"Re-certified",IF(OtherClients[[#This Row],[Client]]="infasco",VLOOKUP(OtherClients[[#This Row],[Part]],PartControl!$A$2:$E$564,2,FALSE),OtherClients[[#This Row],[Total Quantity]]*VLOOKUP(OtherClients[[#This Row],[Part]],PartControl!$A$2:$E$564,2,FALSE)),0)</f>
        <v>213.88</v>
      </c>
    </row>
    <row r="397" spans="1:26" ht="25.15" hidden="1" customHeight="1" x14ac:dyDescent="0.25">
      <c r="A397" s="112">
        <v>46241.695208333331</v>
      </c>
      <c r="B397" s="5" t="s">
        <v>345</v>
      </c>
      <c r="C397" s="5" t="s">
        <v>732</v>
      </c>
      <c r="D397" s="5">
        <v>711869</v>
      </c>
      <c r="E397" s="33">
        <v>41</v>
      </c>
      <c r="F397" s="60">
        <v>1000</v>
      </c>
      <c r="G397" s="60">
        <f>+OtherClients[[#This Row],[Boxes / Pieces]]*OtherClients[[#This Row],[Unit Quantity]]</f>
        <v>41000</v>
      </c>
      <c r="H397" s="60" t="s">
        <v>849</v>
      </c>
      <c r="I397" s="60" t="s">
        <v>278</v>
      </c>
      <c r="J397" s="104"/>
      <c r="K397" s="33" t="s">
        <v>278</v>
      </c>
      <c r="L397" s="111"/>
      <c r="M397" s="33" t="s">
        <v>278</v>
      </c>
      <c r="N397" s="111"/>
      <c r="O397" s="33" t="s">
        <v>278</v>
      </c>
      <c r="P397" s="111"/>
      <c r="Q397" s="33" t="s">
        <v>587</v>
      </c>
      <c r="R397" s="111"/>
      <c r="S397" s="33" t="s">
        <v>278</v>
      </c>
      <c r="T397" s="111"/>
      <c r="U397" s="33" t="s">
        <v>278</v>
      </c>
      <c r="V397" s="111"/>
      <c r="W397" s="59" t="s">
        <v>548</v>
      </c>
      <c r="X397" s="33" t="str">
        <f>+VLOOKUP(OtherClients[[#This Row],[Part]],PartControl!$A$2:$E$564,5,FALSE)</f>
        <v>infasco</v>
      </c>
      <c r="Y397" s="108">
        <f>IF(OtherClients[[#This Row],[Re-certified or New]]&lt;&gt;"Re-certified",IF(OtherClients[[#This Row],[Client]]="infasco",VLOOKUP(OtherClients[[#This Row],[Part]],PartControl!$A$2:$E$564,2,FALSE),OtherClients[[#This Row],[Total Quantity]]*VLOOKUP(OtherClients[[#This Row],[Part]],PartControl!$A$2:$E$564,2,FALSE)),0)</f>
        <v>213.88</v>
      </c>
      <c r="Z397" s="108">
        <f>IF(OtherClients[[#This Row],[Re-certified or New]]&lt;&gt;"Re-certified",IF(OtherClients[[#This Row],[Client]]="infasco",VLOOKUP(OtherClients[[#This Row],[Part]],PartControl!$A$2:$E$564,2,FALSE),OtherClients[[#This Row],[Total Quantity]]*VLOOKUP(OtherClients[[#This Row],[Part]],PartControl!$A$2:$E$564,2,FALSE)),0)</f>
        <v>213.88</v>
      </c>
    </row>
    <row r="398" spans="1:26" ht="25.15" hidden="1" customHeight="1" x14ac:dyDescent="0.25">
      <c r="A398" s="112">
        <v>46241.695208333331</v>
      </c>
      <c r="B398" s="5" t="s">
        <v>342</v>
      </c>
      <c r="C398" s="5">
        <v>11548535</v>
      </c>
      <c r="D398" s="5">
        <v>712839</v>
      </c>
      <c r="E398" s="33">
        <v>36</v>
      </c>
      <c r="F398" s="60">
        <v>150</v>
      </c>
      <c r="G398" s="60">
        <f>+OtherClients[[#This Row],[Boxes / Pieces]]*OtherClients[[#This Row],[Unit Quantity]]</f>
        <v>5400</v>
      </c>
      <c r="H398" s="60" t="s">
        <v>811</v>
      </c>
      <c r="I398" s="60" t="s">
        <v>278</v>
      </c>
      <c r="J398" s="104"/>
      <c r="K398" s="33" t="s">
        <v>278</v>
      </c>
      <c r="L398" s="111"/>
      <c r="M398" s="33" t="s">
        <v>278</v>
      </c>
      <c r="N398" s="111"/>
      <c r="O398" s="33" t="s">
        <v>278</v>
      </c>
      <c r="P398" s="111"/>
      <c r="Q398" s="33" t="s">
        <v>587</v>
      </c>
      <c r="R398" s="111"/>
      <c r="S398" s="33" t="s">
        <v>278</v>
      </c>
      <c r="T398" s="111"/>
      <c r="U398" s="33" t="s">
        <v>278</v>
      </c>
      <c r="V398" s="111"/>
      <c r="W398" s="59" t="s">
        <v>548</v>
      </c>
      <c r="X398" s="33" t="str">
        <f>+VLOOKUP(OtherClients[[#This Row],[Part]],PartControl!$A$2:$E$564,5,FALSE)</f>
        <v>infasco</v>
      </c>
      <c r="Y398" s="108">
        <f>IF(OtherClients[[#This Row],[Re-certified or New]]&lt;&gt;"Re-certified",IF(OtherClients[[#This Row],[Client]]="infasco",VLOOKUP(OtherClients[[#This Row],[Part]],PartControl!$A$2:$E$564,2,FALSE),OtherClients[[#This Row],[Total Quantity]]*VLOOKUP(OtherClients[[#This Row],[Part]],PartControl!$A$2:$E$564,2,FALSE)),0)</f>
        <v>106.94</v>
      </c>
      <c r="Z398" s="108">
        <f>IF(OtherClients[[#This Row],[Re-certified or New]]&lt;&gt;"Re-certified",IF(OtherClients[[#This Row],[Client]]="infasco",VLOOKUP(OtherClients[[#This Row],[Part]],PartControl!$A$2:$E$564,2,FALSE),OtherClients[[#This Row],[Total Quantity]]*VLOOKUP(OtherClients[[#This Row],[Part]],PartControl!$A$2:$E$564,2,FALSE)),0)</f>
        <v>106.94</v>
      </c>
    </row>
    <row r="399" spans="1:26" ht="25.15" hidden="1" customHeight="1" x14ac:dyDescent="0.25">
      <c r="A399" s="112">
        <v>46241.695208333331</v>
      </c>
      <c r="B399" s="5" t="s">
        <v>343</v>
      </c>
      <c r="C399" s="5">
        <v>11548535</v>
      </c>
      <c r="D399" s="5">
        <v>712840</v>
      </c>
      <c r="E399" s="33">
        <v>36</v>
      </c>
      <c r="F399" s="60">
        <v>150</v>
      </c>
      <c r="G399" s="60">
        <f>+OtherClients[[#This Row],[Boxes / Pieces]]*OtherClients[[#This Row],[Unit Quantity]]</f>
        <v>5400</v>
      </c>
      <c r="H399" s="60" t="s">
        <v>757</v>
      </c>
      <c r="I399" s="60" t="s">
        <v>278</v>
      </c>
      <c r="J399" s="104"/>
      <c r="K399" s="33" t="s">
        <v>278</v>
      </c>
      <c r="L399" s="111"/>
      <c r="M399" s="33" t="s">
        <v>278</v>
      </c>
      <c r="N399" s="111"/>
      <c r="O399" s="33" t="s">
        <v>278</v>
      </c>
      <c r="P399" s="111"/>
      <c r="Q399" s="33" t="s">
        <v>587</v>
      </c>
      <c r="R399" s="111"/>
      <c r="S399" s="33" t="s">
        <v>278</v>
      </c>
      <c r="T399" s="111"/>
      <c r="U399" s="33" t="s">
        <v>278</v>
      </c>
      <c r="V399" s="111"/>
      <c r="W399" s="59" t="s">
        <v>548</v>
      </c>
      <c r="X399" s="33" t="str">
        <f>+VLOOKUP(OtherClients[[#This Row],[Part]],PartControl!$A$2:$E$564,5,FALSE)</f>
        <v>infasco</v>
      </c>
      <c r="Y399" s="108">
        <f>IF(OtherClients[[#This Row],[Re-certified or New]]&lt;&gt;"Re-certified",IF(OtherClients[[#This Row],[Client]]="infasco",VLOOKUP(OtherClients[[#This Row],[Part]],PartControl!$A$2:$E$564,2,FALSE),OtherClients[[#This Row],[Total Quantity]]*VLOOKUP(OtherClients[[#This Row],[Part]],PartControl!$A$2:$E$564,2,FALSE)),0)</f>
        <v>106.94</v>
      </c>
      <c r="Z399" s="108">
        <f>IF(OtherClients[[#This Row],[Re-certified or New]]&lt;&gt;"Re-certified",IF(OtherClients[[#This Row],[Client]]="infasco",VLOOKUP(OtherClients[[#This Row],[Part]],PartControl!$A$2:$E$564,2,FALSE),OtherClients[[#This Row],[Total Quantity]]*VLOOKUP(OtherClients[[#This Row],[Part]],PartControl!$A$2:$E$564,2,FALSE)),0)</f>
        <v>106.94</v>
      </c>
    </row>
    <row r="400" spans="1:26" ht="25.15" hidden="1" customHeight="1" x14ac:dyDescent="0.25">
      <c r="A400" s="112">
        <v>46244.690833333334</v>
      </c>
      <c r="B400" s="5" t="s">
        <v>345</v>
      </c>
      <c r="C400" s="5">
        <v>11548535</v>
      </c>
      <c r="D400" s="5">
        <v>713506</v>
      </c>
      <c r="E400" s="33">
        <v>36</v>
      </c>
      <c r="F400" s="60">
        <v>150</v>
      </c>
      <c r="G400" s="60">
        <f>+OtherClients[[#This Row],[Boxes / Pieces]]*OtherClients[[#This Row],[Unit Quantity]]</f>
        <v>5400</v>
      </c>
      <c r="H400" s="60" t="s">
        <v>849</v>
      </c>
      <c r="I400" s="120" t="s">
        <v>278</v>
      </c>
      <c r="J400" s="121"/>
      <c r="K400" s="33" t="s">
        <v>278</v>
      </c>
      <c r="L400" s="122"/>
      <c r="M400" s="33" t="s">
        <v>278</v>
      </c>
      <c r="N400" s="122"/>
      <c r="O400" s="33" t="s">
        <v>278</v>
      </c>
      <c r="P400" s="122"/>
      <c r="Q400" s="33" t="s">
        <v>587</v>
      </c>
      <c r="R400" s="122"/>
      <c r="S400" s="33" t="s">
        <v>278</v>
      </c>
      <c r="T400" s="122"/>
      <c r="U400" s="33" t="s">
        <v>278</v>
      </c>
      <c r="V400" s="122"/>
      <c r="W400" s="59" t="s">
        <v>548</v>
      </c>
      <c r="X400" s="33" t="str">
        <f>+VLOOKUP(OtherClients[[#This Row],[Part]],PartControl!$A$2:$E$564,5,FALSE)</f>
        <v>infasco</v>
      </c>
      <c r="Y400" s="108">
        <f>IF(OtherClients[[#This Row],[Re-certified or New]]&lt;&gt;"Re-certified",IF(OtherClients[[#This Row],[Client]]="infasco",VLOOKUP(OtherClients[[#This Row],[Part]],PartControl!$A$2:$E$564,2,FALSE),OtherClients[[#This Row],[Total Quantity]]*VLOOKUP(OtherClients[[#This Row],[Part]],PartControl!$A$2:$E$564,2,FALSE)),0)</f>
        <v>106.94</v>
      </c>
      <c r="Z400" s="108">
        <f>IF(OtherClients[[#This Row],[Re-certified or New]]&lt;&gt;"Re-certified",IF(OtherClients[[#This Row],[Client]]="infasco",VLOOKUP(OtherClients[[#This Row],[Part]],PartControl!$A$2:$E$564,2,FALSE),OtherClients[[#This Row],[Total Quantity]]*VLOOKUP(OtherClients[[#This Row],[Part]],PartControl!$A$2:$E$564,2,FALSE)),0)</f>
        <v>106.94</v>
      </c>
    </row>
    <row r="401" spans="1:26" ht="25.15" hidden="1" customHeight="1" x14ac:dyDescent="0.25">
      <c r="A401" s="112">
        <v>46244.690833333334</v>
      </c>
      <c r="B401" s="5" t="s">
        <v>343</v>
      </c>
      <c r="C401" s="5">
        <v>11548535</v>
      </c>
      <c r="D401" s="5">
        <v>713507</v>
      </c>
      <c r="E401" s="33">
        <v>34</v>
      </c>
      <c r="F401" s="60">
        <v>150</v>
      </c>
      <c r="G401" s="60">
        <f>+OtherClients[[#This Row],[Boxes / Pieces]]*OtherClients[[#This Row],[Unit Quantity]]</f>
        <v>5100</v>
      </c>
      <c r="H401" s="60" t="s">
        <v>757</v>
      </c>
      <c r="I401" s="120" t="s">
        <v>278</v>
      </c>
      <c r="J401" s="121"/>
      <c r="K401" s="33" t="s">
        <v>278</v>
      </c>
      <c r="L401" s="122"/>
      <c r="M401" s="33" t="s">
        <v>278</v>
      </c>
      <c r="N401" s="122"/>
      <c r="O401" s="33" t="s">
        <v>278</v>
      </c>
      <c r="P401" s="122"/>
      <c r="Q401" s="33" t="s">
        <v>587</v>
      </c>
      <c r="R401" s="122"/>
      <c r="S401" s="33" t="s">
        <v>278</v>
      </c>
      <c r="T401" s="122"/>
      <c r="U401" s="33" t="s">
        <v>278</v>
      </c>
      <c r="V401" s="122"/>
      <c r="W401" s="59" t="s">
        <v>548</v>
      </c>
      <c r="X401" s="33" t="str">
        <f>+VLOOKUP(OtherClients[[#This Row],[Part]],PartControl!$A$2:$E$564,5,FALSE)</f>
        <v>infasco</v>
      </c>
      <c r="Y401" s="108">
        <f>IF(OtherClients[[#This Row],[Re-certified or New]]&lt;&gt;"Re-certified",IF(OtherClients[[#This Row],[Client]]="infasco",VLOOKUP(OtherClients[[#This Row],[Part]],PartControl!$A$2:$E$564,2,FALSE),OtherClients[[#This Row],[Total Quantity]]*VLOOKUP(OtherClients[[#This Row],[Part]],PartControl!$A$2:$E$564,2,FALSE)),0)</f>
        <v>106.94</v>
      </c>
      <c r="Z401" s="108">
        <f>IF(OtherClients[[#This Row],[Re-certified or New]]&lt;&gt;"Re-certified",IF(OtherClients[[#This Row],[Client]]="infasco",VLOOKUP(OtherClients[[#This Row],[Part]],PartControl!$A$2:$E$564,2,FALSE),OtherClients[[#This Row],[Total Quantity]]*VLOOKUP(OtherClients[[#This Row],[Part]],PartControl!$A$2:$E$564,2,FALSE)),0)</f>
        <v>106.94</v>
      </c>
    </row>
    <row r="402" spans="1:26" ht="25.15" hidden="1" customHeight="1" x14ac:dyDescent="0.25">
      <c r="A402" s="112">
        <v>46244.690833333334</v>
      </c>
      <c r="B402" s="5" t="s">
        <v>343</v>
      </c>
      <c r="C402" s="5">
        <v>11611121</v>
      </c>
      <c r="D402" s="5">
        <v>713557</v>
      </c>
      <c r="E402" s="33">
        <v>29</v>
      </c>
      <c r="F402" s="60">
        <v>900</v>
      </c>
      <c r="G402" s="60">
        <f>+OtherClients[[#This Row],[Boxes / Pieces]]*OtherClients[[#This Row],[Unit Quantity]]</f>
        <v>26100</v>
      </c>
      <c r="H402" s="60" t="s">
        <v>757</v>
      </c>
      <c r="I402" s="120" t="s">
        <v>278</v>
      </c>
      <c r="J402" s="121"/>
      <c r="K402" s="33" t="s">
        <v>278</v>
      </c>
      <c r="L402" s="122"/>
      <c r="M402" s="33" t="s">
        <v>278</v>
      </c>
      <c r="N402" s="122"/>
      <c r="O402" s="33" t="s">
        <v>278</v>
      </c>
      <c r="P402" s="122"/>
      <c r="Q402" s="33" t="s">
        <v>587</v>
      </c>
      <c r="R402" s="122"/>
      <c r="S402" s="33" t="s">
        <v>278</v>
      </c>
      <c r="T402" s="122"/>
      <c r="U402" s="33" t="s">
        <v>278</v>
      </c>
      <c r="V402" s="122"/>
      <c r="W402" s="59" t="s">
        <v>548</v>
      </c>
      <c r="X402" s="33" t="str">
        <f>+VLOOKUP(OtherClients[[#This Row],[Part]],PartControl!$A$2:$E$564,5,FALSE)</f>
        <v>INFASCO</v>
      </c>
      <c r="Y402" s="108">
        <f>IF(OtherClients[[#This Row],[Re-certified or New]]&lt;&gt;"Re-certified",IF(OtherClients[[#This Row],[Client]]="infasco",VLOOKUP(OtherClients[[#This Row],[Part]],PartControl!$A$2:$E$564,2,FALSE),OtherClients[[#This Row],[Total Quantity]]*VLOOKUP(OtherClients[[#This Row],[Part]],PartControl!$A$2:$E$564,2,FALSE)),0)</f>
        <v>135.07999999999998</v>
      </c>
      <c r="Z402" s="108">
        <f>IF(OtherClients[[#This Row],[Re-certified or New]]&lt;&gt;"Re-certified",IF(OtherClients[[#This Row],[Client]]="infasco",VLOOKUP(OtherClients[[#This Row],[Part]],PartControl!$A$2:$E$564,2,FALSE),OtherClients[[#This Row],[Total Quantity]]*VLOOKUP(OtherClients[[#This Row],[Part]],PartControl!$A$2:$E$564,2,FALSE)),0)</f>
        <v>135.07999999999998</v>
      </c>
    </row>
    <row r="403" spans="1:26" ht="25.15" hidden="1" customHeight="1" x14ac:dyDescent="0.25">
      <c r="A403" s="112">
        <v>46241.695208333331</v>
      </c>
      <c r="B403" s="5" t="s">
        <v>343</v>
      </c>
      <c r="C403" s="5" t="s">
        <v>823</v>
      </c>
      <c r="D403" s="5">
        <v>713990</v>
      </c>
      <c r="E403" s="33">
        <v>36</v>
      </c>
      <c r="F403" s="60">
        <v>1500</v>
      </c>
      <c r="G403" s="60">
        <f>+OtherClients[[#This Row],[Boxes / Pieces]]*OtherClients[[#This Row],[Unit Quantity]]</f>
        <v>54000</v>
      </c>
      <c r="H403" s="60" t="s">
        <v>757</v>
      </c>
      <c r="I403" s="60" t="s">
        <v>278</v>
      </c>
      <c r="J403" s="104"/>
      <c r="K403" s="33" t="s">
        <v>278</v>
      </c>
      <c r="L403" s="111"/>
      <c r="M403" s="33" t="s">
        <v>278</v>
      </c>
      <c r="N403" s="111"/>
      <c r="O403" s="33" t="s">
        <v>278</v>
      </c>
      <c r="P403" s="111"/>
      <c r="Q403" s="33" t="s">
        <v>587</v>
      </c>
      <c r="R403" s="111"/>
      <c r="S403" s="33" t="s">
        <v>278</v>
      </c>
      <c r="T403" s="111"/>
      <c r="U403" s="33" t="s">
        <v>278</v>
      </c>
      <c r="V403" s="111"/>
      <c r="W403" s="59" t="s">
        <v>548</v>
      </c>
      <c r="X403" s="33" t="str">
        <f>+VLOOKUP(OtherClients[[#This Row],[Part]],PartControl!$A$2:$E$564,5,FALSE)</f>
        <v>infasco</v>
      </c>
      <c r="Y403" s="108">
        <f>IF(OtherClients[[#This Row],[Re-certified or New]]&lt;&gt;"Re-certified",IF(OtherClients[[#This Row],[Client]]="infasco",VLOOKUP(OtherClients[[#This Row],[Part]],PartControl!$A$2:$E$564,2,FALSE),OtherClients[[#This Row],[Total Quantity]]*VLOOKUP(OtherClients[[#This Row],[Part]],PartControl!$A$2:$E$564,2,FALSE)),0)</f>
        <v>226.94</v>
      </c>
      <c r="Z403" s="108">
        <f>IF(OtherClients[[#This Row],[Re-certified or New]]&lt;&gt;"Re-certified",IF(OtherClients[[#This Row],[Client]]="infasco",VLOOKUP(OtherClients[[#This Row],[Part]],PartControl!$A$2:$E$564,2,FALSE),OtherClients[[#This Row],[Total Quantity]]*VLOOKUP(OtherClients[[#This Row],[Part]],PartControl!$A$2:$E$564,2,FALSE)),0)</f>
        <v>226.94</v>
      </c>
    </row>
    <row r="404" spans="1:26" ht="25.15" hidden="1" customHeight="1" x14ac:dyDescent="0.25">
      <c r="A404" s="112">
        <v>46241.695208333331</v>
      </c>
      <c r="B404" s="5" t="s">
        <v>237</v>
      </c>
      <c r="C404" s="5" t="s">
        <v>306</v>
      </c>
      <c r="D404" s="5">
        <v>715714</v>
      </c>
      <c r="E404" s="33">
        <v>1</v>
      </c>
      <c r="F404" s="60">
        <f>42000-17000</f>
        <v>25000</v>
      </c>
      <c r="G404" s="60">
        <f>+OtherClients[[#This Row],[Boxes / Pieces]]*OtherClients[[#This Row],[Unit Quantity]]</f>
        <v>25000</v>
      </c>
      <c r="H404" s="60">
        <v>290</v>
      </c>
      <c r="I404" s="60" t="s">
        <v>278</v>
      </c>
      <c r="J404" s="104"/>
      <c r="K404" s="33" t="s">
        <v>278</v>
      </c>
      <c r="L404" s="111"/>
      <c r="M404" s="33" t="s">
        <v>278</v>
      </c>
      <c r="N404" s="111"/>
      <c r="O404" s="33" t="s">
        <v>278</v>
      </c>
      <c r="P404" s="111"/>
      <c r="Q404" s="33" t="s">
        <v>587</v>
      </c>
      <c r="R404" s="111"/>
      <c r="S404" s="33" t="s">
        <v>278</v>
      </c>
      <c r="T404" s="111"/>
      <c r="U404" s="33" t="s">
        <v>278</v>
      </c>
      <c r="V404" s="111"/>
      <c r="W404" s="59" t="s">
        <v>548</v>
      </c>
      <c r="X404" s="33" t="str">
        <f>+VLOOKUP(OtherClients[[#This Row],[Part]],PartControl!$A$2:$E$564,5,FALSE)</f>
        <v>INFASCO</v>
      </c>
      <c r="Y404" s="108">
        <f>IF(OtherClients[[#This Row],[Re-certified or New]]&lt;&gt;"Re-certified",IF(OtherClients[[#This Row],[Client]]="infasco",VLOOKUP(OtherClients[[#This Row],[Part]],PartControl!$A$2:$E$564,2,FALSE),OtherClients[[#This Row],[Total Quantity]]*VLOOKUP(OtherClients[[#This Row],[Part]],PartControl!$A$2:$E$564,2,FALSE)),0)</f>
        <v>129.44999999999999</v>
      </c>
      <c r="Z404" s="108">
        <f>IF(OtherClients[[#This Row],[Re-certified or New]]&lt;&gt;"Re-certified",IF(OtherClients[[#This Row],[Client]]="infasco",VLOOKUP(OtherClients[[#This Row],[Part]],PartControl!$A$2:$E$564,2,FALSE),OtherClients[[#This Row],[Total Quantity]]*VLOOKUP(OtherClients[[#This Row],[Part]],PartControl!$A$2:$E$564,2,FALSE)),0)</f>
        <v>129.44999999999999</v>
      </c>
    </row>
    <row r="405" spans="1:26" ht="25.15" hidden="1" customHeight="1" x14ac:dyDescent="0.25">
      <c r="A405" s="112">
        <v>46241.695208333331</v>
      </c>
      <c r="B405" s="5" t="s">
        <v>237</v>
      </c>
      <c r="C405" s="5" t="s">
        <v>306</v>
      </c>
      <c r="D405" s="5">
        <v>715713</v>
      </c>
      <c r="E405" s="33">
        <v>1</v>
      </c>
      <c r="F405" s="60">
        <v>41000</v>
      </c>
      <c r="G405" s="60">
        <f>+OtherClients[[#This Row],[Boxes / Pieces]]*OtherClients[[#This Row],[Unit Quantity]]</f>
        <v>41000</v>
      </c>
      <c r="H405" s="60">
        <v>290</v>
      </c>
      <c r="I405" s="60" t="s">
        <v>278</v>
      </c>
      <c r="J405" s="104"/>
      <c r="K405" s="33" t="s">
        <v>278</v>
      </c>
      <c r="L405" s="111"/>
      <c r="M405" s="33" t="s">
        <v>278</v>
      </c>
      <c r="N405" s="111"/>
      <c r="O405" s="33" t="s">
        <v>278</v>
      </c>
      <c r="P405" s="111"/>
      <c r="Q405" s="33" t="s">
        <v>587</v>
      </c>
      <c r="R405" s="111"/>
      <c r="S405" s="33" t="s">
        <v>278</v>
      </c>
      <c r="T405" s="111"/>
      <c r="U405" s="33" t="s">
        <v>278</v>
      </c>
      <c r="V405" s="111"/>
      <c r="W405" s="59" t="s">
        <v>548</v>
      </c>
      <c r="X405" s="33" t="str">
        <f>+VLOOKUP(OtherClients[[#This Row],[Part]],PartControl!$A$2:$E$564,5,FALSE)</f>
        <v>INFASCO</v>
      </c>
      <c r="Y405" s="108">
        <f>IF(OtherClients[[#This Row],[Re-certified or New]]&lt;&gt;"Re-certified",IF(OtherClients[[#This Row],[Client]]="infasco",VLOOKUP(OtherClients[[#This Row],[Part]],PartControl!$A$2:$E$564,2,FALSE),OtherClients[[#This Row],[Total Quantity]]*VLOOKUP(OtherClients[[#This Row],[Part]],PartControl!$A$2:$E$564,2,FALSE)),0)</f>
        <v>129.44999999999999</v>
      </c>
      <c r="Z405" s="108">
        <f>IF(OtherClients[[#This Row],[Re-certified or New]]&lt;&gt;"Re-certified",IF(OtherClients[[#This Row],[Client]]="infasco",VLOOKUP(OtherClients[[#This Row],[Part]],PartControl!$A$2:$E$564,2,FALSE),OtherClients[[#This Row],[Total Quantity]]*VLOOKUP(OtherClients[[#This Row],[Part]],PartControl!$A$2:$E$564,2,FALSE)),0)</f>
        <v>129.44999999999999</v>
      </c>
    </row>
    <row r="406" spans="1:26" ht="25.15" hidden="1" customHeight="1" x14ac:dyDescent="0.25">
      <c r="A406" s="112">
        <v>46241.695208333331</v>
      </c>
      <c r="B406" s="5" t="s">
        <v>237</v>
      </c>
      <c r="C406" s="5" t="s">
        <v>306</v>
      </c>
      <c r="D406" s="5">
        <v>714467</v>
      </c>
      <c r="E406" s="33">
        <v>1</v>
      </c>
      <c r="F406" s="60">
        <v>47000</v>
      </c>
      <c r="G406" s="60">
        <f>+OtherClients[[#This Row],[Boxes / Pieces]]*OtherClients[[#This Row],[Unit Quantity]]</f>
        <v>47000</v>
      </c>
      <c r="H406" s="60">
        <v>290</v>
      </c>
      <c r="I406" s="60" t="s">
        <v>278</v>
      </c>
      <c r="J406" s="104"/>
      <c r="K406" s="33" t="s">
        <v>278</v>
      </c>
      <c r="L406" s="111"/>
      <c r="M406" s="33" t="s">
        <v>278</v>
      </c>
      <c r="N406" s="111"/>
      <c r="O406" s="33" t="s">
        <v>278</v>
      </c>
      <c r="P406" s="111"/>
      <c r="Q406" s="33" t="s">
        <v>587</v>
      </c>
      <c r="R406" s="111"/>
      <c r="S406" s="33" t="s">
        <v>278</v>
      </c>
      <c r="T406" s="111"/>
      <c r="U406" s="33" t="s">
        <v>278</v>
      </c>
      <c r="V406" s="111"/>
      <c r="W406" s="59" t="s">
        <v>548</v>
      </c>
      <c r="X406" s="33" t="str">
        <f>+VLOOKUP(OtherClients[[#This Row],[Part]],PartControl!$A$2:$E$564,5,FALSE)</f>
        <v>INFASCO</v>
      </c>
      <c r="Y406" s="108">
        <f>IF(OtherClients[[#This Row],[Re-certified or New]]&lt;&gt;"Re-certified",IF(OtherClients[[#This Row],[Client]]="infasco",VLOOKUP(OtherClients[[#This Row],[Part]],PartControl!$A$2:$E$564,2,FALSE),OtherClients[[#This Row],[Total Quantity]]*VLOOKUP(OtherClients[[#This Row],[Part]],PartControl!$A$2:$E$564,2,FALSE)),0)</f>
        <v>129.44999999999999</v>
      </c>
      <c r="Z406" s="108">
        <f>IF(OtherClients[[#This Row],[Re-certified or New]]&lt;&gt;"Re-certified",IF(OtherClients[[#This Row],[Client]]="infasco",VLOOKUP(OtherClients[[#This Row],[Part]],PartControl!$A$2:$E$564,2,FALSE),OtherClients[[#This Row],[Total Quantity]]*VLOOKUP(OtherClients[[#This Row],[Part]],PartControl!$A$2:$E$564,2,FALSE)),0)</f>
        <v>129.44999999999999</v>
      </c>
    </row>
    <row r="407" spans="1:26" ht="25.15" hidden="1" customHeight="1" x14ac:dyDescent="0.25">
      <c r="A407" s="112">
        <v>46241.695208333331</v>
      </c>
      <c r="B407" s="5" t="s">
        <v>240</v>
      </c>
      <c r="C407" s="5" t="s">
        <v>565</v>
      </c>
      <c r="D407" s="5">
        <v>711242</v>
      </c>
      <c r="E407" s="33">
        <f>36+2</f>
        <v>38</v>
      </c>
      <c r="F407" s="60">
        <v>525</v>
      </c>
      <c r="G407" s="60">
        <f>+OtherClients[[#This Row],[Boxes / Pieces]]*OtherClients[[#This Row],[Unit Quantity]]+50</f>
        <v>20000</v>
      </c>
      <c r="H407" s="60">
        <v>290</v>
      </c>
      <c r="I407" s="60" t="s">
        <v>278</v>
      </c>
      <c r="J407" s="104"/>
      <c r="K407" s="33" t="s">
        <v>278</v>
      </c>
      <c r="L407" s="111"/>
      <c r="M407" s="33" t="s">
        <v>278</v>
      </c>
      <c r="N407" s="111"/>
      <c r="O407" s="33" t="s">
        <v>278</v>
      </c>
      <c r="P407" s="111"/>
      <c r="Q407" s="33" t="s">
        <v>587</v>
      </c>
      <c r="R407" s="111"/>
      <c r="S407" s="33" t="s">
        <v>278</v>
      </c>
      <c r="T407" s="111"/>
      <c r="U407" s="33" t="s">
        <v>278</v>
      </c>
      <c r="V407" s="111"/>
      <c r="W407" s="59" t="s">
        <v>548</v>
      </c>
      <c r="X407" s="33" t="str">
        <f>+VLOOKUP(OtherClients[[#This Row],[Part]],PartControl!$A$2:$E$564,5,FALSE)</f>
        <v>Infasco</v>
      </c>
      <c r="Y407" s="108">
        <f>IF(OtherClients[[#This Row],[Re-certified or New]]&lt;&gt;"Re-certified",IF(OtherClients[[#This Row],[Client]]="infasco",VLOOKUP(OtherClients[[#This Row],[Part]],PartControl!$A$2:$E$564,2,FALSE),OtherClients[[#This Row],[Total Quantity]]*VLOOKUP(OtherClients[[#This Row],[Part]],PartControl!$A$2:$E$564,2,FALSE)),0)</f>
        <v>106.94</v>
      </c>
      <c r="Z407" s="108">
        <f>IF(OtherClients[[#This Row],[Re-certified or New]]&lt;&gt;"Re-certified",IF(OtherClients[[#This Row],[Client]]="infasco",VLOOKUP(OtherClients[[#This Row],[Part]],PartControl!$A$2:$E$564,2,FALSE),OtherClients[[#This Row],[Total Quantity]]*VLOOKUP(OtherClients[[#This Row],[Part]],PartControl!$A$2:$E$564,2,FALSE)),0)</f>
        <v>106.94</v>
      </c>
    </row>
    <row r="408" spans="1:26" ht="25.15" hidden="1" customHeight="1" x14ac:dyDescent="0.25">
      <c r="A408" s="112">
        <v>46241.695208333331</v>
      </c>
      <c r="B408" s="5" t="s">
        <v>240</v>
      </c>
      <c r="C408" s="5" t="s">
        <v>565</v>
      </c>
      <c r="D408" s="5">
        <v>711251</v>
      </c>
      <c r="E408" s="33">
        <v>1</v>
      </c>
      <c r="F408" s="60">
        <v>40000</v>
      </c>
      <c r="G408" s="60">
        <f>+OtherClients[[#This Row],[Boxes / Pieces]]*OtherClients[[#This Row],[Unit Quantity]]</f>
        <v>40000</v>
      </c>
      <c r="H408" s="60">
        <v>290</v>
      </c>
      <c r="I408" s="60" t="s">
        <v>278</v>
      </c>
      <c r="J408" s="104"/>
      <c r="K408" s="33" t="s">
        <v>278</v>
      </c>
      <c r="L408" s="111"/>
      <c r="M408" s="33" t="s">
        <v>278</v>
      </c>
      <c r="N408" s="111"/>
      <c r="O408" s="33" t="s">
        <v>278</v>
      </c>
      <c r="P408" s="111"/>
      <c r="Q408" s="33" t="s">
        <v>587</v>
      </c>
      <c r="R408" s="111"/>
      <c r="S408" s="33" t="s">
        <v>278</v>
      </c>
      <c r="T408" s="111"/>
      <c r="U408" s="33" t="s">
        <v>278</v>
      </c>
      <c r="V408" s="111"/>
      <c r="W408" s="59" t="s">
        <v>548</v>
      </c>
      <c r="X408" s="33" t="str">
        <f>+VLOOKUP(OtherClients[[#This Row],[Part]],PartControl!$A$2:$E$564,5,FALSE)</f>
        <v>Infasco</v>
      </c>
      <c r="Y408" s="108">
        <f>IF(OtherClients[[#This Row],[Re-certified or New]]&lt;&gt;"Re-certified",IF(OtherClients[[#This Row],[Client]]="infasco",VLOOKUP(OtherClients[[#This Row],[Part]],PartControl!$A$2:$E$564,2,FALSE),OtherClients[[#This Row],[Total Quantity]]*VLOOKUP(OtherClients[[#This Row],[Part]],PartControl!$A$2:$E$564,2,FALSE)),0)</f>
        <v>106.94</v>
      </c>
      <c r="Z408" s="108">
        <f>IF(OtherClients[[#This Row],[Re-certified or New]]&lt;&gt;"Re-certified",IF(OtherClients[[#This Row],[Client]]="infasco",VLOOKUP(OtherClients[[#This Row],[Part]],PartControl!$A$2:$E$564,2,FALSE),OtherClients[[#This Row],[Total Quantity]]*VLOOKUP(OtherClients[[#This Row],[Part]],PartControl!$A$2:$E$564,2,FALSE)),0)</f>
        <v>106.94</v>
      </c>
    </row>
    <row r="409" spans="1:26" ht="25.15" hidden="1" customHeight="1" x14ac:dyDescent="0.25">
      <c r="A409" s="112">
        <v>46241.695208333331</v>
      </c>
      <c r="B409" s="5" t="s">
        <v>250</v>
      </c>
      <c r="C409" s="5">
        <v>11549168</v>
      </c>
      <c r="D409" s="5">
        <v>712781</v>
      </c>
      <c r="E409" s="33">
        <f>19-12</f>
        <v>7</v>
      </c>
      <c r="F409" s="60">
        <v>1000</v>
      </c>
      <c r="G409" s="60">
        <f>+OtherClients[[#This Row],[Boxes / Pieces]]*OtherClients[[#This Row],[Unit Quantity]]</f>
        <v>7000</v>
      </c>
      <c r="H409" s="60">
        <v>290</v>
      </c>
      <c r="I409" s="60" t="s">
        <v>278</v>
      </c>
      <c r="J409" s="104"/>
      <c r="K409" s="33" t="s">
        <v>278</v>
      </c>
      <c r="L409" s="111"/>
      <c r="M409" s="33" t="s">
        <v>278</v>
      </c>
      <c r="N409" s="111"/>
      <c r="O409" s="33" t="s">
        <v>278</v>
      </c>
      <c r="P409" s="111"/>
      <c r="Q409" s="33" t="s">
        <v>587</v>
      </c>
      <c r="R409" s="111"/>
      <c r="S409" s="33" t="s">
        <v>278</v>
      </c>
      <c r="T409" s="111"/>
      <c r="U409" s="33" t="s">
        <v>278</v>
      </c>
      <c r="V409" s="111"/>
      <c r="W409" s="59" t="s">
        <v>548</v>
      </c>
      <c r="X409" s="33" t="str">
        <f>+VLOOKUP(OtherClients[[#This Row],[Part]],PartControl!$A$2:$E$564,5,FALSE)</f>
        <v>INFASCO</v>
      </c>
      <c r="Y409" s="108">
        <f>IF(OtherClients[[#This Row],[Re-certified or New]]&lt;&gt;"Re-certified",IF(OtherClients[[#This Row],[Client]]="infasco",VLOOKUP(OtherClients[[#This Row],[Part]],PartControl!$A$2:$E$564,2,FALSE),OtherClients[[#This Row],[Total Quantity]]*VLOOKUP(OtherClients[[#This Row],[Part]],PartControl!$A$2:$E$564,2,FALSE)),0)</f>
        <v>106.94</v>
      </c>
      <c r="Z409" s="108">
        <f>IF(OtherClients[[#This Row],[Re-certified or New]]&lt;&gt;"Re-certified",IF(OtherClients[[#This Row],[Client]]="infasco",VLOOKUP(OtherClients[[#This Row],[Part]],PartControl!$A$2:$E$564,2,FALSE),OtherClients[[#This Row],[Total Quantity]]*VLOOKUP(OtherClients[[#This Row],[Part]],PartControl!$A$2:$E$564,2,FALSE)),0)</f>
        <v>106.94</v>
      </c>
    </row>
    <row r="410" spans="1:26" ht="25.15" hidden="1" customHeight="1" x14ac:dyDescent="0.25">
      <c r="A410" s="112">
        <v>46241.695208333331</v>
      </c>
      <c r="B410" s="5" t="s">
        <v>250</v>
      </c>
      <c r="C410" s="5">
        <v>11546545</v>
      </c>
      <c r="D410" s="5">
        <v>714672</v>
      </c>
      <c r="E410" s="33">
        <v>36</v>
      </c>
      <c r="F410" s="60">
        <v>2500</v>
      </c>
      <c r="G410" s="60">
        <f>+OtherClients[[#This Row],[Boxes / Pieces]]*OtherClients[[#This Row],[Unit Quantity]]</f>
        <v>90000</v>
      </c>
      <c r="H410" s="60">
        <v>290</v>
      </c>
      <c r="I410" s="60" t="s">
        <v>278</v>
      </c>
      <c r="J410" s="104"/>
      <c r="K410" s="33" t="s">
        <v>278</v>
      </c>
      <c r="L410" s="111"/>
      <c r="M410" s="33" t="s">
        <v>278</v>
      </c>
      <c r="N410" s="111"/>
      <c r="O410" s="33" t="s">
        <v>278</v>
      </c>
      <c r="P410" s="111"/>
      <c r="Q410" s="33" t="s">
        <v>587</v>
      </c>
      <c r="R410" s="111"/>
      <c r="S410" s="33" t="s">
        <v>278</v>
      </c>
      <c r="T410" s="111"/>
      <c r="U410" s="33" t="s">
        <v>278</v>
      </c>
      <c r="V410" s="111"/>
      <c r="W410" s="59" t="s">
        <v>633</v>
      </c>
      <c r="X410" s="33" t="str">
        <f>+VLOOKUP(OtherClients[[#This Row],[Part]],PartControl!$A$2:$E$564,5,FALSE)</f>
        <v>infasco</v>
      </c>
      <c r="Y410" s="108">
        <f>IF(OtherClients[[#This Row],[Re-certified or New]]&lt;&gt;"Re-certified",IF(OtherClients[[#This Row],[Client]]="infasco",VLOOKUP(OtherClients[[#This Row],[Part]],PartControl!$A$2:$E$564,2,FALSE),OtherClients[[#This Row],[Total Quantity]]*VLOOKUP(OtherClients[[#This Row],[Part]],PartControl!$A$2:$E$564,2,FALSE)),0)</f>
        <v>0</v>
      </c>
      <c r="Z410" s="108">
        <f>IF(OtherClients[[#This Row],[Re-certified or New]]&lt;&gt;"Re-certified",IF(OtherClients[[#This Row],[Client]]="infasco",VLOOKUP(OtherClients[[#This Row],[Part]],PartControl!$A$2:$E$564,2,FALSE),OtherClients[[#This Row],[Total Quantity]]*VLOOKUP(OtherClients[[#This Row],[Part]],PartControl!$A$2:$E$564,2,FALSE)),0)</f>
        <v>0</v>
      </c>
    </row>
    <row r="411" spans="1:26" ht="25.15" hidden="1" customHeight="1" x14ac:dyDescent="0.25">
      <c r="A411" s="112">
        <v>46241.695208333331</v>
      </c>
      <c r="B411" s="5" t="s">
        <v>235</v>
      </c>
      <c r="C411" s="5">
        <v>11546566</v>
      </c>
      <c r="D411" s="5">
        <v>714434</v>
      </c>
      <c r="E411" s="33">
        <f>20-10</f>
        <v>10</v>
      </c>
      <c r="F411" s="60">
        <v>1800</v>
      </c>
      <c r="G411" s="60">
        <f>+OtherClients[[#This Row],[Boxes / Pieces]]*OtherClients[[#This Row],[Unit Quantity]]</f>
        <v>18000</v>
      </c>
      <c r="H411" s="60">
        <v>290</v>
      </c>
      <c r="I411" s="60" t="s">
        <v>278</v>
      </c>
      <c r="J411" s="104"/>
      <c r="K411" s="33" t="s">
        <v>278</v>
      </c>
      <c r="L411" s="111"/>
      <c r="M411" s="33" t="s">
        <v>278</v>
      </c>
      <c r="N411" s="111"/>
      <c r="O411" s="33" t="s">
        <v>278</v>
      </c>
      <c r="P411" s="111"/>
      <c r="Q411" s="33" t="s">
        <v>587</v>
      </c>
      <c r="R411" s="111"/>
      <c r="S411" s="33" t="s">
        <v>278</v>
      </c>
      <c r="T411" s="111"/>
      <c r="U411" s="33" t="s">
        <v>278</v>
      </c>
      <c r="V411" s="111"/>
      <c r="W411" s="59" t="s">
        <v>633</v>
      </c>
      <c r="X411" s="33" t="str">
        <f>+VLOOKUP(OtherClients[[#This Row],[Part]],PartControl!$A$2:$E$564,5,FALSE)</f>
        <v>infasco</v>
      </c>
      <c r="Y411" s="108">
        <f>IF(OtherClients[[#This Row],[Re-certified or New]]&lt;&gt;"Re-certified",IF(OtherClients[[#This Row],[Client]]="infasco",VLOOKUP(OtherClients[[#This Row],[Part]],PartControl!$A$2:$E$564,2,FALSE),OtherClients[[#This Row],[Total Quantity]]*VLOOKUP(OtherClients[[#This Row],[Part]],PartControl!$A$2:$E$564,2,FALSE)),0)</f>
        <v>0</v>
      </c>
      <c r="Z411" s="108">
        <f>IF(OtherClients[[#This Row],[Re-certified or New]]&lt;&gt;"Re-certified",IF(OtherClients[[#This Row],[Client]]="infasco",VLOOKUP(OtherClients[[#This Row],[Part]],PartControl!$A$2:$E$564,2,FALSE),OtherClients[[#This Row],[Total Quantity]]*VLOOKUP(OtherClients[[#This Row],[Part]],PartControl!$A$2:$E$564,2,FALSE)),0)</f>
        <v>0</v>
      </c>
    </row>
    <row r="412" spans="1:26" ht="25.15" hidden="1" customHeight="1" x14ac:dyDescent="0.25">
      <c r="A412" s="112">
        <v>46241.695208333331</v>
      </c>
      <c r="B412" s="5" t="s">
        <v>239</v>
      </c>
      <c r="C412" s="5">
        <v>11546774</v>
      </c>
      <c r="D412" s="5">
        <v>713583</v>
      </c>
      <c r="E412" s="33">
        <f>36-22</f>
        <v>14</v>
      </c>
      <c r="F412" s="60">
        <v>450</v>
      </c>
      <c r="G412" s="60">
        <f>+OtherClients[[#This Row],[Boxes / Pieces]]*OtherClients[[#This Row],[Unit Quantity]]</f>
        <v>6300</v>
      </c>
      <c r="H412" s="60">
        <v>290</v>
      </c>
      <c r="I412" s="60" t="s">
        <v>278</v>
      </c>
      <c r="J412" s="104"/>
      <c r="K412" s="33" t="s">
        <v>278</v>
      </c>
      <c r="L412" s="111"/>
      <c r="M412" s="33" t="s">
        <v>278</v>
      </c>
      <c r="N412" s="111"/>
      <c r="O412" s="33" t="s">
        <v>278</v>
      </c>
      <c r="P412" s="111"/>
      <c r="Q412" s="33" t="s">
        <v>587</v>
      </c>
      <c r="R412" s="111"/>
      <c r="S412" s="33" t="s">
        <v>278</v>
      </c>
      <c r="T412" s="111"/>
      <c r="U412" s="33" t="s">
        <v>278</v>
      </c>
      <c r="V412" s="111"/>
      <c r="W412" s="59" t="s">
        <v>548</v>
      </c>
      <c r="X412" s="33" t="str">
        <f>+VLOOKUP(OtherClients[[#This Row],[Part]],PartControl!$A$2:$E$564,5,FALSE)</f>
        <v>infasco</v>
      </c>
      <c r="Y412" s="108">
        <f>IF(OtherClients[[#This Row],[Re-certified or New]]&lt;&gt;"Re-certified",IF(OtherClients[[#This Row],[Client]]="infasco",VLOOKUP(OtherClients[[#This Row],[Part]],PartControl!$A$2:$E$564,2,FALSE),OtherClients[[#This Row],[Total Quantity]]*VLOOKUP(OtherClients[[#This Row],[Part]],PartControl!$A$2:$E$564,2,FALSE)),0)</f>
        <v>106.94</v>
      </c>
      <c r="Z412" s="108">
        <f>IF(OtherClients[[#This Row],[Re-certified or New]]&lt;&gt;"Re-certified",IF(OtherClients[[#This Row],[Client]]="infasco",VLOOKUP(OtherClients[[#This Row],[Part]],PartControl!$A$2:$E$564,2,FALSE),OtherClients[[#This Row],[Total Quantity]]*VLOOKUP(OtherClients[[#This Row],[Part]],PartControl!$A$2:$E$564,2,FALSE)),0)</f>
        <v>106.94</v>
      </c>
    </row>
    <row r="413" spans="1:26" ht="25.15" hidden="1" customHeight="1" x14ac:dyDescent="0.25">
      <c r="A413" s="112">
        <v>46241.695208333331</v>
      </c>
      <c r="B413" s="5" t="s">
        <v>239</v>
      </c>
      <c r="C413" s="5">
        <v>11546774</v>
      </c>
      <c r="D413" s="5">
        <v>713585</v>
      </c>
      <c r="E413" s="33">
        <v>36</v>
      </c>
      <c r="F413" s="60">
        <v>450</v>
      </c>
      <c r="G413" s="60">
        <f>+OtherClients[[#This Row],[Boxes / Pieces]]*OtherClients[[#This Row],[Unit Quantity]]</f>
        <v>16200</v>
      </c>
      <c r="H413" s="60">
        <v>290</v>
      </c>
      <c r="I413" s="60" t="s">
        <v>278</v>
      </c>
      <c r="J413" s="104"/>
      <c r="K413" s="33" t="s">
        <v>278</v>
      </c>
      <c r="L413" s="111"/>
      <c r="M413" s="33" t="s">
        <v>278</v>
      </c>
      <c r="N413" s="111"/>
      <c r="O413" s="33" t="s">
        <v>278</v>
      </c>
      <c r="P413" s="111"/>
      <c r="Q413" s="33" t="s">
        <v>587</v>
      </c>
      <c r="R413" s="111"/>
      <c r="S413" s="33" t="s">
        <v>278</v>
      </c>
      <c r="T413" s="111"/>
      <c r="U413" s="33" t="s">
        <v>278</v>
      </c>
      <c r="V413" s="111"/>
      <c r="W413" s="59" t="s">
        <v>548</v>
      </c>
      <c r="X413" s="33" t="str">
        <f>+VLOOKUP(OtherClients[[#This Row],[Part]],PartControl!$A$2:$E$564,5,FALSE)</f>
        <v>infasco</v>
      </c>
      <c r="Y413" s="108">
        <f>IF(OtherClients[[#This Row],[Re-certified or New]]&lt;&gt;"Re-certified",IF(OtherClients[[#This Row],[Client]]="infasco",VLOOKUP(OtherClients[[#This Row],[Part]],PartControl!$A$2:$E$564,2,FALSE),OtherClients[[#This Row],[Total Quantity]]*VLOOKUP(OtherClients[[#This Row],[Part]],PartControl!$A$2:$E$564,2,FALSE)),0)</f>
        <v>106.94</v>
      </c>
      <c r="Z413" s="108">
        <f>IF(OtherClients[[#This Row],[Re-certified or New]]&lt;&gt;"Re-certified",IF(OtherClients[[#This Row],[Client]]="infasco",VLOOKUP(OtherClients[[#This Row],[Part]],PartControl!$A$2:$E$564,2,FALSE),OtherClients[[#This Row],[Total Quantity]]*VLOOKUP(OtherClients[[#This Row],[Part]],PartControl!$A$2:$E$564,2,FALSE)),0)</f>
        <v>106.94</v>
      </c>
    </row>
    <row r="414" spans="1:26" ht="25.15" hidden="1" customHeight="1" x14ac:dyDescent="0.25">
      <c r="A414" s="112">
        <v>46241.695208333331</v>
      </c>
      <c r="B414" s="5" t="s">
        <v>239</v>
      </c>
      <c r="C414" s="5">
        <v>11546774</v>
      </c>
      <c r="D414" s="5">
        <v>713591</v>
      </c>
      <c r="E414" s="33">
        <v>36</v>
      </c>
      <c r="F414" s="60">
        <v>450</v>
      </c>
      <c r="G414" s="60">
        <f>+OtherClients[[#This Row],[Boxes / Pieces]]*OtherClients[[#This Row],[Unit Quantity]]</f>
        <v>16200</v>
      </c>
      <c r="H414" s="60">
        <v>290</v>
      </c>
      <c r="I414" s="60" t="s">
        <v>278</v>
      </c>
      <c r="J414" s="104"/>
      <c r="K414" s="33" t="s">
        <v>278</v>
      </c>
      <c r="L414" s="111"/>
      <c r="M414" s="33" t="s">
        <v>278</v>
      </c>
      <c r="N414" s="111"/>
      <c r="O414" s="33" t="s">
        <v>278</v>
      </c>
      <c r="P414" s="111"/>
      <c r="Q414" s="33" t="s">
        <v>587</v>
      </c>
      <c r="R414" s="111"/>
      <c r="S414" s="33" t="s">
        <v>278</v>
      </c>
      <c r="T414" s="111"/>
      <c r="U414" s="33" t="s">
        <v>278</v>
      </c>
      <c r="V414" s="111"/>
      <c r="W414" s="59" t="s">
        <v>548</v>
      </c>
      <c r="X414" s="33" t="str">
        <f>+VLOOKUP(OtherClients[[#This Row],[Part]],PartControl!$A$2:$E$564,5,FALSE)</f>
        <v>infasco</v>
      </c>
      <c r="Y414" s="108">
        <f>IF(OtherClients[[#This Row],[Re-certified or New]]&lt;&gt;"Re-certified",IF(OtherClients[[#This Row],[Client]]="infasco",VLOOKUP(OtherClients[[#This Row],[Part]],PartControl!$A$2:$E$564,2,FALSE),OtherClients[[#This Row],[Total Quantity]]*VLOOKUP(OtherClients[[#This Row],[Part]],PartControl!$A$2:$E$564,2,FALSE)),0)</f>
        <v>106.94</v>
      </c>
      <c r="Z414" s="108">
        <f>IF(OtherClients[[#This Row],[Re-certified or New]]&lt;&gt;"Re-certified",IF(OtherClients[[#This Row],[Client]]="infasco",VLOOKUP(OtherClients[[#This Row],[Part]],PartControl!$A$2:$E$564,2,FALSE),OtherClients[[#This Row],[Total Quantity]]*VLOOKUP(OtherClients[[#This Row],[Part]],PartControl!$A$2:$E$564,2,FALSE)),0)</f>
        <v>106.94</v>
      </c>
    </row>
    <row r="415" spans="1:26" ht="25.15" hidden="1" customHeight="1" x14ac:dyDescent="0.25">
      <c r="A415" s="112">
        <v>46241.695208333331</v>
      </c>
      <c r="B415" s="5" t="s">
        <v>239</v>
      </c>
      <c r="C415" s="5">
        <v>11546774</v>
      </c>
      <c r="D415" s="5">
        <v>713588</v>
      </c>
      <c r="E415" s="33">
        <v>9</v>
      </c>
      <c r="F415" s="60">
        <v>450</v>
      </c>
      <c r="G415" s="60">
        <f>+OtherClients[[#This Row],[Boxes / Pieces]]*OtherClients[[#This Row],[Unit Quantity]]</f>
        <v>4050</v>
      </c>
      <c r="H415" s="60">
        <v>290</v>
      </c>
      <c r="I415" s="60" t="s">
        <v>278</v>
      </c>
      <c r="J415" s="104"/>
      <c r="K415" s="33" t="s">
        <v>278</v>
      </c>
      <c r="L415" s="111"/>
      <c r="M415" s="33" t="s">
        <v>278</v>
      </c>
      <c r="N415" s="111"/>
      <c r="O415" s="33" t="s">
        <v>278</v>
      </c>
      <c r="P415" s="111"/>
      <c r="Q415" s="33" t="s">
        <v>587</v>
      </c>
      <c r="R415" s="111"/>
      <c r="S415" s="33" t="s">
        <v>278</v>
      </c>
      <c r="T415" s="111"/>
      <c r="U415" s="33" t="s">
        <v>278</v>
      </c>
      <c r="V415" s="111"/>
      <c r="W415" s="59" t="s">
        <v>633</v>
      </c>
      <c r="X415" s="33" t="str">
        <f>+VLOOKUP(OtherClients[[#This Row],[Part]],PartControl!$A$2:$E$564,5,FALSE)</f>
        <v>infasco</v>
      </c>
      <c r="Y415" s="108">
        <f>IF(OtherClients[[#This Row],[Re-certified or New]]&lt;&gt;"Re-certified",IF(OtherClients[[#This Row],[Client]]="infasco",VLOOKUP(OtherClients[[#This Row],[Part]],PartControl!$A$2:$E$564,2,FALSE),OtherClients[[#This Row],[Total Quantity]]*VLOOKUP(OtherClients[[#This Row],[Part]],PartControl!$A$2:$E$564,2,FALSE)),0)</f>
        <v>0</v>
      </c>
      <c r="Z415" s="108">
        <f>IF(OtherClients[[#This Row],[Re-certified or New]]&lt;&gt;"Re-certified",IF(OtherClients[[#This Row],[Client]]="infasco",VLOOKUP(OtherClients[[#This Row],[Part]],PartControl!$A$2:$E$564,2,FALSE),OtherClients[[#This Row],[Total Quantity]]*VLOOKUP(OtherClients[[#This Row],[Part]],PartControl!$A$2:$E$564,2,FALSE)),0)</f>
        <v>0</v>
      </c>
    </row>
    <row r="416" spans="1:26" ht="25.15" hidden="1" customHeight="1" x14ac:dyDescent="0.25">
      <c r="A416" s="112">
        <v>46241.695208333331</v>
      </c>
      <c r="B416" s="5" t="s">
        <v>236</v>
      </c>
      <c r="C416" s="5">
        <v>11546545</v>
      </c>
      <c r="D416" s="5">
        <v>716192</v>
      </c>
      <c r="E416" s="33">
        <f>36-13</f>
        <v>23</v>
      </c>
      <c r="F416" s="60">
        <v>2500</v>
      </c>
      <c r="G416" s="60">
        <f>+OtherClients[[#This Row],[Boxes / Pieces]]*OtherClients[[#This Row],[Unit Quantity]]</f>
        <v>57500</v>
      </c>
      <c r="H416" s="60">
        <v>290</v>
      </c>
      <c r="I416" s="60" t="s">
        <v>278</v>
      </c>
      <c r="J416" s="104"/>
      <c r="K416" s="33" t="s">
        <v>278</v>
      </c>
      <c r="L416" s="111"/>
      <c r="M416" s="33" t="s">
        <v>278</v>
      </c>
      <c r="N416" s="111"/>
      <c r="O416" s="33" t="s">
        <v>278</v>
      </c>
      <c r="P416" s="111"/>
      <c r="Q416" s="33" t="s">
        <v>587</v>
      </c>
      <c r="R416" s="111"/>
      <c r="S416" s="33" t="s">
        <v>278</v>
      </c>
      <c r="T416" s="111"/>
      <c r="U416" s="33" t="s">
        <v>278</v>
      </c>
      <c r="V416" s="111"/>
      <c r="W416" s="59" t="s">
        <v>548</v>
      </c>
      <c r="X416" s="33" t="str">
        <f>+VLOOKUP(OtherClients[[#This Row],[Part]],PartControl!$A$2:$E$564,5,FALSE)</f>
        <v>infasco</v>
      </c>
      <c r="Y416" s="108">
        <f>IF(OtherClients[[#This Row],[Re-certified or New]]&lt;&gt;"Re-certified",IF(OtherClients[[#This Row],[Client]]="infasco",VLOOKUP(OtherClients[[#This Row],[Part]],PartControl!$A$2:$E$564,2,FALSE),OtherClients[[#This Row],[Total Quantity]]*VLOOKUP(OtherClients[[#This Row],[Part]],PartControl!$A$2:$E$564,2,FALSE)),0)</f>
        <v>106.94</v>
      </c>
      <c r="Z416" s="108">
        <f>IF(OtherClients[[#This Row],[Re-certified or New]]&lt;&gt;"Re-certified",IF(OtherClients[[#This Row],[Client]]="infasco",VLOOKUP(OtherClients[[#This Row],[Part]],PartControl!$A$2:$E$564,2,FALSE),OtherClients[[#This Row],[Total Quantity]]*VLOOKUP(OtherClients[[#This Row],[Part]],PartControl!$A$2:$E$564,2,FALSE)),0)</f>
        <v>106.94</v>
      </c>
    </row>
    <row r="417" spans="1:26" ht="25.15" hidden="1" customHeight="1" x14ac:dyDescent="0.25">
      <c r="A417" s="112">
        <v>46241.695208333331</v>
      </c>
      <c r="B417" s="5" t="s">
        <v>236</v>
      </c>
      <c r="C417" s="5">
        <v>11546545</v>
      </c>
      <c r="D417" s="5">
        <v>714670</v>
      </c>
      <c r="E417" s="33">
        <v>18</v>
      </c>
      <c r="F417" s="60">
        <v>2500</v>
      </c>
      <c r="G417" s="60">
        <f>+OtherClients[[#This Row],[Boxes / Pieces]]*OtherClients[[#This Row],[Unit Quantity]]</f>
        <v>45000</v>
      </c>
      <c r="H417" s="60">
        <v>290</v>
      </c>
      <c r="I417" s="60" t="s">
        <v>278</v>
      </c>
      <c r="J417" s="104"/>
      <c r="K417" s="33" t="s">
        <v>278</v>
      </c>
      <c r="L417" s="111"/>
      <c r="M417" s="33" t="s">
        <v>278</v>
      </c>
      <c r="N417" s="111"/>
      <c r="O417" s="33" t="s">
        <v>278</v>
      </c>
      <c r="P417" s="111"/>
      <c r="Q417" s="33" t="s">
        <v>587</v>
      </c>
      <c r="R417" s="111"/>
      <c r="S417" s="33" t="s">
        <v>278</v>
      </c>
      <c r="T417" s="111"/>
      <c r="U417" s="33" t="s">
        <v>278</v>
      </c>
      <c r="V417" s="111"/>
      <c r="W417" s="59" t="s">
        <v>633</v>
      </c>
      <c r="X417" s="33" t="str">
        <f>+VLOOKUP(OtherClients[[#This Row],[Part]],PartControl!$A$2:$E$564,5,FALSE)</f>
        <v>infasco</v>
      </c>
      <c r="Y417" s="108">
        <f>IF(OtherClients[[#This Row],[Re-certified or New]]&lt;&gt;"Re-certified",IF(OtherClients[[#This Row],[Client]]="infasco",VLOOKUP(OtherClients[[#This Row],[Part]],PartControl!$A$2:$E$564,2,FALSE),OtherClients[[#This Row],[Total Quantity]]*VLOOKUP(OtherClients[[#This Row],[Part]],PartControl!$A$2:$E$564,2,FALSE)),0)</f>
        <v>0</v>
      </c>
      <c r="Z417" s="108">
        <f>IF(OtherClients[[#This Row],[Re-certified or New]]&lt;&gt;"Re-certified",IF(OtherClients[[#This Row],[Client]]="infasco",VLOOKUP(OtherClients[[#This Row],[Part]],PartControl!$A$2:$E$564,2,FALSE),OtherClients[[#This Row],[Total Quantity]]*VLOOKUP(OtherClients[[#This Row],[Part]],PartControl!$A$2:$E$564,2,FALSE)),0)</f>
        <v>0</v>
      </c>
    </row>
    <row r="418" spans="1:26" ht="25.15" hidden="1" customHeight="1" x14ac:dyDescent="0.25">
      <c r="A418" s="112">
        <v>46241.695208333331</v>
      </c>
      <c r="B418" s="5" t="s">
        <v>347</v>
      </c>
      <c r="C418" s="5" t="s">
        <v>829</v>
      </c>
      <c r="D418" s="5">
        <v>703943</v>
      </c>
      <c r="E418" s="33">
        <v>1</v>
      </c>
      <c r="F418" s="60">
        <v>2500</v>
      </c>
      <c r="G418" s="60">
        <f>+OtherClients[[#This Row],[Boxes / Pieces]]*OtherClients[[#This Row],[Unit Quantity]]</f>
        <v>2500</v>
      </c>
      <c r="H418" s="60">
        <v>279</v>
      </c>
      <c r="I418" s="60" t="s">
        <v>278</v>
      </c>
      <c r="J418" s="104"/>
      <c r="K418" s="33" t="s">
        <v>278</v>
      </c>
      <c r="L418" s="111"/>
      <c r="M418" s="33" t="s">
        <v>278</v>
      </c>
      <c r="N418" s="111"/>
      <c r="O418" s="33" t="s">
        <v>278</v>
      </c>
      <c r="P418" s="111"/>
      <c r="Q418" s="33" t="s">
        <v>587</v>
      </c>
      <c r="R418" s="111"/>
      <c r="S418" s="33" t="s">
        <v>278</v>
      </c>
      <c r="T418" s="111"/>
      <c r="U418" s="33" t="s">
        <v>278</v>
      </c>
      <c r="V418" s="111"/>
      <c r="W418" s="59" t="s">
        <v>548</v>
      </c>
      <c r="X418" s="33" t="str">
        <f>+VLOOKUP(OtherClients[[#This Row],[Part]],PartControl!$A$2:$E$564,5,FALSE)</f>
        <v>Infasco</v>
      </c>
      <c r="Y418" s="108">
        <f>IF(OtherClients[[#This Row],[Re-certified or New]]&lt;&gt;"Re-certified",IF(OtherClients[[#This Row],[Client]]="infasco",VLOOKUP(OtherClients[[#This Row],[Part]],PartControl!$A$2:$E$564,2,FALSE),OtherClients[[#This Row],[Total Quantity]]*VLOOKUP(OtherClients[[#This Row],[Part]],PartControl!$A$2:$E$564,2,FALSE)),0)</f>
        <v>106.94</v>
      </c>
      <c r="Z418" s="108">
        <f>IF(OtherClients[[#This Row],[Re-certified or New]]&lt;&gt;"Re-certified",IF(OtherClients[[#This Row],[Client]]="infasco",VLOOKUP(OtherClients[[#This Row],[Part]],PartControl!$A$2:$E$564,2,FALSE),OtherClients[[#This Row],[Total Quantity]]*VLOOKUP(OtherClients[[#This Row],[Part]],PartControl!$A$2:$E$564,2,FALSE)),0)</f>
        <v>106.94</v>
      </c>
    </row>
    <row r="419" spans="1:26" ht="25.15" hidden="1" customHeight="1" x14ac:dyDescent="0.25">
      <c r="A419" s="112">
        <v>46241.695208333331</v>
      </c>
      <c r="B419" s="5" t="s">
        <v>347</v>
      </c>
      <c r="C419" s="5">
        <v>11546703</v>
      </c>
      <c r="D419" s="5">
        <v>712581</v>
      </c>
      <c r="E419" s="33">
        <v>30</v>
      </c>
      <c r="F419" s="60">
        <v>4000</v>
      </c>
      <c r="G419" s="60">
        <f>+OtherClients[[#This Row],[Boxes / Pieces]]*OtherClients[[#This Row],[Unit Quantity]]</f>
        <v>120000</v>
      </c>
      <c r="H419" s="60">
        <v>279</v>
      </c>
      <c r="I419" s="60" t="s">
        <v>278</v>
      </c>
      <c r="J419" s="104"/>
      <c r="K419" s="33" t="s">
        <v>278</v>
      </c>
      <c r="L419" s="111"/>
      <c r="M419" s="33" t="s">
        <v>278</v>
      </c>
      <c r="N419" s="111"/>
      <c r="O419" s="33" t="s">
        <v>278</v>
      </c>
      <c r="P419" s="111"/>
      <c r="Q419" s="33" t="s">
        <v>587</v>
      </c>
      <c r="R419" s="111"/>
      <c r="S419" s="33" t="s">
        <v>278</v>
      </c>
      <c r="T419" s="111"/>
      <c r="U419" s="33" t="s">
        <v>278</v>
      </c>
      <c r="V419" s="111"/>
      <c r="W419" s="59" t="s">
        <v>548</v>
      </c>
      <c r="X419" s="33" t="str">
        <f>+VLOOKUP(OtherClients[[#This Row],[Part]],PartControl!$A$2:$E$564,5,FALSE)</f>
        <v>infasco</v>
      </c>
      <c r="Y419" s="108">
        <f>IF(OtherClients[[#This Row],[Re-certified or New]]&lt;&gt;"Re-certified",IF(OtherClients[[#This Row],[Client]]="infasco",VLOOKUP(OtherClients[[#This Row],[Part]],PartControl!$A$2:$E$564,2,FALSE),OtherClients[[#This Row],[Total Quantity]]*VLOOKUP(OtherClients[[#This Row],[Part]],PartControl!$A$2:$E$564,2,FALSE)),0)</f>
        <v>135.07999999999998</v>
      </c>
      <c r="Z419" s="108">
        <f>IF(OtherClients[[#This Row],[Re-certified or New]]&lt;&gt;"Re-certified",IF(OtherClients[[#This Row],[Client]]="infasco",VLOOKUP(OtherClients[[#This Row],[Part]],PartControl!$A$2:$E$564,2,FALSE),OtherClients[[#This Row],[Total Quantity]]*VLOOKUP(OtherClients[[#This Row],[Part]],PartControl!$A$2:$E$564,2,FALSE)),0)</f>
        <v>135.07999999999998</v>
      </c>
    </row>
    <row r="420" spans="1:26" ht="25.15" hidden="1" customHeight="1" x14ac:dyDescent="0.25">
      <c r="A420" s="112">
        <v>46241.695208333331</v>
      </c>
      <c r="B420" s="5" t="s">
        <v>347</v>
      </c>
      <c r="C420" s="5" t="s">
        <v>875</v>
      </c>
      <c r="D420" s="5">
        <v>714010</v>
      </c>
      <c r="E420" s="33">
        <v>23</v>
      </c>
      <c r="F420" s="60">
        <v>620</v>
      </c>
      <c r="G420" s="60">
        <f>+OtherClients[[#This Row],[Boxes / Pieces]]*OtherClients[[#This Row],[Unit Quantity]]</f>
        <v>14260</v>
      </c>
      <c r="H420" s="60">
        <v>279</v>
      </c>
      <c r="I420" s="60" t="s">
        <v>278</v>
      </c>
      <c r="J420" s="104"/>
      <c r="K420" s="33" t="s">
        <v>278</v>
      </c>
      <c r="L420" s="111"/>
      <c r="M420" s="33" t="s">
        <v>278</v>
      </c>
      <c r="N420" s="111"/>
      <c r="O420" s="33" t="s">
        <v>278</v>
      </c>
      <c r="P420" s="111"/>
      <c r="Q420" s="33" t="s">
        <v>587</v>
      </c>
      <c r="R420" s="111"/>
      <c r="S420" s="33" t="s">
        <v>278</v>
      </c>
      <c r="T420" s="111"/>
      <c r="U420" s="33" t="s">
        <v>278</v>
      </c>
      <c r="V420" s="111"/>
      <c r="W420" s="59" t="s">
        <v>548</v>
      </c>
      <c r="X420" s="33" t="e">
        <f>+VLOOKUP(OtherClients[[#This Row],[Part]],PartControl!$A$2:$E$564,5,FALSE)</f>
        <v>#N/A</v>
      </c>
      <c r="Y420" s="108" t="e">
        <f>IF(OtherClients[[#This Row],[Re-certified or New]]&lt;&gt;"Re-certified",IF(OtherClients[[#This Row],[Client]]="infasco",VLOOKUP(OtherClients[[#This Row],[Part]],PartControl!$A$2:$E$564,2,FALSE),OtherClients[[#This Row],[Total Quantity]]*VLOOKUP(OtherClients[[#This Row],[Part]],PartControl!$A$2:$E$564,2,FALSE)),0)</f>
        <v>#N/A</v>
      </c>
      <c r="Z420" s="108" t="e">
        <f>IF(OtherClients[[#This Row],[Re-certified or New]]&lt;&gt;"Re-certified",IF(OtherClients[[#This Row],[Client]]="infasco",VLOOKUP(OtherClients[[#This Row],[Part]],PartControl!$A$2:$E$564,2,FALSE),OtherClients[[#This Row],[Total Quantity]]*VLOOKUP(OtherClients[[#This Row],[Part]],PartControl!$A$2:$E$564,2,FALSE)),0)</f>
        <v>#N/A</v>
      </c>
    </row>
    <row r="421" spans="1:26" ht="25.15" hidden="1" customHeight="1" x14ac:dyDescent="0.25">
      <c r="A421" s="112">
        <v>46241.695208333331</v>
      </c>
      <c r="B421" s="5" t="s">
        <v>347</v>
      </c>
      <c r="C421" s="5" t="s">
        <v>823</v>
      </c>
      <c r="D421" s="5">
        <v>714564</v>
      </c>
      <c r="E421" s="33">
        <f>36+9</f>
        <v>45</v>
      </c>
      <c r="F421" s="60">
        <v>1500</v>
      </c>
      <c r="G421" s="60">
        <f>+OtherClients[[#This Row],[Boxes / Pieces]]*OtherClients[[#This Row],[Unit Quantity]]</f>
        <v>67500</v>
      </c>
      <c r="H421" s="60">
        <v>279</v>
      </c>
      <c r="I421" s="60" t="s">
        <v>278</v>
      </c>
      <c r="J421" s="104"/>
      <c r="K421" s="33" t="s">
        <v>278</v>
      </c>
      <c r="L421" s="111"/>
      <c r="M421" s="33" t="s">
        <v>278</v>
      </c>
      <c r="N421" s="111"/>
      <c r="O421" s="33" t="s">
        <v>278</v>
      </c>
      <c r="P421" s="111"/>
      <c r="Q421" s="33" t="s">
        <v>587</v>
      </c>
      <c r="R421" s="111"/>
      <c r="S421" s="33" t="s">
        <v>278</v>
      </c>
      <c r="T421" s="111"/>
      <c r="U421" s="33" t="s">
        <v>278</v>
      </c>
      <c r="V421" s="111"/>
      <c r="W421" s="59" t="s">
        <v>633</v>
      </c>
      <c r="X421" s="33" t="str">
        <f>+VLOOKUP(OtherClients[[#This Row],[Part]],PartControl!$A$2:$E$564,5,FALSE)</f>
        <v>infasco</v>
      </c>
      <c r="Y421" s="108">
        <f>IF(OtherClients[[#This Row],[Re-certified or New]]&lt;&gt;"Re-certified",IF(OtherClients[[#This Row],[Client]]="infasco",VLOOKUP(OtherClients[[#This Row],[Part]],PartControl!$A$2:$E$564,2,FALSE),OtherClients[[#This Row],[Total Quantity]]*VLOOKUP(OtherClients[[#This Row],[Part]],PartControl!$A$2:$E$564,2,FALSE)),0)</f>
        <v>0</v>
      </c>
      <c r="Z421" s="108">
        <f>IF(OtherClients[[#This Row],[Re-certified or New]]&lt;&gt;"Re-certified",IF(OtherClients[[#This Row],[Client]]="infasco",VLOOKUP(OtherClients[[#This Row],[Part]],PartControl!$A$2:$E$564,2,FALSE),OtherClients[[#This Row],[Total Quantity]]*VLOOKUP(OtherClients[[#This Row],[Part]],PartControl!$A$2:$E$564,2,FALSE)),0)</f>
        <v>0</v>
      </c>
    </row>
    <row r="422" spans="1:26" ht="25.15" hidden="1" customHeight="1" x14ac:dyDescent="0.25">
      <c r="A422" s="112">
        <v>46241.695208333331</v>
      </c>
      <c r="B422" s="5" t="s">
        <v>343</v>
      </c>
      <c r="C422" s="5" t="s">
        <v>823</v>
      </c>
      <c r="D422" s="5">
        <v>713993</v>
      </c>
      <c r="E422" s="33">
        <v>36</v>
      </c>
      <c r="F422" s="60">
        <v>1500</v>
      </c>
      <c r="G422" s="60">
        <f>+OtherClients[[#This Row],[Boxes / Pieces]]*OtherClients[[#This Row],[Unit Quantity]]</f>
        <v>54000</v>
      </c>
      <c r="H422" s="60" t="s">
        <v>757</v>
      </c>
      <c r="I422" s="60" t="s">
        <v>278</v>
      </c>
      <c r="J422" s="104"/>
      <c r="K422" s="33" t="s">
        <v>278</v>
      </c>
      <c r="L422" s="111"/>
      <c r="M422" s="33" t="s">
        <v>278</v>
      </c>
      <c r="N422" s="111"/>
      <c r="O422" s="33" t="s">
        <v>278</v>
      </c>
      <c r="P422" s="111"/>
      <c r="Q422" s="33" t="s">
        <v>587</v>
      </c>
      <c r="R422" s="111"/>
      <c r="S422" s="33" t="s">
        <v>278</v>
      </c>
      <c r="T422" s="111"/>
      <c r="U422" s="33" t="s">
        <v>278</v>
      </c>
      <c r="V422" s="111"/>
      <c r="W422" s="59" t="s">
        <v>548</v>
      </c>
      <c r="X422" s="33" t="str">
        <f>+VLOOKUP(OtherClients[[#This Row],[Part]],PartControl!$A$2:$E$564,5,FALSE)</f>
        <v>infasco</v>
      </c>
      <c r="Y422" s="108">
        <f>IF(OtherClients[[#This Row],[Re-certified or New]]&lt;&gt;"Re-certified",IF(OtherClients[[#This Row],[Client]]="infasco",VLOOKUP(OtherClients[[#This Row],[Part]],PartControl!$A$2:$E$564,2,FALSE),OtherClients[[#This Row],[Total Quantity]]*VLOOKUP(OtherClients[[#This Row],[Part]],PartControl!$A$2:$E$564,2,FALSE)),0)</f>
        <v>226.94</v>
      </c>
      <c r="Z422" s="108">
        <f>IF(OtherClients[[#This Row],[Re-certified or New]]&lt;&gt;"Re-certified",IF(OtherClients[[#This Row],[Client]]="infasco",VLOOKUP(OtherClients[[#This Row],[Part]],PartControl!$A$2:$E$564,2,FALSE),OtherClients[[#This Row],[Total Quantity]]*VLOOKUP(OtherClients[[#This Row],[Part]],PartControl!$A$2:$E$564,2,FALSE)),0)</f>
        <v>226.94</v>
      </c>
    </row>
    <row r="423" spans="1:26" ht="25.15" hidden="1" customHeight="1" x14ac:dyDescent="0.25">
      <c r="A423" s="112">
        <v>46244.690833333334</v>
      </c>
      <c r="B423" s="5" t="s">
        <v>343</v>
      </c>
      <c r="C423" s="5" t="s">
        <v>823</v>
      </c>
      <c r="D423" s="5">
        <v>713993</v>
      </c>
      <c r="E423" s="33">
        <v>25</v>
      </c>
      <c r="F423" s="60">
        <v>1500</v>
      </c>
      <c r="G423" s="60">
        <f>+OtherClients[[#This Row],[Boxes / Pieces]]*OtherClients[[#This Row],[Unit Quantity]]</f>
        <v>37500</v>
      </c>
      <c r="H423" s="60" t="s">
        <v>757</v>
      </c>
      <c r="I423" s="120" t="s">
        <v>278</v>
      </c>
      <c r="J423" s="121"/>
      <c r="K423" s="33" t="s">
        <v>278</v>
      </c>
      <c r="L423" s="122"/>
      <c r="M423" s="33" t="s">
        <v>278</v>
      </c>
      <c r="N423" s="122"/>
      <c r="O423" s="33" t="s">
        <v>278</v>
      </c>
      <c r="P423" s="122"/>
      <c r="Q423" s="33" t="s">
        <v>587</v>
      </c>
      <c r="R423" s="122"/>
      <c r="S423" s="33" t="s">
        <v>278</v>
      </c>
      <c r="T423" s="122"/>
      <c r="U423" s="33" t="s">
        <v>278</v>
      </c>
      <c r="V423" s="122"/>
      <c r="W423" s="59" t="s">
        <v>633</v>
      </c>
      <c r="X423" s="33" t="str">
        <f>+VLOOKUP(OtherClients[[#This Row],[Part]],PartControl!$A$2:$E$564,5,FALSE)</f>
        <v>infasco</v>
      </c>
      <c r="Y423" s="108">
        <f>IF(OtherClients[[#This Row],[Re-certified or New]]&lt;&gt;"Re-certified",IF(OtherClients[[#This Row],[Client]]="infasco",VLOOKUP(OtherClients[[#This Row],[Part]],PartControl!$A$2:$E$564,2,FALSE),OtherClients[[#This Row],[Total Quantity]]*VLOOKUP(OtherClients[[#This Row],[Part]],PartControl!$A$2:$E$564,2,FALSE)),0)</f>
        <v>0</v>
      </c>
      <c r="Z423" s="108">
        <f>IF(OtherClients[[#This Row],[Re-certified or New]]&lt;&gt;"Re-certified",IF(OtherClients[[#This Row],[Client]]="infasco",VLOOKUP(OtherClients[[#This Row],[Part]],PartControl!$A$2:$E$564,2,FALSE),OtherClients[[#This Row],[Total Quantity]]*VLOOKUP(OtherClients[[#This Row],[Part]],PartControl!$A$2:$E$564,2,FALSE)),0)</f>
        <v>0</v>
      </c>
    </row>
    <row r="424" spans="1:26" ht="25.15" hidden="1" customHeight="1" x14ac:dyDescent="0.25">
      <c r="A424" s="112">
        <v>46241.695208333331</v>
      </c>
      <c r="B424" s="5" t="s">
        <v>345</v>
      </c>
      <c r="C424" s="5" t="s">
        <v>823</v>
      </c>
      <c r="D424" s="5">
        <v>713994</v>
      </c>
      <c r="E424" s="33">
        <v>36</v>
      </c>
      <c r="F424" s="60">
        <v>1500</v>
      </c>
      <c r="G424" s="60">
        <f>+OtherClients[[#This Row],[Boxes / Pieces]]*OtherClients[[#This Row],[Unit Quantity]]</f>
        <v>54000</v>
      </c>
      <c r="H424" s="60" t="s">
        <v>849</v>
      </c>
      <c r="I424" s="60" t="s">
        <v>278</v>
      </c>
      <c r="J424" s="104"/>
      <c r="K424" s="33" t="s">
        <v>278</v>
      </c>
      <c r="L424" s="111"/>
      <c r="M424" s="33" t="s">
        <v>278</v>
      </c>
      <c r="N424" s="111"/>
      <c r="O424" s="33" t="s">
        <v>278</v>
      </c>
      <c r="P424" s="111"/>
      <c r="Q424" s="33" t="s">
        <v>587</v>
      </c>
      <c r="R424" s="111"/>
      <c r="S424" s="33" t="s">
        <v>278</v>
      </c>
      <c r="T424" s="111"/>
      <c r="U424" s="33" t="s">
        <v>278</v>
      </c>
      <c r="V424" s="111"/>
      <c r="W424" s="59" t="s">
        <v>548</v>
      </c>
      <c r="X424" s="33" t="str">
        <f>+VLOOKUP(OtherClients[[#This Row],[Part]],PartControl!$A$2:$E$564,5,FALSE)</f>
        <v>infasco</v>
      </c>
      <c r="Y424" s="108">
        <f>IF(OtherClients[[#This Row],[Re-certified or New]]&lt;&gt;"Re-certified",IF(OtherClients[[#This Row],[Client]]="infasco",VLOOKUP(OtherClients[[#This Row],[Part]],PartControl!$A$2:$E$564,2,FALSE),OtherClients[[#This Row],[Total Quantity]]*VLOOKUP(OtherClients[[#This Row],[Part]],PartControl!$A$2:$E$564,2,FALSE)),0)</f>
        <v>226.94</v>
      </c>
      <c r="Z424" s="108">
        <f>IF(OtherClients[[#This Row],[Re-certified or New]]&lt;&gt;"Re-certified",IF(OtherClients[[#This Row],[Client]]="infasco",VLOOKUP(OtherClients[[#This Row],[Part]],PartControl!$A$2:$E$564,2,FALSE),OtherClients[[#This Row],[Total Quantity]]*VLOOKUP(OtherClients[[#This Row],[Part]],PartControl!$A$2:$E$564,2,FALSE)),0)</f>
        <v>226.94</v>
      </c>
    </row>
    <row r="425" spans="1:26" ht="25.15" hidden="1" customHeight="1" x14ac:dyDescent="0.25">
      <c r="A425" s="112">
        <v>46241.695208333331</v>
      </c>
      <c r="B425" s="5" t="s">
        <v>342</v>
      </c>
      <c r="C425" s="5" t="s">
        <v>823</v>
      </c>
      <c r="D425" s="5">
        <v>713995</v>
      </c>
      <c r="E425" s="33">
        <v>30</v>
      </c>
      <c r="F425" s="60">
        <v>1500</v>
      </c>
      <c r="G425" s="60">
        <f>+OtherClients[[#This Row],[Boxes / Pieces]]*OtherClients[[#This Row],[Unit Quantity]]</f>
        <v>45000</v>
      </c>
      <c r="H425" s="60" t="s">
        <v>811</v>
      </c>
      <c r="I425" s="60" t="s">
        <v>278</v>
      </c>
      <c r="J425" s="104"/>
      <c r="K425" s="33" t="s">
        <v>278</v>
      </c>
      <c r="L425" s="111"/>
      <c r="M425" s="33" t="s">
        <v>278</v>
      </c>
      <c r="N425" s="111"/>
      <c r="O425" s="33" t="s">
        <v>278</v>
      </c>
      <c r="P425" s="111"/>
      <c r="Q425" s="33" t="s">
        <v>587</v>
      </c>
      <c r="R425" s="111"/>
      <c r="S425" s="33" t="s">
        <v>278</v>
      </c>
      <c r="T425" s="111"/>
      <c r="U425" s="33" t="s">
        <v>278</v>
      </c>
      <c r="V425" s="111"/>
      <c r="W425" s="59" t="s">
        <v>548</v>
      </c>
      <c r="X425" s="33" t="str">
        <f>+VLOOKUP(OtherClients[[#This Row],[Part]],PartControl!$A$2:$E$564,5,FALSE)</f>
        <v>infasco</v>
      </c>
      <c r="Y425" s="108">
        <f>IF(OtherClients[[#This Row],[Re-certified or New]]&lt;&gt;"Re-certified",IF(OtherClients[[#This Row],[Client]]="infasco",VLOOKUP(OtherClients[[#This Row],[Part]],PartControl!$A$2:$E$564,2,FALSE),OtherClients[[#This Row],[Total Quantity]]*VLOOKUP(OtherClients[[#This Row],[Part]],PartControl!$A$2:$E$564,2,FALSE)),0)</f>
        <v>226.94</v>
      </c>
      <c r="Z425" s="108">
        <f>IF(OtherClients[[#This Row],[Re-certified or New]]&lt;&gt;"Re-certified",IF(OtherClients[[#This Row],[Client]]="infasco",VLOOKUP(OtherClients[[#This Row],[Part]],PartControl!$A$2:$E$564,2,FALSE),OtherClients[[#This Row],[Total Quantity]]*VLOOKUP(OtherClients[[#This Row],[Part]],PartControl!$A$2:$E$564,2,FALSE)),0)</f>
        <v>226.94</v>
      </c>
    </row>
    <row r="426" spans="1:26" ht="25.15" hidden="1" customHeight="1" x14ac:dyDescent="0.25">
      <c r="A426" s="112">
        <v>46244.690833333334</v>
      </c>
      <c r="B426" s="5" t="s">
        <v>343</v>
      </c>
      <c r="C426" s="5" t="s">
        <v>643</v>
      </c>
      <c r="D426" s="5">
        <v>714009</v>
      </c>
      <c r="E426" s="33">
        <v>34</v>
      </c>
      <c r="F426" s="60">
        <v>700</v>
      </c>
      <c r="G426" s="60">
        <f>+OtherClients[[#This Row],[Boxes / Pieces]]*OtherClients[[#This Row],[Unit Quantity]]</f>
        <v>23800</v>
      </c>
      <c r="H426" s="60" t="s">
        <v>757</v>
      </c>
      <c r="I426" s="120" t="s">
        <v>278</v>
      </c>
      <c r="J426" s="121"/>
      <c r="K426" s="33" t="s">
        <v>278</v>
      </c>
      <c r="L426" s="122"/>
      <c r="M426" s="33" t="s">
        <v>278</v>
      </c>
      <c r="N426" s="122"/>
      <c r="O426" s="33" t="s">
        <v>278</v>
      </c>
      <c r="P426" s="122"/>
      <c r="Q426" s="33" t="s">
        <v>587</v>
      </c>
      <c r="R426" s="122"/>
      <c r="S426" s="33" t="s">
        <v>278</v>
      </c>
      <c r="T426" s="122"/>
      <c r="U426" s="33" t="s">
        <v>278</v>
      </c>
      <c r="V426" s="122"/>
      <c r="W426" s="59" t="s">
        <v>548</v>
      </c>
      <c r="X426" s="33" t="str">
        <f>+VLOOKUP(OtherClients[[#This Row],[Part]],PartControl!$A$2:$E$564,5,FALSE)</f>
        <v>infasco</v>
      </c>
      <c r="Y426" s="108">
        <f>IF(OtherClients[[#This Row],[Re-certified or New]]&lt;&gt;"Re-certified",IF(OtherClients[[#This Row],[Client]]="infasco",VLOOKUP(OtherClients[[#This Row],[Part]],PartControl!$A$2:$E$564,2,FALSE),OtherClients[[#This Row],[Total Quantity]]*VLOOKUP(OtherClients[[#This Row],[Part]],PartControl!$A$2:$E$564,2,FALSE)),0)</f>
        <v>135.07999999999998</v>
      </c>
      <c r="Z426" s="108">
        <f>IF(OtherClients[[#This Row],[Re-certified or New]]&lt;&gt;"Re-certified",IF(OtherClients[[#This Row],[Client]]="infasco",VLOOKUP(OtherClients[[#This Row],[Part]],PartControl!$A$2:$E$564,2,FALSE),OtherClients[[#This Row],[Total Quantity]]*VLOOKUP(OtherClients[[#This Row],[Part]],PartControl!$A$2:$E$564,2,FALSE)),0)</f>
        <v>135.07999999999998</v>
      </c>
    </row>
    <row r="427" spans="1:26" ht="25.15" hidden="1" customHeight="1" x14ac:dyDescent="0.25">
      <c r="A427" s="112">
        <v>46244.690833333334</v>
      </c>
      <c r="B427" s="5" t="s">
        <v>345</v>
      </c>
      <c r="C427" s="5" t="s">
        <v>847</v>
      </c>
      <c r="D427" s="5">
        <v>714011</v>
      </c>
      <c r="E427" s="33">
        <v>28</v>
      </c>
      <c r="F427" s="60">
        <v>620</v>
      </c>
      <c r="G427" s="60">
        <f>+OtherClients[[#This Row],[Boxes / Pieces]]*OtherClients[[#This Row],[Unit Quantity]]</f>
        <v>17360</v>
      </c>
      <c r="H427" s="60" t="s">
        <v>849</v>
      </c>
      <c r="I427" s="120" t="s">
        <v>278</v>
      </c>
      <c r="J427" s="121"/>
      <c r="K427" s="33" t="s">
        <v>278</v>
      </c>
      <c r="L427" s="122"/>
      <c r="M427" s="33" t="s">
        <v>278</v>
      </c>
      <c r="N427" s="122"/>
      <c r="O427" s="33" t="s">
        <v>278</v>
      </c>
      <c r="P427" s="122"/>
      <c r="Q427" s="33" t="s">
        <v>587</v>
      </c>
      <c r="R427" s="122"/>
      <c r="S427" s="33" t="s">
        <v>278</v>
      </c>
      <c r="T427" s="122"/>
      <c r="U427" s="33" t="s">
        <v>278</v>
      </c>
      <c r="V427" s="122"/>
      <c r="W427" s="59" t="s">
        <v>548</v>
      </c>
      <c r="X427" s="33" t="str">
        <f>+VLOOKUP(OtherClients[[#This Row],[Part]],PartControl!$A$2:$E$564,5,FALSE)</f>
        <v>infasco</v>
      </c>
      <c r="Y427" s="108">
        <f>IF(OtherClients[[#This Row],[Re-certified or New]]&lt;&gt;"Re-certified",IF(OtherClients[[#This Row],[Client]]="infasco",VLOOKUP(OtherClients[[#This Row],[Part]],PartControl!$A$2:$E$564,2,FALSE),OtherClients[[#This Row],[Total Quantity]]*VLOOKUP(OtherClients[[#This Row],[Part]],PartControl!$A$2:$E$564,2,FALSE)),0)</f>
        <v>135.07999999999998</v>
      </c>
      <c r="Z427" s="108">
        <f>IF(OtherClients[[#This Row],[Re-certified or New]]&lt;&gt;"Re-certified",IF(OtherClients[[#This Row],[Client]]="infasco",VLOOKUP(OtherClients[[#This Row],[Part]],PartControl!$A$2:$E$564,2,FALSE),OtherClients[[#This Row],[Total Quantity]]*VLOOKUP(OtherClients[[#This Row],[Part]],PartControl!$A$2:$E$564,2,FALSE)),0)</f>
        <v>135.07999999999998</v>
      </c>
    </row>
    <row r="428" spans="1:26" ht="25.15" hidden="1" customHeight="1" x14ac:dyDescent="0.25">
      <c r="A428" s="112">
        <v>46244.690833333334</v>
      </c>
      <c r="B428" s="5" t="s">
        <v>342</v>
      </c>
      <c r="C428" s="5" t="s">
        <v>649</v>
      </c>
      <c r="D428" s="5">
        <v>714013</v>
      </c>
      <c r="E428" s="33">
        <v>35</v>
      </c>
      <c r="F428" s="60">
        <v>1250</v>
      </c>
      <c r="G428" s="60">
        <f>+OtherClients[[#This Row],[Boxes / Pieces]]*OtherClients[[#This Row],[Unit Quantity]]</f>
        <v>43750</v>
      </c>
      <c r="H428" s="60" t="s">
        <v>867</v>
      </c>
      <c r="I428" s="120" t="s">
        <v>278</v>
      </c>
      <c r="J428" s="121"/>
      <c r="K428" s="33" t="s">
        <v>278</v>
      </c>
      <c r="L428" s="122"/>
      <c r="M428" s="33" t="s">
        <v>278</v>
      </c>
      <c r="N428" s="122"/>
      <c r="O428" s="33" t="s">
        <v>278</v>
      </c>
      <c r="P428" s="122"/>
      <c r="Q428" s="33" t="s">
        <v>587</v>
      </c>
      <c r="R428" s="122"/>
      <c r="S428" s="33" t="s">
        <v>278</v>
      </c>
      <c r="T428" s="122"/>
      <c r="U428" s="33" t="s">
        <v>278</v>
      </c>
      <c r="V428" s="122"/>
      <c r="W428" s="59" t="s">
        <v>548</v>
      </c>
      <c r="X428" s="33" t="str">
        <f>+VLOOKUP(OtherClients[[#This Row],[Part]],PartControl!$A$2:$E$564,5,FALSE)</f>
        <v>infasco</v>
      </c>
      <c r="Y428" s="108">
        <f>IF(OtherClients[[#This Row],[Re-certified or New]]&lt;&gt;"Re-certified",IF(OtherClients[[#This Row],[Client]]="infasco",VLOOKUP(OtherClients[[#This Row],[Part]],PartControl!$A$2:$E$564,2,FALSE),OtherClients[[#This Row],[Total Quantity]]*VLOOKUP(OtherClients[[#This Row],[Part]],PartControl!$A$2:$E$564,2,FALSE)),0)</f>
        <v>135.07999999999998</v>
      </c>
      <c r="Z428" s="108">
        <f>IF(OtherClients[[#This Row],[Re-certified or New]]&lt;&gt;"Re-certified",IF(OtherClients[[#This Row],[Client]]="infasco",VLOOKUP(OtherClients[[#This Row],[Part]],PartControl!$A$2:$E$564,2,FALSE),OtherClients[[#This Row],[Total Quantity]]*VLOOKUP(OtherClients[[#This Row],[Part]],PartControl!$A$2:$E$564,2,FALSE)),0)</f>
        <v>135.07999999999998</v>
      </c>
    </row>
    <row r="429" spans="1:26" ht="25.15" hidden="1" customHeight="1" x14ac:dyDescent="0.25">
      <c r="A429" s="112">
        <v>46244.690833333334</v>
      </c>
      <c r="B429" s="5" t="s">
        <v>342</v>
      </c>
      <c r="C429" s="5">
        <v>11610376</v>
      </c>
      <c r="D429" s="5">
        <v>714201</v>
      </c>
      <c r="E429" s="33">
        <v>2</v>
      </c>
      <c r="F429" s="60">
        <v>900</v>
      </c>
      <c r="G429" s="60">
        <f>+OtherClients[[#This Row],[Boxes / Pieces]]*OtherClients[[#This Row],[Unit Quantity]]</f>
        <v>1800</v>
      </c>
      <c r="H429" s="60" t="s">
        <v>867</v>
      </c>
      <c r="I429" s="120" t="s">
        <v>278</v>
      </c>
      <c r="J429" s="121"/>
      <c r="K429" s="33" t="s">
        <v>278</v>
      </c>
      <c r="L429" s="122"/>
      <c r="M429" s="33" t="s">
        <v>278</v>
      </c>
      <c r="N429" s="122"/>
      <c r="O429" s="33" t="s">
        <v>278</v>
      </c>
      <c r="P429" s="122"/>
      <c r="Q429" s="33" t="s">
        <v>587</v>
      </c>
      <c r="R429" s="122"/>
      <c r="S429" s="33" t="s">
        <v>278</v>
      </c>
      <c r="T429" s="122"/>
      <c r="U429" s="33" t="s">
        <v>278</v>
      </c>
      <c r="V429" s="122"/>
      <c r="W429" s="59" t="s">
        <v>633</v>
      </c>
      <c r="X429" s="33" t="str">
        <f>+VLOOKUP(OtherClients[[#This Row],[Part]],PartControl!$A$2:$E$564,5,FALSE)</f>
        <v>infasco</v>
      </c>
      <c r="Y429" s="108">
        <f>IF(OtherClients[[#This Row],[Re-certified or New]]&lt;&gt;"Re-certified",IF(OtherClients[[#This Row],[Client]]="infasco",VLOOKUP(OtherClients[[#This Row],[Part]],PartControl!$A$2:$E$564,2,FALSE),OtherClients[[#This Row],[Total Quantity]]*VLOOKUP(OtherClients[[#This Row],[Part]],PartControl!$A$2:$E$564,2,FALSE)),0)</f>
        <v>0</v>
      </c>
      <c r="Z429" s="108">
        <f>IF(OtherClients[[#This Row],[Re-certified or New]]&lt;&gt;"Re-certified",IF(OtherClients[[#This Row],[Client]]="infasco",VLOOKUP(OtherClients[[#This Row],[Part]],PartControl!$A$2:$E$564,2,FALSE),OtherClients[[#This Row],[Total Quantity]]*VLOOKUP(OtherClients[[#This Row],[Part]],PartControl!$A$2:$E$564,2,FALSE)),0)</f>
        <v>0</v>
      </c>
    </row>
    <row r="430" spans="1:26" ht="25.15" hidden="1" customHeight="1" x14ac:dyDescent="0.25">
      <c r="A430" s="112">
        <v>46241.695208333331</v>
      </c>
      <c r="B430" s="5" t="s">
        <v>342</v>
      </c>
      <c r="C430" s="5">
        <v>11610376</v>
      </c>
      <c r="D430" s="5">
        <v>714280</v>
      </c>
      <c r="E430" s="33">
        <v>8</v>
      </c>
      <c r="F430" s="60">
        <v>900</v>
      </c>
      <c r="G430" s="60">
        <f>+OtherClients[[#This Row],[Boxes / Pieces]]*OtherClients[[#This Row],[Unit Quantity]]</f>
        <v>7200</v>
      </c>
      <c r="H430" s="60" t="s">
        <v>811</v>
      </c>
      <c r="I430" s="60" t="s">
        <v>278</v>
      </c>
      <c r="J430" s="104"/>
      <c r="K430" s="33" t="s">
        <v>278</v>
      </c>
      <c r="L430" s="111"/>
      <c r="M430" s="33" t="s">
        <v>278</v>
      </c>
      <c r="N430" s="111"/>
      <c r="O430" s="33" t="s">
        <v>278</v>
      </c>
      <c r="P430" s="111"/>
      <c r="Q430" s="33" t="s">
        <v>587</v>
      </c>
      <c r="R430" s="111"/>
      <c r="S430" s="33" t="s">
        <v>278</v>
      </c>
      <c r="T430" s="111"/>
      <c r="U430" s="33" t="s">
        <v>278</v>
      </c>
      <c r="V430" s="111"/>
      <c r="W430" s="59" t="s">
        <v>548</v>
      </c>
      <c r="X430" s="33" t="str">
        <f>+VLOOKUP(OtherClients[[#This Row],[Part]],PartControl!$A$2:$E$564,5,FALSE)</f>
        <v>infasco</v>
      </c>
      <c r="Y430" s="108">
        <f>IF(OtherClients[[#This Row],[Re-certified or New]]&lt;&gt;"Re-certified",IF(OtherClients[[#This Row],[Client]]="infasco",VLOOKUP(OtherClients[[#This Row],[Part]],PartControl!$A$2:$E$564,2,FALSE),OtherClients[[#This Row],[Total Quantity]]*VLOOKUP(OtherClients[[#This Row],[Part]],PartControl!$A$2:$E$564,2,FALSE)),0)</f>
        <v>106.94</v>
      </c>
      <c r="Z430" s="108">
        <f>IF(OtherClients[[#This Row],[Re-certified or New]]&lt;&gt;"Re-certified",IF(OtherClients[[#This Row],[Client]]="infasco",VLOOKUP(OtherClients[[#This Row],[Part]],PartControl!$A$2:$E$564,2,FALSE),OtherClients[[#This Row],[Total Quantity]]*VLOOKUP(OtherClients[[#This Row],[Part]],PartControl!$A$2:$E$564,2,FALSE)),0)</f>
        <v>106.94</v>
      </c>
    </row>
    <row r="431" spans="1:26" ht="25.15" hidden="1" customHeight="1" x14ac:dyDescent="0.25">
      <c r="A431" s="112">
        <v>46241.695208333331</v>
      </c>
      <c r="B431" s="5" t="s">
        <v>344</v>
      </c>
      <c r="C431" s="5" t="s">
        <v>306</v>
      </c>
      <c r="D431" s="5">
        <v>715838</v>
      </c>
      <c r="E431" s="33">
        <v>1</v>
      </c>
      <c r="F431" s="60">
        <f>34800-15000</f>
        <v>19800</v>
      </c>
      <c r="G431" s="60">
        <f>+OtherClients[[#This Row],[Boxes / Pieces]]*OtherClients[[#This Row],[Unit Quantity]]</f>
        <v>19800</v>
      </c>
      <c r="H431" s="60" t="s">
        <v>816</v>
      </c>
      <c r="I431" s="60" t="s">
        <v>278</v>
      </c>
      <c r="J431" s="104"/>
      <c r="K431" s="33" t="s">
        <v>278</v>
      </c>
      <c r="L431" s="111"/>
      <c r="M431" s="33" t="s">
        <v>278</v>
      </c>
      <c r="N431" s="111"/>
      <c r="O431" s="33" t="s">
        <v>278</v>
      </c>
      <c r="P431" s="111"/>
      <c r="Q431" s="33" t="s">
        <v>587</v>
      </c>
      <c r="R431" s="111"/>
      <c r="S431" s="33" t="s">
        <v>278</v>
      </c>
      <c r="T431" s="111"/>
      <c r="U431" s="33" t="s">
        <v>278</v>
      </c>
      <c r="V431" s="111"/>
      <c r="W431" s="59" t="s">
        <v>548</v>
      </c>
      <c r="X431" s="33" t="str">
        <f>+VLOOKUP(OtherClients[[#This Row],[Part]],PartControl!$A$2:$E$564,5,FALSE)</f>
        <v>INFASCO</v>
      </c>
      <c r="Y431" s="108">
        <f>IF(OtherClients[[#This Row],[Re-certified or New]]&lt;&gt;"Re-certified",IF(OtherClients[[#This Row],[Client]]="infasco",VLOOKUP(OtherClients[[#This Row],[Part]],PartControl!$A$2:$E$564,2,FALSE),OtherClients[[#This Row],[Total Quantity]]*VLOOKUP(OtherClients[[#This Row],[Part]],PartControl!$A$2:$E$564,2,FALSE)),0)</f>
        <v>129.44999999999999</v>
      </c>
      <c r="Z431" s="108">
        <f>IF(OtherClients[[#This Row],[Re-certified or New]]&lt;&gt;"Re-certified",IF(OtherClients[[#This Row],[Client]]="infasco",VLOOKUP(OtherClients[[#This Row],[Part]],PartControl!$A$2:$E$564,2,FALSE),OtherClients[[#This Row],[Total Quantity]]*VLOOKUP(OtherClients[[#This Row],[Part]],PartControl!$A$2:$E$564,2,FALSE)),0)</f>
        <v>129.44999999999999</v>
      </c>
    </row>
    <row r="432" spans="1:26" ht="25.15" hidden="1" customHeight="1" x14ac:dyDescent="0.25">
      <c r="A432" s="112">
        <v>46241.695208333331</v>
      </c>
      <c r="B432" s="5" t="s">
        <v>344</v>
      </c>
      <c r="C432" s="5">
        <v>11548147</v>
      </c>
      <c r="D432" s="5">
        <v>714398</v>
      </c>
      <c r="E432" s="33">
        <v>28</v>
      </c>
      <c r="F432" s="60">
        <v>250</v>
      </c>
      <c r="G432" s="60">
        <f>+OtherClients[[#This Row],[Boxes / Pieces]]*OtherClients[[#This Row],[Unit Quantity]]</f>
        <v>7000</v>
      </c>
      <c r="H432" s="60" t="s">
        <v>816</v>
      </c>
      <c r="I432" s="60" t="s">
        <v>278</v>
      </c>
      <c r="J432" s="104"/>
      <c r="K432" s="33" t="s">
        <v>278</v>
      </c>
      <c r="L432" s="111"/>
      <c r="M432" s="33" t="s">
        <v>278</v>
      </c>
      <c r="N432" s="111"/>
      <c r="O432" s="33" t="s">
        <v>278</v>
      </c>
      <c r="P432" s="111"/>
      <c r="Q432" s="33" t="s">
        <v>587</v>
      </c>
      <c r="R432" s="111"/>
      <c r="S432" s="33" t="s">
        <v>278</v>
      </c>
      <c r="T432" s="111"/>
      <c r="U432" s="33" t="s">
        <v>278</v>
      </c>
      <c r="V432" s="111"/>
      <c r="W432" s="59" t="s">
        <v>548</v>
      </c>
      <c r="X432" s="33" t="str">
        <f>+VLOOKUP(OtherClients[[#This Row],[Part]],PartControl!$A$2:$E$564,5,FALSE)</f>
        <v>infasco</v>
      </c>
      <c r="Y432" s="108">
        <f>IF(OtherClients[[#This Row],[Re-certified or New]]&lt;&gt;"Re-certified",IF(OtherClients[[#This Row],[Client]]="infasco",VLOOKUP(OtherClients[[#This Row],[Part]],PartControl!$A$2:$E$564,2,FALSE),OtherClients[[#This Row],[Total Quantity]]*VLOOKUP(OtherClients[[#This Row],[Part]],PartControl!$A$2:$E$564,2,FALSE)),0)</f>
        <v>280.15999999999997</v>
      </c>
      <c r="Z432" s="108">
        <f>IF(OtherClients[[#This Row],[Re-certified or New]]&lt;&gt;"Re-certified",IF(OtherClients[[#This Row],[Client]]="infasco",VLOOKUP(OtherClients[[#This Row],[Part]],PartControl!$A$2:$E$564,2,FALSE),OtherClients[[#This Row],[Total Quantity]]*VLOOKUP(OtherClients[[#This Row],[Part]],PartControl!$A$2:$E$564,2,FALSE)),0)</f>
        <v>280.15999999999997</v>
      </c>
    </row>
    <row r="433" spans="1:26" ht="25.15" hidden="1" customHeight="1" x14ac:dyDescent="0.25">
      <c r="A433" s="112">
        <v>46241.695208333331</v>
      </c>
      <c r="B433" s="5" t="s">
        <v>344</v>
      </c>
      <c r="C433" s="5" t="s">
        <v>675</v>
      </c>
      <c r="D433" s="5">
        <v>714000</v>
      </c>
      <c r="E433" s="33">
        <v>36</v>
      </c>
      <c r="F433" s="60">
        <v>575</v>
      </c>
      <c r="G433" s="60">
        <f>+OtherClients[[#This Row],[Boxes / Pieces]]*OtherClients[[#This Row],[Unit Quantity]]</f>
        <v>20700</v>
      </c>
      <c r="H433" s="60" t="s">
        <v>816</v>
      </c>
      <c r="I433" s="60" t="s">
        <v>278</v>
      </c>
      <c r="J433" s="104"/>
      <c r="K433" s="33" t="s">
        <v>278</v>
      </c>
      <c r="L433" s="111"/>
      <c r="M433" s="33" t="s">
        <v>278</v>
      </c>
      <c r="N433" s="111"/>
      <c r="O433" s="33" t="s">
        <v>278</v>
      </c>
      <c r="P433" s="111"/>
      <c r="Q433" s="33" t="s">
        <v>587</v>
      </c>
      <c r="R433" s="111"/>
      <c r="S433" s="33" t="s">
        <v>278</v>
      </c>
      <c r="T433" s="111"/>
      <c r="U433" s="33" t="s">
        <v>278</v>
      </c>
      <c r="V433" s="111"/>
      <c r="W433" s="59" t="s">
        <v>548</v>
      </c>
      <c r="X433" s="33" t="str">
        <f>+VLOOKUP(OtherClients[[#This Row],[Part]],PartControl!$A$2:$E$564,5,FALSE)</f>
        <v>infasco</v>
      </c>
      <c r="Y433" s="108">
        <f>IF(OtherClients[[#This Row],[Re-certified or New]]&lt;&gt;"Re-certified",IF(OtherClients[[#This Row],[Client]]="infasco",VLOOKUP(OtherClients[[#This Row],[Part]],PartControl!$A$2:$E$564,2,FALSE),OtherClients[[#This Row],[Total Quantity]]*VLOOKUP(OtherClients[[#This Row],[Part]],PartControl!$A$2:$E$564,2,FALSE)),0)</f>
        <v>135.07999999999998</v>
      </c>
      <c r="Z433" s="108">
        <f>IF(OtherClients[[#This Row],[Re-certified or New]]&lt;&gt;"Re-certified",IF(OtherClients[[#This Row],[Client]]="infasco",VLOOKUP(OtherClients[[#This Row],[Part]],PartControl!$A$2:$E$564,2,FALSE),OtherClients[[#This Row],[Total Quantity]]*VLOOKUP(OtherClients[[#This Row],[Part]],PartControl!$A$2:$E$564,2,FALSE)),0)</f>
        <v>135.07999999999998</v>
      </c>
    </row>
    <row r="434" spans="1:26" ht="25.15" hidden="1" customHeight="1" x14ac:dyDescent="0.25">
      <c r="A434" s="112">
        <v>46241.695208333331</v>
      </c>
      <c r="B434" s="5" t="s">
        <v>344</v>
      </c>
      <c r="C434" s="5">
        <v>11610376</v>
      </c>
      <c r="D434" s="5">
        <v>714203</v>
      </c>
      <c r="E434" s="33">
        <v>25</v>
      </c>
      <c r="F434" s="60">
        <v>900</v>
      </c>
      <c r="G434" s="60">
        <f>+OtherClients[[#This Row],[Boxes / Pieces]]*OtherClients[[#This Row],[Unit Quantity]]</f>
        <v>22500</v>
      </c>
      <c r="H434" s="60" t="s">
        <v>816</v>
      </c>
      <c r="I434" s="60" t="s">
        <v>278</v>
      </c>
      <c r="J434" s="104"/>
      <c r="K434" s="33" t="s">
        <v>278</v>
      </c>
      <c r="L434" s="111"/>
      <c r="M434" s="33" t="s">
        <v>278</v>
      </c>
      <c r="N434" s="111"/>
      <c r="O434" s="33" t="s">
        <v>278</v>
      </c>
      <c r="P434" s="111"/>
      <c r="Q434" s="33" t="s">
        <v>587</v>
      </c>
      <c r="R434" s="111"/>
      <c r="S434" s="33" t="s">
        <v>278</v>
      </c>
      <c r="T434" s="111"/>
      <c r="U434" s="33" t="s">
        <v>278</v>
      </c>
      <c r="V434" s="111"/>
      <c r="W434" s="59" t="s">
        <v>548</v>
      </c>
      <c r="X434" s="33" t="str">
        <f>+VLOOKUP(OtherClients[[#This Row],[Part]],PartControl!$A$2:$E$564,5,FALSE)</f>
        <v>infasco</v>
      </c>
      <c r="Y434" s="108">
        <f>IF(OtherClients[[#This Row],[Re-certified or New]]&lt;&gt;"Re-certified",IF(OtherClients[[#This Row],[Client]]="infasco",VLOOKUP(OtherClients[[#This Row],[Part]],PartControl!$A$2:$E$564,2,FALSE),OtherClients[[#This Row],[Total Quantity]]*VLOOKUP(OtherClients[[#This Row],[Part]],PartControl!$A$2:$E$564,2,FALSE)),0)</f>
        <v>106.94</v>
      </c>
      <c r="Z434" s="108">
        <f>IF(OtherClients[[#This Row],[Re-certified or New]]&lt;&gt;"Re-certified",IF(OtherClients[[#This Row],[Client]]="infasco",VLOOKUP(OtherClients[[#This Row],[Part]],PartControl!$A$2:$E$564,2,FALSE),OtherClients[[#This Row],[Total Quantity]]*VLOOKUP(OtherClients[[#This Row],[Part]],PartControl!$A$2:$E$564,2,FALSE)),0)</f>
        <v>106.94</v>
      </c>
    </row>
    <row r="435" spans="1:26" ht="25.15" hidden="1" customHeight="1" x14ac:dyDescent="0.25">
      <c r="A435" s="112">
        <v>46241.695208333331</v>
      </c>
      <c r="B435" s="5" t="s">
        <v>344</v>
      </c>
      <c r="C435" s="5">
        <v>11610376</v>
      </c>
      <c r="D435" s="5">
        <v>714202</v>
      </c>
      <c r="E435" s="33">
        <v>26</v>
      </c>
      <c r="F435" s="60">
        <v>900</v>
      </c>
      <c r="G435" s="60">
        <f>+OtherClients[[#This Row],[Boxes / Pieces]]*OtherClients[[#This Row],[Unit Quantity]]</f>
        <v>23400</v>
      </c>
      <c r="H435" s="60" t="s">
        <v>816</v>
      </c>
      <c r="I435" s="60" t="s">
        <v>278</v>
      </c>
      <c r="J435" s="104"/>
      <c r="K435" s="33" t="s">
        <v>278</v>
      </c>
      <c r="L435" s="111"/>
      <c r="M435" s="33" t="s">
        <v>278</v>
      </c>
      <c r="N435" s="111"/>
      <c r="O435" s="33" t="s">
        <v>278</v>
      </c>
      <c r="P435" s="111"/>
      <c r="Q435" s="33" t="s">
        <v>587</v>
      </c>
      <c r="R435" s="111"/>
      <c r="S435" s="33" t="s">
        <v>278</v>
      </c>
      <c r="T435" s="111"/>
      <c r="U435" s="33" t="s">
        <v>278</v>
      </c>
      <c r="V435" s="111"/>
      <c r="W435" s="59" t="s">
        <v>548</v>
      </c>
      <c r="X435" s="33" t="str">
        <f>+VLOOKUP(OtherClients[[#This Row],[Part]],PartControl!$A$2:$E$564,5,FALSE)</f>
        <v>infasco</v>
      </c>
      <c r="Y435" s="108">
        <f>IF(OtherClients[[#This Row],[Re-certified or New]]&lt;&gt;"Re-certified",IF(OtherClients[[#This Row],[Client]]="infasco",VLOOKUP(OtherClients[[#This Row],[Part]],PartControl!$A$2:$E$564,2,FALSE),OtherClients[[#This Row],[Total Quantity]]*VLOOKUP(OtherClients[[#This Row],[Part]],PartControl!$A$2:$E$564,2,FALSE)),0)</f>
        <v>106.94</v>
      </c>
      <c r="Z435" s="108">
        <f>IF(OtherClients[[#This Row],[Re-certified or New]]&lt;&gt;"Re-certified",IF(OtherClients[[#This Row],[Client]]="infasco",VLOOKUP(OtherClients[[#This Row],[Part]],PartControl!$A$2:$E$564,2,FALSE),OtherClients[[#This Row],[Total Quantity]]*VLOOKUP(OtherClients[[#This Row],[Part]],PartControl!$A$2:$E$564,2,FALSE)),0)</f>
        <v>106.94</v>
      </c>
    </row>
    <row r="436" spans="1:26" ht="25.15" hidden="1" customHeight="1" x14ac:dyDescent="0.25">
      <c r="A436" s="112">
        <v>46241.695208333331</v>
      </c>
      <c r="B436" s="5" t="s">
        <v>344</v>
      </c>
      <c r="C436" s="5" t="s">
        <v>14</v>
      </c>
      <c r="D436" s="5">
        <v>715843</v>
      </c>
      <c r="E436" s="33">
        <v>34</v>
      </c>
      <c r="F436" s="60">
        <v>75</v>
      </c>
      <c r="G436" s="60">
        <f>+OtherClients[[#This Row],[Boxes / Pieces]]*OtherClients[[#This Row],[Unit Quantity]]</f>
        <v>2550</v>
      </c>
      <c r="H436" s="60" t="s">
        <v>816</v>
      </c>
      <c r="I436" s="60" t="s">
        <v>278</v>
      </c>
      <c r="J436" s="104"/>
      <c r="K436" s="33" t="s">
        <v>278</v>
      </c>
      <c r="L436" s="111"/>
      <c r="M436" s="33" t="s">
        <v>278</v>
      </c>
      <c r="N436" s="111"/>
      <c r="O436" s="33" t="s">
        <v>278</v>
      </c>
      <c r="P436" s="111"/>
      <c r="Q436" s="33" t="s">
        <v>587</v>
      </c>
      <c r="R436" s="111"/>
      <c r="S436" s="33" t="s">
        <v>278</v>
      </c>
      <c r="T436" s="111"/>
      <c r="U436" s="33" t="s">
        <v>278</v>
      </c>
      <c r="V436" s="111"/>
      <c r="W436" s="59" t="s">
        <v>633</v>
      </c>
      <c r="X436" s="33" t="str">
        <f>+VLOOKUP(OtherClients[[#This Row],[Part]],PartControl!$A$2:$E$564,5,FALSE)</f>
        <v>INFASCO</v>
      </c>
      <c r="Y436" s="108">
        <f>IF(OtherClients[[#This Row],[Re-certified or New]]&lt;&gt;"Re-certified",IF(OtherClients[[#This Row],[Client]]="infasco",VLOOKUP(OtherClients[[#This Row],[Part]],PartControl!$A$2:$E$564,2,FALSE),OtherClients[[#This Row],[Total Quantity]]*VLOOKUP(OtherClients[[#This Row],[Part]],PartControl!$A$2:$E$564,2,FALSE)),0)</f>
        <v>0</v>
      </c>
      <c r="Z436" s="108">
        <f>IF(OtherClients[[#This Row],[Re-certified or New]]&lt;&gt;"Re-certified",IF(OtherClients[[#This Row],[Client]]="infasco",VLOOKUP(OtherClients[[#This Row],[Part]],PartControl!$A$2:$E$564,2,FALSE),OtherClients[[#This Row],[Total Quantity]]*VLOOKUP(OtherClients[[#This Row],[Part]],PartControl!$A$2:$E$564,2,FALSE)),0)</f>
        <v>0</v>
      </c>
    </row>
    <row r="437" spans="1:26" ht="25.15" hidden="1" customHeight="1" x14ac:dyDescent="0.25">
      <c r="A437" s="112">
        <v>46241.695208333331</v>
      </c>
      <c r="B437" s="5" t="s">
        <v>342</v>
      </c>
      <c r="C437" s="5">
        <v>11548147</v>
      </c>
      <c r="D437" s="5">
        <v>714399</v>
      </c>
      <c r="E437" s="33">
        <v>25</v>
      </c>
      <c r="F437" s="60">
        <v>250</v>
      </c>
      <c r="G437" s="60">
        <f>+OtherClients[[#This Row],[Boxes / Pieces]]*OtherClients[[#This Row],[Unit Quantity]]</f>
        <v>6250</v>
      </c>
      <c r="H437" s="60" t="s">
        <v>811</v>
      </c>
      <c r="I437" s="60" t="s">
        <v>278</v>
      </c>
      <c r="J437" s="104"/>
      <c r="K437" s="33" t="s">
        <v>278</v>
      </c>
      <c r="L437" s="111"/>
      <c r="M437" s="33" t="s">
        <v>278</v>
      </c>
      <c r="N437" s="111"/>
      <c r="O437" s="33" t="s">
        <v>278</v>
      </c>
      <c r="P437" s="111"/>
      <c r="Q437" s="33" t="s">
        <v>587</v>
      </c>
      <c r="R437" s="111"/>
      <c r="S437" s="33" t="s">
        <v>278</v>
      </c>
      <c r="T437" s="111"/>
      <c r="U437" s="33" t="s">
        <v>278</v>
      </c>
      <c r="V437" s="111"/>
      <c r="W437" s="59" t="s">
        <v>548</v>
      </c>
      <c r="X437" s="33" t="str">
        <f>+VLOOKUP(OtherClients[[#This Row],[Part]],PartControl!$A$2:$E$564,5,FALSE)</f>
        <v>infasco</v>
      </c>
      <c r="Y437" s="108">
        <f>IF(OtherClients[[#This Row],[Re-certified or New]]&lt;&gt;"Re-certified",IF(OtherClients[[#This Row],[Client]]="infasco",VLOOKUP(OtherClients[[#This Row],[Part]],PartControl!$A$2:$E$564,2,FALSE),OtherClients[[#This Row],[Total Quantity]]*VLOOKUP(OtherClients[[#This Row],[Part]],PartControl!$A$2:$E$564,2,FALSE)),0)</f>
        <v>280.15999999999997</v>
      </c>
      <c r="Z437" s="108">
        <f>IF(OtherClients[[#This Row],[Re-certified or New]]&lt;&gt;"Re-certified",IF(OtherClients[[#This Row],[Client]]="infasco",VLOOKUP(OtherClients[[#This Row],[Part]],PartControl!$A$2:$E$564,2,FALSE),OtherClients[[#This Row],[Total Quantity]]*VLOOKUP(OtherClients[[#This Row],[Part]],PartControl!$A$2:$E$564,2,FALSE)),0)</f>
        <v>280.15999999999997</v>
      </c>
    </row>
    <row r="438" spans="1:26" ht="25.15" hidden="1" customHeight="1" x14ac:dyDescent="0.25">
      <c r="A438" s="112">
        <v>46241.695208333331</v>
      </c>
      <c r="B438" s="5" t="s">
        <v>343</v>
      </c>
      <c r="C438" s="5" t="s">
        <v>306</v>
      </c>
      <c r="D438" s="5">
        <v>714466</v>
      </c>
      <c r="E438" s="33">
        <v>1</v>
      </c>
      <c r="F438" s="60">
        <v>51361</v>
      </c>
      <c r="G438" s="60">
        <f>+OtherClients[[#This Row],[Boxes / Pieces]]*OtherClients[[#This Row],[Unit Quantity]]</f>
        <v>51361</v>
      </c>
      <c r="H438" s="60" t="s">
        <v>757</v>
      </c>
      <c r="I438" s="60" t="s">
        <v>278</v>
      </c>
      <c r="J438" s="104"/>
      <c r="K438" s="33" t="s">
        <v>278</v>
      </c>
      <c r="L438" s="111"/>
      <c r="M438" s="33" t="s">
        <v>278</v>
      </c>
      <c r="N438" s="111"/>
      <c r="O438" s="33" t="s">
        <v>278</v>
      </c>
      <c r="P438" s="111"/>
      <c r="Q438" s="33" t="s">
        <v>587</v>
      </c>
      <c r="R438" s="111"/>
      <c r="S438" s="33" t="s">
        <v>278</v>
      </c>
      <c r="T438" s="111"/>
      <c r="U438" s="33" t="s">
        <v>278</v>
      </c>
      <c r="V438" s="111"/>
      <c r="W438" s="59" t="s">
        <v>548</v>
      </c>
      <c r="X438" s="33" t="str">
        <f>+VLOOKUP(OtherClients[[#This Row],[Part]],PartControl!$A$2:$E$564,5,FALSE)</f>
        <v>INFASCO</v>
      </c>
      <c r="Y438" s="108">
        <f>IF(OtherClients[[#This Row],[Re-certified or New]]&lt;&gt;"Re-certified",IF(OtherClients[[#This Row],[Client]]="infasco",VLOOKUP(OtherClients[[#This Row],[Part]],PartControl!$A$2:$E$564,2,FALSE),OtherClients[[#This Row],[Total Quantity]]*VLOOKUP(OtherClients[[#This Row],[Part]],PartControl!$A$2:$E$564,2,FALSE)),0)</f>
        <v>129.44999999999999</v>
      </c>
      <c r="Z438" s="108">
        <f>IF(OtherClients[[#This Row],[Re-certified or New]]&lt;&gt;"Re-certified",IF(OtherClients[[#This Row],[Client]]="infasco",VLOOKUP(OtherClients[[#This Row],[Part]],PartControl!$A$2:$E$564,2,FALSE),OtherClients[[#This Row],[Total Quantity]]*VLOOKUP(OtherClients[[#This Row],[Part]],PartControl!$A$2:$E$564,2,FALSE)),0)</f>
        <v>129.44999999999999</v>
      </c>
    </row>
    <row r="439" spans="1:26" ht="25.15" hidden="1" customHeight="1" x14ac:dyDescent="0.25">
      <c r="A439" s="112">
        <v>46241.695208333331</v>
      </c>
      <c r="B439" s="5" t="s">
        <v>343</v>
      </c>
      <c r="C439" s="5" t="s">
        <v>822</v>
      </c>
      <c r="D439" s="5">
        <v>714558</v>
      </c>
      <c r="E439" s="33">
        <v>37</v>
      </c>
      <c r="F439" s="60">
        <v>750</v>
      </c>
      <c r="G439" s="60">
        <f>+OtherClients[[#This Row],[Boxes / Pieces]]*OtherClients[[#This Row],[Unit Quantity]]</f>
        <v>27750</v>
      </c>
      <c r="H439" s="60" t="s">
        <v>757</v>
      </c>
      <c r="I439" s="60" t="s">
        <v>278</v>
      </c>
      <c r="J439" s="104"/>
      <c r="K439" s="33" t="s">
        <v>278</v>
      </c>
      <c r="L439" s="111"/>
      <c r="M439" s="33" t="s">
        <v>278</v>
      </c>
      <c r="N439" s="111"/>
      <c r="O439" s="33" t="s">
        <v>278</v>
      </c>
      <c r="P439" s="111"/>
      <c r="Q439" s="33" t="s">
        <v>587</v>
      </c>
      <c r="R439" s="111"/>
      <c r="S439" s="33" t="s">
        <v>278</v>
      </c>
      <c r="T439" s="111"/>
      <c r="U439" s="33" t="s">
        <v>278</v>
      </c>
      <c r="V439" s="111"/>
      <c r="W439" s="59" t="s">
        <v>548</v>
      </c>
      <c r="X439" s="33" t="str">
        <f>+VLOOKUP(OtherClients[[#This Row],[Part]],PartControl!$A$2:$E$564,5,FALSE)</f>
        <v>infasco</v>
      </c>
      <c r="Y439" s="108">
        <f>IF(OtherClients[[#This Row],[Re-certified or New]]&lt;&gt;"Re-certified",IF(OtherClients[[#This Row],[Client]]="infasco",VLOOKUP(OtherClients[[#This Row],[Part]],PartControl!$A$2:$E$564,2,FALSE),OtherClients[[#This Row],[Total Quantity]]*VLOOKUP(OtherClients[[#This Row],[Part]],PartControl!$A$2:$E$564,2,FALSE)),0)</f>
        <v>135.08000000000001</v>
      </c>
      <c r="Z439" s="108">
        <f>IF(OtherClients[[#This Row],[Re-certified or New]]&lt;&gt;"Re-certified",IF(OtherClients[[#This Row],[Client]]="infasco",VLOOKUP(OtherClients[[#This Row],[Part]],PartControl!$A$2:$E$564,2,FALSE),OtherClients[[#This Row],[Total Quantity]]*VLOOKUP(OtherClients[[#This Row],[Part]],PartControl!$A$2:$E$564,2,FALSE)),0)</f>
        <v>135.08000000000001</v>
      </c>
    </row>
    <row r="440" spans="1:26" ht="25.15" hidden="1" customHeight="1" x14ac:dyDescent="0.25">
      <c r="A440" s="112">
        <v>46241.695208333331</v>
      </c>
      <c r="B440" s="5" t="s">
        <v>342</v>
      </c>
      <c r="C440" s="5" t="s">
        <v>823</v>
      </c>
      <c r="D440" s="5">
        <v>714565</v>
      </c>
      <c r="E440" s="33">
        <v>36</v>
      </c>
      <c r="F440" s="60">
        <v>1500</v>
      </c>
      <c r="G440" s="60">
        <f>+OtherClients[[#This Row],[Boxes / Pieces]]*OtherClients[[#This Row],[Unit Quantity]]</f>
        <v>54000</v>
      </c>
      <c r="H440" s="60" t="s">
        <v>811</v>
      </c>
      <c r="I440" s="60" t="s">
        <v>278</v>
      </c>
      <c r="J440" s="104"/>
      <c r="K440" s="33" t="s">
        <v>278</v>
      </c>
      <c r="L440" s="111"/>
      <c r="M440" s="33" t="s">
        <v>278</v>
      </c>
      <c r="N440" s="111"/>
      <c r="O440" s="33" t="s">
        <v>278</v>
      </c>
      <c r="P440" s="111"/>
      <c r="Q440" s="33" t="s">
        <v>587</v>
      </c>
      <c r="R440" s="111"/>
      <c r="S440" s="33" t="s">
        <v>278</v>
      </c>
      <c r="T440" s="111"/>
      <c r="U440" s="33" t="s">
        <v>278</v>
      </c>
      <c r="V440" s="111"/>
      <c r="W440" s="59" t="s">
        <v>548</v>
      </c>
      <c r="X440" s="33" t="str">
        <f>+VLOOKUP(OtherClients[[#This Row],[Part]],PartControl!$A$2:$E$564,5,FALSE)</f>
        <v>infasco</v>
      </c>
      <c r="Y440" s="108">
        <f>IF(OtherClients[[#This Row],[Re-certified or New]]&lt;&gt;"Re-certified",IF(OtherClients[[#This Row],[Client]]="infasco",VLOOKUP(OtherClients[[#This Row],[Part]],PartControl!$A$2:$E$564,2,FALSE),OtherClients[[#This Row],[Total Quantity]]*VLOOKUP(OtherClients[[#This Row],[Part]],PartControl!$A$2:$E$564,2,FALSE)),0)</f>
        <v>226.94</v>
      </c>
      <c r="Z440" s="108">
        <f>IF(OtherClients[[#This Row],[Re-certified or New]]&lt;&gt;"Re-certified",IF(OtherClients[[#This Row],[Client]]="infasco",VLOOKUP(OtherClients[[#This Row],[Part]],PartControl!$A$2:$E$564,2,FALSE),OtherClients[[#This Row],[Total Quantity]]*VLOOKUP(OtherClients[[#This Row],[Part]],PartControl!$A$2:$E$564,2,FALSE)),0)</f>
        <v>226.94</v>
      </c>
    </row>
    <row r="441" spans="1:26" ht="25.15" hidden="1" customHeight="1" x14ac:dyDescent="0.25">
      <c r="A441" s="112">
        <v>46241.695208333331</v>
      </c>
      <c r="B441" s="5" t="s">
        <v>343</v>
      </c>
      <c r="C441" s="5" t="s">
        <v>823</v>
      </c>
      <c r="D441" s="5">
        <v>714566</v>
      </c>
      <c r="E441" s="33">
        <v>21</v>
      </c>
      <c r="F441" s="60">
        <v>1500</v>
      </c>
      <c r="G441" s="60">
        <f>+OtherClients[[#This Row],[Boxes / Pieces]]*OtherClients[[#This Row],[Unit Quantity]]</f>
        <v>31500</v>
      </c>
      <c r="H441" s="60" t="s">
        <v>757</v>
      </c>
      <c r="I441" s="60" t="s">
        <v>278</v>
      </c>
      <c r="J441" s="104"/>
      <c r="K441" s="33" t="s">
        <v>278</v>
      </c>
      <c r="L441" s="111"/>
      <c r="M441" s="33" t="s">
        <v>278</v>
      </c>
      <c r="N441" s="111"/>
      <c r="O441" s="33" t="s">
        <v>278</v>
      </c>
      <c r="P441" s="111"/>
      <c r="Q441" s="33" t="s">
        <v>587</v>
      </c>
      <c r="R441" s="111"/>
      <c r="S441" s="33" t="s">
        <v>278</v>
      </c>
      <c r="T441" s="111"/>
      <c r="U441" s="33" t="s">
        <v>278</v>
      </c>
      <c r="V441" s="111"/>
      <c r="W441" s="59" t="s">
        <v>548</v>
      </c>
      <c r="X441" s="33" t="str">
        <f>+VLOOKUP(OtherClients[[#This Row],[Part]],PartControl!$A$2:$E$564,5,FALSE)</f>
        <v>infasco</v>
      </c>
      <c r="Y441" s="108">
        <f>IF(OtherClients[[#This Row],[Re-certified or New]]&lt;&gt;"Re-certified",IF(OtherClients[[#This Row],[Client]]="infasco",VLOOKUP(OtherClients[[#This Row],[Part]],PartControl!$A$2:$E$564,2,FALSE),OtherClients[[#This Row],[Total Quantity]]*VLOOKUP(OtherClients[[#This Row],[Part]],PartControl!$A$2:$E$564,2,FALSE)),0)</f>
        <v>226.94</v>
      </c>
      <c r="Z441" s="108">
        <f>IF(OtherClients[[#This Row],[Re-certified or New]]&lt;&gt;"Re-certified",IF(OtherClients[[#This Row],[Client]]="infasco",VLOOKUP(OtherClients[[#This Row],[Part]],PartControl!$A$2:$E$564,2,FALSE),OtherClients[[#This Row],[Total Quantity]]*VLOOKUP(OtherClients[[#This Row],[Part]],PartControl!$A$2:$E$564,2,FALSE)),0)</f>
        <v>226.94</v>
      </c>
    </row>
    <row r="442" spans="1:26" ht="25.15" hidden="1" customHeight="1" x14ac:dyDescent="0.25">
      <c r="A442" s="112">
        <v>46241.695208333331</v>
      </c>
      <c r="B442" s="5" t="s">
        <v>346</v>
      </c>
      <c r="C442" s="5">
        <v>11611122</v>
      </c>
      <c r="D442" s="5">
        <v>713559</v>
      </c>
      <c r="E442" s="33">
        <f>40-5</f>
        <v>35</v>
      </c>
      <c r="F442" s="60">
        <v>1850</v>
      </c>
      <c r="G442" s="60">
        <f>+OtherClients[[#This Row],[Boxes / Pieces]]*OtherClients[[#This Row],[Unit Quantity]]</f>
        <v>64750</v>
      </c>
      <c r="H442" s="60" t="s">
        <v>871</v>
      </c>
      <c r="I442" s="60" t="s">
        <v>278</v>
      </c>
      <c r="J442" s="104"/>
      <c r="K442" s="33" t="s">
        <v>278</v>
      </c>
      <c r="L442" s="111"/>
      <c r="M442" s="33" t="s">
        <v>278</v>
      </c>
      <c r="N442" s="111"/>
      <c r="O442" s="33" t="s">
        <v>278</v>
      </c>
      <c r="P442" s="111"/>
      <c r="Q442" s="33" t="s">
        <v>587</v>
      </c>
      <c r="R442" s="111"/>
      <c r="S442" s="33" t="s">
        <v>278</v>
      </c>
      <c r="T442" s="111"/>
      <c r="U442" s="33" t="s">
        <v>278</v>
      </c>
      <c r="V442" s="111"/>
      <c r="W442" s="59" t="s">
        <v>548</v>
      </c>
      <c r="X442" s="33" t="str">
        <f>+VLOOKUP(OtherClients[[#This Row],[Part]],PartControl!$A$2:$E$564,5,FALSE)</f>
        <v>INFASCO</v>
      </c>
      <c r="Y442" s="108">
        <f>IF(OtherClients[[#This Row],[Re-certified or New]]&lt;&gt;"Re-certified",IF(OtherClients[[#This Row],[Client]]="infasco",VLOOKUP(OtherClients[[#This Row],[Part]],PartControl!$A$2:$E$564,2,FALSE),OtherClients[[#This Row],[Total Quantity]]*VLOOKUP(OtherClients[[#This Row],[Part]],PartControl!$A$2:$E$564,2,FALSE)),0)</f>
        <v>135.07999999999998</v>
      </c>
      <c r="Z442" s="108">
        <f>IF(OtherClients[[#This Row],[Re-certified or New]]&lt;&gt;"Re-certified",IF(OtherClients[[#This Row],[Client]]="infasco",VLOOKUP(OtherClients[[#This Row],[Part]],PartControl!$A$2:$E$564,2,FALSE),OtherClients[[#This Row],[Total Quantity]]*VLOOKUP(OtherClients[[#This Row],[Part]],PartControl!$A$2:$E$564,2,FALSE)),0)</f>
        <v>135.07999999999998</v>
      </c>
    </row>
    <row r="443" spans="1:26" ht="25.15" hidden="1" customHeight="1" x14ac:dyDescent="0.25">
      <c r="A443" s="112">
        <v>46241.695208333331</v>
      </c>
      <c r="B443" s="5" t="s">
        <v>346</v>
      </c>
      <c r="C443" s="5" t="s">
        <v>306</v>
      </c>
      <c r="D443" s="5">
        <v>715715</v>
      </c>
      <c r="E443" s="33">
        <v>1</v>
      </c>
      <c r="F443" s="60">
        <v>43735</v>
      </c>
      <c r="G443" s="60">
        <f>+OtherClients[[#This Row],[Boxes / Pieces]]*OtherClients[[#This Row],[Unit Quantity]]</f>
        <v>43735</v>
      </c>
      <c r="H443" s="60" t="s">
        <v>871</v>
      </c>
      <c r="I443" s="60" t="s">
        <v>278</v>
      </c>
      <c r="J443" s="104"/>
      <c r="K443" s="33" t="s">
        <v>278</v>
      </c>
      <c r="L443" s="111"/>
      <c r="M443" s="33" t="s">
        <v>278</v>
      </c>
      <c r="N443" s="111"/>
      <c r="O443" s="33" t="s">
        <v>278</v>
      </c>
      <c r="P443" s="111"/>
      <c r="Q443" s="33" t="s">
        <v>587</v>
      </c>
      <c r="R443" s="111"/>
      <c r="S443" s="33" t="s">
        <v>278</v>
      </c>
      <c r="T443" s="111"/>
      <c r="U443" s="33" t="s">
        <v>278</v>
      </c>
      <c r="V443" s="111"/>
      <c r="W443" s="59" t="s">
        <v>548</v>
      </c>
      <c r="X443" s="33" t="str">
        <f>+VLOOKUP(OtherClients[[#This Row],[Part]],PartControl!$A$2:$E$564,5,FALSE)</f>
        <v>INFASCO</v>
      </c>
      <c r="Y443" s="108">
        <f>IF(OtherClients[[#This Row],[Re-certified or New]]&lt;&gt;"Re-certified",IF(OtherClients[[#This Row],[Client]]="infasco",VLOOKUP(OtherClients[[#This Row],[Part]],PartControl!$A$2:$E$564,2,FALSE),OtherClients[[#This Row],[Total Quantity]]*VLOOKUP(OtherClients[[#This Row],[Part]],PartControl!$A$2:$E$564,2,FALSE)),0)</f>
        <v>129.44999999999999</v>
      </c>
      <c r="Z443" s="108">
        <f>IF(OtherClients[[#This Row],[Re-certified or New]]&lt;&gt;"Re-certified",IF(OtherClients[[#This Row],[Client]]="infasco",VLOOKUP(OtherClients[[#This Row],[Part]],PartControl!$A$2:$E$564,2,FALSE),OtherClients[[#This Row],[Total Quantity]]*VLOOKUP(OtherClients[[#This Row],[Part]],PartControl!$A$2:$E$564,2,FALSE)),0)</f>
        <v>129.44999999999999</v>
      </c>
    </row>
    <row r="444" spans="1:26" ht="25.15" hidden="1" customHeight="1" x14ac:dyDescent="0.25">
      <c r="A444" s="112">
        <v>46241.695208333331</v>
      </c>
      <c r="B444" s="5" t="s">
        <v>346</v>
      </c>
      <c r="C444" s="5">
        <v>11610376</v>
      </c>
      <c r="D444" s="5">
        <v>714200</v>
      </c>
      <c r="E444" s="33">
        <v>40</v>
      </c>
      <c r="F444" s="60">
        <v>900</v>
      </c>
      <c r="G444" s="60">
        <f>+OtherClients[[#This Row],[Boxes / Pieces]]*OtherClients[[#This Row],[Unit Quantity]]</f>
        <v>36000</v>
      </c>
      <c r="H444" s="60" t="s">
        <v>871</v>
      </c>
      <c r="I444" s="60" t="s">
        <v>278</v>
      </c>
      <c r="J444" s="104"/>
      <c r="K444" s="33" t="s">
        <v>278</v>
      </c>
      <c r="L444" s="111"/>
      <c r="M444" s="33" t="s">
        <v>278</v>
      </c>
      <c r="N444" s="111"/>
      <c r="O444" s="33" t="s">
        <v>278</v>
      </c>
      <c r="P444" s="111"/>
      <c r="Q444" s="33" t="s">
        <v>587</v>
      </c>
      <c r="R444" s="111"/>
      <c r="S444" s="33" t="s">
        <v>278</v>
      </c>
      <c r="T444" s="111"/>
      <c r="U444" s="33" t="s">
        <v>278</v>
      </c>
      <c r="V444" s="111"/>
      <c r="W444" s="59" t="s">
        <v>548</v>
      </c>
      <c r="X444" s="33" t="str">
        <f>+VLOOKUP(OtherClients[[#This Row],[Part]],PartControl!$A$2:$E$564,5,FALSE)</f>
        <v>infasco</v>
      </c>
      <c r="Y444" s="108">
        <f>IF(OtherClients[[#This Row],[Re-certified or New]]&lt;&gt;"Re-certified",IF(OtherClients[[#This Row],[Client]]="infasco",VLOOKUP(OtherClients[[#This Row],[Part]],PartControl!$A$2:$E$564,2,FALSE),OtherClients[[#This Row],[Total Quantity]]*VLOOKUP(OtherClients[[#This Row],[Part]],PartControl!$A$2:$E$564,2,FALSE)),0)</f>
        <v>106.94</v>
      </c>
      <c r="Z444" s="108">
        <f>IF(OtherClients[[#This Row],[Re-certified or New]]&lt;&gt;"Re-certified",IF(OtherClients[[#This Row],[Client]]="infasco",VLOOKUP(OtherClients[[#This Row],[Part]],PartControl!$A$2:$E$564,2,FALSE),OtherClients[[#This Row],[Total Quantity]]*VLOOKUP(OtherClients[[#This Row],[Part]],PartControl!$A$2:$E$564,2,FALSE)),0)</f>
        <v>106.94</v>
      </c>
    </row>
    <row r="445" spans="1:26" ht="25.15" hidden="1" customHeight="1" x14ac:dyDescent="0.25">
      <c r="A445" s="112">
        <v>46241.695208333331</v>
      </c>
      <c r="B445" s="5" t="s">
        <v>346</v>
      </c>
      <c r="C445" s="5" t="s">
        <v>823</v>
      </c>
      <c r="D445" s="5">
        <v>713991</v>
      </c>
      <c r="E445" s="33">
        <v>55</v>
      </c>
      <c r="F445" s="60">
        <v>1500</v>
      </c>
      <c r="G445" s="60">
        <f>+OtherClients[[#This Row],[Boxes / Pieces]]*OtherClients[[#This Row],[Unit Quantity]]</f>
        <v>82500</v>
      </c>
      <c r="H445" s="60" t="s">
        <v>871</v>
      </c>
      <c r="I445" s="60" t="s">
        <v>278</v>
      </c>
      <c r="J445" s="104"/>
      <c r="K445" s="33" t="s">
        <v>278</v>
      </c>
      <c r="L445" s="111"/>
      <c r="M445" s="33" t="s">
        <v>278</v>
      </c>
      <c r="N445" s="111"/>
      <c r="O445" s="33" t="s">
        <v>278</v>
      </c>
      <c r="P445" s="111"/>
      <c r="Q445" s="33" t="s">
        <v>587</v>
      </c>
      <c r="R445" s="111"/>
      <c r="S445" s="33" t="s">
        <v>278</v>
      </c>
      <c r="T445" s="111"/>
      <c r="U445" s="33" t="s">
        <v>278</v>
      </c>
      <c r="V445" s="111"/>
      <c r="W445" s="59" t="s">
        <v>548</v>
      </c>
      <c r="X445" s="33" t="str">
        <f>+VLOOKUP(OtherClients[[#This Row],[Part]],PartControl!$A$2:$E$564,5,FALSE)</f>
        <v>infasco</v>
      </c>
      <c r="Y445" s="108">
        <f>IF(OtherClients[[#This Row],[Re-certified or New]]&lt;&gt;"Re-certified",IF(OtherClients[[#This Row],[Client]]="infasco",VLOOKUP(OtherClients[[#This Row],[Part]],PartControl!$A$2:$E$564,2,FALSE),OtherClients[[#This Row],[Total Quantity]]*VLOOKUP(OtherClients[[#This Row],[Part]],PartControl!$A$2:$E$564,2,FALSE)),0)</f>
        <v>226.94</v>
      </c>
      <c r="Z445" s="108">
        <f>IF(OtherClients[[#This Row],[Re-certified or New]]&lt;&gt;"Re-certified",IF(OtherClients[[#This Row],[Client]]="infasco",VLOOKUP(OtherClients[[#This Row],[Part]],PartControl!$A$2:$E$564,2,FALSE),OtherClients[[#This Row],[Total Quantity]]*VLOOKUP(OtherClients[[#This Row],[Part]],PartControl!$A$2:$E$564,2,FALSE)),0)</f>
        <v>226.94</v>
      </c>
    </row>
    <row r="446" spans="1:26" ht="25.15" hidden="1" customHeight="1" x14ac:dyDescent="0.25">
      <c r="A446" s="112">
        <v>46241.695208333331</v>
      </c>
      <c r="B446" s="5" t="s">
        <v>244</v>
      </c>
      <c r="C446" s="5">
        <v>11546377</v>
      </c>
      <c r="D446" s="5">
        <v>715738</v>
      </c>
      <c r="E446" s="33">
        <v>22</v>
      </c>
      <c r="F446" s="60">
        <v>2150</v>
      </c>
      <c r="G446" s="60">
        <f>+OtherClients[[#This Row],[Boxes / Pieces]]*OtherClients[[#This Row],[Unit Quantity]]</f>
        <v>47300</v>
      </c>
      <c r="H446" s="60">
        <v>292</v>
      </c>
      <c r="I446" s="60" t="s">
        <v>278</v>
      </c>
      <c r="J446" s="104"/>
      <c r="K446" s="33" t="s">
        <v>278</v>
      </c>
      <c r="L446" s="111"/>
      <c r="M446" s="33" t="s">
        <v>278</v>
      </c>
      <c r="N446" s="111"/>
      <c r="O446" s="33" t="s">
        <v>278</v>
      </c>
      <c r="P446" s="111"/>
      <c r="Q446" s="33" t="s">
        <v>587</v>
      </c>
      <c r="R446" s="111"/>
      <c r="S446" s="33" t="s">
        <v>278</v>
      </c>
      <c r="T446" s="111"/>
      <c r="U446" s="33" t="s">
        <v>278</v>
      </c>
      <c r="V446" s="111"/>
      <c r="W446" s="59" t="s">
        <v>633</v>
      </c>
      <c r="X446" s="33" t="str">
        <f>+VLOOKUP(OtherClients[[#This Row],[Part]],PartControl!$A$2:$E$564,5,FALSE)</f>
        <v>INFASCO</v>
      </c>
      <c r="Y446" s="108">
        <f>IF(OtherClients[[#This Row],[Re-certified or New]]&lt;&gt;"Re-certified",IF(OtherClients[[#This Row],[Client]]="infasco",VLOOKUP(OtherClients[[#This Row],[Part]],PartControl!$A$2:$E$564,2,FALSE),OtherClients[[#This Row],[Total Quantity]]*VLOOKUP(OtherClients[[#This Row],[Part]],PartControl!$A$2:$E$564,2,FALSE)),0)</f>
        <v>0</v>
      </c>
      <c r="Z446" s="108">
        <f>IF(OtherClients[[#This Row],[Re-certified or New]]&lt;&gt;"Re-certified",IF(OtherClients[[#This Row],[Client]]="infasco",VLOOKUP(OtherClients[[#This Row],[Part]],PartControl!$A$2:$E$564,2,FALSE),OtherClients[[#This Row],[Total Quantity]]*VLOOKUP(OtherClients[[#This Row],[Part]],PartControl!$A$2:$E$564,2,FALSE)),0)</f>
        <v>0</v>
      </c>
    </row>
    <row r="447" spans="1:26" ht="25.15" hidden="1" customHeight="1" x14ac:dyDescent="0.25">
      <c r="A447" s="112">
        <v>46241.695208333331</v>
      </c>
      <c r="B447" s="5" t="s">
        <v>251</v>
      </c>
      <c r="C447" s="5" t="s">
        <v>647</v>
      </c>
      <c r="D447" s="5">
        <v>713989</v>
      </c>
      <c r="E447" s="33">
        <v>34</v>
      </c>
      <c r="F447" s="60">
        <v>750</v>
      </c>
      <c r="G447" s="60">
        <f>+OtherClients[[#This Row],[Boxes / Pieces]]*OtherClients[[#This Row],[Unit Quantity]]</f>
        <v>25500</v>
      </c>
      <c r="H447" s="60">
        <v>292</v>
      </c>
      <c r="I447" s="60" t="s">
        <v>278</v>
      </c>
      <c r="J447" s="104"/>
      <c r="K447" s="33" t="s">
        <v>278</v>
      </c>
      <c r="L447" s="111"/>
      <c r="M447" s="33" t="s">
        <v>278</v>
      </c>
      <c r="N447" s="111"/>
      <c r="O447" s="33" t="s">
        <v>278</v>
      </c>
      <c r="P447" s="111"/>
      <c r="Q447" s="33" t="s">
        <v>587</v>
      </c>
      <c r="R447" s="111"/>
      <c r="S447" s="33" t="s">
        <v>278</v>
      </c>
      <c r="T447" s="111"/>
      <c r="U447" s="33" t="s">
        <v>278</v>
      </c>
      <c r="V447" s="111"/>
      <c r="W447" s="59" t="s">
        <v>633</v>
      </c>
      <c r="X447" s="33" t="str">
        <f>+VLOOKUP(OtherClients[[#This Row],[Part]],PartControl!$A$2:$E$564,5,FALSE)</f>
        <v>infasco</v>
      </c>
      <c r="Y447" s="108">
        <f>IF(OtherClients[[#This Row],[Re-certified or New]]&lt;&gt;"Re-certified",IF(OtherClients[[#This Row],[Client]]="infasco",VLOOKUP(OtherClients[[#This Row],[Part]],PartControl!$A$2:$E$564,2,FALSE),OtherClients[[#This Row],[Total Quantity]]*VLOOKUP(OtherClients[[#This Row],[Part]],PartControl!$A$2:$E$564,2,FALSE)),0)</f>
        <v>0</v>
      </c>
      <c r="Z447" s="108">
        <f>IF(OtherClients[[#This Row],[Re-certified or New]]&lt;&gt;"Re-certified",IF(OtherClients[[#This Row],[Client]]="infasco",VLOOKUP(OtherClients[[#This Row],[Part]],PartControl!$A$2:$E$564,2,FALSE),OtherClients[[#This Row],[Total Quantity]]*VLOOKUP(OtherClients[[#This Row],[Part]],PartControl!$A$2:$E$564,2,FALSE)),0)</f>
        <v>0</v>
      </c>
    </row>
    <row r="448" spans="1:26" ht="25.15" hidden="1" customHeight="1" x14ac:dyDescent="0.25">
      <c r="A448" s="112">
        <v>46241.695208333331</v>
      </c>
      <c r="B448" s="5" t="s">
        <v>245</v>
      </c>
      <c r="C448" s="5">
        <v>11546377</v>
      </c>
      <c r="D448" s="5">
        <v>715737</v>
      </c>
      <c r="E448" s="33">
        <f>30-10</f>
        <v>20</v>
      </c>
      <c r="F448" s="60">
        <v>2150</v>
      </c>
      <c r="G448" s="60">
        <f>+OtherClients[[#This Row],[Boxes / Pieces]]*OtherClients[[#This Row],[Unit Quantity]]</f>
        <v>43000</v>
      </c>
      <c r="H448" s="60">
        <v>292</v>
      </c>
      <c r="I448" s="60" t="s">
        <v>278</v>
      </c>
      <c r="J448" s="104"/>
      <c r="K448" s="33" t="s">
        <v>278</v>
      </c>
      <c r="L448" s="111"/>
      <c r="M448" s="33" t="s">
        <v>278</v>
      </c>
      <c r="N448" s="111"/>
      <c r="O448" s="33" t="s">
        <v>278</v>
      </c>
      <c r="P448" s="111"/>
      <c r="Q448" s="33" t="s">
        <v>587</v>
      </c>
      <c r="R448" s="111"/>
      <c r="S448" s="33" t="s">
        <v>278</v>
      </c>
      <c r="T448" s="111"/>
      <c r="U448" s="33" t="s">
        <v>278</v>
      </c>
      <c r="V448" s="111"/>
      <c r="W448" s="59" t="s">
        <v>633</v>
      </c>
      <c r="X448" s="33" t="str">
        <f>+VLOOKUP(OtherClients[[#This Row],[Part]],PartControl!$A$2:$E$564,5,FALSE)</f>
        <v>INFASCO</v>
      </c>
      <c r="Y448" s="108">
        <f>IF(OtherClients[[#This Row],[Re-certified or New]]&lt;&gt;"Re-certified",IF(OtherClients[[#This Row],[Client]]="infasco",VLOOKUP(OtherClients[[#This Row],[Part]],PartControl!$A$2:$E$564,2,FALSE),OtherClients[[#This Row],[Total Quantity]]*VLOOKUP(OtherClients[[#This Row],[Part]],PartControl!$A$2:$E$564,2,FALSE)),0)</f>
        <v>0</v>
      </c>
      <c r="Z448" s="108">
        <f>IF(OtherClients[[#This Row],[Re-certified or New]]&lt;&gt;"Re-certified",IF(OtherClients[[#This Row],[Client]]="infasco",VLOOKUP(OtherClients[[#This Row],[Part]],PartControl!$A$2:$E$564,2,FALSE),OtherClients[[#This Row],[Total Quantity]]*VLOOKUP(OtherClients[[#This Row],[Part]],PartControl!$A$2:$E$564,2,FALSE)),0)</f>
        <v>0</v>
      </c>
    </row>
    <row r="449" spans="1:26" ht="25.15" hidden="1" customHeight="1" x14ac:dyDescent="0.25">
      <c r="A449" s="112">
        <v>46241.695208333331</v>
      </c>
      <c r="B449" s="5" t="s">
        <v>624</v>
      </c>
      <c r="C449" s="5">
        <v>11546774</v>
      </c>
      <c r="D449" s="5">
        <v>713587</v>
      </c>
      <c r="E449" s="33">
        <f>36-25</f>
        <v>11</v>
      </c>
      <c r="F449" s="60">
        <v>450</v>
      </c>
      <c r="G449" s="60">
        <f>+OtherClients[[#This Row],[Boxes / Pieces]]*OtherClients[[#This Row],[Unit Quantity]]</f>
        <v>4950</v>
      </c>
      <c r="H449" s="60">
        <v>292</v>
      </c>
      <c r="I449" s="60" t="s">
        <v>278</v>
      </c>
      <c r="J449" s="104"/>
      <c r="K449" s="33" t="s">
        <v>278</v>
      </c>
      <c r="L449" s="111"/>
      <c r="M449" s="33" t="s">
        <v>278</v>
      </c>
      <c r="N449" s="111"/>
      <c r="O449" s="33" t="s">
        <v>278</v>
      </c>
      <c r="P449" s="111"/>
      <c r="Q449" s="33" t="s">
        <v>587</v>
      </c>
      <c r="R449" s="111"/>
      <c r="S449" s="33" t="s">
        <v>278</v>
      </c>
      <c r="T449" s="111"/>
      <c r="U449" s="33" t="s">
        <v>278</v>
      </c>
      <c r="V449" s="111"/>
      <c r="W449" s="59" t="s">
        <v>548</v>
      </c>
      <c r="X449" s="33" t="str">
        <f>+VLOOKUP(OtherClients[[#This Row],[Part]],PartControl!$A$2:$E$564,5,FALSE)</f>
        <v>infasco</v>
      </c>
      <c r="Y449" s="108">
        <f>IF(OtherClients[[#This Row],[Re-certified or New]]&lt;&gt;"Re-certified",IF(OtherClients[[#This Row],[Client]]="infasco",VLOOKUP(OtherClients[[#This Row],[Part]],PartControl!$A$2:$E$564,2,FALSE),OtherClients[[#This Row],[Total Quantity]]*VLOOKUP(OtherClients[[#This Row],[Part]],PartControl!$A$2:$E$564,2,FALSE)),0)</f>
        <v>106.94</v>
      </c>
      <c r="Z449" s="108">
        <f>IF(OtherClients[[#This Row],[Re-certified or New]]&lt;&gt;"Re-certified",IF(OtherClients[[#This Row],[Client]]="infasco",VLOOKUP(OtherClients[[#This Row],[Part]],PartControl!$A$2:$E$564,2,FALSE),OtherClients[[#This Row],[Total Quantity]]*VLOOKUP(OtherClients[[#This Row],[Part]],PartControl!$A$2:$E$564,2,FALSE)),0)</f>
        <v>106.94</v>
      </c>
    </row>
    <row r="450" spans="1:26" ht="25.15" hidden="1" customHeight="1" x14ac:dyDescent="0.25">
      <c r="A450" s="112">
        <v>46241.695208333331</v>
      </c>
      <c r="B450" s="5" t="s">
        <v>624</v>
      </c>
      <c r="C450" s="5">
        <v>11546774</v>
      </c>
      <c r="D450" s="5">
        <v>713589</v>
      </c>
      <c r="E450" s="33">
        <v>36</v>
      </c>
      <c r="F450" s="60">
        <v>450</v>
      </c>
      <c r="G450" s="60">
        <f>+OtherClients[[#This Row],[Boxes / Pieces]]*OtherClients[[#This Row],[Unit Quantity]]</f>
        <v>16200</v>
      </c>
      <c r="H450" s="60">
        <v>292</v>
      </c>
      <c r="I450" s="60" t="s">
        <v>278</v>
      </c>
      <c r="J450" s="104"/>
      <c r="K450" s="33" t="s">
        <v>278</v>
      </c>
      <c r="L450" s="111"/>
      <c r="M450" s="33" t="s">
        <v>278</v>
      </c>
      <c r="N450" s="111"/>
      <c r="O450" s="33" t="s">
        <v>278</v>
      </c>
      <c r="P450" s="111"/>
      <c r="Q450" s="33" t="s">
        <v>587</v>
      </c>
      <c r="R450" s="111"/>
      <c r="S450" s="33" t="s">
        <v>278</v>
      </c>
      <c r="T450" s="111"/>
      <c r="U450" s="33" t="s">
        <v>278</v>
      </c>
      <c r="V450" s="111"/>
      <c r="W450" s="59" t="s">
        <v>548</v>
      </c>
      <c r="X450" s="33" t="str">
        <f>+VLOOKUP(OtherClients[[#This Row],[Part]],PartControl!$A$2:$E$564,5,FALSE)</f>
        <v>infasco</v>
      </c>
      <c r="Y450" s="108">
        <f>IF(OtherClients[[#This Row],[Re-certified or New]]&lt;&gt;"Re-certified",IF(OtherClients[[#This Row],[Client]]="infasco",VLOOKUP(OtherClients[[#This Row],[Part]],PartControl!$A$2:$E$564,2,FALSE),OtherClients[[#This Row],[Total Quantity]]*VLOOKUP(OtherClients[[#This Row],[Part]],PartControl!$A$2:$E$564,2,FALSE)),0)</f>
        <v>106.94</v>
      </c>
      <c r="Z450" s="108">
        <f>IF(OtherClients[[#This Row],[Re-certified or New]]&lt;&gt;"Re-certified",IF(OtherClients[[#This Row],[Client]]="infasco",VLOOKUP(OtherClients[[#This Row],[Part]],PartControl!$A$2:$E$564,2,FALSE),OtherClients[[#This Row],[Total Quantity]]*VLOOKUP(OtherClients[[#This Row],[Part]],PartControl!$A$2:$E$564,2,FALSE)),0)</f>
        <v>106.94</v>
      </c>
    </row>
    <row r="451" spans="1:26" ht="25.15" hidden="1" customHeight="1" x14ac:dyDescent="0.25">
      <c r="A451" s="112">
        <v>46241.695208333331</v>
      </c>
      <c r="B451" s="5" t="s">
        <v>624</v>
      </c>
      <c r="C451" s="5">
        <v>11546774</v>
      </c>
      <c r="D451" s="5">
        <v>713590</v>
      </c>
      <c r="E451" s="33">
        <v>16</v>
      </c>
      <c r="F451" s="60">
        <v>450</v>
      </c>
      <c r="G451" s="60">
        <f>+OtherClients[[#This Row],[Boxes / Pieces]]*OtherClients[[#This Row],[Unit Quantity]]</f>
        <v>7200</v>
      </c>
      <c r="H451" s="60">
        <v>292</v>
      </c>
      <c r="I451" s="60" t="s">
        <v>278</v>
      </c>
      <c r="J451" s="104"/>
      <c r="K451" s="33" t="s">
        <v>278</v>
      </c>
      <c r="L451" s="111"/>
      <c r="M451" s="33" t="s">
        <v>278</v>
      </c>
      <c r="N451" s="111"/>
      <c r="O451" s="33" t="s">
        <v>278</v>
      </c>
      <c r="P451" s="111"/>
      <c r="Q451" s="33" t="s">
        <v>587</v>
      </c>
      <c r="R451" s="111"/>
      <c r="S451" s="33" t="s">
        <v>278</v>
      </c>
      <c r="T451" s="111"/>
      <c r="U451" s="33" t="s">
        <v>278</v>
      </c>
      <c r="V451" s="111"/>
      <c r="W451" s="59" t="s">
        <v>548</v>
      </c>
      <c r="X451" s="33" t="str">
        <f>+VLOOKUP(OtherClients[[#This Row],[Part]],PartControl!$A$2:$E$564,5,FALSE)</f>
        <v>infasco</v>
      </c>
      <c r="Y451" s="108">
        <f>IF(OtherClients[[#This Row],[Re-certified or New]]&lt;&gt;"Re-certified",IF(OtherClients[[#This Row],[Client]]="infasco",VLOOKUP(OtherClients[[#This Row],[Part]],PartControl!$A$2:$E$564,2,FALSE),OtherClients[[#This Row],[Total Quantity]]*VLOOKUP(OtherClients[[#This Row],[Part]],PartControl!$A$2:$E$564,2,FALSE)),0)</f>
        <v>106.94</v>
      </c>
      <c r="Z451" s="108">
        <f>IF(OtherClients[[#This Row],[Re-certified or New]]&lt;&gt;"Re-certified",IF(OtherClients[[#This Row],[Client]]="infasco",VLOOKUP(OtherClients[[#This Row],[Part]],PartControl!$A$2:$E$564,2,FALSE),OtherClients[[#This Row],[Total Quantity]]*VLOOKUP(OtherClients[[#This Row],[Part]],PartControl!$A$2:$E$564,2,FALSE)),0)</f>
        <v>106.94</v>
      </c>
    </row>
    <row r="452" spans="1:26" ht="25.15" hidden="1" customHeight="1" x14ac:dyDescent="0.25">
      <c r="A452" s="112">
        <v>46241.695208333331</v>
      </c>
      <c r="B452" s="5" t="s">
        <v>624</v>
      </c>
      <c r="C452" s="5" t="s">
        <v>687</v>
      </c>
      <c r="D452" s="5">
        <v>714444</v>
      </c>
      <c r="E452" s="33">
        <v>5</v>
      </c>
      <c r="F452" s="60">
        <v>280</v>
      </c>
      <c r="G452" s="60">
        <f>+OtherClients[[#This Row],[Boxes / Pieces]]*OtherClients[[#This Row],[Unit Quantity]]</f>
        <v>1400</v>
      </c>
      <c r="H452" s="60">
        <v>292</v>
      </c>
      <c r="I452" s="60" t="s">
        <v>278</v>
      </c>
      <c r="J452" s="104"/>
      <c r="K452" s="33" t="s">
        <v>278</v>
      </c>
      <c r="L452" s="111"/>
      <c r="M452" s="33" t="s">
        <v>278</v>
      </c>
      <c r="N452" s="111"/>
      <c r="O452" s="33" t="s">
        <v>278</v>
      </c>
      <c r="P452" s="111"/>
      <c r="Q452" s="33" t="s">
        <v>587</v>
      </c>
      <c r="R452" s="111"/>
      <c r="S452" s="33" t="s">
        <v>278</v>
      </c>
      <c r="T452" s="111"/>
      <c r="U452" s="33" t="s">
        <v>278</v>
      </c>
      <c r="V452" s="111"/>
      <c r="W452" s="59" t="s">
        <v>633</v>
      </c>
      <c r="X452" s="33" t="str">
        <f>+VLOOKUP(OtherClients[[#This Row],[Part]],PartControl!$A$2:$E$564,5,FALSE)</f>
        <v>infasco</v>
      </c>
      <c r="Y452" s="108">
        <f>IF(OtherClients[[#This Row],[Re-certified or New]]&lt;&gt;"Re-certified",IF(OtherClients[[#This Row],[Client]]="infasco",VLOOKUP(OtherClients[[#This Row],[Part]],PartControl!$A$2:$E$564,2,FALSE),OtherClients[[#This Row],[Total Quantity]]*VLOOKUP(OtherClients[[#This Row],[Part]],PartControl!$A$2:$E$564,2,FALSE)),0)</f>
        <v>0</v>
      </c>
      <c r="Z452" s="108">
        <f>IF(OtherClients[[#This Row],[Re-certified or New]]&lt;&gt;"Re-certified",IF(OtherClients[[#This Row],[Client]]="infasco",VLOOKUP(OtherClients[[#This Row],[Part]],PartControl!$A$2:$E$564,2,FALSE),OtherClients[[#This Row],[Total Quantity]]*VLOOKUP(OtherClients[[#This Row],[Part]],PartControl!$A$2:$E$564,2,FALSE)),0)</f>
        <v>0</v>
      </c>
    </row>
    <row r="453" spans="1:26" ht="25.15" hidden="1" customHeight="1" x14ac:dyDescent="0.25">
      <c r="A453" s="112">
        <v>46241.695208333331</v>
      </c>
      <c r="B453" s="5" t="s">
        <v>623</v>
      </c>
      <c r="C453" s="5" t="s">
        <v>15</v>
      </c>
      <c r="D453" s="5">
        <v>714427</v>
      </c>
      <c r="E453" s="33">
        <v>34</v>
      </c>
      <c r="F453" s="60">
        <v>1200</v>
      </c>
      <c r="G453" s="60">
        <f>+OtherClients[[#This Row],[Boxes / Pieces]]*OtherClients[[#This Row],[Unit Quantity]]</f>
        <v>40800</v>
      </c>
      <c r="H453" s="60">
        <v>292</v>
      </c>
      <c r="I453" s="60" t="s">
        <v>278</v>
      </c>
      <c r="J453" s="104"/>
      <c r="K453" s="33" t="s">
        <v>278</v>
      </c>
      <c r="L453" s="111"/>
      <c r="M453" s="33" t="s">
        <v>278</v>
      </c>
      <c r="N453" s="111"/>
      <c r="O453" s="33" t="s">
        <v>278</v>
      </c>
      <c r="P453" s="111"/>
      <c r="Q453" s="33" t="s">
        <v>587</v>
      </c>
      <c r="R453" s="111"/>
      <c r="S453" s="33" t="s">
        <v>278</v>
      </c>
      <c r="T453" s="111"/>
      <c r="U453" s="33" t="s">
        <v>278</v>
      </c>
      <c r="V453" s="111"/>
      <c r="W453" s="59" t="s">
        <v>548</v>
      </c>
      <c r="X453" s="33" t="str">
        <f>+VLOOKUP(OtherClients[[#This Row],[Part]],PartControl!$A$2:$E$564,5,FALSE)</f>
        <v>infasco</v>
      </c>
      <c r="Y453" s="108">
        <f>IF(OtherClients[[#This Row],[Re-certified or New]]&lt;&gt;"Re-certified",IF(OtherClients[[#This Row],[Client]]="infasco",VLOOKUP(OtherClients[[#This Row],[Part]],PartControl!$A$2:$E$564,2,FALSE),OtherClients[[#This Row],[Total Quantity]]*VLOOKUP(OtherClients[[#This Row],[Part]],PartControl!$A$2:$E$564,2,FALSE)),0)</f>
        <v>106.94</v>
      </c>
      <c r="Z453" s="108">
        <f>IF(OtherClients[[#This Row],[Re-certified or New]]&lt;&gt;"Re-certified",IF(OtherClients[[#This Row],[Client]]="infasco",VLOOKUP(OtherClients[[#This Row],[Part]],PartControl!$A$2:$E$564,2,FALSE),OtherClients[[#This Row],[Total Quantity]]*VLOOKUP(OtherClients[[#This Row],[Part]],PartControl!$A$2:$E$564,2,FALSE)),0)</f>
        <v>106.94</v>
      </c>
    </row>
    <row r="454" spans="1:26" ht="25.15" hidden="1" customHeight="1" x14ac:dyDescent="0.25">
      <c r="A454" s="112">
        <v>46241.695208333331</v>
      </c>
      <c r="B454" s="5" t="s">
        <v>623</v>
      </c>
      <c r="C454" s="5" t="s">
        <v>846</v>
      </c>
      <c r="D454" s="5">
        <v>715600</v>
      </c>
      <c r="E454" s="33">
        <v>5</v>
      </c>
      <c r="F454" s="60">
        <v>300</v>
      </c>
      <c r="G454" s="60">
        <f>+OtherClients[[#This Row],[Boxes / Pieces]]*OtherClients[[#This Row],[Unit Quantity]]</f>
        <v>1500</v>
      </c>
      <c r="H454" s="60">
        <v>292</v>
      </c>
      <c r="I454" s="60" t="s">
        <v>278</v>
      </c>
      <c r="J454" s="104"/>
      <c r="K454" s="33" t="s">
        <v>278</v>
      </c>
      <c r="L454" s="111"/>
      <c r="M454" s="33" t="s">
        <v>278</v>
      </c>
      <c r="N454" s="111"/>
      <c r="O454" s="33" t="s">
        <v>278</v>
      </c>
      <c r="P454" s="111"/>
      <c r="Q454" s="33" t="s">
        <v>587</v>
      </c>
      <c r="R454" s="111"/>
      <c r="S454" s="33" t="s">
        <v>278</v>
      </c>
      <c r="T454" s="111"/>
      <c r="U454" s="33" t="s">
        <v>278</v>
      </c>
      <c r="V454" s="111"/>
      <c r="W454" s="59" t="s">
        <v>633</v>
      </c>
      <c r="X454" s="33" t="str">
        <f>+VLOOKUP(OtherClients[[#This Row],[Part]],PartControl!$A$2:$E$564,5,FALSE)</f>
        <v>infasco</v>
      </c>
      <c r="Y454" s="108">
        <f>IF(OtherClients[[#This Row],[Re-certified or New]]&lt;&gt;"Re-certified",IF(OtherClients[[#This Row],[Client]]="infasco",VLOOKUP(OtherClients[[#This Row],[Part]],PartControl!$A$2:$E$564,2,FALSE),OtherClients[[#This Row],[Total Quantity]]*VLOOKUP(OtherClients[[#This Row],[Part]],PartControl!$A$2:$E$564,2,FALSE)),0)</f>
        <v>0</v>
      </c>
      <c r="Z454" s="108">
        <f>IF(OtherClients[[#This Row],[Re-certified or New]]&lt;&gt;"Re-certified",IF(OtherClients[[#This Row],[Client]]="infasco",VLOOKUP(OtherClients[[#This Row],[Part]],PartControl!$A$2:$E$564,2,FALSE),OtherClients[[#This Row],[Total Quantity]]*VLOOKUP(OtherClients[[#This Row],[Part]],PartControl!$A$2:$E$564,2,FALSE)),0)</f>
        <v>0</v>
      </c>
    </row>
    <row r="455" spans="1:26" ht="25.15" hidden="1" customHeight="1" x14ac:dyDescent="0.25">
      <c r="A455" s="112">
        <v>46241.695208333331</v>
      </c>
      <c r="B455" s="5" t="s">
        <v>243</v>
      </c>
      <c r="C455" s="5">
        <v>11561645</v>
      </c>
      <c r="D455" s="5">
        <v>714588</v>
      </c>
      <c r="E455" s="33">
        <f>36-30</f>
        <v>6</v>
      </c>
      <c r="F455" s="60">
        <v>4000</v>
      </c>
      <c r="G455" s="60">
        <f>+OtherClients[[#This Row],[Boxes / Pieces]]*OtherClients[[#This Row],[Unit Quantity]]</f>
        <v>24000</v>
      </c>
      <c r="H455" s="60">
        <v>292</v>
      </c>
      <c r="I455" s="60" t="s">
        <v>278</v>
      </c>
      <c r="J455" s="104"/>
      <c r="K455" s="33" t="s">
        <v>278</v>
      </c>
      <c r="L455" s="111"/>
      <c r="M455" s="33" t="s">
        <v>278</v>
      </c>
      <c r="N455" s="111"/>
      <c r="O455" s="33" t="s">
        <v>278</v>
      </c>
      <c r="P455" s="111"/>
      <c r="Q455" s="33" t="s">
        <v>587</v>
      </c>
      <c r="R455" s="111"/>
      <c r="S455" s="33" t="s">
        <v>278</v>
      </c>
      <c r="T455" s="111"/>
      <c r="U455" s="33" t="s">
        <v>278</v>
      </c>
      <c r="V455" s="111"/>
      <c r="W455" s="59" t="s">
        <v>548</v>
      </c>
      <c r="X455" s="33" t="str">
        <f>+VLOOKUP(OtherClients[[#This Row],[Part]],PartControl!$A$2:$E$564,5,FALSE)</f>
        <v>infasco</v>
      </c>
      <c r="Y455" s="108">
        <f>IF(OtherClients[[#This Row],[Re-certified or New]]&lt;&gt;"Re-certified",IF(OtherClients[[#This Row],[Client]]="infasco",VLOOKUP(OtherClients[[#This Row],[Part]],PartControl!$A$2:$E$564,2,FALSE),OtherClients[[#This Row],[Total Quantity]]*VLOOKUP(OtherClients[[#This Row],[Part]],PartControl!$A$2:$E$564,2,FALSE)),0)</f>
        <v>106.94</v>
      </c>
      <c r="Z455" s="108">
        <f>IF(OtherClients[[#This Row],[Re-certified or New]]&lt;&gt;"Re-certified",IF(OtherClients[[#This Row],[Client]]="infasco",VLOOKUP(OtherClients[[#This Row],[Part]],PartControl!$A$2:$E$564,2,FALSE),OtherClients[[#This Row],[Total Quantity]]*VLOOKUP(OtherClients[[#This Row],[Part]],PartControl!$A$2:$E$564,2,FALSE)),0)</f>
        <v>106.94</v>
      </c>
    </row>
    <row r="456" spans="1:26" ht="25.15" hidden="1" customHeight="1" x14ac:dyDescent="0.25">
      <c r="A456" s="112">
        <v>46241.695208333331</v>
      </c>
      <c r="B456" s="5" t="s">
        <v>243</v>
      </c>
      <c r="C456" s="5">
        <v>11561645</v>
      </c>
      <c r="D456" s="5">
        <v>714589</v>
      </c>
      <c r="E456" s="33">
        <v>26</v>
      </c>
      <c r="F456" s="60">
        <v>4000</v>
      </c>
      <c r="G456" s="60">
        <f>+OtherClients[[#This Row],[Boxes / Pieces]]*OtherClients[[#This Row],[Unit Quantity]]</f>
        <v>104000</v>
      </c>
      <c r="H456" s="60">
        <v>292</v>
      </c>
      <c r="I456" s="60" t="s">
        <v>278</v>
      </c>
      <c r="J456" s="104"/>
      <c r="K456" s="33" t="s">
        <v>278</v>
      </c>
      <c r="L456" s="111"/>
      <c r="M456" s="33" t="s">
        <v>278</v>
      </c>
      <c r="N456" s="111"/>
      <c r="O456" s="33" t="s">
        <v>278</v>
      </c>
      <c r="P456" s="111"/>
      <c r="Q456" s="33" t="s">
        <v>587</v>
      </c>
      <c r="R456" s="111"/>
      <c r="S456" s="33" t="s">
        <v>278</v>
      </c>
      <c r="T456" s="111"/>
      <c r="U456" s="33" t="s">
        <v>278</v>
      </c>
      <c r="V456" s="111"/>
      <c r="W456" s="59" t="s">
        <v>548</v>
      </c>
      <c r="X456" s="33" t="str">
        <f>+VLOOKUP(OtherClients[[#This Row],[Part]],PartControl!$A$2:$E$564,5,FALSE)</f>
        <v>infasco</v>
      </c>
      <c r="Y456" s="108">
        <f>IF(OtherClients[[#This Row],[Re-certified or New]]&lt;&gt;"Re-certified",IF(OtherClients[[#This Row],[Client]]="infasco",VLOOKUP(OtherClients[[#This Row],[Part]],PartControl!$A$2:$E$564,2,FALSE),OtherClients[[#This Row],[Total Quantity]]*VLOOKUP(OtherClients[[#This Row],[Part]],PartControl!$A$2:$E$564,2,FALSE)),0)</f>
        <v>106.94</v>
      </c>
      <c r="Z456" s="108">
        <f>IF(OtherClients[[#This Row],[Re-certified or New]]&lt;&gt;"Re-certified",IF(OtherClients[[#This Row],[Client]]="infasco",VLOOKUP(OtherClients[[#This Row],[Part]],PartControl!$A$2:$E$564,2,FALSE),OtherClients[[#This Row],[Total Quantity]]*VLOOKUP(OtherClients[[#This Row],[Part]],PartControl!$A$2:$E$564,2,FALSE)),0)</f>
        <v>106.94</v>
      </c>
    </row>
    <row r="457" spans="1:26" ht="25.15" hidden="1" customHeight="1" x14ac:dyDescent="0.25">
      <c r="A457" s="112">
        <v>46244.690833333334</v>
      </c>
      <c r="B457" s="5" t="s">
        <v>232</v>
      </c>
      <c r="C457" s="5">
        <v>11546545</v>
      </c>
      <c r="D457" s="5">
        <v>714668</v>
      </c>
      <c r="E457" s="33">
        <v>13</v>
      </c>
      <c r="F457" s="60">
        <v>2500</v>
      </c>
      <c r="G457" s="60">
        <v>32500</v>
      </c>
      <c r="H457" s="60">
        <v>275</v>
      </c>
      <c r="I457" s="120" t="s">
        <v>278</v>
      </c>
      <c r="J457" s="121"/>
      <c r="K457" s="33" t="s">
        <v>278</v>
      </c>
      <c r="L457" s="122"/>
      <c r="M457" s="33" t="s">
        <v>278</v>
      </c>
      <c r="N457" s="122"/>
      <c r="O457" s="33" t="s">
        <v>278</v>
      </c>
      <c r="P457" s="122"/>
      <c r="Q457" s="33" t="s">
        <v>587</v>
      </c>
      <c r="R457" s="122"/>
      <c r="S457" s="33" t="s">
        <v>278</v>
      </c>
      <c r="T457" s="122"/>
      <c r="U457" s="33" t="s">
        <v>278</v>
      </c>
      <c r="V457" s="122"/>
      <c r="W457" s="123" t="s">
        <v>548</v>
      </c>
      <c r="X457" s="33" t="str">
        <f>+VLOOKUP(OtherClients[[#This Row],[Part]],PartControl!$A$2:$E$564,5,FALSE)</f>
        <v>infasco</v>
      </c>
      <c r="Y457" s="122" t="s">
        <v>587</v>
      </c>
      <c r="Z457" s="108">
        <f>IF(OtherClients[[#This Row],[Re-certified or New]]&lt;&gt;"Re-certified",IF(OtherClients[[#This Row],[Client]]="infasco",VLOOKUP(OtherClients[[#This Row],[Part]],PartControl!$A$2:$E$564,2,FALSE),OtherClients[[#This Row],[Total Quantity]]*VLOOKUP(OtherClients[[#This Row],[Part]],PartControl!$A$2:$E$564,2,FALSE)),0)</f>
        <v>106.94</v>
      </c>
    </row>
    <row r="458" spans="1:26" ht="25.15" hidden="1" customHeight="1" x14ac:dyDescent="0.25">
      <c r="A458" s="112">
        <v>46244.690833333334</v>
      </c>
      <c r="B458" s="5" t="s">
        <v>232</v>
      </c>
      <c r="C458" s="5" t="s">
        <v>728</v>
      </c>
      <c r="D458" s="5">
        <v>716079</v>
      </c>
      <c r="E458" s="33">
        <v>60</v>
      </c>
      <c r="F458" s="60">
        <v>1500</v>
      </c>
      <c r="G458" s="60">
        <v>90000</v>
      </c>
      <c r="H458" s="60">
        <v>275</v>
      </c>
      <c r="I458" s="120" t="s">
        <v>278</v>
      </c>
      <c r="J458" s="121"/>
      <c r="K458" s="33" t="s">
        <v>278</v>
      </c>
      <c r="L458" s="122"/>
      <c r="M458" s="33" t="s">
        <v>278</v>
      </c>
      <c r="N458" s="122"/>
      <c r="O458" s="33" t="s">
        <v>278</v>
      </c>
      <c r="P458" s="122"/>
      <c r="Q458" s="33" t="s">
        <v>587</v>
      </c>
      <c r="R458" s="122"/>
      <c r="S458" s="33" t="s">
        <v>278</v>
      </c>
      <c r="T458" s="122"/>
      <c r="U458" s="33" t="s">
        <v>278</v>
      </c>
      <c r="V458" s="122"/>
      <c r="W458" s="123" t="s">
        <v>548</v>
      </c>
      <c r="X458" s="33" t="str">
        <f>+VLOOKUP(OtherClients[[#This Row],[Part]],PartControl!$A$2:$E$564,5,FALSE)</f>
        <v>infasco</v>
      </c>
      <c r="Y458" s="122">
        <v>106.94</v>
      </c>
      <c r="Z458" s="108">
        <f>IF(OtherClients[[#This Row],[Re-certified or New]]&lt;&gt;"Re-certified",IF(OtherClients[[#This Row],[Client]]="infasco",VLOOKUP(OtherClients[[#This Row],[Part]],PartControl!$A$2:$E$564,2,FALSE),OtherClients[[#This Row],[Total Quantity]]*VLOOKUP(OtherClients[[#This Row],[Part]],PartControl!$A$2:$E$564,2,FALSE)),0)</f>
        <v>106.94</v>
      </c>
    </row>
    <row r="459" spans="1:26" ht="25.15" hidden="1" customHeight="1" x14ac:dyDescent="0.25">
      <c r="A459" s="112">
        <v>46244.690833333334</v>
      </c>
      <c r="B459" s="5" t="s">
        <v>252</v>
      </c>
      <c r="C459" s="5" t="s">
        <v>642</v>
      </c>
      <c r="D459" s="5">
        <v>715703</v>
      </c>
      <c r="E459" s="33">
        <v>36</v>
      </c>
      <c r="F459" s="60">
        <v>2800</v>
      </c>
      <c r="G459" s="60">
        <v>100800</v>
      </c>
      <c r="H459" s="60">
        <v>275</v>
      </c>
      <c r="I459" s="120" t="s">
        <v>278</v>
      </c>
      <c r="J459" s="121"/>
      <c r="K459" s="33" t="s">
        <v>278</v>
      </c>
      <c r="L459" s="122"/>
      <c r="M459" s="33" t="s">
        <v>278</v>
      </c>
      <c r="N459" s="122"/>
      <c r="O459" s="33" t="s">
        <v>278</v>
      </c>
      <c r="P459" s="122"/>
      <c r="Q459" s="33" t="s">
        <v>587</v>
      </c>
      <c r="R459" s="122"/>
      <c r="S459" s="33" t="s">
        <v>278</v>
      </c>
      <c r="T459" s="122"/>
      <c r="U459" s="33" t="s">
        <v>278</v>
      </c>
      <c r="V459" s="122"/>
      <c r="W459" s="123" t="s">
        <v>548</v>
      </c>
      <c r="X459" s="33" t="str">
        <f>+VLOOKUP(OtherClients[[#This Row],[Part]],PartControl!$A$2:$E$564,5,FALSE)</f>
        <v>infasco</v>
      </c>
      <c r="Y459" s="122">
        <v>106.94</v>
      </c>
      <c r="Z459" s="108">
        <f>IF(OtherClients[[#This Row],[Re-certified or New]]&lt;&gt;"Re-certified",IF(OtherClients[[#This Row],[Client]]="infasco",VLOOKUP(OtherClients[[#This Row],[Part]],PartControl!$A$2:$E$564,2,FALSE),OtherClients[[#This Row],[Total Quantity]]*VLOOKUP(OtherClients[[#This Row],[Part]],PartControl!$A$2:$E$564,2,FALSE)),0)</f>
        <v>106.94</v>
      </c>
    </row>
    <row r="460" spans="1:26" ht="25.15" hidden="1" customHeight="1" x14ac:dyDescent="0.25">
      <c r="A460" s="112">
        <v>46244.690833333334</v>
      </c>
      <c r="B460" s="5" t="s">
        <v>252</v>
      </c>
      <c r="C460" s="5" t="s">
        <v>642</v>
      </c>
      <c r="D460" s="5">
        <v>715701</v>
      </c>
      <c r="E460" s="33">
        <v>5</v>
      </c>
      <c r="F460" s="60">
        <v>2800</v>
      </c>
      <c r="G460" s="60">
        <v>14000</v>
      </c>
      <c r="H460" s="60">
        <v>25</v>
      </c>
      <c r="I460" s="120" t="s">
        <v>278</v>
      </c>
      <c r="J460" s="121"/>
      <c r="K460" s="33" t="s">
        <v>278</v>
      </c>
      <c r="L460" s="122"/>
      <c r="M460" s="33" t="s">
        <v>278</v>
      </c>
      <c r="N460" s="122"/>
      <c r="O460" s="33" t="s">
        <v>278</v>
      </c>
      <c r="P460" s="122"/>
      <c r="Q460" s="33" t="s">
        <v>587</v>
      </c>
      <c r="R460" s="122"/>
      <c r="S460" s="33" t="s">
        <v>278</v>
      </c>
      <c r="T460" s="122"/>
      <c r="U460" s="33" t="s">
        <v>278</v>
      </c>
      <c r="V460" s="122"/>
      <c r="W460" s="123" t="s">
        <v>633</v>
      </c>
      <c r="X460" s="33" t="str">
        <f>+VLOOKUP(OtherClients[[#This Row],[Part]],PartControl!$A$2:$E$564,5,FALSE)</f>
        <v>infasco</v>
      </c>
      <c r="Y460" s="122">
        <v>106.94</v>
      </c>
      <c r="Z460" s="108">
        <f>IF(OtherClients[[#This Row],[Re-certified or New]]&lt;&gt;"Re-certified",IF(OtherClients[[#This Row],[Client]]="infasco",VLOOKUP(OtherClients[[#This Row],[Part]],PartControl!$A$2:$E$564,2,FALSE),OtherClients[[#This Row],[Total Quantity]]*VLOOKUP(OtherClients[[#This Row],[Part]],PartControl!$A$2:$E$564,2,FALSE)),0)</f>
        <v>0</v>
      </c>
    </row>
    <row r="461" spans="1:26" ht="25.15" hidden="1" customHeight="1" x14ac:dyDescent="0.25">
      <c r="A461" s="112">
        <v>46244.690833333334</v>
      </c>
      <c r="B461" s="5" t="s">
        <v>242</v>
      </c>
      <c r="C461" s="5" t="s">
        <v>647</v>
      </c>
      <c r="D461" s="5">
        <v>713987</v>
      </c>
      <c r="E461" s="33">
        <v>43</v>
      </c>
      <c r="F461" s="60">
        <v>750</v>
      </c>
      <c r="G461" s="60">
        <v>32250</v>
      </c>
      <c r="H461" s="60">
        <v>275</v>
      </c>
      <c r="I461" s="120" t="s">
        <v>278</v>
      </c>
      <c r="J461" s="121"/>
      <c r="K461" s="33" t="s">
        <v>278</v>
      </c>
      <c r="L461" s="122"/>
      <c r="M461" s="33" t="s">
        <v>278</v>
      </c>
      <c r="N461" s="122"/>
      <c r="O461" s="33" t="s">
        <v>278</v>
      </c>
      <c r="P461" s="122"/>
      <c r="Q461" s="33" t="s">
        <v>587</v>
      </c>
      <c r="R461" s="122"/>
      <c r="S461" s="33" t="s">
        <v>278</v>
      </c>
      <c r="T461" s="122"/>
      <c r="U461" s="33" t="s">
        <v>278</v>
      </c>
      <c r="V461" s="122"/>
      <c r="W461" s="123" t="s">
        <v>548</v>
      </c>
      <c r="X461" s="33" t="str">
        <f>+VLOOKUP(OtherClients[[#This Row],[Part]],PartControl!$A$2:$E$564,5,FALSE)</f>
        <v>infasco</v>
      </c>
      <c r="Y461" s="122">
        <v>106.94</v>
      </c>
      <c r="Z461" s="108">
        <f>IF(OtherClients[[#This Row],[Re-certified or New]]&lt;&gt;"Re-certified",IF(OtherClients[[#This Row],[Client]]="infasco",VLOOKUP(OtherClients[[#This Row],[Part]],PartControl!$A$2:$E$564,2,FALSE),OtherClients[[#This Row],[Total Quantity]]*VLOOKUP(OtherClients[[#This Row],[Part]],PartControl!$A$2:$E$564,2,FALSE)),0)</f>
        <v>106.94</v>
      </c>
    </row>
    <row r="462" spans="1:26" ht="25.15" hidden="1" customHeight="1" x14ac:dyDescent="0.25">
      <c r="A462" s="112">
        <v>46244.690833333334</v>
      </c>
      <c r="B462" s="5" t="s">
        <v>242</v>
      </c>
      <c r="C462" s="5" t="s">
        <v>703</v>
      </c>
      <c r="D462" s="5">
        <v>714197</v>
      </c>
      <c r="E462" s="33">
        <v>36</v>
      </c>
      <c r="F462" s="60">
        <v>700</v>
      </c>
      <c r="G462" s="60">
        <v>25200</v>
      </c>
      <c r="H462" s="60">
        <v>275</v>
      </c>
      <c r="I462" s="120" t="s">
        <v>278</v>
      </c>
      <c r="J462" s="121"/>
      <c r="K462" s="33" t="s">
        <v>278</v>
      </c>
      <c r="L462" s="122"/>
      <c r="M462" s="33" t="s">
        <v>278</v>
      </c>
      <c r="N462" s="122"/>
      <c r="O462" s="33" t="s">
        <v>278</v>
      </c>
      <c r="P462" s="122"/>
      <c r="Q462" s="33" t="s">
        <v>587</v>
      </c>
      <c r="R462" s="122"/>
      <c r="S462" s="33" t="s">
        <v>278</v>
      </c>
      <c r="T462" s="122"/>
      <c r="U462" s="33" t="s">
        <v>278</v>
      </c>
      <c r="V462" s="122"/>
      <c r="W462" s="123" t="s">
        <v>548</v>
      </c>
      <c r="X462" s="33" t="str">
        <f>+VLOOKUP(OtherClients[[#This Row],[Part]],PartControl!$A$2:$E$564,5,FALSE)</f>
        <v>infasco</v>
      </c>
      <c r="Y462" s="122">
        <v>106.94</v>
      </c>
      <c r="Z462" s="108">
        <f>IF(OtherClients[[#This Row],[Re-certified or New]]&lt;&gt;"Re-certified",IF(OtherClients[[#This Row],[Client]]="infasco",VLOOKUP(OtherClients[[#This Row],[Part]],PartControl!$A$2:$E$564,2,FALSE),OtherClients[[#This Row],[Total Quantity]]*VLOOKUP(OtherClients[[#This Row],[Part]],PartControl!$A$2:$E$564,2,FALSE)),0)</f>
        <v>106.94</v>
      </c>
    </row>
    <row r="463" spans="1:26" ht="25.15" hidden="1" customHeight="1" x14ac:dyDescent="0.25">
      <c r="A463" s="112">
        <v>46244.690833333334</v>
      </c>
      <c r="B463" s="5" t="s">
        <v>337</v>
      </c>
      <c r="C463" s="5" t="s">
        <v>656</v>
      </c>
      <c r="D463" s="5">
        <v>715683</v>
      </c>
      <c r="E463" s="33">
        <v>36</v>
      </c>
      <c r="F463" s="60">
        <v>825</v>
      </c>
      <c r="G463" s="60">
        <v>29700</v>
      </c>
      <c r="H463" s="60">
        <v>275</v>
      </c>
      <c r="I463" s="120" t="s">
        <v>278</v>
      </c>
      <c r="J463" s="121"/>
      <c r="K463" s="33" t="s">
        <v>278</v>
      </c>
      <c r="L463" s="122"/>
      <c r="M463" s="33" t="s">
        <v>278</v>
      </c>
      <c r="N463" s="122"/>
      <c r="O463" s="33" t="s">
        <v>278</v>
      </c>
      <c r="P463" s="122"/>
      <c r="Q463" s="33" t="s">
        <v>587</v>
      </c>
      <c r="R463" s="122"/>
      <c r="S463" s="33" t="s">
        <v>278</v>
      </c>
      <c r="T463" s="122"/>
      <c r="U463" s="33" t="s">
        <v>278</v>
      </c>
      <c r="V463" s="122"/>
      <c r="W463" s="123" t="s">
        <v>548</v>
      </c>
      <c r="X463" s="33" t="str">
        <f>+VLOOKUP(OtherClients[[#This Row],[Part]],PartControl!$A$2:$E$564,5,FALSE)</f>
        <v>infasco</v>
      </c>
      <c r="Y463" s="122" t="s">
        <v>587</v>
      </c>
      <c r="Z463" s="108">
        <f>IF(OtherClients[[#This Row],[Re-certified or New]]&lt;&gt;"Re-certified",IF(OtherClients[[#This Row],[Client]]="infasco",VLOOKUP(OtherClients[[#This Row],[Part]],PartControl!$A$2:$E$564,2,FALSE),OtherClients[[#This Row],[Total Quantity]]*VLOOKUP(OtherClients[[#This Row],[Part]],PartControl!$A$2:$E$564,2,FALSE)),0)</f>
        <v>280.16000000000003</v>
      </c>
    </row>
    <row r="464" spans="1:26" ht="25.15" hidden="1" customHeight="1" x14ac:dyDescent="0.25">
      <c r="A464" s="112">
        <v>46244.690833333334</v>
      </c>
      <c r="B464" s="5" t="s">
        <v>234</v>
      </c>
      <c r="C464" s="5" t="s">
        <v>642</v>
      </c>
      <c r="D464" s="5">
        <v>715711</v>
      </c>
      <c r="E464" s="33">
        <v>18</v>
      </c>
      <c r="F464" s="60">
        <v>2800</v>
      </c>
      <c r="G464" s="60">
        <v>50400</v>
      </c>
      <c r="H464" s="60">
        <v>275</v>
      </c>
      <c r="I464" s="120" t="s">
        <v>278</v>
      </c>
      <c r="J464" s="121"/>
      <c r="K464" s="33" t="s">
        <v>278</v>
      </c>
      <c r="L464" s="122"/>
      <c r="M464" s="33" t="s">
        <v>278</v>
      </c>
      <c r="N464" s="122"/>
      <c r="O464" s="33" t="s">
        <v>278</v>
      </c>
      <c r="P464" s="122"/>
      <c r="Q464" s="33" t="s">
        <v>587</v>
      </c>
      <c r="R464" s="122"/>
      <c r="S464" s="33" t="s">
        <v>278</v>
      </c>
      <c r="T464" s="122"/>
      <c r="U464" s="33" t="s">
        <v>278</v>
      </c>
      <c r="V464" s="122"/>
      <c r="W464" s="123" t="s">
        <v>633</v>
      </c>
      <c r="X464" s="33" t="str">
        <f>+VLOOKUP(OtherClients[[#This Row],[Part]],PartControl!$A$2:$E$564,5,FALSE)</f>
        <v>infasco</v>
      </c>
      <c r="Y464" s="122">
        <v>106.94</v>
      </c>
      <c r="Z464" s="108">
        <f>IF(OtherClients[[#This Row],[Re-certified or New]]&lt;&gt;"Re-certified",IF(OtherClients[[#This Row],[Client]]="infasco",VLOOKUP(OtherClients[[#This Row],[Part]],PartControl!$A$2:$E$564,2,FALSE),OtherClients[[#This Row],[Total Quantity]]*VLOOKUP(OtherClients[[#This Row],[Part]],PartControl!$A$2:$E$564,2,FALSE)),0)</f>
        <v>0</v>
      </c>
    </row>
    <row r="465" spans="1:26" ht="25.15" hidden="1" customHeight="1" x14ac:dyDescent="0.25">
      <c r="A465" s="112">
        <v>46244.690833333334</v>
      </c>
      <c r="B465" s="5" t="s">
        <v>233</v>
      </c>
      <c r="C465" s="5" t="s">
        <v>667</v>
      </c>
      <c r="D465" s="5">
        <v>71269</v>
      </c>
      <c r="E465" s="33">
        <v>36</v>
      </c>
      <c r="F465" s="60">
        <v>1600</v>
      </c>
      <c r="G465" s="60">
        <v>57600</v>
      </c>
      <c r="H465" s="60">
        <v>275</v>
      </c>
      <c r="I465" s="120" t="s">
        <v>278</v>
      </c>
      <c r="J465" s="121"/>
      <c r="K465" s="33" t="s">
        <v>278</v>
      </c>
      <c r="L465" s="122"/>
      <c r="M465" s="33" t="s">
        <v>278</v>
      </c>
      <c r="N465" s="122"/>
      <c r="O465" s="33" t="s">
        <v>278</v>
      </c>
      <c r="P465" s="122"/>
      <c r="Q465" s="33" t="s">
        <v>587</v>
      </c>
      <c r="R465" s="122"/>
      <c r="S465" s="33" t="s">
        <v>278</v>
      </c>
      <c r="T465" s="122"/>
      <c r="U465" s="33" t="s">
        <v>278</v>
      </c>
      <c r="V465" s="122"/>
      <c r="W465" s="123" t="s">
        <v>548</v>
      </c>
      <c r="X465" s="33" t="str">
        <f>+VLOOKUP(OtherClients[[#This Row],[Part]],PartControl!$A$2:$E$564,5,FALSE)</f>
        <v>infasco</v>
      </c>
      <c r="Y465" s="122" t="s">
        <v>587</v>
      </c>
      <c r="Z465" s="108">
        <f>IF(OtherClients[[#This Row],[Re-certified or New]]&lt;&gt;"Re-certified",IF(OtherClients[[#This Row],[Client]]="infasco",VLOOKUP(OtherClients[[#This Row],[Part]],PartControl!$A$2:$E$564,2,FALSE),OtherClients[[#This Row],[Total Quantity]]*VLOOKUP(OtherClients[[#This Row],[Part]],PartControl!$A$2:$E$564,2,FALSE)),0)</f>
        <v>106.94</v>
      </c>
    </row>
    <row r="466" spans="1:26" ht="25.15" hidden="1" customHeight="1" x14ac:dyDescent="0.25">
      <c r="A466" s="112">
        <v>46244.690833333334</v>
      </c>
      <c r="B466" s="5" t="s">
        <v>233</v>
      </c>
      <c r="C466" s="5" t="s">
        <v>667</v>
      </c>
      <c r="D466" s="5">
        <v>713266</v>
      </c>
      <c r="E466" s="33">
        <v>5</v>
      </c>
      <c r="F466" s="60">
        <v>1600</v>
      </c>
      <c r="G466" s="60">
        <v>8000</v>
      </c>
      <c r="H466" s="60">
        <v>275</v>
      </c>
      <c r="I466" s="120" t="s">
        <v>278</v>
      </c>
      <c r="J466" s="121"/>
      <c r="K466" s="33" t="s">
        <v>278</v>
      </c>
      <c r="L466" s="122"/>
      <c r="M466" s="33" t="s">
        <v>278</v>
      </c>
      <c r="N466" s="122"/>
      <c r="O466" s="33" t="s">
        <v>278</v>
      </c>
      <c r="P466" s="122"/>
      <c r="Q466" s="33" t="s">
        <v>587</v>
      </c>
      <c r="R466" s="122"/>
      <c r="S466" s="33" t="s">
        <v>278</v>
      </c>
      <c r="T466" s="122"/>
      <c r="U466" s="33" t="s">
        <v>278</v>
      </c>
      <c r="V466" s="122"/>
      <c r="W466" s="123" t="s">
        <v>633</v>
      </c>
      <c r="X466" s="33" t="str">
        <f>+VLOOKUP(OtherClients[[#This Row],[Part]],PartControl!$A$2:$E$564,5,FALSE)</f>
        <v>infasco</v>
      </c>
      <c r="Y466" s="122" t="s">
        <v>587</v>
      </c>
      <c r="Z466" s="108">
        <f>IF(OtherClients[[#This Row],[Re-certified or New]]&lt;&gt;"Re-certified",IF(OtherClients[[#This Row],[Client]]="infasco",VLOOKUP(OtherClients[[#This Row],[Part]],PartControl!$A$2:$E$564,2,FALSE),OtherClients[[#This Row],[Total Quantity]]*VLOOKUP(OtherClients[[#This Row],[Part]],PartControl!$A$2:$E$564,2,FALSE)),0)</f>
        <v>0</v>
      </c>
    </row>
    <row r="467" spans="1:26" ht="25.15" hidden="1" customHeight="1" x14ac:dyDescent="0.25">
      <c r="A467" s="112">
        <v>46244.690833333334</v>
      </c>
      <c r="B467" s="5" t="s">
        <v>238</v>
      </c>
      <c r="C467" s="5" t="s">
        <v>697</v>
      </c>
      <c r="D467" s="5">
        <v>714454</v>
      </c>
      <c r="E467" s="33">
        <v>36</v>
      </c>
      <c r="F467" s="60">
        <v>660</v>
      </c>
      <c r="G467" s="60">
        <v>23760</v>
      </c>
      <c r="H467" s="60">
        <v>275</v>
      </c>
      <c r="I467" s="120" t="s">
        <v>278</v>
      </c>
      <c r="J467" s="121"/>
      <c r="K467" s="33" t="s">
        <v>278</v>
      </c>
      <c r="L467" s="122"/>
      <c r="M467" s="33" t="s">
        <v>278</v>
      </c>
      <c r="N467" s="122"/>
      <c r="O467" s="33" t="s">
        <v>278</v>
      </c>
      <c r="P467" s="122"/>
      <c r="Q467" s="33" t="s">
        <v>587</v>
      </c>
      <c r="R467" s="122"/>
      <c r="S467" s="33" t="s">
        <v>278</v>
      </c>
      <c r="T467" s="122"/>
      <c r="U467" s="33" t="s">
        <v>278</v>
      </c>
      <c r="V467" s="122"/>
      <c r="W467" s="123" t="s">
        <v>548</v>
      </c>
      <c r="X467" s="33" t="str">
        <f>+VLOOKUP(OtherClients[[#This Row],[Part]],PartControl!$A$2:$E$564,5,FALSE)</f>
        <v>infasco</v>
      </c>
      <c r="Y467" s="122">
        <v>106.94</v>
      </c>
      <c r="Z467" s="108">
        <f>IF(OtherClients[[#This Row],[Re-certified or New]]&lt;&gt;"Re-certified",IF(OtherClients[[#This Row],[Client]]="infasco",VLOOKUP(OtherClients[[#This Row],[Part]],PartControl!$A$2:$E$564,2,FALSE),OtherClients[[#This Row],[Total Quantity]]*VLOOKUP(OtherClients[[#This Row],[Part]],PartControl!$A$2:$E$564,2,FALSE)),0)</f>
        <v>106.94</v>
      </c>
    </row>
    <row r="468" spans="1:26" ht="25.15" hidden="1" customHeight="1" x14ac:dyDescent="0.25">
      <c r="A468" s="112">
        <v>46244.690833333334</v>
      </c>
      <c r="B468" s="5" t="s">
        <v>238</v>
      </c>
      <c r="C468" s="5" t="s">
        <v>697</v>
      </c>
      <c r="D468" s="5">
        <v>714455</v>
      </c>
      <c r="E468" s="33">
        <v>36</v>
      </c>
      <c r="F468" s="60">
        <v>660</v>
      </c>
      <c r="G468" s="60">
        <v>23760</v>
      </c>
      <c r="H468" s="60">
        <v>275</v>
      </c>
      <c r="I468" s="120" t="s">
        <v>278</v>
      </c>
      <c r="J468" s="121"/>
      <c r="K468" s="33" t="s">
        <v>278</v>
      </c>
      <c r="L468" s="122"/>
      <c r="M468" s="33" t="s">
        <v>278</v>
      </c>
      <c r="N468" s="122"/>
      <c r="O468" s="33" t="s">
        <v>278</v>
      </c>
      <c r="P468" s="122"/>
      <c r="Q468" s="33" t="s">
        <v>587</v>
      </c>
      <c r="R468" s="122"/>
      <c r="S468" s="33" t="s">
        <v>278</v>
      </c>
      <c r="T468" s="122"/>
      <c r="U468" s="33" t="s">
        <v>278</v>
      </c>
      <c r="V468" s="122"/>
      <c r="W468" s="123" t="s">
        <v>548</v>
      </c>
      <c r="X468" s="33" t="str">
        <f>+VLOOKUP(OtherClients[[#This Row],[Part]],PartControl!$A$2:$E$564,5,FALSE)</f>
        <v>infasco</v>
      </c>
      <c r="Y468" s="122">
        <v>106.94</v>
      </c>
      <c r="Z468" s="108">
        <f>IF(OtherClients[[#This Row],[Re-certified or New]]&lt;&gt;"Re-certified",IF(OtherClients[[#This Row],[Client]]="infasco",VLOOKUP(OtherClients[[#This Row],[Part]],PartControl!$A$2:$E$564,2,FALSE),OtherClients[[#This Row],[Total Quantity]]*VLOOKUP(OtherClients[[#This Row],[Part]],PartControl!$A$2:$E$564,2,FALSE)),0)</f>
        <v>106.94</v>
      </c>
    </row>
    <row r="469" spans="1:26" ht="25.15" hidden="1" customHeight="1" x14ac:dyDescent="0.25">
      <c r="A469" s="112">
        <v>46244.690833333334</v>
      </c>
      <c r="B469" s="5" t="s">
        <v>237</v>
      </c>
      <c r="C469" s="5">
        <v>11549170</v>
      </c>
      <c r="D469" s="5">
        <v>714374</v>
      </c>
      <c r="E469" s="33">
        <v>36</v>
      </c>
      <c r="F469" s="60">
        <v>400</v>
      </c>
      <c r="G469" s="60">
        <v>14400</v>
      </c>
      <c r="H469" s="60">
        <v>290</v>
      </c>
      <c r="I469" s="120" t="s">
        <v>278</v>
      </c>
      <c r="J469" s="121"/>
      <c r="K469" s="33" t="s">
        <v>278</v>
      </c>
      <c r="L469" s="122"/>
      <c r="M469" s="33" t="s">
        <v>278</v>
      </c>
      <c r="N469" s="122"/>
      <c r="O469" s="33" t="s">
        <v>278</v>
      </c>
      <c r="P469" s="122"/>
      <c r="Q469" s="33" t="s">
        <v>587</v>
      </c>
      <c r="R469" s="122"/>
      <c r="S469" s="33" t="s">
        <v>278</v>
      </c>
      <c r="T469" s="122"/>
      <c r="U469" s="33" t="s">
        <v>278</v>
      </c>
      <c r="V469" s="122"/>
      <c r="W469" s="123" t="s">
        <v>548</v>
      </c>
      <c r="X469" s="33" t="str">
        <f>+VLOOKUP(OtherClients[[#This Row],[Part]],PartControl!$A$2:$E$564,5,FALSE)</f>
        <v>INFASCO</v>
      </c>
      <c r="Y469" s="122">
        <v>106.94</v>
      </c>
      <c r="Z469" s="108">
        <f>IF(OtherClients[[#This Row],[Re-certified or New]]&lt;&gt;"Re-certified",IF(OtherClients[[#This Row],[Client]]="infasco",VLOOKUP(OtherClients[[#This Row],[Part]],PartControl!$A$2:$E$564,2,FALSE),OtherClients[[#This Row],[Total Quantity]]*VLOOKUP(OtherClients[[#This Row],[Part]],PartControl!$A$2:$E$564,2,FALSE)),0)</f>
        <v>106.94</v>
      </c>
    </row>
    <row r="470" spans="1:26" ht="25.15" hidden="1" customHeight="1" x14ac:dyDescent="0.25">
      <c r="A470" s="112">
        <v>46244.690833333334</v>
      </c>
      <c r="B470" s="5" t="s">
        <v>237</v>
      </c>
      <c r="C470" s="5">
        <v>11549170</v>
      </c>
      <c r="D470" s="5">
        <v>714387</v>
      </c>
      <c r="E470" s="33">
        <v>36</v>
      </c>
      <c r="F470" s="60">
        <v>400</v>
      </c>
      <c r="G470" s="60">
        <v>14400</v>
      </c>
      <c r="H470" s="60">
        <v>290</v>
      </c>
      <c r="I470" s="120" t="s">
        <v>278</v>
      </c>
      <c r="J470" s="121"/>
      <c r="K470" s="33" t="s">
        <v>278</v>
      </c>
      <c r="L470" s="122"/>
      <c r="M470" s="33" t="s">
        <v>278</v>
      </c>
      <c r="N470" s="122"/>
      <c r="O470" s="33" t="s">
        <v>278</v>
      </c>
      <c r="P470" s="122"/>
      <c r="Q470" s="33" t="s">
        <v>587</v>
      </c>
      <c r="R470" s="122"/>
      <c r="S470" s="33" t="s">
        <v>278</v>
      </c>
      <c r="T470" s="122"/>
      <c r="U470" s="33" t="s">
        <v>278</v>
      </c>
      <c r="V470" s="122"/>
      <c r="W470" s="123" t="s">
        <v>548</v>
      </c>
      <c r="X470" s="33" t="str">
        <f>+VLOOKUP(OtherClients[[#This Row],[Part]],PartControl!$A$2:$E$564,5,FALSE)</f>
        <v>INFASCO</v>
      </c>
      <c r="Y470" s="122">
        <v>106.94</v>
      </c>
      <c r="Z470" s="108">
        <f>IF(OtherClients[[#This Row],[Re-certified or New]]&lt;&gt;"Re-certified",IF(OtherClients[[#This Row],[Client]]="infasco",VLOOKUP(OtherClients[[#This Row],[Part]],PartControl!$A$2:$E$564,2,FALSE),OtherClients[[#This Row],[Total Quantity]]*VLOOKUP(OtherClients[[#This Row],[Part]],PartControl!$A$2:$E$564,2,FALSE)),0)</f>
        <v>106.94</v>
      </c>
    </row>
    <row r="471" spans="1:26" ht="25.15" hidden="1" customHeight="1" x14ac:dyDescent="0.25">
      <c r="A471" s="112">
        <v>46244.690833333334</v>
      </c>
      <c r="B471" s="5" t="s">
        <v>237</v>
      </c>
      <c r="C471" s="5">
        <v>11549170</v>
      </c>
      <c r="D471" s="5">
        <v>71489</v>
      </c>
      <c r="E471" s="33">
        <v>36</v>
      </c>
      <c r="F471" s="60">
        <v>400</v>
      </c>
      <c r="G471" s="60">
        <v>14400</v>
      </c>
      <c r="H471" s="60">
        <v>290</v>
      </c>
      <c r="I471" s="120" t="s">
        <v>278</v>
      </c>
      <c r="J471" s="121"/>
      <c r="K471" s="33" t="s">
        <v>278</v>
      </c>
      <c r="L471" s="122"/>
      <c r="M471" s="33" t="s">
        <v>278</v>
      </c>
      <c r="N471" s="122"/>
      <c r="O471" s="33" t="s">
        <v>278</v>
      </c>
      <c r="P471" s="122"/>
      <c r="Q471" s="33" t="s">
        <v>587</v>
      </c>
      <c r="R471" s="122"/>
      <c r="S471" s="33" t="s">
        <v>278</v>
      </c>
      <c r="T471" s="122"/>
      <c r="U471" s="33" t="s">
        <v>278</v>
      </c>
      <c r="V471" s="122"/>
      <c r="W471" s="123" t="s">
        <v>548</v>
      </c>
      <c r="X471" s="33" t="str">
        <f>+VLOOKUP(OtherClients[[#This Row],[Part]],PartControl!$A$2:$E$564,5,FALSE)</f>
        <v>INFASCO</v>
      </c>
      <c r="Y471" s="122">
        <v>106.94</v>
      </c>
      <c r="Z471" s="108">
        <f>IF(OtherClients[[#This Row],[Re-certified or New]]&lt;&gt;"Re-certified",IF(OtherClients[[#This Row],[Client]]="infasco",VLOOKUP(OtherClients[[#This Row],[Part]],PartControl!$A$2:$E$564,2,FALSE),OtherClients[[#This Row],[Total Quantity]]*VLOOKUP(OtherClients[[#This Row],[Part]],PartControl!$A$2:$E$564,2,FALSE)),0)</f>
        <v>106.94</v>
      </c>
    </row>
    <row r="472" spans="1:26" ht="25.15" hidden="1" customHeight="1" x14ac:dyDescent="0.25">
      <c r="A472" s="112">
        <v>46244.690833333334</v>
      </c>
      <c r="B472" s="5" t="s">
        <v>237</v>
      </c>
      <c r="C472" s="5">
        <v>11549170</v>
      </c>
      <c r="D472" s="5">
        <v>714377</v>
      </c>
      <c r="E472" s="33">
        <v>30</v>
      </c>
      <c r="F472" s="60">
        <v>400</v>
      </c>
      <c r="G472" s="60">
        <f>+OtherClients[[#This Row],[Boxes / Pieces]]*OtherClients[[#This Row],[Unit Quantity]]</f>
        <v>12000</v>
      </c>
      <c r="H472" s="60">
        <v>290</v>
      </c>
      <c r="I472" s="120" t="s">
        <v>278</v>
      </c>
      <c r="J472" s="121"/>
      <c r="K472" s="33" t="s">
        <v>278</v>
      </c>
      <c r="L472" s="122"/>
      <c r="M472" s="33" t="s">
        <v>278</v>
      </c>
      <c r="N472" s="122"/>
      <c r="O472" s="33" t="s">
        <v>278</v>
      </c>
      <c r="P472" s="122"/>
      <c r="Q472" s="33" t="s">
        <v>587</v>
      </c>
      <c r="R472" s="122"/>
      <c r="S472" s="33" t="s">
        <v>278</v>
      </c>
      <c r="T472" s="122"/>
      <c r="U472" s="33" t="s">
        <v>278</v>
      </c>
      <c r="V472" s="122"/>
      <c r="W472" s="123" t="s">
        <v>633</v>
      </c>
      <c r="X472" s="33" t="str">
        <f>+VLOOKUP(OtherClients[[#This Row],[Part]],PartControl!$A$2:$E$564,5,FALSE)</f>
        <v>INFASCO</v>
      </c>
      <c r="Y472" s="122">
        <v>106.94</v>
      </c>
      <c r="Z472" s="108">
        <f>IF(OtherClients[[#This Row],[Re-certified or New]]&lt;&gt;"Re-certified",IF(OtherClients[[#This Row],[Client]]="infasco",VLOOKUP(OtherClients[[#This Row],[Part]],PartControl!$A$2:$E$564,2,FALSE),OtherClients[[#This Row],[Total Quantity]]*VLOOKUP(OtherClients[[#This Row],[Part]],PartControl!$A$2:$E$564,2,FALSE)),0)</f>
        <v>0</v>
      </c>
    </row>
    <row r="473" spans="1:26" ht="25.15" hidden="1" customHeight="1" x14ac:dyDescent="0.25">
      <c r="A473" s="112">
        <v>46244.690833333334</v>
      </c>
      <c r="B473" s="5" t="s">
        <v>250</v>
      </c>
      <c r="C473" s="5">
        <v>11546545</v>
      </c>
      <c r="D473" s="5">
        <v>714672</v>
      </c>
      <c r="E473" s="33">
        <v>5</v>
      </c>
      <c r="F473" s="60">
        <v>2500</v>
      </c>
      <c r="G473" s="60">
        <v>12500</v>
      </c>
      <c r="H473" s="60">
        <v>290</v>
      </c>
      <c r="I473" s="120" t="s">
        <v>278</v>
      </c>
      <c r="J473" s="121"/>
      <c r="K473" s="33" t="s">
        <v>278</v>
      </c>
      <c r="L473" s="122"/>
      <c r="M473" s="33" t="s">
        <v>278</v>
      </c>
      <c r="N473" s="122"/>
      <c r="O473" s="33" t="s">
        <v>278</v>
      </c>
      <c r="P473" s="122"/>
      <c r="Q473" s="33" t="s">
        <v>587</v>
      </c>
      <c r="R473" s="122"/>
      <c r="S473" s="33" t="s">
        <v>278</v>
      </c>
      <c r="T473" s="122"/>
      <c r="U473" s="33" t="s">
        <v>278</v>
      </c>
      <c r="V473" s="122"/>
      <c r="W473" s="123" t="s">
        <v>548</v>
      </c>
      <c r="X473" s="33" t="str">
        <f>+VLOOKUP(OtherClients[[#This Row],[Part]],PartControl!$A$2:$E$564,5,FALSE)</f>
        <v>infasco</v>
      </c>
      <c r="Y473" s="122">
        <v>106.94</v>
      </c>
      <c r="Z473" s="108">
        <f>IF(OtherClients[[#This Row],[Re-certified or New]]&lt;&gt;"Re-certified",IF(OtherClients[[#This Row],[Client]]="infasco",VLOOKUP(OtherClients[[#This Row],[Part]],PartControl!$A$2:$E$564,2,FALSE),OtherClients[[#This Row],[Total Quantity]]*VLOOKUP(OtherClients[[#This Row],[Part]],PartControl!$A$2:$E$564,2,FALSE)),0)</f>
        <v>106.94</v>
      </c>
    </row>
    <row r="474" spans="1:26" ht="25.15" hidden="1" customHeight="1" x14ac:dyDescent="0.25">
      <c r="A474" s="112">
        <v>46244.690833333334</v>
      </c>
      <c r="B474" s="5" t="s">
        <v>250</v>
      </c>
      <c r="C474" s="5">
        <v>11549170</v>
      </c>
      <c r="D474" s="5">
        <v>714378</v>
      </c>
      <c r="E474" s="33">
        <v>36</v>
      </c>
      <c r="F474" s="60">
        <v>400</v>
      </c>
      <c r="G474" s="60">
        <v>14400</v>
      </c>
      <c r="H474" s="60">
        <v>290</v>
      </c>
      <c r="I474" s="120" t="s">
        <v>278</v>
      </c>
      <c r="J474" s="121"/>
      <c r="K474" s="33" t="s">
        <v>278</v>
      </c>
      <c r="L474" s="122"/>
      <c r="M474" s="33" t="s">
        <v>278</v>
      </c>
      <c r="N474" s="122"/>
      <c r="O474" s="33" t="s">
        <v>278</v>
      </c>
      <c r="P474" s="122"/>
      <c r="Q474" s="33" t="s">
        <v>587</v>
      </c>
      <c r="R474" s="122"/>
      <c r="S474" s="33" t="s">
        <v>278</v>
      </c>
      <c r="T474" s="122"/>
      <c r="U474" s="33" t="s">
        <v>278</v>
      </c>
      <c r="V474" s="122"/>
      <c r="W474" s="123" t="s">
        <v>548</v>
      </c>
      <c r="X474" s="33" t="str">
        <f>+VLOOKUP(OtherClients[[#This Row],[Part]],PartControl!$A$2:$E$564,5,FALSE)</f>
        <v>INFASCO</v>
      </c>
      <c r="Y474" s="122">
        <v>106.94</v>
      </c>
      <c r="Z474" s="108">
        <f>IF(OtherClients[[#This Row],[Re-certified or New]]&lt;&gt;"Re-certified",IF(OtherClients[[#This Row],[Client]]="infasco",VLOOKUP(OtherClients[[#This Row],[Part]],PartControl!$A$2:$E$564,2,FALSE),OtherClients[[#This Row],[Total Quantity]]*VLOOKUP(OtherClients[[#This Row],[Part]],PartControl!$A$2:$E$564,2,FALSE)),0)</f>
        <v>106.94</v>
      </c>
    </row>
    <row r="475" spans="1:26" ht="25.15" hidden="1" customHeight="1" x14ac:dyDescent="0.25">
      <c r="A475" s="112">
        <v>46244.690833333334</v>
      </c>
      <c r="B475" s="5" t="s">
        <v>250</v>
      </c>
      <c r="C475" s="5">
        <v>11549170</v>
      </c>
      <c r="D475" s="5">
        <v>714381</v>
      </c>
      <c r="E475" s="33">
        <v>22</v>
      </c>
      <c r="F475" s="60">
        <v>400</v>
      </c>
      <c r="G475" s="60">
        <v>8800</v>
      </c>
      <c r="H475" s="60">
        <v>290</v>
      </c>
      <c r="I475" s="120" t="s">
        <v>278</v>
      </c>
      <c r="J475" s="121"/>
      <c r="K475" s="33" t="s">
        <v>278</v>
      </c>
      <c r="L475" s="122"/>
      <c r="M475" s="33" t="s">
        <v>278</v>
      </c>
      <c r="N475" s="122"/>
      <c r="O475" s="33" t="s">
        <v>278</v>
      </c>
      <c r="P475" s="122"/>
      <c r="Q475" s="33" t="s">
        <v>587</v>
      </c>
      <c r="R475" s="122"/>
      <c r="S475" s="33" t="s">
        <v>278</v>
      </c>
      <c r="T475" s="122"/>
      <c r="U475" s="33" t="s">
        <v>278</v>
      </c>
      <c r="V475" s="122"/>
      <c r="W475" s="123" t="s">
        <v>633</v>
      </c>
      <c r="X475" s="33" t="str">
        <f>+VLOOKUP(OtherClients[[#This Row],[Part]],PartControl!$A$2:$E$564,5,FALSE)</f>
        <v>INFASCO</v>
      </c>
      <c r="Y475" s="122">
        <v>106.94</v>
      </c>
      <c r="Z475" s="108">
        <f>IF(OtherClients[[#This Row],[Re-certified or New]]&lt;&gt;"Re-certified",IF(OtherClients[[#This Row],[Client]]="infasco",VLOOKUP(OtherClients[[#This Row],[Part]],PartControl!$A$2:$E$564,2,FALSE),OtherClients[[#This Row],[Total Quantity]]*VLOOKUP(OtherClients[[#This Row],[Part]],PartControl!$A$2:$E$564,2,FALSE)),0)</f>
        <v>0</v>
      </c>
    </row>
    <row r="476" spans="1:26" ht="25.15" hidden="1" customHeight="1" x14ac:dyDescent="0.25">
      <c r="A476" s="112">
        <v>46244.690833333334</v>
      </c>
      <c r="B476" s="5" t="s">
        <v>235</v>
      </c>
      <c r="C476" s="5">
        <v>11546566</v>
      </c>
      <c r="D476" s="5">
        <v>714434</v>
      </c>
      <c r="E476" s="33">
        <v>10</v>
      </c>
      <c r="F476" s="60">
        <v>1800</v>
      </c>
      <c r="G476" s="60">
        <v>18000</v>
      </c>
      <c r="H476" s="60">
        <v>290</v>
      </c>
      <c r="I476" s="120" t="s">
        <v>278</v>
      </c>
      <c r="J476" s="121"/>
      <c r="K476" s="33" t="s">
        <v>278</v>
      </c>
      <c r="L476" s="122"/>
      <c r="M476" s="33" t="s">
        <v>278</v>
      </c>
      <c r="N476" s="122"/>
      <c r="O476" s="33" t="s">
        <v>278</v>
      </c>
      <c r="P476" s="122"/>
      <c r="Q476" s="33" t="s">
        <v>587</v>
      </c>
      <c r="R476" s="122"/>
      <c r="S476" s="33" t="s">
        <v>278</v>
      </c>
      <c r="T476" s="122"/>
      <c r="U476" s="33" t="s">
        <v>278</v>
      </c>
      <c r="V476" s="122"/>
      <c r="W476" s="123" t="s">
        <v>633</v>
      </c>
      <c r="X476" s="33" t="str">
        <f>+VLOOKUP(OtherClients[[#This Row],[Part]],PartControl!$A$2:$E$564,5,FALSE)</f>
        <v>infasco</v>
      </c>
      <c r="Y476" s="122">
        <v>135.08000000000001</v>
      </c>
      <c r="Z476" s="108">
        <f>IF(OtherClients[[#This Row],[Re-certified or New]]&lt;&gt;"Re-certified",IF(OtherClients[[#This Row],[Client]]="infasco",VLOOKUP(OtherClients[[#This Row],[Part]],PartControl!$A$2:$E$564,2,FALSE),OtherClients[[#This Row],[Total Quantity]]*VLOOKUP(OtherClients[[#This Row],[Part]],PartControl!$A$2:$E$564,2,FALSE)),0)</f>
        <v>0</v>
      </c>
    </row>
    <row r="477" spans="1:26" ht="25.15" hidden="1" customHeight="1" x14ac:dyDescent="0.25">
      <c r="A477" s="112">
        <v>46244.690833333334</v>
      </c>
      <c r="B477" s="5" t="s">
        <v>239</v>
      </c>
      <c r="C477" s="5">
        <v>11546774</v>
      </c>
      <c r="D477" s="5">
        <v>713588</v>
      </c>
      <c r="E477" s="33">
        <v>2</v>
      </c>
      <c r="F477" s="60">
        <v>450</v>
      </c>
      <c r="G477" s="60">
        <v>900</v>
      </c>
      <c r="H477" s="60">
        <v>290</v>
      </c>
      <c r="I477" s="120" t="s">
        <v>278</v>
      </c>
      <c r="J477" s="121"/>
      <c r="K477" s="33" t="s">
        <v>278</v>
      </c>
      <c r="L477" s="122"/>
      <c r="M477" s="33" t="s">
        <v>278</v>
      </c>
      <c r="N477" s="122"/>
      <c r="O477" s="33" t="s">
        <v>278</v>
      </c>
      <c r="P477" s="122"/>
      <c r="Q477" s="33" t="s">
        <v>587</v>
      </c>
      <c r="R477" s="122"/>
      <c r="S477" s="33" t="s">
        <v>278</v>
      </c>
      <c r="T477" s="122"/>
      <c r="U477" s="33" t="s">
        <v>278</v>
      </c>
      <c r="V477" s="122"/>
      <c r="W477" s="123" t="s">
        <v>548</v>
      </c>
      <c r="X477" s="33" t="str">
        <f>+VLOOKUP(OtherClients[[#This Row],[Part]],PartControl!$A$2:$E$564,5,FALSE)</f>
        <v>infasco</v>
      </c>
      <c r="Y477" s="122">
        <v>106.94</v>
      </c>
      <c r="Z477" s="108">
        <f>IF(OtherClients[[#This Row],[Re-certified or New]]&lt;&gt;"Re-certified",IF(OtherClients[[#This Row],[Client]]="infasco",VLOOKUP(OtherClients[[#This Row],[Part]],PartControl!$A$2:$E$564,2,FALSE),OtherClients[[#This Row],[Total Quantity]]*VLOOKUP(OtherClients[[#This Row],[Part]],PartControl!$A$2:$E$564,2,FALSE)),0)</f>
        <v>106.94</v>
      </c>
    </row>
    <row r="478" spans="1:26" ht="25.15" hidden="1" customHeight="1" x14ac:dyDescent="0.25">
      <c r="A478" s="112">
        <v>46244.690833333334</v>
      </c>
      <c r="B478" s="5" t="s">
        <v>239</v>
      </c>
      <c r="C478" s="5" t="s">
        <v>687</v>
      </c>
      <c r="D478" s="5">
        <v>714451</v>
      </c>
      <c r="E478" s="33">
        <v>36</v>
      </c>
      <c r="F478" s="60">
        <v>280</v>
      </c>
      <c r="G478" s="60">
        <v>10080</v>
      </c>
      <c r="H478" s="60">
        <v>290</v>
      </c>
      <c r="I478" s="120" t="s">
        <v>278</v>
      </c>
      <c r="J478" s="121"/>
      <c r="K478" s="33" t="s">
        <v>278</v>
      </c>
      <c r="L478" s="122"/>
      <c r="M478" s="33" t="s">
        <v>278</v>
      </c>
      <c r="N478" s="122"/>
      <c r="O478" s="33" t="s">
        <v>278</v>
      </c>
      <c r="P478" s="122"/>
      <c r="Q478" s="33" t="s">
        <v>587</v>
      </c>
      <c r="R478" s="122"/>
      <c r="S478" s="33" t="s">
        <v>278</v>
      </c>
      <c r="T478" s="122"/>
      <c r="U478" s="33" t="s">
        <v>278</v>
      </c>
      <c r="V478" s="122"/>
      <c r="W478" s="123" t="s">
        <v>548</v>
      </c>
      <c r="X478" s="33" t="str">
        <f>+VLOOKUP(OtherClients[[#This Row],[Part]],PartControl!$A$2:$E$564,5,FALSE)</f>
        <v>infasco</v>
      </c>
      <c r="Y478" s="122">
        <v>106.94</v>
      </c>
      <c r="Z478" s="108">
        <f>IF(OtherClients[[#This Row],[Re-certified or New]]&lt;&gt;"Re-certified",IF(OtherClients[[#This Row],[Client]]="infasco",VLOOKUP(OtherClients[[#This Row],[Part]],PartControl!$A$2:$E$564,2,FALSE),OtherClients[[#This Row],[Total Quantity]]*VLOOKUP(OtherClients[[#This Row],[Part]],PartControl!$A$2:$E$564,2,FALSE)),0)</f>
        <v>106.94</v>
      </c>
    </row>
    <row r="479" spans="1:26" ht="25.15" hidden="1" customHeight="1" x14ac:dyDescent="0.25">
      <c r="A479" s="112">
        <v>46244.690833333334</v>
      </c>
      <c r="B479" s="5" t="s">
        <v>239</v>
      </c>
      <c r="C479" s="5" t="s">
        <v>687</v>
      </c>
      <c r="D479" s="5">
        <v>714452</v>
      </c>
      <c r="E479" s="33">
        <v>36</v>
      </c>
      <c r="F479" s="60">
        <v>280</v>
      </c>
      <c r="G479" s="60">
        <v>10080</v>
      </c>
      <c r="H479" s="60">
        <v>290</v>
      </c>
      <c r="I479" s="120" t="s">
        <v>278</v>
      </c>
      <c r="J479" s="121"/>
      <c r="K479" s="33" t="s">
        <v>278</v>
      </c>
      <c r="L479" s="122"/>
      <c r="M479" s="33" t="s">
        <v>278</v>
      </c>
      <c r="N479" s="122"/>
      <c r="O479" s="33" t="s">
        <v>278</v>
      </c>
      <c r="P479" s="122"/>
      <c r="Q479" s="33" t="s">
        <v>587</v>
      </c>
      <c r="R479" s="122"/>
      <c r="S479" s="33" t="s">
        <v>278</v>
      </c>
      <c r="T479" s="122"/>
      <c r="U479" s="33" t="s">
        <v>278</v>
      </c>
      <c r="V479" s="122"/>
      <c r="W479" s="123" t="s">
        <v>548</v>
      </c>
      <c r="X479" s="33" t="str">
        <f>+VLOOKUP(OtherClients[[#This Row],[Part]],PartControl!$A$2:$E$564,5,FALSE)</f>
        <v>infasco</v>
      </c>
      <c r="Y479" s="122">
        <v>106.94</v>
      </c>
      <c r="Z479" s="108">
        <f>IF(OtherClients[[#This Row],[Re-certified or New]]&lt;&gt;"Re-certified",IF(OtherClients[[#This Row],[Client]]="infasco",VLOOKUP(OtherClients[[#This Row],[Part]],PartControl!$A$2:$E$564,2,FALSE),OtherClients[[#This Row],[Total Quantity]]*VLOOKUP(OtherClients[[#This Row],[Part]],PartControl!$A$2:$E$564,2,FALSE)),0)</f>
        <v>106.94</v>
      </c>
    </row>
    <row r="480" spans="1:26" ht="25.15" hidden="1" customHeight="1" x14ac:dyDescent="0.25">
      <c r="A480" s="112">
        <v>46244.690833333334</v>
      </c>
      <c r="B480" s="5" t="s">
        <v>239</v>
      </c>
      <c r="C480" s="5" t="s">
        <v>687</v>
      </c>
      <c r="D480" s="5">
        <v>714445</v>
      </c>
      <c r="E480" s="33">
        <v>33</v>
      </c>
      <c r="F480" s="60">
        <v>280</v>
      </c>
      <c r="G480" s="60">
        <v>9240</v>
      </c>
      <c r="H480" s="60">
        <v>290</v>
      </c>
      <c r="I480" s="120" t="s">
        <v>278</v>
      </c>
      <c r="J480" s="121"/>
      <c r="K480" s="33" t="s">
        <v>278</v>
      </c>
      <c r="L480" s="122"/>
      <c r="M480" s="33" t="s">
        <v>278</v>
      </c>
      <c r="N480" s="122"/>
      <c r="O480" s="33" t="s">
        <v>278</v>
      </c>
      <c r="P480" s="122"/>
      <c r="Q480" s="33" t="s">
        <v>587</v>
      </c>
      <c r="R480" s="122"/>
      <c r="S480" s="33" t="s">
        <v>278</v>
      </c>
      <c r="T480" s="122"/>
      <c r="U480" s="33" t="s">
        <v>278</v>
      </c>
      <c r="V480" s="122"/>
      <c r="W480" s="123" t="s">
        <v>548</v>
      </c>
      <c r="X480" s="33" t="str">
        <f>+VLOOKUP(OtherClients[[#This Row],[Part]],PartControl!$A$2:$E$564,5,FALSE)</f>
        <v>infasco</v>
      </c>
      <c r="Y480" s="122">
        <v>106.94</v>
      </c>
      <c r="Z480" s="108">
        <f>IF(OtherClients[[#This Row],[Re-certified or New]]&lt;&gt;"Re-certified",IF(OtherClients[[#This Row],[Client]]="infasco",VLOOKUP(OtherClients[[#This Row],[Part]],PartControl!$A$2:$E$564,2,FALSE),OtherClients[[#This Row],[Total Quantity]]*VLOOKUP(OtherClients[[#This Row],[Part]],PartControl!$A$2:$E$564,2,FALSE)),0)</f>
        <v>106.94</v>
      </c>
    </row>
    <row r="481" spans="1:26" ht="25.15" hidden="1" customHeight="1" x14ac:dyDescent="0.25">
      <c r="A481" s="112">
        <v>46244.690833333334</v>
      </c>
      <c r="B481" s="5" t="s">
        <v>239</v>
      </c>
      <c r="C481" s="5">
        <v>11549170</v>
      </c>
      <c r="D481" s="5">
        <v>714390</v>
      </c>
      <c r="E481" s="33">
        <v>16</v>
      </c>
      <c r="F481" s="60">
        <v>400</v>
      </c>
      <c r="G481" s="60">
        <v>6400</v>
      </c>
      <c r="H481" s="60">
        <v>290</v>
      </c>
      <c r="I481" s="120" t="s">
        <v>278</v>
      </c>
      <c r="J481" s="121"/>
      <c r="K481" s="33" t="s">
        <v>278</v>
      </c>
      <c r="L481" s="122"/>
      <c r="M481" s="33" t="s">
        <v>278</v>
      </c>
      <c r="N481" s="122"/>
      <c r="O481" s="33" t="s">
        <v>278</v>
      </c>
      <c r="P481" s="122"/>
      <c r="Q481" s="33" t="s">
        <v>587</v>
      </c>
      <c r="R481" s="122"/>
      <c r="S481" s="33" t="s">
        <v>278</v>
      </c>
      <c r="T481" s="122"/>
      <c r="U481" s="33" t="s">
        <v>278</v>
      </c>
      <c r="V481" s="122"/>
      <c r="W481" s="123" t="s">
        <v>633</v>
      </c>
      <c r="X481" s="33" t="str">
        <f>+VLOOKUP(OtherClients[[#This Row],[Part]],PartControl!$A$2:$E$564,5,FALSE)</f>
        <v>INFASCO</v>
      </c>
      <c r="Y481" s="122">
        <v>106.94</v>
      </c>
      <c r="Z481" s="108">
        <f>IF(OtherClients[[#This Row],[Re-certified or New]]&lt;&gt;"Re-certified",IF(OtherClients[[#This Row],[Client]]="infasco",VLOOKUP(OtherClients[[#This Row],[Part]],PartControl!$A$2:$E$564,2,FALSE),OtherClients[[#This Row],[Total Quantity]]*VLOOKUP(OtherClients[[#This Row],[Part]],PartControl!$A$2:$E$564,2,FALSE)),0)</f>
        <v>0</v>
      </c>
    </row>
    <row r="482" spans="1:26" ht="25.15" hidden="1" customHeight="1" x14ac:dyDescent="0.25">
      <c r="A482" s="112">
        <v>46244.690833333334</v>
      </c>
      <c r="B482" s="5" t="s">
        <v>236</v>
      </c>
      <c r="C482" s="5">
        <v>11546545</v>
      </c>
      <c r="D482" s="5">
        <v>714670</v>
      </c>
      <c r="E482" s="33">
        <v>18</v>
      </c>
      <c r="F482" s="60">
        <v>2500</v>
      </c>
      <c r="G482" s="60">
        <v>45000</v>
      </c>
      <c r="H482" s="60">
        <v>290</v>
      </c>
      <c r="I482" s="120" t="s">
        <v>278</v>
      </c>
      <c r="J482" s="121"/>
      <c r="K482" s="33" t="s">
        <v>278</v>
      </c>
      <c r="L482" s="122"/>
      <c r="M482" s="33" t="s">
        <v>278</v>
      </c>
      <c r="N482" s="122"/>
      <c r="O482" s="33" t="s">
        <v>278</v>
      </c>
      <c r="P482" s="122"/>
      <c r="Q482" s="33" t="s">
        <v>587</v>
      </c>
      <c r="R482" s="122"/>
      <c r="S482" s="33" t="s">
        <v>278</v>
      </c>
      <c r="T482" s="122"/>
      <c r="U482" s="33" t="s">
        <v>278</v>
      </c>
      <c r="V482" s="122"/>
      <c r="W482" s="123" t="s">
        <v>548</v>
      </c>
      <c r="X482" s="33" t="str">
        <f>+VLOOKUP(OtherClients[[#This Row],[Part]],PartControl!$A$2:$E$564,5,FALSE)</f>
        <v>infasco</v>
      </c>
      <c r="Y482" s="122">
        <v>106.94</v>
      </c>
      <c r="Z482" s="108">
        <f>IF(OtherClients[[#This Row],[Re-certified or New]]&lt;&gt;"Re-certified",IF(OtherClients[[#This Row],[Client]]="infasco",VLOOKUP(OtherClients[[#This Row],[Part]],PartControl!$A$2:$E$564,2,FALSE),OtherClients[[#This Row],[Total Quantity]]*VLOOKUP(OtherClients[[#This Row],[Part]],PartControl!$A$2:$E$564,2,FALSE)),0)</f>
        <v>106.94</v>
      </c>
    </row>
    <row r="483" spans="1:26" ht="25.15" hidden="1" customHeight="1" x14ac:dyDescent="0.25">
      <c r="A483" s="112">
        <v>46244.690833333334</v>
      </c>
      <c r="B483" s="5" t="s">
        <v>236</v>
      </c>
      <c r="C483" s="5" t="s">
        <v>728</v>
      </c>
      <c r="D483" s="5">
        <v>716077</v>
      </c>
      <c r="E483" s="33">
        <v>25</v>
      </c>
      <c r="F483" s="60">
        <v>1500</v>
      </c>
      <c r="G483" s="60">
        <v>37500</v>
      </c>
      <c r="H483" s="60">
        <v>290</v>
      </c>
      <c r="I483" s="120" t="s">
        <v>278</v>
      </c>
      <c r="J483" s="121"/>
      <c r="K483" s="33" t="s">
        <v>278</v>
      </c>
      <c r="L483" s="122"/>
      <c r="M483" s="33" t="s">
        <v>278</v>
      </c>
      <c r="N483" s="122"/>
      <c r="O483" s="33" t="s">
        <v>278</v>
      </c>
      <c r="P483" s="122"/>
      <c r="Q483" s="33" t="s">
        <v>587</v>
      </c>
      <c r="R483" s="122"/>
      <c r="S483" s="33" t="s">
        <v>278</v>
      </c>
      <c r="T483" s="122"/>
      <c r="U483" s="33" t="s">
        <v>278</v>
      </c>
      <c r="V483" s="122"/>
      <c r="W483" s="123" t="s">
        <v>633</v>
      </c>
      <c r="X483" s="33" t="str">
        <f>+VLOOKUP(OtherClients[[#This Row],[Part]],PartControl!$A$2:$E$564,5,FALSE)</f>
        <v>infasco</v>
      </c>
      <c r="Y483" s="122">
        <v>106.94</v>
      </c>
      <c r="Z483" s="108">
        <f>IF(OtherClients[[#This Row],[Re-certified or New]]&lt;&gt;"Re-certified",IF(OtherClients[[#This Row],[Client]]="infasco",VLOOKUP(OtherClients[[#This Row],[Part]],PartControl!$A$2:$E$564,2,FALSE),OtherClients[[#This Row],[Total Quantity]]*VLOOKUP(OtherClients[[#This Row],[Part]],PartControl!$A$2:$E$564,2,FALSE)),0)</f>
        <v>0</v>
      </c>
    </row>
    <row r="484" spans="1:26" ht="25.15" hidden="1" customHeight="1" x14ac:dyDescent="0.25">
      <c r="A484" s="112">
        <v>46244.690833333334</v>
      </c>
      <c r="B484" s="5" t="s">
        <v>243</v>
      </c>
      <c r="C484" s="5" t="s">
        <v>876</v>
      </c>
      <c r="D484" s="5">
        <v>714590</v>
      </c>
      <c r="E484" s="33">
        <v>16</v>
      </c>
      <c r="F484" s="60">
        <v>3000</v>
      </c>
      <c r="G484" s="60">
        <v>48000</v>
      </c>
      <c r="H484" s="60">
        <v>292</v>
      </c>
      <c r="I484" s="120" t="s">
        <v>278</v>
      </c>
      <c r="J484" s="121"/>
      <c r="K484" s="33" t="s">
        <v>278</v>
      </c>
      <c r="L484" s="122"/>
      <c r="M484" s="33" t="s">
        <v>278</v>
      </c>
      <c r="N484" s="122"/>
      <c r="O484" s="33" t="s">
        <v>278</v>
      </c>
      <c r="P484" s="122"/>
      <c r="Q484" s="33" t="s">
        <v>587</v>
      </c>
      <c r="R484" s="122"/>
      <c r="S484" s="33" t="s">
        <v>278</v>
      </c>
      <c r="T484" s="122"/>
      <c r="U484" s="33" t="s">
        <v>278</v>
      </c>
      <c r="V484" s="122"/>
      <c r="W484" s="123" t="s">
        <v>548</v>
      </c>
      <c r="X484" s="33" t="str">
        <f>+VLOOKUP(OtherClients[[#This Row],[Part]],PartControl!$A$2:$E$564,5,FALSE)</f>
        <v>infasco</v>
      </c>
      <c r="Y484" s="122" t="s">
        <v>587</v>
      </c>
      <c r="Z484" s="108">
        <f>IF(OtherClients[[#This Row],[Re-certified or New]]&lt;&gt;"Re-certified",IF(OtherClients[[#This Row],[Client]]="infasco",VLOOKUP(OtherClients[[#This Row],[Part]],PartControl!$A$2:$E$564,2,FALSE),OtherClients[[#This Row],[Total Quantity]]*VLOOKUP(OtherClients[[#This Row],[Part]],PartControl!$A$2:$E$564,2,FALSE)),0)</f>
        <v>106.94</v>
      </c>
    </row>
    <row r="485" spans="1:26" ht="25.15" hidden="1" customHeight="1" x14ac:dyDescent="0.25">
      <c r="A485" s="112">
        <v>46244.690833333334</v>
      </c>
      <c r="B485" s="5" t="s">
        <v>245</v>
      </c>
      <c r="C485" s="5">
        <v>11546377</v>
      </c>
      <c r="D485" s="5">
        <v>715737</v>
      </c>
      <c r="E485" s="33">
        <v>5</v>
      </c>
      <c r="F485" s="60">
        <v>2150</v>
      </c>
      <c r="G485" s="60">
        <v>10750</v>
      </c>
      <c r="H485" s="60">
        <v>292</v>
      </c>
      <c r="I485" s="120" t="s">
        <v>278</v>
      </c>
      <c r="J485" s="121"/>
      <c r="K485" s="33" t="s">
        <v>278</v>
      </c>
      <c r="L485" s="122"/>
      <c r="M485" s="33" t="s">
        <v>278</v>
      </c>
      <c r="N485" s="122"/>
      <c r="O485" s="33" t="s">
        <v>278</v>
      </c>
      <c r="P485" s="122"/>
      <c r="Q485" s="33" t="s">
        <v>587</v>
      </c>
      <c r="R485" s="122"/>
      <c r="S485" s="33" t="s">
        <v>278</v>
      </c>
      <c r="T485" s="122"/>
      <c r="U485" s="33" t="s">
        <v>278</v>
      </c>
      <c r="V485" s="122"/>
      <c r="W485" s="123" t="s">
        <v>548</v>
      </c>
      <c r="X485" s="33" t="str">
        <f>+VLOOKUP(OtherClients[[#This Row],[Part]],PartControl!$A$2:$E$564,5,FALSE)</f>
        <v>INFASCO</v>
      </c>
      <c r="Y485" s="122">
        <v>106.94</v>
      </c>
      <c r="Z485" s="108">
        <f>IF(OtherClients[[#This Row],[Re-certified or New]]&lt;&gt;"Re-certified",IF(OtherClients[[#This Row],[Client]]="infasco",VLOOKUP(OtherClients[[#This Row],[Part]],PartControl!$A$2:$E$564,2,FALSE),OtherClients[[#This Row],[Total Quantity]]*VLOOKUP(OtherClients[[#This Row],[Part]],PartControl!$A$2:$E$564,2,FALSE)),0)</f>
        <v>106.94</v>
      </c>
    </row>
    <row r="486" spans="1:26" ht="25.15" hidden="1" customHeight="1" x14ac:dyDescent="0.25">
      <c r="A486" s="112">
        <v>46244.690833333334</v>
      </c>
      <c r="B486" s="5" t="s">
        <v>245</v>
      </c>
      <c r="C486" s="5" t="s">
        <v>728</v>
      </c>
      <c r="D486" s="5">
        <v>716078</v>
      </c>
      <c r="E486" s="33">
        <v>30</v>
      </c>
      <c r="F486" s="60">
        <v>1500</v>
      </c>
      <c r="G486" s="60">
        <v>45000</v>
      </c>
      <c r="H486" s="60">
        <v>292</v>
      </c>
      <c r="I486" s="120" t="s">
        <v>278</v>
      </c>
      <c r="J486" s="121"/>
      <c r="K486" s="33" t="s">
        <v>278</v>
      </c>
      <c r="L486" s="122"/>
      <c r="M486" s="33" t="s">
        <v>278</v>
      </c>
      <c r="N486" s="122"/>
      <c r="O486" s="33" t="s">
        <v>278</v>
      </c>
      <c r="P486" s="122"/>
      <c r="Q486" s="33" t="s">
        <v>587</v>
      </c>
      <c r="R486" s="122"/>
      <c r="S486" s="33" t="s">
        <v>278</v>
      </c>
      <c r="T486" s="122"/>
      <c r="U486" s="33" t="s">
        <v>278</v>
      </c>
      <c r="V486" s="122"/>
      <c r="W486" s="123" t="s">
        <v>633</v>
      </c>
      <c r="X486" s="33" t="str">
        <f>+VLOOKUP(OtherClients[[#This Row],[Part]],PartControl!$A$2:$E$564,5,FALSE)</f>
        <v>infasco</v>
      </c>
      <c r="Y486" s="122">
        <v>106.94</v>
      </c>
      <c r="Z486" s="108">
        <f>IF(OtherClients[[#This Row],[Re-certified or New]]&lt;&gt;"Re-certified",IF(OtherClients[[#This Row],[Client]]="infasco",VLOOKUP(OtherClients[[#This Row],[Part]],PartControl!$A$2:$E$564,2,FALSE),OtherClients[[#This Row],[Total Quantity]]*VLOOKUP(OtherClients[[#This Row],[Part]],PartControl!$A$2:$E$564,2,FALSE)),0)</f>
        <v>0</v>
      </c>
    </row>
    <row r="487" spans="1:26" ht="25.15" hidden="1" customHeight="1" x14ac:dyDescent="0.25">
      <c r="A487" s="112">
        <v>46244.690833333334</v>
      </c>
      <c r="B487" s="5" t="s">
        <v>251</v>
      </c>
      <c r="C487" s="5" t="s">
        <v>647</v>
      </c>
      <c r="D487" s="5">
        <v>713989</v>
      </c>
      <c r="E487" s="33">
        <v>2</v>
      </c>
      <c r="F487" s="60">
        <v>750</v>
      </c>
      <c r="G487" s="60">
        <v>1500</v>
      </c>
      <c r="H487" s="60">
        <v>292</v>
      </c>
      <c r="I487" s="120" t="s">
        <v>278</v>
      </c>
      <c r="J487" s="121"/>
      <c r="K487" s="33" t="s">
        <v>278</v>
      </c>
      <c r="L487" s="122"/>
      <c r="M487" s="33" t="s">
        <v>278</v>
      </c>
      <c r="N487" s="122"/>
      <c r="O487" s="33" t="s">
        <v>278</v>
      </c>
      <c r="P487" s="122"/>
      <c r="Q487" s="33" t="s">
        <v>587</v>
      </c>
      <c r="R487" s="122"/>
      <c r="S487" s="33" t="s">
        <v>278</v>
      </c>
      <c r="T487" s="122"/>
      <c r="U487" s="33" t="s">
        <v>278</v>
      </c>
      <c r="V487" s="122"/>
      <c r="W487" s="123" t="s">
        <v>548</v>
      </c>
      <c r="X487" s="33" t="str">
        <f>+VLOOKUP(OtherClients[[#This Row],[Part]],PartControl!$A$2:$E$564,5,FALSE)</f>
        <v>infasco</v>
      </c>
      <c r="Y487" s="122">
        <v>106.94</v>
      </c>
      <c r="Z487" s="108">
        <f>IF(OtherClients[[#This Row],[Re-certified or New]]&lt;&gt;"Re-certified",IF(OtherClients[[#This Row],[Client]]="infasco",VLOOKUP(OtherClients[[#This Row],[Part]],PartControl!$A$2:$E$564,2,FALSE),OtherClients[[#This Row],[Total Quantity]]*VLOOKUP(OtherClients[[#This Row],[Part]],PartControl!$A$2:$E$564,2,FALSE)),0)</f>
        <v>106.94</v>
      </c>
    </row>
    <row r="488" spans="1:26" ht="25.15" hidden="1" customHeight="1" x14ac:dyDescent="0.25">
      <c r="A488" s="112">
        <v>46244.690833333334</v>
      </c>
      <c r="B488" s="5" t="s">
        <v>251</v>
      </c>
      <c r="C488" s="5" t="s">
        <v>647</v>
      </c>
      <c r="D488" s="5">
        <v>713988</v>
      </c>
      <c r="E488" s="33">
        <v>16</v>
      </c>
      <c r="F488" s="60">
        <v>750</v>
      </c>
      <c r="G488" s="60">
        <v>12000</v>
      </c>
      <c r="H488" s="60">
        <v>292</v>
      </c>
      <c r="I488" s="120" t="s">
        <v>278</v>
      </c>
      <c r="J488" s="121"/>
      <c r="K488" s="33" t="s">
        <v>278</v>
      </c>
      <c r="L488" s="122"/>
      <c r="M488" s="33" t="s">
        <v>278</v>
      </c>
      <c r="N488" s="122"/>
      <c r="O488" s="33" t="s">
        <v>278</v>
      </c>
      <c r="P488" s="122"/>
      <c r="Q488" s="33" t="s">
        <v>587</v>
      </c>
      <c r="R488" s="122"/>
      <c r="S488" s="33" t="s">
        <v>278</v>
      </c>
      <c r="T488" s="122"/>
      <c r="U488" s="33" t="s">
        <v>278</v>
      </c>
      <c r="V488" s="122"/>
      <c r="W488" s="123" t="s">
        <v>548</v>
      </c>
      <c r="X488" s="33" t="str">
        <f>+VLOOKUP(OtherClients[[#This Row],[Part]],PartControl!$A$2:$E$564,5,FALSE)</f>
        <v>infasco</v>
      </c>
      <c r="Y488" s="122">
        <v>106.94</v>
      </c>
      <c r="Z488" s="108">
        <f>IF(OtherClients[[#This Row],[Re-certified or New]]&lt;&gt;"Re-certified",IF(OtherClients[[#This Row],[Client]]="infasco",VLOOKUP(OtherClients[[#This Row],[Part]],PartControl!$A$2:$E$564,2,FALSE),OtherClients[[#This Row],[Total Quantity]]*VLOOKUP(OtherClients[[#This Row],[Part]],PartControl!$A$2:$E$564,2,FALSE)),0)</f>
        <v>106.94</v>
      </c>
    </row>
    <row r="489" spans="1:26" ht="25.15" hidden="1" customHeight="1" x14ac:dyDescent="0.25">
      <c r="A489" s="112">
        <v>46244.690833333334</v>
      </c>
      <c r="B489" s="5" t="s">
        <v>251</v>
      </c>
      <c r="C489" s="5">
        <v>11546462</v>
      </c>
      <c r="D489" s="5">
        <v>716184</v>
      </c>
      <c r="E489" s="33">
        <v>32</v>
      </c>
      <c r="F489" s="60">
        <v>650</v>
      </c>
      <c r="G489" s="60">
        <v>20800</v>
      </c>
      <c r="H489" s="60">
        <v>292</v>
      </c>
      <c r="I489" s="120" t="s">
        <v>278</v>
      </c>
      <c r="J489" s="121"/>
      <c r="K489" s="33" t="s">
        <v>278</v>
      </c>
      <c r="L489" s="122"/>
      <c r="M489" s="33" t="s">
        <v>278</v>
      </c>
      <c r="N489" s="122"/>
      <c r="O489" s="33" t="s">
        <v>278</v>
      </c>
      <c r="P489" s="122"/>
      <c r="Q489" s="33" t="s">
        <v>587</v>
      </c>
      <c r="R489" s="122"/>
      <c r="S489" s="33" t="s">
        <v>278</v>
      </c>
      <c r="T489" s="122"/>
      <c r="U489" s="33" t="s">
        <v>278</v>
      </c>
      <c r="V489" s="122"/>
      <c r="W489" s="123" t="s">
        <v>633</v>
      </c>
      <c r="X489" s="33" t="str">
        <f>+VLOOKUP(OtherClients[[#This Row],[Part]],PartControl!$A$2:$E$564,5,FALSE)</f>
        <v>INFASCO</v>
      </c>
      <c r="Y489" s="122">
        <v>106.94</v>
      </c>
      <c r="Z489" s="108">
        <f>IF(OtherClients[[#This Row],[Re-certified or New]]&lt;&gt;"Re-certified",IF(OtherClients[[#This Row],[Client]]="infasco",VLOOKUP(OtherClients[[#This Row],[Part]],PartControl!$A$2:$E$564,2,FALSE),OtherClients[[#This Row],[Total Quantity]]*VLOOKUP(OtherClients[[#This Row],[Part]],PartControl!$A$2:$E$564,2,FALSE)),0)</f>
        <v>0</v>
      </c>
    </row>
    <row r="490" spans="1:26" ht="25.15" hidden="1" customHeight="1" x14ac:dyDescent="0.25">
      <c r="A490" s="112">
        <v>46244.690833333334</v>
      </c>
      <c r="B490" s="5" t="s">
        <v>244</v>
      </c>
      <c r="C490" s="5">
        <v>11546377</v>
      </c>
      <c r="D490" s="5">
        <v>715738</v>
      </c>
      <c r="E490" s="33">
        <v>14</v>
      </c>
      <c r="F490" s="60">
        <v>2150</v>
      </c>
      <c r="G490" s="60">
        <v>30100</v>
      </c>
      <c r="H490" s="60">
        <v>292</v>
      </c>
      <c r="I490" s="120" t="s">
        <v>278</v>
      </c>
      <c r="J490" s="121"/>
      <c r="K490" s="33" t="s">
        <v>278</v>
      </c>
      <c r="L490" s="122"/>
      <c r="M490" s="33" t="s">
        <v>278</v>
      </c>
      <c r="N490" s="122"/>
      <c r="O490" s="33" t="s">
        <v>278</v>
      </c>
      <c r="P490" s="122"/>
      <c r="Q490" s="33" t="s">
        <v>587</v>
      </c>
      <c r="R490" s="122"/>
      <c r="S490" s="33" t="s">
        <v>278</v>
      </c>
      <c r="T490" s="122"/>
      <c r="U490" s="33" t="s">
        <v>278</v>
      </c>
      <c r="V490" s="122"/>
      <c r="W490" s="123" t="s">
        <v>548</v>
      </c>
      <c r="X490" s="33" t="str">
        <f>+VLOOKUP(OtherClients[[#This Row],[Part]],PartControl!$A$2:$E$564,5,FALSE)</f>
        <v>INFASCO</v>
      </c>
      <c r="Y490" s="122">
        <v>106.94</v>
      </c>
      <c r="Z490" s="108">
        <f>IF(OtherClients[[#This Row],[Re-certified or New]]&lt;&gt;"Re-certified",IF(OtherClients[[#This Row],[Client]]="infasco",VLOOKUP(OtherClients[[#This Row],[Part]],PartControl!$A$2:$E$564,2,FALSE),OtherClients[[#This Row],[Total Quantity]]*VLOOKUP(OtherClients[[#This Row],[Part]],PartControl!$A$2:$E$564,2,FALSE)),0)</f>
        <v>106.94</v>
      </c>
    </row>
    <row r="491" spans="1:26" ht="25.15" hidden="1" customHeight="1" x14ac:dyDescent="0.25">
      <c r="A491" s="112">
        <v>46244.690833333334</v>
      </c>
      <c r="B491" s="5" t="s">
        <v>244</v>
      </c>
      <c r="C491" s="5">
        <v>11546377</v>
      </c>
      <c r="D491" s="5">
        <v>715739</v>
      </c>
      <c r="E491" s="33">
        <v>12</v>
      </c>
      <c r="F491" s="60">
        <v>2150</v>
      </c>
      <c r="G491" s="60">
        <v>25800</v>
      </c>
      <c r="H491" s="60">
        <v>292</v>
      </c>
      <c r="I491" s="120" t="s">
        <v>278</v>
      </c>
      <c r="J491" s="121"/>
      <c r="K491" s="33" t="s">
        <v>278</v>
      </c>
      <c r="L491" s="122"/>
      <c r="M491" s="33" t="s">
        <v>278</v>
      </c>
      <c r="N491" s="122"/>
      <c r="O491" s="33" t="s">
        <v>278</v>
      </c>
      <c r="P491" s="122"/>
      <c r="Q491" s="33" t="s">
        <v>587</v>
      </c>
      <c r="R491" s="122"/>
      <c r="S491" s="33" t="s">
        <v>278</v>
      </c>
      <c r="T491" s="122"/>
      <c r="U491" s="33" t="s">
        <v>278</v>
      </c>
      <c r="V491" s="122"/>
      <c r="W491" s="123" t="s">
        <v>633</v>
      </c>
      <c r="X491" s="33" t="str">
        <f>+VLOOKUP(OtherClients[[#This Row],[Part]],PartControl!$A$2:$E$564,5,FALSE)</f>
        <v>INFASCO</v>
      </c>
      <c r="Y491" s="122">
        <v>106.94</v>
      </c>
      <c r="Z491" s="108">
        <f>IF(OtherClients[[#This Row],[Re-certified or New]]&lt;&gt;"Re-certified",IF(OtherClients[[#This Row],[Client]]="infasco",VLOOKUP(OtherClients[[#This Row],[Part]],PartControl!$A$2:$E$564,2,FALSE),OtherClients[[#This Row],[Total Quantity]]*VLOOKUP(OtherClients[[#This Row],[Part]],PartControl!$A$2:$E$564,2,FALSE)),0)</f>
        <v>0</v>
      </c>
    </row>
    <row r="492" spans="1:26" ht="25.15" hidden="1" customHeight="1" x14ac:dyDescent="0.25">
      <c r="A492" s="112">
        <v>46244.690833333334</v>
      </c>
      <c r="B492" s="5" t="s">
        <v>624</v>
      </c>
      <c r="C492" s="5" t="s">
        <v>687</v>
      </c>
      <c r="D492" s="5">
        <v>714444</v>
      </c>
      <c r="E492" s="33">
        <v>31</v>
      </c>
      <c r="F492" s="60">
        <v>280</v>
      </c>
      <c r="G492" s="60">
        <v>8680</v>
      </c>
      <c r="H492" s="60">
        <v>292</v>
      </c>
      <c r="I492" s="120" t="s">
        <v>278</v>
      </c>
      <c r="J492" s="121"/>
      <c r="K492" s="33" t="s">
        <v>278</v>
      </c>
      <c r="L492" s="122"/>
      <c r="M492" s="33" t="s">
        <v>278</v>
      </c>
      <c r="N492" s="122"/>
      <c r="O492" s="33" t="s">
        <v>278</v>
      </c>
      <c r="P492" s="122"/>
      <c r="Q492" s="33" t="s">
        <v>587</v>
      </c>
      <c r="R492" s="122"/>
      <c r="S492" s="33" t="s">
        <v>278</v>
      </c>
      <c r="T492" s="122"/>
      <c r="U492" s="33" t="s">
        <v>278</v>
      </c>
      <c r="V492" s="122"/>
      <c r="W492" s="123" t="s">
        <v>548</v>
      </c>
      <c r="X492" s="33" t="str">
        <f>+VLOOKUP(OtherClients[[#This Row],[Part]],PartControl!$A$2:$E$564,5,FALSE)</f>
        <v>infasco</v>
      </c>
      <c r="Y492" s="122">
        <v>106.94</v>
      </c>
      <c r="Z492" s="108">
        <f>IF(OtherClients[[#This Row],[Re-certified or New]]&lt;&gt;"Re-certified",IF(OtherClients[[#This Row],[Client]]="infasco",VLOOKUP(OtherClients[[#This Row],[Part]],PartControl!$A$2:$E$564,2,FALSE),OtherClients[[#This Row],[Total Quantity]]*VLOOKUP(OtherClients[[#This Row],[Part]],PartControl!$A$2:$E$564,2,FALSE)),0)</f>
        <v>106.94</v>
      </c>
    </row>
    <row r="493" spans="1:26" ht="25.15" hidden="1" customHeight="1" x14ac:dyDescent="0.25">
      <c r="A493" s="112">
        <v>46244.690833333334</v>
      </c>
      <c r="B493" s="5" t="s">
        <v>624</v>
      </c>
      <c r="C493" s="5" t="s">
        <v>687</v>
      </c>
      <c r="D493" s="5">
        <v>714450</v>
      </c>
      <c r="E493" s="33">
        <v>36</v>
      </c>
      <c r="F493" s="60">
        <v>280</v>
      </c>
      <c r="G493" s="60">
        <v>10080</v>
      </c>
      <c r="H493" s="60">
        <v>292</v>
      </c>
      <c r="I493" s="120" t="s">
        <v>278</v>
      </c>
      <c r="J493" s="121"/>
      <c r="K493" s="33" t="s">
        <v>278</v>
      </c>
      <c r="L493" s="122"/>
      <c r="M493" s="33" t="s">
        <v>278</v>
      </c>
      <c r="N493" s="122"/>
      <c r="O493" s="33" t="s">
        <v>278</v>
      </c>
      <c r="P493" s="122"/>
      <c r="Q493" s="33" t="s">
        <v>587</v>
      </c>
      <c r="R493" s="122"/>
      <c r="S493" s="33" t="s">
        <v>278</v>
      </c>
      <c r="T493" s="122"/>
      <c r="U493" s="33" t="s">
        <v>278</v>
      </c>
      <c r="V493" s="122"/>
      <c r="W493" s="123" t="s">
        <v>548</v>
      </c>
      <c r="X493" s="33" t="str">
        <f>+VLOOKUP(OtherClients[[#This Row],[Part]],PartControl!$A$2:$E$564,5,FALSE)</f>
        <v>infasco</v>
      </c>
      <c r="Y493" s="122">
        <v>106.94</v>
      </c>
      <c r="Z493" s="108">
        <f>IF(OtherClients[[#This Row],[Re-certified or New]]&lt;&gt;"Re-certified",IF(OtherClients[[#This Row],[Client]]="infasco",VLOOKUP(OtherClients[[#This Row],[Part]],PartControl!$A$2:$E$564,2,FALSE),OtherClients[[#This Row],[Total Quantity]]*VLOOKUP(OtherClients[[#This Row],[Part]],PartControl!$A$2:$E$564,2,FALSE)),0)</f>
        <v>106.94</v>
      </c>
    </row>
    <row r="494" spans="1:26" ht="25.15" hidden="1" customHeight="1" x14ac:dyDescent="0.25">
      <c r="A494" s="112">
        <v>46244.690833333334</v>
      </c>
      <c r="B494" s="5" t="s">
        <v>624</v>
      </c>
      <c r="C494" s="5" t="s">
        <v>687</v>
      </c>
      <c r="D494" s="5">
        <v>714450</v>
      </c>
      <c r="E494" s="33">
        <v>36</v>
      </c>
      <c r="F494" s="60">
        <v>280</v>
      </c>
      <c r="G494" s="60">
        <v>10080</v>
      </c>
      <c r="H494" s="60">
        <v>292</v>
      </c>
      <c r="I494" s="120" t="s">
        <v>278</v>
      </c>
      <c r="J494" s="121"/>
      <c r="K494" s="33" t="s">
        <v>278</v>
      </c>
      <c r="L494" s="122"/>
      <c r="M494" s="33" t="s">
        <v>278</v>
      </c>
      <c r="N494" s="122"/>
      <c r="O494" s="33" t="s">
        <v>278</v>
      </c>
      <c r="P494" s="122"/>
      <c r="Q494" s="33" t="s">
        <v>587</v>
      </c>
      <c r="R494" s="122"/>
      <c r="S494" s="33" t="s">
        <v>278</v>
      </c>
      <c r="T494" s="122"/>
      <c r="U494" s="33" t="s">
        <v>278</v>
      </c>
      <c r="V494" s="122"/>
      <c r="W494" s="123" t="s">
        <v>548</v>
      </c>
      <c r="X494" s="33" t="str">
        <f>+VLOOKUP(OtherClients[[#This Row],[Part]],PartControl!$A$2:$E$564,5,FALSE)</f>
        <v>infasco</v>
      </c>
      <c r="Y494" s="122">
        <v>106.94</v>
      </c>
      <c r="Z494" s="108">
        <f>IF(OtherClients[[#This Row],[Re-certified or New]]&lt;&gt;"Re-certified",IF(OtherClients[[#This Row],[Client]]="infasco",VLOOKUP(OtherClients[[#This Row],[Part]],PartControl!$A$2:$E$564,2,FALSE),OtherClients[[#This Row],[Total Quantity]]*VLOOKUP(OtherClients[[#This Row],[Part]],PartControl!$A$2:$E$564,2,FALSE)),0)</f>
        <v>106.94</v>
      </c>
    </row>
    <row r="495" spans="1:26" ht="25.15" hidden="1" customHeight="1" x14ac:dyDescent="0.25">
      <c r="A495" s="112">
        <v>46244.690833333334</v>
      </c>
      <c r="B495" s="5" t="s">
        <v>624</v>
      </c>
      <c r="C495" s="5" t="s">
        <v>687</v>
      </c>
      <c r="D495" s="5">
        <v>714453</v>
      </c>
      <c r="E495" s="33">
        <v>24</v>
      </c>
      <c r="F495" s="60">
        <v>280</v>
      </c>
      <c r="G495" s="60">
        <v>6720</v>
      </c>
      <c r="H495" s="60">
        <v>292</v>
      </c>
      <c r="I495" s="120" t="s">
        <v>278</v>
      </c>
      <c r="J495" s="121"/>
      <c r="K495" s="33" t="s">
        <v>278</v>
      </c>
      <c r="L495" s="122"/>
      <c r="M495" s="33" t="s">
        <v>278</v>
      </c>
      <c r="N495" s="122"/>
      <c r="O495" s="33" t="s">
        <v>278</v>
      </c>
      <c r="P495" s="122"/>
      <c r="Q495" s="33" t="s">
        <v>587</v>
      </c>
      <c r="R495" s="122"/>
      <c r="S495" s="33" t="s">
        <v>278</v>
      </c>
      <c r="T495" s="122"/>
      <c r="U495" s="33" t="s">
        <v>278</v>
      </c>
      <c r="V495" s="122"/>
      <c r="W495" s="123" t="s">
        <v>548</v>
      </c>
      <c r="X495" s="33" t="str">
        <f>+VLOOKUP(OtherClients[[#This Row],[Part]],PartControl!$A$2:$E$564,5,FALSE)</f>
        <v>infasco</v>
      </c>
      <c r="Y495" s="122">
        <v>106.94</v>
      </c>
      <c r="Z495" s="108">
        <f>IF(OtherClients[[#This Row],[Re-certified or New]]&lt;&gt;"Re-certified",IF(OtherClients[[#This Row],[Client]]="infasco",VLOOKUP(OtherClients[[#This Row],[Part]],PartControl!$A$2:$E$564,2,FALSE),OtherClients[[#This Row],[Total Quantity]]*VLOOKUP(OtherClients[[#This Row],[Part]],PartControl!$A$2:$E$564,2,FALSE)),0)</f>
        <v>106.94</v>
      </c>
    </row>
    <row r="496" spans="1:26" ht="25.15" hidden="1" customHeight="1" x14ac:dyDescent="0.25">
      <c r="A496" s="112">
        <v>46244.690833333334</v>
      </c>
      <c r="B496" s="5" t="s">
        <v>624</v>
      </c>
      <c r="C496" s="5" t="s">
        <v>687</v>
      </c>
      <c r="D496" s="5">
        <v>714375</v>
      </c>
      <c r="E496" s="33">
        <v>36</v>
      </c>
      <c r="F496" s="60">
        <v>280</v>
      </c>
      <c r="G496" s="60">
        <v>10080</v>
      </c>
      <c r="H496" s="60">
        <v>292</v>
      </c>
      <c r="I496" s="120" t="s">
        <v>278</v>
      </c>
      <c r="J496" s="121"/>
      <c r="K496" s="33" t="s">
        <v>278</v>
      </c>
      <c r="L496" s="122"/>
      <c r="M496" s="33" t="s">
        <v>278</v>
      </c>
      <c r="N496" s="122"/>
      <c r="O496" s="33" t="s">
        <v>278</v>
      </c>
      <c r="P496" s="122"/>
      <c r="Q496" s="33" t="s">
        <v>587</v>
      </c>
      <c r="R496" s="122"/>
      <c r="S496" s="33" t="s">
        <v>278</v>
      </c>
      <c r="T496" s="122"/>
      <c r="U496" s="33" t="s">
        <v>278</v>
      </c>
      <c r="V496" s="122"/>
      <c r="W496" s="123" t="s">
        <v>548</v>
      </c>
      <c r="X496" s="33" t="str">
        <f>+VLOOKUP(OtherClients[[#This Row],[Part]],PartControl!$A$2:$E$564,5,FALSE)</f>
        <v>infasco</v>
      </c>
      <c r="Y496" s="122">
        <v>106.94</v>
      </c>
      <c r="Z496" s="108">
        <f>IF(OtherClients[[#This Row],[Re-certified or New]]&lt;&gt;"Re-certified",IF(OtherClients[[#This Row],[Client]]="infasco",VLOOKUP(OtherClients[[#This Row],[Part]],PartControl!$A$2:$E$564,2,FALSE),OtherClients[[#This Row],[Total Quantity]]*VLOOKUP(OtherClients[[#This Row],[Part]],PartControl!$A$2:$E$564,2,FALSE)),0)</f>
        <v>106.94</v>
      </c>
    </row>
    <row r="497" spans="1:26" ht="25.15" hidden="1" customHeight="1" x14ac:dyDescent="0.25">
      <c r="A497" s="112">
        <v>46244.690833333334</v>
      </c>
      <c r="B497" s="5" t="s">
        <v>623</v>
      </c>
      <c r="C497" s="5" t="s">
        <v>689</v>
      </c>
      <c r="D497" s="5">
        <v>715600</v>
      </c>
      <c r="E497" s="33">
        <v>36</v>
      </c>
      <c r="F497" s="60">
        <v>300</v>
      </c>
      <c r="G497" s="60">
        <v>10800</v>
      </c>
      <c r="H497" s="60">
        <v>292</v>
      </c>
      <c r="I497" s="120" t="s">
        <v>278</v>
      </c>
      <c r="J497" s="121"/>
      <c r="K497" s="33" t="s">
        <v>278</v>
      </c>
      <c r="L497" s="122"/>
      <c r="M497" s="33" t="s">
        <v>278</v>
      </c>
      <c r="N497" s="122"/>
      <c r="O497" s="33" t="s">
        <v>278</v>
      </c>
      <c r="P497" s="122"/>
      <c r="Q497" s="33" t="s">
        <v>587</v>
      </c>
      <c r="R497" s="122"/>
      <c r="S497" s="33" t="s">
        <v>278</v>
      </c>
      <c r="T497" s="122"/>
      <c r="U497" s="33" t="s">
        <v>278</v>
      </c>
      <c r="V497" s="122"/>
      <c r="W497" s="123" t="s">
        <v>548</v>
      </c>
      <c r="X497" s="33" t="str">
        <f>+VLOOKUP(OtherClients[[#This Row],[Part]],PartControl!$A$2:$E$564,5,FALSE)</f>
        <v>infasco</v>
      </c>
      <c r="Y497" s="122" t="s">
        <v>587</v>
      </c>
      <c r="Z497" s="108">
        <f>IF(OtherClients[[#This Row],[Re-certified or New]]&lt;&gt;"Re-certified",IF(OtherClients[[#This Row],[Client]]="infasco",VLOOKUP(OtherClients[[#This Row],[Part]],PartControl!$A$2:$E$564,2,FALSE),OtherClients[[#This Row],[Total Quantity]]*VLOOKUP(OtherClients[[#This Row],[Part]],PartControl!$A$2:$E$564,2,FALSE)),0)</f>
        <v>106.94</v>
      </c>
    </row>
    <row r="498" spans="1:26" ht="25.15" hidden="1" customHeight="1" x14ac:dyDescent="0.25">
      <c r="A498" s="112">
        <v>46244.690833333334</v>
      </c>
      <c r="B498" s="5" t="s">
        <v>623</v>
      </c>
      <c r="C498" s="5" t="s">
        <v>689</v>
      </c>
      <c r="D498" s="5">
        <v>715601</v>
      </c>
      <c r="E498" s="33">
        <v>36</v>
      </c>
      <c r="F498" s="60">
        <v>300</v>
      </c>
      <c r="G498" s="60">
        <v>10800</v>
      </c>
      <c r="H498" s="60">
        <v>292</v>
      </c>
      <c r="I498" s="120" t="s">
        <v>278</v>
      </c>
      <c r="J498" s="121"/>
      <c r="K498" s="33" t="s">
        <v>278</v>
      </c>
      <c r="L498" s="122"/>
      <c r="M498" s="33" t="s">
        <v>278</v>
      </c>
      <c r="N498" s="122"/>
      <c r="O498" s="33" t="s">
        <v>278</v>
      </c>
      <c r="P498" s="122"/>
      <c r="Q498" s="33" t="s">
        <v>587</v>
      </c>
      <c r="R498" s="122"/>
      <c r="S498" s="33" t="s">
        <v>278</v>
      </c>
      <c r="T498" s="122"/>
      <c r="U498" s="33" t="s">
        <v>278</v>
      </c>
      <c r="V498" s="122"/>
      <c r="W498" s="123" t="s">
        <v>548</v>
      </c>
      <c r="X498" s="33" t="str">
        <f>+VLOOKUP(OtherClients[[#This Row],[Part]],PartControl!$A$2:$E$564,5,FALSE)</f>
        <v>infasco</v>
      </c>
      <c r="Y498" s="122" t="s">
        <v>587</v>
      </c>
      <c r="Z498" s="108">
        <f>IF(OtherClients[[#This Row],[Re-certified or New]]&lt;&gt;"Re-certified",IF(OtherClients[[#This Row],[Client]]="infasco",VLOOKUP(OtherClients[[#This Row],[Part]],PartControl!$A$2:$E$564,2,FALSE),OtherClients[[#This Row],[Total Quantity]]*VLOOKUP(OtherClients[[#This Row],[Part]],PartControl!$A$2:$E$564,2,FALSE)),0)</f>
        <v>106.94</v>
      </c>
    </row>
    <row r="499" spans="1:26" ht="25.15" hidden="1" customHeight="1" x14ac:dyDescent="0.25">
      <c r="A499" s="112">
        <v>46244.690833333334</v>
      </c>
      <c r="B499" s="5" t="s">
        <v>623</v>
      </c>
      <c r="C499" s="5">
        <v>11546463</v>
      </c>
      <c r="D499" s="5">
        <v>716171</v>
      </c>
      <c r="E499" s="33">
        <v>20</v>
      </c>
      <c r="F499" s="60">
        <v>450</v>
      </c>
      <c r="G499" s="60">
        <v>9000</v>
      </c>
      <c r="H499" s="60">
        <v>292</v>
      </c>
      <c r="I499" s="120" t="s">
        <v>278</v>
      </c>
      <c r="J499" s="121"/>
      <c r="K499" s="33" t="s">
        <v>278</v>
      </c>
      <c r="L499" s="122"/>
      <c r="M499" s="33" t="s">
        <v>278</v>
      </c>
      <c r="N499" s="122"/>
      <c r="O499" s="33" t="s">
        <v>278</v>
      </c>
      <c r="P499" s="122"/>
      <c r="Q499" s="33" t="s">
        <v>587</v>
      </c>
      <c r="R499" s="122"/>
      <c r="S499" s="33" t="s">
        <v>278</v>
      </c>
      <c r="T499" s="122"/>
      <c r="U499" s="33" t="s">
        <v>278</v>
      </c>
      <c r="V499" s="122"/>
      <c r="W499" s="123" t="s">
        <v>633</v>
      </c>
      <c r="X499" s="33" t="str">
        <f>+VLOOKUP(OtherClients[[#This Row],[Part]],PartControl!$A$2:$E$564,5,FALSE)</f>
        <v>infasco</v>
      </c>
      <c r="Y499" s="122">
        <v>106.94</v>
      </c>
      <c r="Z499" s="108">
        <f>IF(OtherClients[[#This Row],[Re-certified or New]]&lt;&gt;"Re-certified",IF(OtherClients[[#This Row],[Client]]="infasco",VLOOKUP(OtherClients[[#This Row],[Part]],PartControl!$A$2:$E$564,2,FALSE),OtherClients[[#This Row],[Total Quantity]]*VLOOKUP(OtherClients[[#This Row],[Part]],PartControl!$A$2:$E$564,2,FALSE)),0)</f>
        <v>0</v>
      </c>
    </row>
    <row r="500" spans="1:26" ht="25.15" hidden="1" customHeight="1" x14ac:dyDescent="0.25">
      <c r="A500" s="112">
        <v>46244.690833333334</v>
      </c>
      <c r="B500" s="5" t="s">
        <v>634</v>
      </c>
      <c r="C500" s="5" t="s">
        <v>730</v>
      </c>
      <c r="D500" s="5">
        <v>710966</v>
      </c>
      <c r="E500" s="33">
        <f>50-25</f>
        <v>25</v>
      </c>
      <c r="F500" s="60">
        <v>3500</v>
      </c>
      <c r="G500" s="60">
        <f>+OtherClients[[#This Row],[Boxes / Pieces]]*OtherClients[[#This Row],[Unit Quantity]]</f>
        <v>87500</v>
      </c>
      <c r="H500" s="60">
        <v>280</v>
      </c>
      <c r="I500" s="120" t="s">
        <v>278</v>
      </c>
      <c r="J500" s="121"/>
      <c r="K500" s="33" t="s">
        <v>278</v>
      </c>
      <c r="L500" s="122"/>
      <c r="M500" s="33" t="s">
        <v>278</v>
      </c>
      <c r="N500" s="122"/>
      <c r="O500" s="33" t="s">
        <v>278</v>
      </c>
      <c r="P500" s="122"/>
      <c r="Q500" s="33" t="s">
        <v>587</v>
      </c>
      <c r="R500" s="122"/>
      <c r="S500" s="33" t="s">
        <v>278</v>
      </c>
      <c r="T500" s="122"/>
      <c r="U500" s="33" t="s">
        <v>278</v>
      </c>
      <c r="V500" s="122"/>
      <c r="W500" s="59" t="s">
        <v>548</v>
      </c>
      <c r="X500" s="33" t="str">
        <f>+VLOOKUP(OtherClients[[#This Row],[Part]],PartControl!$A$2:$E$564,5,FALSE)</f>
        <v>infasco</v>
      </c>
      <c r="Y500" s="108">
        <f>IF(OtherClients[[#This Row],[Re-certified or New]]&lt;&gt;"Re-certified",IF(OtherClients[[#This Row],[Client]]="infasco",VLOOKUP(OtherClients[[#This Row],[Part]],PartControl!$A$2:$E$564,2,FALSE),OtherClients[[#This Row],[Total Quantity]]*VLOOKUP(OtherClients[[#This Row],[Part]],PartControl!$A$2:$E$564,2,FALSE)),0)</f>
        <v>106.94</v>
      </c>
      <c r="Z500" s="108">
        <f>IF(OtherClients[[#This Row],[Re-certified or New]]&lt;&gt;"Re-certified",IF(OtherClients[[#This Row],[Client]]="infasco",VLOOKUP(OtherClients[[#This Row],[Part]],PartControl!$A$2:$E$564,2,FALSE),OtherClients[[#This Row],[Total Quantity]]*VLOOKUP(OtherClients[[#This Row],[Part]],PartControl!$A$2:$E$564,2,FALSE)),0)</f>
        <v>106.94</v>
      </c>
    </row>
    <row r="501" spans="1:26" ht="25.15" hidden="1" customHeight="1" x14ac:dyDescent="0.25">
      <c r="A501" s="112">
        <v>46244.690833333334</v>
      </c>
      <c r="B501" s="5" t="s">
        <v>635</v>
      </c>
      <c r="C501" s="5" t="s">
        <v>852</v>
      </c>
      <c r="D501" s="5">
        <v>715990</v>
      </c>
      <c r="E501" s="33">
        <v>36</v>
      </c>
      <c r="F501" s="60">
        <v>1120</v>
      </c>
      <c r="G501" s="60">
        <f>+OtherClients[[#This Row],[Boxes / Pieces]]*OtherClients[[#This Row],[Unit Quantity]]</f>
        <v>40320</v>
      </c>
      <c r="H501" s="60">
        <v>280</v>
      </c>
      <c r="I501" s="120" t="s">
        <v>278</v>
      </c>
      <c r="J501" s="121"/>
      <c r="K501" s="33" t="s">
        <v>278</v>
      </c>
      <c r="L501" s="122"/>
      <c r="M501" s="33" t="s">
        <v>278</v>
      </c>
      <c r="N501" s="122"/>
      <c r="O501" s="33" t="s">
        <v>278</v>
      </c>
      <c r="P501" s="122"/>
      <c r="Q501" s="33" t="s">
        <v>587</v>
      </c>
      <c r="R501" s="122"/>
      <c r="S501" s="33" t="s">
        <v>278</v>
      </c>
      <c r="T501" s="122"/>
      <c r="U501" s="33" t="s">
        <v>278</v>
      </c>
      <c r="V501" s="122"/>
      <c r="W501" s="59" t="s">
        <v>548</v>
      </c>
      <c r="X501" s="33" t="str">
        <f>+VLOOKUP(OtherClients[[#This Row],[Part]],PartControl!$A$2:$E$564,5,FALSE)</f>
        <v>infasco</v>
      </c>
      <c r="Y501" s="108">
        <f>IF(OtherClients[[#This Row],[Re-certified or New]]&lt;&gt;"Re-certified",IF(OtherClients[[#This Row],[Client]]="infasco",VLOOKUP(OtherClients[[#This Row],[Part]],PartControl!$A$2:$E$564,2,FALSE),OtherClients[[#This Row],[Total Quantity]]*VLOOKUP(OtherClients[[#This Row],[Part]],PartControl!$A$2:$E$564,2,FALSE)),0)</f>
        <v>106.94</v>
      </c>
      <c r="Z501" s="108">
        <f>IF(OtherClients[[#This Row],[Re-certified or New]]&lt;&gt;"Re-certified",IF(OtherClients[[#This Row],[Client]]="infasco",VLOOKUP(OtherClients[[#This Row],[Part]],PartControl!$A$2:$E$564,2,FALSE),OtherClients[[#This Row],[Total Quantity]]*VLOOKUP(OtherClients[[#This Row],[Part]],PartControl!$A$2:$E$564,2,FALSE)),0)</f>
        <v>106.94</v>
      </c>
    </row>
    <row r="502" spans="1:26" ht="25.15" hidden="1" customHeight="1" x14ac:dyDescent="0.25">
      <c r="A502" s="112">
        <v>46244.690833333334</v>
      </c>
      <c r="B502" s="5" t="s">
        <v>635</v>
      </c>
      <c r="C502" s="5" t="s">
        <v>852</v>
      </c>
      <c r="D502" s="5">
        <v>715991</v>
      </c>
      <c r="E502" s="33">
        <v>4</v>
      </c>
      <c r="F502" s="60">
        <v>1120</v>
      </c>
      <c r="G502" s="60">
        <f>+OtherClients[[#This Row],[Boxes / Pieces]]*OtherClients[[#This Row],[Unit Quantity]]</f>
        <v>4480</v>
      </c>
      <c r="H502" s="60">
        <v>280</v>
      </c>
      <c r="I502" s="120" t="s">
        <v>278</v>
      </c>
      <c r="J502" s="121"/>
      <c r="K502" s="33" t="s">
        <v>278</v>
      </c>
      <c r="L502" s="122"/>
      <c r="M502" s="33" t="s">
        <v>278</v>
      </c>
      <c r="N502" s="122"/>
      <c r="O502" s="33" t="s">
        <v>278</v>
      </c>
      <c r="P502" s="122"/>
      <c r="Q502" s="33" t="s">
        <v>587</v>
      </c>
      <c r="R502" s="122"/>
      <c r="S502" s="33" t="s">
        <v>278</v>
      </c>
      <c r="T502" s="122"/>
      <c r="U502" s="33" t="s">
        <v>278</v>
      </c>
      <c r="V502" s="122"/>
      <c r="W502" s="59" t="s">
        <v>633</v>
      </c>
      <c r="X502" s="33" t="str">
        <f>+VLOOKUP(OtherClients[[#This Row],[Part]],PartControl!$A$2:$E$564,5,FALSE)</f>
        <v>infasco</v>
      </c>
      <c r="Y502" s="108">
        <f>IF(OtherClients[[#This Row],[Re-certified or New]]&lt;&gt;"Re-certified",IF(OtherClients[[#This Row],[Client]]="infasco",VLOOKUP(OtherClients[[#This Row],[Part]],PartControl!$A$2:$E$564,2,FALSE),OtherClients[[#This Row],[Total Quantity]]*VLOOKUP(OtherClients[[#This Row],[Part]],PartControl!$A$2:$E$564,2,FALSE)),0)</f>
        <v>0</v>
      </c>
      <c r="Z502" s="108">
        <f>IF(OtherClients[[#This Row],[Re-certified or New]]&lt;&gt;"Re-certified",IF(OtherClients[[#This Row],[Client]]="infasco",VLOOKUP(OtherClients[[#This Row],[Part]],PartControl!$A$2:$E$564,2,FALSE),OtherClients[[#This Row],[Total Quantity]]*VLOOKUP(OtherClients[[#This Row],[Part]],PartControl!$A$2:$E$564,2,FALSE)),0)</f>
        <v>0</v>
      </c>
    </row>
    <row r="503" spans="1:26" ht="25.15" hidden="1" customHeight="1" x14ac:dyDescent="0.25">
      <c r="A503" s="112">
        <v>46244.690833333334</v>
      </c>
      <c r="B503" s="5" t="s">
        <v>357</v>
      </c>
      <c r="C503" s="5" t="s">
        <v>642</v>
      </c>
      <c r="D503" s="5">
        <v>715704</v>
      </c>
      <c r="E503" s="33">
        <f>36-13</f>
        <v>23</v>
      </c>
      <c r="F503" s="60">
        <v>2800</v>
      </c>
      <c r="G503" s="60">
        <f>+OtherClients[[#This Row],[Boxes / Pieces]]*OtherClients[[#This Row],[Unit Quantity]]</f>
        <v>64400</v>
      </c>
      <c r="H503" s="60">
        <v>280</v>
      </c>
      <c r="I503" s="120" t="s">
        <v>278</v>
      </c>
      <c r="J503" s="121"/>
      <c r="K503" s="33" t="s">
        <v>278</v>
      </c>
      <c r="L503" s="122"/>
      <c r="M503" s="33" t="s">
        <v>278</v>
      </c>
      <c r="N503" s="122"/>
      <c r="O503" s="33" t="s">
        <v>278</v>
      </c>
      <c r="P503" s="122"/>
      <c r="Q503" s="33" t="s">
        <v>587</v>
      </c>
      <c r="R503" s="122"/>
      <c r="S503" s="33" t="s">
        <v>278</v>
      </c>
      <c r="T503" s="122"/>
      <c r="U503" s="33" t="s">
        <v>278</v>
      </c>
      <c r="V503" s="122"/>
      <c r="W503" s="59" t="s">
        <v>548</v>
      </c>
      <c r="X503" s="33" t="str">
        <f>+VLOOKUP(OtherClients[[#This Row],[Part]],PartControl!$A$2:$E$564,5,FALSE)</f>
        <v>infasco</v>
      </c>
      <c r="Y503" s="108">
        <f>IF(OtherClients[[#This Row],[Re-certified or New]]&lt;&gt;"Re-certified",IF(OtherClients[[#This Row],[Client]]="infasco",VLOOKUP(OtherClients[[#This Row],[Part]],PartControl!$A$2:$E$564,2,FALSE),OtherClients[[#This Row],[Total Quantity]]*VLOOKUP(OtherClients[[#This Row],[Part]],PartControl!$A$2:$E$564,2,FALSE)),0)</f>
        <v>106.94</v>
      </c>
      <c r="Z503" s="108">
        <f>IF(OtherClients[[#This Row],[Re-certified or New]]&lt;&gt;"Re-certified",IF(OtherClients[[#This Row],[Client]]="infasco",VLOOKUP(OtherClients[[#This Row],[Part]],PartControl!$A$2:$E$564,2,FALSE),OtherClients[[#This Row],[Total Quantity]]*VLOOKUP(OtherClients[[#This Row],[Part]],PartControl!$A$2:$E$564,2,FALSE)),0)</f>
        <v>106.94</v>
      </c>
    </row>
    <row r="504" spans="1:26" ht="25.15" hidden="1" customHeight="1" x14ac:dyDescent="0.25">
      <c r="A504" s="112">
        <v>46244.690833333334</v>
      </c>
      <c r="B504" s="5" t="s">
        <v>357</v>
      </c>
      <c r="C504" s="5" t="s">
        <v>642</v>
      </c>
      <c r="D504" s="5">
        <v>715705</v>
      </c>
      <c r="E504" s="33">
        <v>36</v>
      </c>
      <c r="F504" s="60">
        <v>2800</v>
      </c>
      <c r="G504" s="60">
        <f>+OtherClients[[#This Row],[Boxes / Pieces]]*OtherClients[[#This Row],[Unit Quantity]]</f>
        <v>100800</v>
      </c>
      <c r="H504" s="60">
        <v>280</v>
      </c>
      <c r="I504" s="120" t="s">
        <v>278</v>
      </c>
      <c r="J504" s="121"/>
      <c r="K504" s="33" t="s">
        <v>278</v>
      </c>
      <c r="L504" s="122"/>
      <c r="M504" s="33" t="s">
        <v>278</v>
      </c>
      <c r="N504" s="122"/>
      <c r="O504" s="33" t="s">
        <v>278</v>
      </c>
      <c r="P504" s="122"/>
      <c r="Q504" s="33" t="s">
        <v>587</v>
      </c>
      <c r="R504" s="122"/>
      <c r="S504" s="33" t="s">
        <v>278</v>
      </c>
      <c r="T504" s="122"/>
      <c r="U504" s="33" t="s">
        <v>278</v>
      </c>
      <c r="V504" s="122"/>
      <c r="W504" s="59" t="s">
        <v>548</v>
      </c>
      <c r="X504" s="33" t="str">
        <f>+VLOOKUP(OtherClients[[#This Row],[Part]],PartControl!$A$2:$E$564,5,FALSE)</f>
        <v>infasco</v>
      </c>
      <c r="Y504" s="108">
        <f>IF(OtherClients[[#This Row],[Re-certified or New]]&lt;&gt;"Re-certified",IF(OtherClients[[#This Row],[Client]]="infasco",VLOOKUP(OtherClients[[#This Row],[Part]],PartControl!$A$2:$E$564,2,FALSE),OtherClients[[#This Row],[Total Quantity]]*VLOOKUP(OtherClients[[#This Row],[Part]],PartControl!$A$2:$E$564,2,FALSE)),0)</f>
        <v>106.94</v>
      </c>
      <c r="Z504" s="108">
        <f>IF(OtherClients[[#This Row],[Re-certified or New]]&lt;&gt;"Re-certified",IF(OtherClients[[#This Row],[Client]]="infasco",VLOOKUP(OtherClients[[#This Row],[Part]],PartControl!$A$2:$E$564,2,FALSE),OtherClients[[#This Row],[Total Quantity]]*VLOOKUP(OtherClients[[#This Row],[Part]],PartControl!$A$2:$E$564,2,FALSE)),0)</f>
        <v>106.94</v>
      </c>
    </row>
    <row r="505" spans="1:26" ht="25.15" hidden="1" customHeight="1" x14ac:dyDescent="0.25">
      <c r="A505" s="112">
        <v>46244.690833333334</v>
      </c>
      <c r="B505" s="5" t="s">
        <v>357</v>
      </c>
      <c r="C505" s="5" t="s">
        <v>642</v>
      </c>
      <c r="D505" s="5">
        <v>715708</v>
      </c>
      <c r="E505" s="33">
        <v>16</v>
      </c>
      <c r="F505" s="60">
        <v>2800</v>
      </c>
      <c r="G505" s="60">
        <f>+OtherClients[[#This Row],[Boxes / Pieces]]*OtherClients[[#This Row],[Unit Quantity]]</f>
        <v>44800</v>
      </c>
      <c r="H505" s="60">
        <v>280</v>
      </c>
      <c r="I505" s="120" t="s">
        <v>278</v>
      </c>
      <c r="J505" s="121"/>
      <c r="K505" s="33" t="s">
        <v>278</v>
      </c>
      <c r="L505" s="122"/>
      <c r="M505" s="33" t="s">
        <v>278</v>
      </c>
      <c r="N505" s="122"/>
      <c r="O505" s="33" t="s">
        <v>278</v>
      </c>
      <c r="P505" s="122"/>
      <c r="Q505" s="33" t="s">
        <v>587</v>
      </c>
      <c r="R505" s="122"/>
      <c r="S505" s="33" t="s">
        <v>278</v>
      </c>
      <c r="T505" s="122"/>
      <c r="U505" s="33" t="s">
        <v>278</v>
      </c>
      <c r="V505" s="122"/>
      <c r="W505" s="59" t="s">
        <v>633</v>
      </c>
      <c r="X505" s="33" t="str">
        <f>+VLOOKUP(OtherClients[[#This Row],[Part]],PartControl!$A$2:$E$564,5,FALSE)</f>
        <v>infasco</v>
      </c>
      <c r="Y505" s="108">
        <f>IF(OtherClients[[#This Row],[Re-certified or New]]&lt;&gt;"Re-certified",IF(OtherClients[[#This Row],[Client]]="infasco",VLOOKUP(OtherClients[[#This Row],[Part]],PartControl!$A$2:$E$564,2,FALSE),OtherClients[[#This Row],[Total Quantity]]*VLOOKUP(OtherClients[[#This Row],[Part]],PartControl!$A$2:$E$564,2,FALSE)),0)</f>
        <v>0</v>
      </c>
      <c r="Z505" s="108">
        <f>IF(OtherClients[[#This Row],[Re-certified or New]]&lt;&gt;"Re-certified",IF(OtherClients[[#This Row],[Client]]="infasco",VLOOKUP(OtherClients[[#This Row],[Part]],PartControl!$A$2:$E$564,2,FALSE),OtherClients[[#This Row],[Total Quantity]]*VLOOKUP(OtherClients[[#This Row],[Part]],PartControl!$A$2:$E$564,2,FALSE)),0)</f>
        <v>0</v>
      </c>
    </row>
    <row r="506" spans="1:26" ht="25.15" hidden="1" customHeight="1" x14ac:dyDescent="0.25">
      <c r="A506" s="112">
        <v>46244.690833333334</v>
      </c>
      <c r="B506" s="5" t="s">
        <v>636</v>
      </c>
      <c r="C506" s="5" t="s">
        <v>647</v>
      </c>
      <c r="D506" s="5">
        <v>714563</v>
      </c>
      <c r="E506" s="33">
        <f>37-24</f>
        <v>13</v>
      </c>
      <c r="F506" s="60">
        <v>750</v>
      </c>
      <c r="G506" s="60">
        <f>+OtherClients[[#This Row],[Boxes / Pieces]]*OtherClients[[#This Row],[Unit Quantity]]</f>
        <v>9750</v>
      </c>
      <c r="H506" s="60">
        <v>280</v>
      </c>
      <c r="I506" s="120" t="s">
        <v>278</v>
      </c>
      <c r="J506" s="121"/>
      <c r="K506" s="33" t="s">
        <v>278</v>
      </c>
      <c r="L506" s="122"/>
      <c r="M506" s="33" t="s">
        <v>278</v>
      </c>
      <c r="N506" s="122"/>
      <c r="O506" s="33" t="s">
        <v>278</v>
      </c>
      <c r="P506" s="122"/>
      <c r="Q506" s="33" t="s">
        <v>587</v>
      </c>
      <c r="R506" s="122"/>
      <c r="S506" s="33" t="s">
        <v>278</v>
      </c>
      <c r="T506" s="122"/>
      <c r="U506" s="33" t="s">
        <v>278</v>
      </c>
      <c r="V506" s="122"/>
      <c r="W506" s="59" t="s">
        <v>548</v>
      </c>
      <c r="X506" s="33" t="str">
        <f>+VLOOKUP(OtherClients[[#This Row],[Part]],PartControl!$A$2:$E$564,5,FALSE)</f>
        <v>infasco</v>
      </c>
      <c r="Y506" s="108">
        <f>IF(OtherClients[[#This Row],[Re-certified or New]]&lt;&gt;"Re-certified",IF(OtherClients[[#This Row],[Client]]="infasco",VLOOKUP(OtherClients[[#This Row],[Part]],PartControl!$A$2:$E$564,2,FALSE),OtherClients[[#This Row],[Total Quantity]]*VLOOKUP(OtherClients[[#This Row],[Part]],PartControl!$A$2:$E$564,2,FALSE)),0)</f>
        <v>106.94</v>
      </c>
      <c r="Z506" s="108">
        <f>IF(OtherClients[[#This Row],[Re-certified or New]]&lt;&gt;"Re-certified",IF(OtherClients[[#This Row],[Client]]="infasco",VLOOKUP(OtherClients[[#This Row],[Part]],PartControl!$A$2:$E$564,2,FALSE),OtherClients[[#This Row],[Total Quantity]]*VLOOKUP(OtherClients[[#This Row],[Part]],PartControl!$A$2:$E$564,2,FALSE)),0)</f>
        <v>106.94</v>
      </c>
    </row>
    <row r="507" spans="1:26" ht="25.15" hidden="1" customHeight="1" x14ac:dyDescent="0.25">
      <c r="A507" s="112">
        <v>46244.690833333334</v>
      </c>
      <c r="B507" s="5" t="s">
        <v>636</v>
      </c>
      <c r="C507" s="5">
        <v>11546462</v>
      </c>
      <c r="D507" s="5">
        <v>716187</v>
      </c>
      <c r="E507" s="33">
        <v>24</v>
      </c>
      <c r="F507" s="60">
        <v>650</v>
      </c>
      <c r="G507" s="60">
        <f>+OtherClients[[#This Row],[Boxes / Pieces]]*OtherClients[[#This Row],[Unit Quantity]]</f>
        <v>15600</v>
      </c>
      <c r="H507" s="60">
        <v>280</v>
      </c>
      <c r="I507" s="120" t="s">
        <v>278</v>
      </c>
      <c r="J507" s="121"/>
      <c r="K507" s="33" t="s">
        <v>278</v>
      </c>
      <c r="L507" s="122"/>
      <c r="M507" s="33" t="s">
        <v>278</v>
      </c>
      <c r="N507" s="122"/>
      <c r="O507" s="33" t="s">
        <v>278</v>
      </c>
      <c r="P507" s="122"/>
      <c r="Q507" s="33" t="s">
        <v>587</v>
      </c>
      <c r="R507" s="122"/>
      <c r="S507" s="33" t="s">
        <v>278</v>
      </c>
      <c r="T507" s="122"/>
      <c r="U507" s="33" t="s">
        <v>278</v>
      </c>
      <c r="V507" s="122"/>
      <c r="W507" s="59" t="s">
        <v>633</v>
      </c>
      <c r="X507" s="33" t="str">
        <f>+VLOOKUP(OtherClients[[#This Row],[Part]],PartControl!$A$2:$E$564,5,FALSE)</f>
        <v>INFASCO</v>
      </c>
      <c r="Y507" s="108">
        <f>IF(OtherClients[[#This Row],[Re-certified or New]]&lt;&gt;"Re-certified",IF(OtherClients[[#This Row],[Client]]="infasco",VLOOKUP(OtherClients[[#This Row],[Part]],PartControl!$A$2:$E$564,2,FALSE),OtherClients[[#This Row],[Total Quantity]]*VLOOKUP(OtherClients[[#This Row],[Part]],PartControl!$A$2:$E$564,2,FALSE)),0)</f>
        <v>0</v>
      </c>
      <c r="Z507" s="108">
        <f>IF(OtherClients[[#This Row],[Re-certified or New]]&lt;&gt;"Re-certified",IF(OtherClients[[#This Row],[Client]]="infasco",VLOOKUP(OtherClients[[#This Row],[Part]],PartControl!$A$2:$E$564,2,FALSE),OtherClients[[#This Row],[Total Quantity]]*VLOOKUP(OtherClients[[#This Row],[Part]],PartControl!$A$2:$E$564,2,FALSE)),0)</f>
        <v>0</v>
      </c>
    </row>
    <row r="508" spans="1:26" ht="25.15" hidden="1" customHeight="1" x14ac:dyDescent="0.25">
      <c r="A508" s="112">
        <v>46244.690833333334</v>
      </c>
      <c r="B508" s="5" t="s">
        <v>834</v>
      </c>
      <c r="C508" s="5">
        <v>11546377</v>
      </c>
      <c r="D508" s="5">
        <v>715736</v>
      </c>
      <c r="E508" s="33">
        <f>36-12</f>
        <v>24</v>
      </c>
      <c r="F508" s="60">
        <v>2150</v>
      </c>
      <c r="G508" s="60">
        <f>+OtherClients[[#This Row],[Boxes / Pieces]]*OtherClients[[#This Row],[Unit Quantity]]</f>
        <v>51600</v>
      </c>
      <c r="H508" s="60">
        <v>280</v>
      </c>
      <c r="I508" s="120" t="s">
        <v>278</v>
      </c>
      <c r="J508" s="121"/>
      <c r="K508" s="33" t="s">
        <v>278</v>
      </c>
      <c r="L508" s="122"/>
      <c r="M508" s="33" t="s">
        <v>278</v>
      </c>
      <c r="N508" s="122"/>
      <c r="O508" s="33" t="s">
        <v>278</v>
      </c>
      <c r="P508" s="122"/>
      <c r="Q508" s="33" t="s">
        <v>587</v>
      </c>
      <c r="R508" s="122"/>
      <c r="S508" s="33" t="s">
        <v>278</v>
      </c>
      <c r="T508" s="122"/>
      <c r="U508" s="33" t="s">
        <v>278</v>
      </c>
      <c r="V508" s="122"/>
      <c r="W508" s="59" t="s">
        <v>548</v>
      </c>
      <c r="X508" s="33" t="str">
        <f>+VLOOKUP(OtherClients[[#This Row],[Part]],PartControl!$A$2:$E$564,5,FALSE)</f>
        <v>INFASCO</v>
      </c>
      <c r="Y508" s="108">
        <f>IF(OtherClients[[#This Row],[Re-certified or New]]&lt;&gt;"Re-certified",IF(OtherClients[[#This Row],[Client]]="infasco",VLOOKUP(OtherClients[[#This Row],[Part]],PartControl!$A$2:$E$564,2,FALSE),OtherClients[[#This Row],[Total Quantity]]*VLOOKUP(OtherClients[[#This Row],[Part]],PartControl!$A$2:$E$564,2,FALSE)),0)</f>
        <v>106.94</v>
      </c>
      <c r="Z508" s="108">
        <f>IF(OtherClients[[#This Row],[Re-certified or New]]&lt;&gt;"Re-certified",IF(OtherClients[[#This Row],[Client]]="infasco",VLOOKUP(OtherClients[[#This Row],[Part]],PartControl!$A$2:$E$564,2,FALSE),OtherClients[[#This Row],[Total Quantity]]*VLOOKUP(OtherClients[[#This Row],[Part]],PartControl!$A$2:$E$564,2,FALSE)),0)</f>
        <v>106.94</v>
      </c>
    </row>
    <row r="509" spans="1:26" ht="25.15" hidden="1" customHeight="1" x14ac:dyDescent="0.25">
      <c r="A509" s="112">
        <v>46244.690833333334</v>
      </c>
      <c r="B509" s="5" t="s">
        <v>347</v>
      </c>
      <c r="C509" s="5" t="s">
        <v>823</v>
      </c>
      <c r="D509" s="5">
        <v>714564</v>
      </c>
      <c r="E509" s="33">
        <v>7</v>
      </c>
      <c r="F509" s="60">
        <v>1500</v>
      </c>
      <c r="G509" s="60">
        <f>+OtherClients[[#This Row],[Boxes / Pieces]]*OtherClients[[#This Row],[Unit Quantity]]</f>
        <v>10500</v>
      </c>
      <c r="H509" s="60">
        <v>279</v>
      </c>
      <c r="I509" s="120" t="s">
        <v>278</v>
      </c>
      <c r="J509" s="121"/>
      <c r="K509" s="33" t="s">
        <v>278</v>
      </c>
      <c r="L509" s="122"/>
      <c r="M509" s="33" t="s">
        <v>278</v>
      </c>
      <c r="N509" s="122"/>
      <c r="O509" s="33" t="s">
        <v>278</v>
      </c>
      <c r="P509" s="122"/>
      <c r="Q509" s="33" t="s">
        <v>587</v>
      </c>
      <c r="R509" s="122"/>
      <c r="S509" s="33" t="s">
        <v>278</v>
      </c>
      <c r="T509" s="122"/>
      <c r="U509" s="33" t="s">
        <v>278</v>
      </c>
      <c r="V509" s="122"/>
      <c r="W509" s="59" t="s">
        <v>548</v>
      </c>
      <c r="X509" s="33" t="str">
        <f>+VLOOKUP(OtherClients[[#This Row],[Part]],PartControl!$A$2:$E$564,5,FALSE)</f>
        <v>infasco</v>
      </c>
      <c r="Y509" s="108">
        <f>IF(OtherClients[[#This Row],[Re-certified or New]]&lt;&gt;"Re-certified",IF(OtherClients[[#This Row],[Client]]="infasco",VLOOKUP(OtherClients[[#This Row],[Part]],PartControl!$A$2:$E$564,2,FALSE),OtherClients[[#This Row],[Total Quantity]]*VLOOKUP(OtherClients[[#This Row],[Part]],PartControl!$A$2:$E$564,2,FALSE)),0)</f>
        <v>226.94</v>
      </c>
      <c r="Z509" s="108">
        <f>IF(OtherClients[[#This Row],[Re-certified or New]]&lt;&gt;"Re-certified",IF(OtherClients[[#This Row],[Client]]="infasco",VLOOKUP(OtherClients[[#This Row],[Part]],PartControl!$A$2:$E$564,2,FALSE),OtherClients[[#This Row],[Total Quantity]]*VLOOKUP(OtherClients[[#This Row],[Part]],PartControl!$A$2:$E$564,2,FALSE)),0)</f>
        <v>226.94</v>
      </c>
    </row>
    <row r="510" spans="1:26" ht="25.15" hidden="1" customHeight="1" x14ac:dyDescent="0.25">
      <c r="A510" s="112">
        <v>46241.695208333331</v>
      </c>
      <c r="B510" s="5" t="s">
        <v>342</v>
      </c>
      <c r="C510" s="5" t="s">
        <v>823</v>
      </c>
      <c r="D510" s="5">
        <v>714567</v>
      </c>
      <c r="E510" s="33">
        <v>36</v>
      </c>
      <c r="F510" s="60">
        <v>1500</v>
      </c>
      <c r="G510" s="60">
        <f>+OtherClients[[#This Row],[Boxes / Pieces]]*OtherClients[[#This Row],[Unit Quantity]]</f>
        <v>54000</v>
      </c>
      <c r="H510" s="60" t="s">
        <v>811</v>
      </c>
      <c r="I510" s="60" t="s">
        <v>278</v>
      </c>
      <c r="J510" s="104"/>
      <c r="K510" s="33" t="s">
        <v>278</v>
      </c>
      <c r="L510" s="111"/>
      <c r="M510" s="33" t="s">
        <v>278</v>
      </c>
      <c r="N510" s="111"/>
      <c r="O510" s="33" t="s">
        <v>278</v>
      </c>
      <c r="P510" s="111"/>
      <c r="Q510" s="33" t="s">
        <v>587</v>
      </c>
      <c r="R510" s="111"/>
      <c r="S510" s="33" t="s">
        <v>278</v>
      </c>
      <c r="T510" s="111"/>
      <c r="U510" s="33" t="s">
        <v>278</v>
      </c>
      <c r="V510" s="111"/>
      <c r="W510" s="59" t="s">
        <v>548</v>
      </c>
      <c r="X510" s="33" t="str">
        <f>+VLOOKUP(OtherClients[[#This Row],[Part]],PartControl!$A$2:$E$564,5,FALSE)</f>
        <v>infasco</v>
      </c>
      <c r="Y510" s="108">
        <f>IF(OtherClients[[#This Row],[Re-certified or New]]&lt;&gt;"Re-certified",IF(OtherClients[[#This Row],[Client]]="infasco",VLOOKUP(OtherClients[[#This Row],[Part]],PartControl!$A$2:$E$564,2,FALSE),OtherClients[[#This Row],[Total Quantity]]*VLOOKUP(OtherClients[[#This Row],[Part]],PartControl!$A$2:$E$564,2,FALSE)),0)</f>
        <v>226.94</v>
      </c>
      <c r="Z510" s="108">
        <f>IF(OtherClients[[#This Row],[Re-certified or New]]&lt;&gt;"Re-certified",IF(OtherClients[[#This Row],[Client]]="infasco",VLOOKUP(OtherClients[[#This Row],[Part]],PartControl!$A$2:$E$564,2,FALSE),OtherClients[[#This Row],[Total Quantity]]*VLOOKUP(OtherClients[[#This Row],[Part]],PartControl!$A$2:$E$564,2,FALSE)),0)</f>
        <v>226.94</v>
      </c>
    </row>
    <row r="511" spans="1:26" ht="25.15" hidden="1" customHeight="1" x14ac:dyDescent="0.25">
      <c r="A511" s="112">
        <v>46244.690833333334</v>
      </c>
      <c r="B511" s="5" t="s">
        <v>345</v>
      </c>
      <c r="C511" s="5" t="s">
        <v>701</v>
      </c>
      <c r="D511" s="5">
        <v>714570</v>
      </c>
      <c r="E511" s="33">
        <v>21</v>
      </c>
      <c r="F511" s="60">
        <v>400</v>
      </c>
      <c r="G511" s="60">
        <f>+OtherClients[[#This Row],[Boxes / Pieces]]*OtherClients[[#This Row],[Unit Quantity]]</f>
        <v>8400</v>
      </c>
      <c r="H511" s="60" t="s">
        <v>849</v>
      </c>
      <c r="I511" s="120" t="s">
        <v>278</v>
      </c>
      <c r="J511" s="121"/>
      <c r="K511" s="33" t="s">
        <v>278</v>
      </c>
      <c r="L511" s="122"/>
      <c r="M511" s="33" t="s">
        <v>278</v>
      </c>
      <c r="N511" s="122"/>
      <c r="O511" s="33" t="s">
        <v>278</v>
      </c>
      <c r="P511" s="122"/>
      <c r="Q511" s="33" t="s">
        <v>587</v>
      </c>
      <c r="R511" s="122"/>
      <c r="S511" s="33" t="s">
        <v>278</v>
      </c>
      <c r="T511" s="122"/>
      <c r="U511" s="33" t="s">
        <v>278</v>
      </c>
      <c r="V511" s="122"/>
      <c r="W511" s="59" t="s">
        <v>548</v>
      </c>
      <c r="X511" s="33" t="str">
        <f>+VLOOKUP(OtherClients[[#This Row],[Part]],PartControl!$A$2:$E$564,5,FALSE)</f>
        <v>infasco</v>
      </c>
      <c r="Y511" s="108">
        <f>IF(OtherClients[[#This Row],[Re-certified or New]]&lt;&gt;"Re-certified",IF(OtherClients[[#This Row],[Client]]="infasco",VLOOKUP(OtherClients[[#This Row],[Part]],PartControl!$A$2:$E$564,2,FALSE),OtherClients[[#This Row],[Total Quantity]]*VLOOKUP(OtherClients[[#This Row],[Part]],PartControl!$A$2:$E$564,2,FALSE)),0)</f>
        <v>135.07999999999998</v>
      </c>
      <c r="Z511" s="108">
        <f>IF(OtherClients[[#This Row],[Re-certified or New]]&lt;&gt;"Re-certified",IF(OtherClients[[#This Row],[Client]]="infasco",VLOOKUP(OtherClients[[#This Row],[Part]],PartControl!$A$2:$E$564,2,FALSE),OtherClients[[#This Row],[Total Quantity]]*VLOOKUP(OtherClients[[#This Row],[Part]],PartControl!$A$2:$E$564,2,FALSE)),0)</f>
        <v>135.07999999999998</v>
      </c>
    </row>
    <row r="512" spans="1:26" ht="25.15" hidden="1" customHeight="1" x14ac:dyDescent="0.25">
      <c r="A512" s="112">
        <v>46244.690833333334</v>
      </c>
      <c r="B512" s="5" t="s">
        <v>342</v>
      </c>
      <c r="C512" s="5" t="s">
        <v>701</v>
      </c>
      <c r="D512" s="5">
        <v>714571</v>
      </c>
      <c r="E512" s="33">
        <v>27</v>
      </c>
      <c r="F512" s="60">
        <v>400</v>
      </c>
      <c r="G512" s="60">
        <f>+OtherClients[[#This Row],[Boxes / Pieces]]*OtherClients[[#This Row],[Unit Quantity]]</f>
        <v>10800</v>
      </c>
      <c r="H512" s="60" t="s">
        <v>867</v>
      </c>
      <c r="I512" s="120" t="s">
        <v>278</v>
      </c>
      <c r="J512" s="121"/>
      <c r="K512" s="33" t="s">
        <v>278</v>
      </c>
      <c r="L512" s="122"/>
      <c r="M512" s="33" t="s">
        <v>278</v>
      </c>
      <c r="N512" s="122"/>
      <c r="O512" s="33" t="s">
        <v>278</v>
      </c>
      <c r="P512" s="122"/>
      <c r="Q512" s="33" t="s">
        <v>587</v>
      </c>
      <c r="R512" s="122"/>
      <c r="S512" s="33" t="s">
        <v>278</v>
      </c>
      <c r="T512" s="122"/>
      <c r="U512" s="33" t="s">
        <v>278</v>
      </c>
      <c r="V512" s="122"/>
      <c r="W512" s="59" t="s">
        <v>548</v>
      </c>
      <c r="X512" s="33" t="str">
        <f>+VLOOKUP(OtherClients[[#This Row],[Part]],PartControl!$A$2:$E$564,5,FALSE)</f>
        <v>infasco</v>
      </c>
      <c r="Y512" s="108">
        <f>IF(OtherClients[[#This Row],[Re-certified or New]]&lt;&gt;"Re-certified",IF(OtherClients[[#This Row],[Client]]="infasco",VLOOKUP(OtherClients[[#This Row],[Part]],PartControl!$A$2:$E$564,2,FALSE),OtherClients[[#This Row],[Total Quantity]]*VLOOKUP(OtherClients[[#This Row],[Part]],PartControl!$A$2:$E$564,2,FALSE)),0)</f>
        <v>135.07999999999998</v>
      </c>
      <c r="Z512" s="108">
        <f>IF(OtherClients[[#This Row],[Re-certified or New]]&lt;&gt;"Re-certified",IF(OtherClients[[#This Row],[Client]]="infasco",VLOOKUP(OtherClients[[#This Row],[Part]],PartControl!$A$2:$E$564,2,FALSE),OtherClients[[#This Row],[Total Quantity]]*VLOOKUP(OtherClients[[#This Row],[Part]],PartControl!$A$2:$E$564,2,FALSE)),0)</f>
        <v>135.07999999999998</v>
      </c>
    </row>
    <row r="513" spans="1:26" ht="25.15" hidden="1" customHeight="1" x14ac:dyDescent="0.25">
      <c r="A513" s="112">
        <v>46241.695208333331</v>
      </c>
      <c r="B513" s="5" t="s">
        <v>345</v>
      </c>
      <c r="C513" s="5" t="s">
        <v>670</v>
      </c>
      <c r="D513" s="5">
        <v>714572</v>
      </c>
      <c r="E513" s="33">
        <v>20</v>
      </c>
      <c r="F513" s="60">
        <v>520</v>
      </c>
      <c r="G513" s="60">
        <f>+OtherClients[[#This Row],[Boxes / Pieces]]*OtherClients[[#This Row],[Unit Quantity]]</f>
        <v>10400</v>
      </c>
      <c r="H513" s="60" t="s">
        <v>849</v>
      </c>
      <c r="I513" s="60" t="s">
        <v>278</v>
      </c>
      <c r="J513" s="104"/>
      <c r="K513" s="33" t="s">
        <v>278</v>
      </c>
      <c r="L513" s="111"/>
      <c r="M513" s="33" t="s">
        <v>278</v>
      </c>
      <c r="N513" s="111"/>
      <c r="O513" s="33" t="s">
        <v>278</v>
      </c>
      <c r="P513" s="111"/>
      <c r="Q513" s="33" t="s">
        <v>587</v>
      </c>
      <c r="R513" s="111"/>
      <c r="S513" s="33" t="s">
        <v>278</v>
      </c>
      <c r="T513" s="111"/>
      <c r="U513" s="33" t="s">
        <v>278</v>
      </c>
      <c r="V513" s="111"/>
      <c r="W513" s="59" t="s">
        <v>548</v>
      </c>
      <c r="X513" s="33" t="str">
        <f>+VLOOKUP(OtherClients[[#This Row],[Part]],PartControl!$A$2:$E$564,5,FALSE)</f>
        <v>infasco</v>
      </c>
      <c r="Y513" s="108">
        <f>IF(OtherClients[[#This Row],[Re-certified or New]]&lt;&gt;"Re-certified",IF(OtherClients[[#This Row],[Client]]="infasco",VLOOKUP(OtherClients[[#This Row],[Part]],PartControl!$A$2:$E$564,2,FALSE),OtherClients[[#This Row],[Total Quantity]]*VLOOKUP(OtherClients[[#This Row],[Part]],PartControl!$A$2:$E$564,2,FALSE)),0)</f>
        <v>135.07999999999998</v>
      </c>
      <c r="Z513" s="108">
        <f>IF(OtherClients[[#This Row],[Re-certified or New]]&lt;&gt;"Re-certified",IF(OtherClients[[#This Row],[Client]]="infasco",VLOOKUP(OtherClients[[#This Row],[Part]],PartControl!$A$2:$E$564,2,FALSE),OtherClients[[#This Row],[Total Quantity]]*VLOOKUP(OtherClients[[#This Row],[Part]],PartControl!$A$2:$E$564,2,FALSE)),0)</f>
        <v>135.07999999999998</v>
      </c>
    </row>
    <row r="514" spans="1:26" ht="25.15" hidden="1" customHeight="1" x14ac:dyDescent="0.25">
      <c r="A514" s="112">
        <v>46244.690833333334</v>
      </c>
      <c r="B514" s="5" t="s">
        <v>345</v>
      </c>
      <c r="C514" s="5" t="s">
        <v>670</v>
      </c>
      <c r="D514" s="5">
        <v>714572</v>
      </c>
      <c r="E514" s="33">
        <v>4</v>
      </c>
      <c r="F514" s="60">
        <v>520</v>
      </c>
      <c r="G514" s="60">
        <f>+OtherClients[[#This Row],[Boxes / Pieces]]*OtherClients[[#This Row],[Unit Quantity]]</f>
        <v>2080</v>
      </c>
      <c r="H514" s="60" t="s">
        <v>849</v>
      </c>
      <c r="I514" s="120" t="s">
        <v>278</v>
      </c>
      <c r="J514" s="121"/>
      <c r="K514" s="33" t="s">
        <v>278</v>
      </c>
      <c r="L514" s="122"/>
      <c r="M514" s="33" t="s">
        <v>278</v>
      </c>
      <c r="N514" s="122"/>
      <c r="O514" s="33" t="s">
        <v>278</v>
      </c>
      <c r="P514" s="122"/>
      <c r="Q514" s="33" t="s">
        <v>587</v>
      </c>
      <c r="R514" s="122"/>
      <c r="S514" s="33" t="s">
        <v>278</v>
      </c>
      <c r="T514" s="122"/>
      <c r="U514" s="33" t="s">
        <v>278</v>
      </c>
      <c r="V514" s="122"/>
      <c r="W514" s="59" t="s">
        <v>633</v>
      </c>
      <c r="X514" s="33" t="str">
        <f>+VLOOKUP(OtherClients[[#This Row],[Part]],PartControl!$A$2:$E$564,5,FALSE)</f>
        <v>infasco</v>
      </c>
      <c r="Y514" s="108">
        <f>IF(OtherClients[[#This Row],[Re-certified or New]]&lt;&gt;"Re-certified",IF(OtherClients[[#This Row],[Client]]="infasco",VLOOKUP(OtherClients[[#This Row],[Part]],PartControl!$A$2:$E$564,2,FALSE),OtherClients[[#This Row],[Total Quantity]]*VLOOKUP(OtherClients[[#This Row],[Part]],PartControl!$A$2:$E$564,2,FALSE)),0)</f>
        <v>0</v>
      </c>
      <c r="Z514" s="108">
        <f>IF(OtherClients[[#This Row],[Re-certified or New]]&lt;&gt;"Re-certified",IF(OtherClients[[#This Row],[Client]]="infasco",VLOOKUP(OtherClients[[#This Row],[Part]],PartControl!$A$2:$E$564,2,FALSE),OtherClients[[#This Row],[Total Quantity]]*VLOOKUP(OtherClients[[#This Row],[Part]],PartControl!$A$2:$E$564,2,FALSE)),0)</f>
        <v>0</v>
      </c>
    </row>
    <row r="515" spans="1:26" ht="25.15" hidden="1" customHeight="1" x14ac:dyDescent="0.25">
      <c r="A515" s="112">
        <v>46244.690833333334</v>
      </c>
      <c r="B515" s="5" t="s">
        <v>342</v>
      </c>
      <c r="C515" s="5" t="s">
        <v>670</v>
      </c>
      <c r="D515" s="5">
        <v>714573</v>
      </c>
      <c r="E515" s="33">
        <v>23</v>
      </c>
      <c r="F515" s="60">
        <v>520</v>
      </c>
      <c r="G515" s="60">
        <f>+OtherClients[[#This Row],[Boxes / Pieces]]*OtherClients[[#This Row],[Unit Quantity]]</f>
        <v>11960</v>
      </c>
      <c r="H515" s="60" t="s">
        <v>867</v>
      </c>
      <c r="I515" s="120" t="s">
        <v>278</v>
      </c>
      <c r="J515" s="121"/>
      <c r="K515" s="33" t="s">
        <v>278</v>
      </c>
      <c r="L515" s="122"/>
      <c r="M515" s="33" t="s">
        <v>278</v>
      </c>
      <c r="N515" s="122"/>
      <c r="O515" s="33" t="s">
        <v>278</v>
      </c>
      <c r="P515" s="122"/>
      <c r="Q515" s="33" t="s">
        <v>587</v>
      </c>
      <c r="R515" s="122"/>
      <c r="S515" s="33" t="s">
        <v>278</v>
      </c>
      <c r="T515" s="122"/>
      <c r="U515" s="33" t="s">
        <v>278</v>
      </c>
      <c r="V515" s="122"/>
      <c r="W515" s="59" t="s">
        <v>548</v>
      </c>
      <c r="X515" s="33" t="str">
        <f>+VLOOKUP(OtherClients[[#This Row],[Part]],PartControl!$A$2:$E$564,5,FALSE)</f>
        <v>infasco</v>
      </c>
      <c r="Y515" s="108">
        <f>IF(OtherClients[[#This Row],[Re-certified or New]]&lt;&gt;"Re-certified",IF(OtherClients[[#This Row],[Client]]="infasco",VLOOKUP(OtherClients[[#This Row],[Part]],PartControl!$A$2:$E$564,2,FALSE),OtherClients[[#This Row],[Total Quantity]]*VLOOKUP(OtherClients[[#This Row],[Part]],PartControl!$A$2:$E$564,2,FALSE)),0)</f>
        <v>135.07999999999998</v>
      </c>
      <c r="Z515" s="108">
        <f>IF(OtherClients[[#This Row],[Re-certified or New]]&lt;&gt;"Re-certified",IF(OtherClients[[#This Row],[Client]]="infasco",VLOOKUP(OtherClients[[#This Row],[Part]],PartControl!$A$2:$E$564,2,FALSE),OtherClients[[#This Row],[Total Quantity]]*VLOOKUP(OtherClients[[#This Row],[Part]],PartControl!$A$2:$E$564,2,FALSE)),0)</f>
        <v>135.07999999999998</v>
      </c>
    </row>
    <row r="516" spans="1:26" ht="25.15" hidden="1" customHeight="1" x14ac:dyDescent="0.25">
      <c r="A516" s="112">
        <v>46241.695208333331</v>
      </c>
      <c r="B516" s="5" t="s">
        <v>342</v>
      </c>
      <c r="C516" s="5" t="s">
        <v>306</v>
      </c>
      <c r="D516" s="5">
        <v>715665</v>
      </c>
      <c r="E516" s="33">
        <v>1</v>
      </c>
      <c r="F516" s="60">
        <v>36230</v>
      </c>
      <c r="G516" s="60">
        <f>+OtherClients[[#This Row],[Boxes / Pieces]]*OtherClients[[#This Row],[Unit Quantity]]</f>
        <v>36230</v>
      </c>
      <c r="H516" s="60" t="s">
        <v>811</v>
      </c>
      <c r="I516" s="60" t="s">
        <v>278</v>
      </c>
      <c r="J516" s="104"/>
      <c r="K516" s="33" t="s">
        <v>278</v>
      </c>
      <c r="L516" s="111"/>
      <c r="M516" s="33" t="s">
        <v>278</v>
      </c>
      <c r="N516" s="111"/>
      <c r="O516" s="33" t="s">
        <v>278</v>
      </c>
      <c r="P516" s="111"/>
      <c r="Q516" s="33" t="s">
        <v>587</v>
      </c>
      <c r="R516" s="111"/>
      <c r="S516" s="33" t="s">
        <v>278</v>
      </c>
      <c r="T516" s="111"/>
      <c r="U516" s="33" t="s">
        <v>278</v>
      </c>
      <c r="V516" s="111"/>
      <c r="W516" s="59" t="s">
        <v>548</v>
      </c>
      <c r="X516" s="33" t="str">
        <f>+VLOOKUP(OtherClients[[#This Row],[Part]],PartControl!$A$2:$E$564,5,FALSE)</f>
        <v>INFASCO</v>
      </c>
      <c r="Y516" s="108">
        <f>IF(OtherClients[[#This Row],[Re-certified or New]]&lt;&gt;"Re-certified",IF(OtherClients[[#This Row],[Client]]="infasco",VLOOKUP(OtherClients[[#This Row],[Part]],PartControl!$A$2:$E$564,2,FALSE),OtherClients[[#This Row],[Total Quantity]]*VLOOKUP(OtherClients[[#This Row],[Part]],PartControl!$A$2:$E$564,2,FALSE)),0)</f>
        <v>129.44999999999999</v>
      </c>
      <c r="Z516" s="108">
        <f>IF(OtherClients[[#This Row],[Re-certified or New]]&lt;&gt;"Re-certified",IF(OtherClients[[#This Row],[Client]]="infasco",VLOOKUP(OtherClients[[#This Row],[Part]],PartControl!$A$2:$E$564,2,FALSE),OtherClients[[#This Row],[Total Quantity]]*VLOOKUP(OtherClients[[#This Row],[Part]],PartControl!$A$2:$E$564,2,FALSE)),0)</f>
        <v>129.44999999999999</v>
      </c>
    </row>
    <row r="517" spans="1:26" ht="25.15" hidden="1" customHeight="1" x14ac:dyDescent="0.25">
      <c r="A517" s="112">
        <v>46241.695208333331</v>
      </c>
      <c r="B517" s="5" t="s">
        <v>343</v>
      </c>
      <c r="C517" s="5">
        <v>61273</v>
      </c>
      <c r="D517" s="5">
        <v>715674</v>
      </c>
      <c r="E517" s="33">
        <v>26</v>
      </c>
      <c r="F517" s="60">
        <v>300</v>
      </c>
      <c r="G517" s="60">
        <f>+OtherClients[[#This Row],[Boxes / Pieces]]*OtherClients[[#This Row],[Unit Quantity]]</f>
        <v>7800</v>
      </c>
      <c r="H517" s="60" t="s">
        <v>757</v>
      </c>
      <c r="I517" s="60" t="s">
        <v>278</v>
      </c>
      <c r="J517" s="104"/>
      <c r="K517" s="33" t="s">
        <v>278</v>
      </c>
      <c r="L517" s="111"/>
      <c r="M517" s="33" t="s">
        <v>278</v>
      </c>
      <c r="N517" s="111"/>
      <c r="O517" s="33" t="s">
        <v>278</v>
      </c>
      <c r="P517" s="111"/>
      <c r="Q517" s="33" t="s">
        <v>587</v>
      </c>
      <c r="R517" s="111"/>
      <c r="S517" s="33" t="s">
        <v>278</v>
      </c>
      <c r="T517" s="111"/>
      <c r="U517" s="33" t="s">
        <v>278</v>
      </c>
      <c r="V517" s="111"/>
      <c r="W517" s="59" t="s">
        <v>548</v>
      </c>
      <c r="X517" s="33" t="str">
        <f>+VLOOKUP(OtherClients[[#This Row],[Part]],PartControl!$A$2:$E$564,5,FALSE)</f>
        <v>infasco</v>
      </c>
      <c r="Y517" s="108">
        <f>IF(OtherClients[[#This Row],[Re-certified or New]]&lt;&gt;"Re-certified",IF(OtherClients[[#This Row],[Client]]="infasco",VLOOKUP(OtherClients[[#This Row],[Part]],PartControl!$A$2:$E$564,2,FALSE),OtherClients[[#This Row],[Total Quantity]]*VLOOKUP(OtherClients[[#This Row],[Part]],PartControl!$A$2:$E$564,2,FALSE)),0)</f>
        <v>135.07999999999998</v>
      </c>
      <c r="Z517" s="108">
        <f>IF(OtherClients[[#This Row],[Re-certified or New]]&lt;&gt;"Re-certified",IF(OtherClients[[#This Row],[Client]]="infasco",VLOOKUP(OtherClients[[#This Row],[Part]],PartControl!$A$2:$E$564,2,FALSE),OtherClients[[#This Row],[Total Quantity]]*VLOOKUP(OtherClients[[#This Row],[Part]],PartControl!$A$2:$E$564,2,FALSE)),0)</f>
        <v>135.07999999999998</v>
      </c>
    </row>
    <row r="518" spans="1:26" ht="25.15" hidden="1" customHeight="1" x14ac:dyDescent="0.25">
      <c r="A518" s="112">
        <v>46241.695208333331</v>
      </c>
      <c r="B518" s="5" t="s">
        <v>342</v>
      </c>
      <c r="C518" s="5">
        <v>61273</v>
      </c>
      <c r="D518" s="5">
        <v>715675</v>
      </c>
      <c r="E518" s="33">
        <v>23</v>
      </c>
      <c r="F518" s="60">
        <v>300</v>
      </c>
      <c r="G518" s="60">
        <f>+OtherClients[[#This Row],[Boxes / Pieces]]*OtherClients[[#This Row],[Unit Quantity]]</f>
        <v>6900</v>
      </c>
      <c r="H518" s="60" t="s">
        <v>811</v>
      </c>
      <c r="I518" s="60" t="s">
        <v>278</v>
      </c>
      <c r="J518" s="104"/>
      <c r="K518" s="33" t="s">
        <v>278</v>
      </c>
      <c r="L518" s="111"/>
      <c r="M518" s="33" t="s">
        <v>278</v>
      </c>
      <c r="N518" s="111"/>
      <c r="O518" s="33" t="s">
        <v>278</v>
      </c>
      <c r="P518" s="111"/>
      <c r="Q518" s="33" t="s">
        <v>587</v>
      </c>
      <c r="R518" s="111"/>
      <c r="S518" s="33" t="s">
        <v>278</v>
      </c>
      <c r="T518" s="111"/>
      <c r="U518" s="33" t="s">
        <v>278</v>
      </c>
      <c r="V518" s="111"/>
      <c r="W518" s="59" t="s">
        <v>548</v>
      </c>
      <c r="X518" s="33" t="str">
        <f>+VLOOKUP(OtherClients[[#This Row],[Part]],PartControl!$A$2:$E$564,5,FALSE)</f>
        <v>infasco</v>
      </c>
      <c r="Y518" s="108">
        <f>IF(OtherClients[[#This Row],[Re-certified or New]]&lt;&gt;"Re-certified",IF(OtherClients[[#This Row],[Client]]="infasco",VLOOKUP(OtherClients[[#This Row],[Part]],PartControl!$A$2:$E$564,2,FALSE),OtherClients[[#This Row],[Total Quantity]]*VLOOKUP(OtherClients[[#This Row],[Part]],PartControl!$A$2:$E$564,2,FALSE)),0)</f>
        <v>135.07999999999998</v>
      </c>
      <c r="Z518" s="108">
        <f>IF(OtherClients[[#This Row],[Re-certified or New]]&lt;&gt;"Re-certified",IF(OtherClients[[#This Row],[Client]]="infasco",VLOOKUP(OtherClients[[#This Row],[Part]],PartControl!$A$2:$E$564,2,FALSE),OtherClients[[#This Row],[Total Quantity]]*VLOOKUP(OtherClients[[#This Row],[Part]],PartControl!$A$2:$E$564,2,FALSE)),0)</f>
        <v>135.07999999999998</v>
      </c>
    </row>
    <row r="519" spans="1:26" ht="25.15" hidden="1" customHeight="1" x14ac:dyDescent="0.25">
      <c r="A519" s="112">
        <v>46241.695208333331</v>
      </c>
      <c r="B519" s="5" t="s">
        <v>345</v>
      </c>
      <c r="C519" s="5">
        <v>11602292</v>
      </c>
      <c r="D519" s="5">
        <v>715794</v>
      </c>
      <c r="E519" s="33">
        <v>27</v>
      </c>
      <c r="F519" s="60">
        <v>1000</v>
      </c>
      <c r="G519" s="60">
        <f>+OtherClients[[#This Row],[Boxes / Pieces]]*OtherClients[[#This Row],[Unit Quantity]]</f>
        <v>27000</v>
      </c>
      <c r="H519" s="60" t="s">
        <v>849</v>
      </c>
      <c r="I519" s="60" t="s">
        <v>278</v>
      </c>
      <c r="J519" s="104"/>
      <c r="K519" s="33" t="s">
        <v>278</v>
      </c>
      <c r="L519" s="111"/>
      <c r="M519" s="33" t="s">
        <v>278</v>
      </c>
      <c r="N519" s="111"/>
      <c r="O519" s="33" t="s">
        <v>278</v>
      </c>
      <c r="P519" s="111"/>
      <c r="Q519" s="33" t="s">
        <v>587</v>
      </c>
      <c r="R519" s="111"/>
      <c r="S519" s="33" t="s">
        <v>278</v>
      </c>
      <c r="T519" s="111"/>
      <c r="U519" s="33" t="s">
        <v>278</v>
      </c>
      <c r="V519" s="111"/>
      <c r="W519" s="59" t="s">
        <v>548</v>
      </c>
      <c r="X519" s="33" t="str">
        <f>+VLOOKUP(OtherClients[[#This Row],[Part]],PartControl!$A$2:$E$564,5,FALSE)</f>
        <v>INFASCO</v>
      </c>
      <c r="Y519" s="108">
        <f>IF(OtherClients[[#This Row],[Re-certified or New]]&lt;&gt;"Re-certified",IF(OtherClients[[#This Row],[Client]]="infasco",VLOOKUP(OtherClients[[#This Row],[Part]],PartControl!$A$2:$E$564,2,FALSE),OtherClients[[#This Row],[Total Quantity]]*VLOOKUP(OtherClients[[#This Row],[Part]],PartControl!$A$2:$E$564,2,FALSE)),0)</f>
        <v>135.07999999999998</v>
      </c>
      <c r="Z519" s="108">
        <f>IF(OtherClients[[#This Row],[Re-certified or New]]&lt;&gt;"Re-certified",IF(OtherClients[[#This Row],[Client]]="infasco",VLOOKUP(OtherClients[[#This Row],[Part]],PartControl!$A$2:$E$564,2,FALSE),OtherClients[[#This Row],[Total Quantity]]*VLOOKUP(OtherClients[[#This Row],[Part]],PartControl!$A$2:$E$564,2,FALSE)),0)</f>
        <v>135.07999999999998</v>
      </c>
    </row>
    <row r="520" spans="1:26" ht="25.15" hidden="1" customHeight="1" x14ac:dyDescent="0.25">
      <c r="A520" s="112">
        <v>46241.695208333331</v>
      </c>
      <c r="B520" s="5" t="s">
        <v>343</v>
      </c>
      <c r="C520" s="5">
        <v>11602292</v>
      </c>
      <c r="D520" s="5">
        <v>715795</v>
      </c>
      <c r="E520" s="33">
        <v>25</v>
      </c>
      <c r="F520" s="60">
        <v>1000</v>
      </c>
      <c r="G520" s="60">
        <f>+OtherClients[[#This Row],[Boxes / Pieces]]*OtherClients[[#This Row],[Unit Quantity]]</f>
        <v>25000</v>
      </c>
      <c r="H520" s="60" t="s">
        <v>757</v>
      </c>
      <c r="I520" s="60" t="s">
        <v>278</v>
      </c>
      <c r="J520" s="104"/>
      <c r="K520" s="33" t="s">
        <v>278</v>
      </c>
      <c r="L520" s="111"/>
      <c r="M520" s="33" t="s">
        <v>278</v>
      </c>
      <c r="N520" s="111"/>
      <c r="O520" s="33" t="s">
        <v>278</v>
      </c>
      <c r="P520" s="111"/>
      <c r="Q520" s="33" t="s">
        <v>587</v>
      </c>
      <c r="R520" s="111"/>
      <c r="S520" s="33" t="s">
        <v>278</v>
      </c>
      <c r="T520" s="111"/>
      <c r="U520" s="33" t="s">
        <v>278</v>
      </c>
      <c r="V520" s="111"/>
      <c r="W520" s="59" t="s">
        <v>548</v>
      </c>
      <c r="X520" s="33" t="str">
        <f>+VLOOKUP(OtherClients[[#This Row],[Part]],PartControl!$A$2:$E$564,5,FALSE)</f>
        <v>INFASCO</v>
      </c>
      <c r="Y520" s="108">
        <f>IF(OtherClients[[#This Row],[Re-certified or New]]&lt;&gt;"Re-certified",IF(OtherClients[[#This Row],[Client]]="infasco",VLOOKUP(OtherClients[[#This Row],[Part]],PartControl!$A$2:$E$564,2,FALSE),OtherClients[[#This Row],[Total Quantity]]*VLOOKUP(OtherClients[[#This Row],[Part]],PartControl!$A$2:$E$564,2,FALSE)),0)</f>
        <v>135.07999999999998</v>
      </c>
      <c r="Z520" s="108">
        <f>IF(OtherClients[[#This Row],[Re-certified or New]]&lt;&gt;"Re-certified",IF(OtherClients[[#This Row],[Client]]="infasco",VLOOKUP(OtherClients[[#This Row],[Part]],PartControl!$A$2:$E$564,2,FALSE),OtherClients[[#This Row],[Total Quantity]]*VLOOKUP(OtherClients[[#This Row],[Part]],PartControl!$A$2:$E$564,2,FALSE)),0)</f>
        <v>135.07999999999998</v>
      </c>
    </row>
    <row r="521" spans="1:26" ht="25.15" hidden="1" customHeight="1" x14ac:dyDescent="0.25">
      <c r="A521" s="112">
        <v>46244.690833333334</v>
      </c>
      <c r="B521" s="5" t="s">
        <v>345</v>
      </c>
      <c r="C521" s="5" t="s">
        <v>14</v>
      </c>
      <c r="D521" s="5">
        <v>715841</v>
      </c>
      <c r="E521" s="33">
        <v>30</v>
      </c>
      <c r="F521" s="60">
        <v>75</v>
      </c>
      <c r="G521" s="60">
        <f>+OtherClients[[#This Row],[Boxes / Pieces]]*OtherClients[[#This Row],[Unit Quantity]]</f>
        <v>2250</v>
      </c>
      <c r="H521" s="60" t="s">
        <v>849</v>
      </c>
      <c r="I521" s="120" t="s">
        <v>278</v>
      </c>
      <c r="J521" s="121"/>
      <c r="K521" s="33" t="s">
        <v>278</v>
      </c>
      <c r="L521" s="122"/>
      <c r="M521" s="33" t="s">
        <v>278</v>
      </c>
      <c r="N521" s="122"/>
      <c r="O521" s="33" t="s">
        <v>278</v>
      </c>
      <c r="P521" s="122"/>
      <c r="Q521" s="33" t="s">
        <v>587</v>
      </c>
      <c r="R521" s="122"/>
      <c r="S521" s="33" t="s">
        <v>278</v>
      </c>
      <c r="T521" s="122"/>
      <c r="U521" s="33" t="s">
        <v>278</v>
      </c>
      <c r="V521" s="122"/>
      <c r="W521" s="59" t="s">
        <v>548</v>
      </c>
      <c r="X521" s="33" t="str">
        <f>+VLOOKUP(OtherClients[[#This Row],[Part]],PartControl!$A$2:$E$564,5,FALSE)</f>
        <v>INFASCO</v>
      </c>
      <c r="Y521" s="108">
        <f>IF(OtherClients[[#This Row],[Re-certified or New]]&lt;&gt;"Re-certified",IF(OtherClients[[#This Row],[Client]]="infasco",VLOOKUP(OtherClients[[#This Row],[Part]],PartControl!$A$2:$E$564,2,FALSE),OtherClients[[#This Row],[Total Quantity]]*VLOOKUP(OtherClients[[#This Row],[Part]],PartControl!$A$2:$E$564,2,FALSE)),0)</f>
        <v>135.07999999999998</v>
      </c>
      <c r="Z521" s="108">
        <f>IF(OtherClients[[#This Row],[Re-certified or New]]&lt;&gt;"Re-certified",IF(OtherClients[[#This Row],[Client]]="infasco",VLOOKUP(OtherClients[[#This Row],[Part]],PartControl!$A$2:$E$564,2,FALSE),OtherClients[[#This Row],[Total Quantity]]*VLOOKUP(OtherClients[[#This Row],[Part]],PartControl!$A$2:$E$564,2,FALSE)),0)</f>
        <v>135.07999999999998</v>
      </c>
    </row>
    <row r="522" spans="1:26" ht="25.15" hidden="1" customHeight="1" x14ac:dyDescent="0.25">
      <c r="A522" s="112">
        <v>46241.695208333331</v>
      </c>
      <c r="B522" s="5" t="s">
        <v>342</v>
      </c>
      <c r="C522" s="5" t="s">
        <v>14</v>
      </c>
      <c r="D522" s="5">
        <v>715842</v>
      </c>
      <c r="E522" s="33">
        <v>9</v>
      </c>
      <c r="F522" s="60">
        <v>75</v>
      </c>
      <c r="G522" s="60">
        <f>+OtherClients[[#This Row],[Boxes / Pieces]]*OtherClients[[#This Row],[Unit Quantity]]</f>
        <v>675</v>
      </c>
      <c r="H522" s="60" t="s">
        <v>811</v>
      </c>
      <c r="I522" s="60" t="s">
        <v>278</v>
      </c>
      <c r="J522" s="104"/>
      <c r="K522" s="33" t="s">
        <v>278</v>
      </c>
      <c r="L522" s="111"/>
      <c r="M522" s="33" t="s">
        <v>278</v>
      </c>
      <c r="N522" s="111"/>
      <c r="O522" s="33" t="s">
        <v>278</v>
      </c>
      <c r="P522" s="111"/>
      <c r="Q522" s="33" t="s">
        <v>587</v>
      </c>
      <c r="R522" s="111"/>
      <c r="S522" s="33" t="s">
        <v>278</v>
      </c>
      <c r="T522" s="111"/>
      <c r="U522" s="33" t="s">
        <v>278</v>
      </c>
      <c r="V522" s="111"/>
      <c r="W522" s="59" t="s">
        <v>633</v>
      </c>
      <c r="X522" s="33" t="str">
        <f>+VLOOKUP(OtherClients[[#This Row],[Part]],PartControl!$A$2:$E$564,5,FALSE)</f>
        <v>INFASCO</v>
      </c>
      <c r="Y522" s="108">
        <f>IF(OtherClients[[#This Row],[Re-certified or New]]&lt;&gt;"Re-certified",IF(OtherClients[[#This Row],[Client]]="infasco",VLOOKUP(OtherClients[[#This Row],[Part]],PartControl!$A$2:$E$564,2,FALSE),OtherClients[[#This Row],[Total Quantity]]*VLOOKUP(OtherClients[[#This Row],[Part]],PartControl!$A$2:$E$564,2,FALSE)),0)</f>
        <v>0</v>
      </c>
      <c r="Z522" s="108">
        <f>IF(OtherClients[[#This Row],[Re-certified or New]]&lt;&gt;"Re-certified",IF(OtherClients[[#This Row],[Client]]="infasco",VLOOKUP(OtherClients[[#This Row],[Part]],PartControl!$A$2:$E$564,2,FALSE),OtherClients[[#This Row],[Total Quantity]]*VLOOKUP(OtherClients[[#This Row],[Part]],PartControl!$A$2:$E$564,2,FALSE)),0)</f>
        <v>0</v>
      </c>
    </row>
    <row r="523" spans="1:26" ht="25.15" hidden="1" customHeight="1" x14ac:dyDescent="0.25">
      <c r="A523" s="112">
        <v>46244.690833333334</v>
      </c>
      <c r="B523" s="5" t="s">
        <v>343</v>
      </c>
      <c r="C523" s="5" t="s">
        <v>14</v>
      </c>
      <c r="D523" s="5">
        <v>715844</v>
      </c>
      <c r="E523" s="33">
        <v>33</v>
      </c>
      <c r="F523" s="60">
        <v>75</v>
      </c>
      <c r="G523" s="60">
        <f>+OtherClients[[#This Row],[Boxes / Pieces]]*OtherClients[[#This Row],[Unit Quantity]]</f>
        <v>2475</v>
      </c>
      <c r="H523" s="60" t="s">
        <v>757</v>
      </c>
      <c r="I523" s="120" t="s">
        <v>278</v>
      </c>
      <c r="J523" s="121"/>
      <c r="K523" s="33" t="s">
        <v>278</v>
      </c>
      <c r="L523" s="122"/>
      <c r="M523" s="33" t="s">
        <v>278</v>
      </c>
      <c r="N523" s="122"/>
      <c r="O523" s="33" t="s">
        <v>278</v>
      </c>
      <c r="P523" s="122"/>
      <c r="Q523" s="33" t="s">
        <v>587</v>
      </c>
      <c r="R523" s="122"/>
      <c r="S523" s="33" t="s">
        <v>278</v>
      </c>
      <c r="T523" s="122"/>
      <c r="U523" s="33" t="s">
        <v>278</v>
      </c>
      <c r="V523" s="122"/>
      <c r="W523" s="59" t="s">
        <v>548</v>
      </c>
      <c r="X523" s="33" t="str">
        <f>+VLOOKUP(OtherClients[[#This Row],[Part]],PartControl!$A$2:$E$564,5,FALSE)</f>
        <v>INFASCO</v>
      </c>
      <c r="Y523" s="108">
        <f>IF(OtherClients[[#This Row],[Re-certified or New]]&lt;&gt;"Re-certified",IF(OtherClients[[#This Row],[Client]]="infasco",VLOOKUP(OtherClients[[#This Row],[Part]],PartControl!$A$2:$E$564,2,FALSE),OtherClients[[#This Row],[Total Quantity]]*VLOOKUP(OtherClients[[#This Row],[Part]],PartControl!$A$2:$E$564,2,FALSE)),0)</f>
        <v>135.07999999999998</v>
      </c>
      <c r="Z523" s="108">
        <f>IF(OtherClients[[#This Row],[Re-certified or New]]&lt;&gt;"Re-certified",IF(OtherClients[[#This Row],[Client]]="infasco",VLOOKUP(OtherClients[[#This Row],[Part]],PartControl!$A$2:$E$564,2,FALSE),OtherClients[[#This Row],[Total Quantity]]*VLOOKUP(OtherClients[[#This Row],[Part]],PartControl!$A$2:$E$564,2,FALSE)),0)</f>
        <v>135.07999999999998</v>
      </c>
    </row>
    <row r="524" spans="1:26" ht="25.15" hidden="1" customHeight="1" x14ac:dyDescent="0.25">
      <c r="A524" s="112">
        <v>46244.690833333334</v>
      </c>
      <c r="B524" s="5" t="s">
        <v>343</v>
      </c>
      <c r="C524" s="5">
        <v>11549204</v>
      </c>
      <c r="D524" s="5">
        <v>715872</v>
      </c>
      <c r="E524" s="33">
        <v>20</v>
      </c>
      <c r="F524" s="60">
        <v>210</v>
      </c>
      <c r="G524" s="60">
        <f>+OtherClients[[#This Row],[Boxes / Pieces]]*OtherClients[[#This Row],[Unit Quantity]]</f>
        <v>4200</v>
      </c>
      <c r="H524" s="60" t="s">
        <v>757</v>
      </c>
      <c r="I524" s="120" t="s">
        <v>278</v>
      </c>
      <c r="J524" s="121"/>
      <c r="K524" s="33" t="s">
        <v>278</v>
      </c>
      <c r="L524" s="122"/>
      <c r="M524" s="33" t="s">
        <v>278</v>
      </c>
      <c r="N524" s="122"/>
      <c r="O524" s="33" t="s">
        <v>278</v>
      </c>
      <c r="P524" s="122"/>
      <c r="Q524" s="33" t="s">
        <v>587</v>
      </c>
      <c r="R524" s="122"/>
      <c r="S524" s="33" t="s">
        <v>278</v>
      </c>
      <c r="T524" s="122"/>
      <c r="U524" s="33" t="s">
        <v>278</v>
      </c>
      <c r="V524" s="122"/>
      <c r="W524" s="59" t="s">
        <v>548</v>
      </c>
      <c r="X524" s="33" t="str">
        <f>+VLOOKUP(OtherClients[[#This Row],[Part]],PartControl!$A$2:$E$564,5,FALSE)</f>
        <v>INFASCO</v>
      </c>
      <c r="Y524" s="108">
        <f>IF(OtherClients[[#This Row],[Re-certified or New]]&lt;&gt;"Re-certified",IF(OtherClients[[#This Row],[Client]]="infasco",VLOOKUP(OtherClients[[#This Row],[Part]],PartControl!$A$2:$E$564,2,FALSE),OtherClients[[#This Row],[Total Quantity]]*VLOOKUP(OtherClients[[#This Row],[Part]],PartControl!$A$2:$E$564,2,FALSE)),0)</f>
        <v>106.94</v>
      </c>
      <c r="Z524" s="108">
        <f>IF(OtherClients[[#This Row],[Re-certified or New]]&lt;&gt;"Re-certified",IF(OtherClients[[#This Row],[Client]]="infasco",VLOOKUP(OtherClients[[#This Row],[Part]],PartControl!$A$2:$E$564,2,FALSE),OtherClients[[#This Row],[Total Quantity]]*VLOOKUP(OtherClients[[#This Row],[Part]],PartControl!$A$2:$E$564,2,FALSE)),0)</f>
        <v>106.94</v>
      </c>
    </row>
    <row r="525" spans="1:26" ht="25.15" hidden="1" customHeight="1" x14ac:dyDescent="0.25">
      <c r="A525" s="112">
        <v>46244.690833333334</v>
      </c>
      <c r="B525" s="5" t="s">
        <v>345</v>
      </c>
      <c r="C525" s="5">
        <v>11549204</v>
      </c>
      <c r="D525" s="5">
        <v>715873</v>
      </c>
      <c r="E525" s="33">
        <v>42</v>
      </c>
      <c r="F525" s="60">
        <v>210</v>
      </c>
      <c r="G525" s="60">
        <f>+OtherClients[[#This Row],[Boxes / Pieces]]*OtherClients[[#This Row],[Unit Quantity]]</f>
        <v>8820</v>
      </c>
      <c r="H525" s="60" t="s">
        <v>849</v>
      </c>
      <c r="I525" s="120" t="s">
        <v>278</v>
      </c>
      <c r="J525" s="121"/>
      <c r="K525" s="33" t="s">
        <v>278</v>
      </c>
      <c r="L525" s="122"/>
      <c r="M525" s="33" t="s">
        <v>278</v>
      </c>
      <c r="N525" s="122"/>
      <c r="O525" s="33" t="s">
        <v>278</v>
      </c>
      <c r="P525" s="122"/>
      <c r="Q525" s="33" t="s">
        <v>587</v>
      </c>
      <c r="R525" s="122"/>
      <c r="S525" s="33" t="s">
        <v>278</v>
      </c>
      <c r="T525" s="122"/>
      <c r="U525" s="33" t="s">
        <v>278</v>
      </c>
      <c r="V525" s="122"/>
      <c r="W525" s="59" t="s">
        <v>548</v>
      </c>
      <c r="X525" s="33" t="str">
        <f>+VLOOKUP(OtherClients[[#This Row],[Part]],PartControl!$A$2:$E$564,5,FALSE)</f>
        <v>INFASCO</v>
      </c>
      <c r="Y525" s="108">
        <f>IF(OtherClients[[#This Row],[Re-certified or New]]&lt;&gt;"Re-certified",IF(OtherClients[[#This Row],[Client]]="infasco",VLOOKUP(OtherClients[[#This Row],[Part]],PartControl!$A$2:$E$564,2,FALSE),OtherClients[[#This Row],[Total Quantity]]*VLOOKUP(OtherClients[[#This Row],[Part]],PartControl!$A$2:$E$564,2,FALSE)),0)</f>
        <v>106.94</v>
      </c>
      <c r="Z525" s="108">
        <f>IF(OtherClients[[#This Row],[Re-certified or New]]&lt;&gt;"Re-certified",IF(OtherClients[[#This Row],[Client]]="infasco",VLOOKUP(OtherClients[[#This Row],[Part]],PartControl!$A$2:$E$564,2,FALSE),OtherClients[[#This Row],[Total Quantity]]*VLOOKUP(OtherClients[[#This Row],[Part]],PartControl!$A$2:$E$564,2,FALSE)),0)</f>
        <v>106.94</v>
      </c>
    </row>
    <row r="526" spans="1:26" ht="25.15" hidden="1" customHeight="1" x14ac:dyDescent="0.25">
      <c r="A526" s="112">
        <v>46244.690833333334</v>
      </c>
      <c r="B526" s="5" t="s">
        <v>342</v>
      </c>
      <c r="C526" s="5">
        <v>11549204</v>
      </c>
      <c r="D526" s="5">
        <v>715874</v>
      </c>
      <c r="E526" s="33">
        <f>36+14</f>
        <v>50</v>
      </c>
      <c r="F526" s="60">
        <v>210</v>
      </c>
      <c r="G526" s="60">
        <f>+OtherClients[[#This Row],[Boxes / Pieces]]*OtherClients[[#This Row],[Unit Quantity]]</f>
        <v>10500</v>
      </c>
      <c r="H526" s="60" t="s">
        <v>867</v>
      </c>
      <c r="I526" s="120" t="s">
        <v>278</v>
      </c>
      <c r="J526" s="121"/>
      <c r="K526" s="33" t="s">
        <v>278</v>
      </c>
      <c r="L526" s="122"/>
      <c r="M526" s="33" t="s">
        <v>278</v>
      </c>
      <c r="N526" s="122"/>
      <c r="O526" s="33" t="s">
        <v>278</v>
      </c>
      <c r="P526" s="122"/>
      <c r="Q526" s="33" t="s">
        <v>587</v>
      </c>
      <c r="R526" s="122"/>
      <c r="S526" s="33" t="s">
        <v>278</v>
      </c>
      <c r="T526" s="122"/>
      <c r="U526" s="33" t="s">
        <v>278</v>
      </c>
      <c r="V526" s="122"/>
      <c r="W526" s="59" t="s">
        <v>548</v>
      </c>
      <c r="X526" s="33" t="str">
        <f>+VLOOKUP(OtherClients[[#This Row],[Part]],PartControl!$A$2:$E$564,5,FALSE)</f>
        <v>INFASCO</v>
      </c>
      <c r="Y526" s="108">
        <f>IF(OtherClients[[#This Row],[Re-certified or New]]&lt;&gt;"Re-certified",IF(OtherClients[[#This Row],[Client]]="infasco",VLOOKUP(OtherClients[[#This Row],[Part]],PartControl!$A$2:$E$564,2,FALSE),OtherClients[[#This Row],[Total Quantity]]*VLOOKUP(OtherClients[[#This Row],[Part]],PartControl!$A$2:$E$564,2,FALSE)),0)</f>
        <v>106.94</v>
      </c>
      <c r="Z526" s="108">
        <f>IF(OtherClients[[#This Row],[Re-certified or New]]&lt;&gt;"Re-certified",IF(OtherClients[[#This Row],[Client]]="infasco",VLOOKUP(OtherClients[[#This Row],[Part]],PartControl!$A$2:$E$564,2,FALSE),OtherClients[[#This Row],[Total Quantity]]*VLOOKUP(OtherClients[[#This Row],[Part]],PartControl!$A$2:$E$564,2,FALSE)),0)</f>
        <v>106.94</v>
      </c>
    </row>
    <row r="527" spans="1:26" ht="25.15" hidden="1" customHeight="1" x14ac:dyDescent="0.25">
      <c r="A527" s="112">
        <v>46244.690833333334</v>
      </c>
      <c r="B527" s="5" t="s">
        <v>342</v>
      </c>
      <c r="C527" s="5">
        <v>11549204</v>
      </c>
      <c r="D527" s="5">
        <v>715875</v>
      </c>
      <c r="E527" s="33">
        <v>36</v>
      </c>
      <c r="F527" s="60">
        <v>210</v>
      </c>
      <c r="G527" s="60">
        <f>+OtherClients[[#This Row],[Boxes / Pieces]]*OtherClients[[#This Row],[Unit Quantity]]</f>
        <v>7560</v>
      </c>
      <c r="H527" s="60" t="s">
        <v>867</v>
      </c>
      <c r="I527" s="120" t="s">
        <v>278</v>
      </c>
      <c r="J527" s="121"/>
      <c r="K527" s="33" t="s">
        <v>278</v>
      </c>
      <c r="L527" s="122"/>
      <c r="M527" s="33" t="s">
        <v>278</v>
      </c>
      <c r="N527" s="122"/>
      <c r="O527" s="33" t="s">
        <v>278</v>
      </c>
      <c r="P527" s="122"/>
      <c r="Q527" s="33" t="s">
        <v>587</v>
      </c>
      <c r="R527" s="122"/>
      <c r="S527" s="33" t="s">
        <v>278</v>
      </c>
      <c r="T527" s="122"/>
      <c r="U527" s="33" t="s">
        <v>278</v>
      </c>
      <c r="V527" s="122"/>
      <c r="W527" s="59" t="s">
        <v>548</v>
      </c>
      <c r="X527" s="33" t="str">
        <f>+VLOOKUP(OtherClients[[#This Row],[Part]],PartControl!$A$2:$E$564,5,FALSE)</f>
        <v>INFASCO</v>
      </c>
      <c r="Y527" s="108">
        <f>IF(OtherClients[[#This Row],[Re-certified or New]]&lt;&gt;"Re-certified",IF(OtherClients[[#This Row],[Client]]="infasco",VLOOKUP(OtherClients[[#This Row],[Part]],PartControl!$A$2:$E$564,2,FALSE),OtherClients[[#This Row],[Total Quantity]]*VLOOKUP(OtherClients[[#This Row],[Part]],PartControl!$A$2:$E$564,2,FALSE)),0)</f>
        <v>106.94</v>
      </c>
      <c r="Z527" s="108">
        <f>IF(OtherClients[[#This Row],[Re-certified or New]]&lt;&gt;"Re-certified",IF(OtherClients[[#This Row],[Client]]="infasco",VLOOKUP(OtherClients[[#This Row],[Part]],PartControl!$A$2:$E$564,2,FALSE),OtherClients[[#This Row],[Total Quantity]]*VLOOKUP(OtherClients[[#This Row],[Part]],PartControl!$A$2:$E$564,2,FALSE)),0)</f>
        <v>106.94</v>
      </c>
    </row>
    <row r="528" spans="1:26" ht="25.15" hidden="1" customHeight="1" x14ac:dyDescent="0.25">
      <c r="A528" s="112">
        <v>46244.690833333334</v>
      </c>
      <c r="B528" s="5" t="s">
        <v>343</v>
      </c>
      <c r="C528" s="5">
        <v>11549204</v>
      </c>
      <c r="D528" s="5">
        <v>715877</v>
      </c>
      <c r="E528" s="33">
        <v>36</v>
      </c>
      <c r="F528" s="60">
        <v>210</v>
      </c>
      <c r="G528" s="60">
        <f>+OtherClients[[#This Row],[Boxes / Pieces]]*OtherClients[[#This Row],[Unit Quantity]]</f>
        <v>7560</v>
      </c>
      <c r="H528" s="60" t="s">
        <v>757</v>
      </c>
      <c r="I528" s="120" t="s">
        <v>278</v>
      </c>
      <c r="J528" s="121"/>
      <c r="K528" s="33" t="s">
        <v>278</v>
      </c>
      <c r="L528" s="122"/>
      <c r="M528" s="33" t="s">
        <v>278</v>
      </c>
      <c r="N528" s="122"/>
      <c r="O528" s="33" t="s">
        <v>278</v>
      </c>
      <c r="P528" s="122"/>
      <c r="Q528" s="33" t="s">
        <v>587</v>
      </c>
      <c r="R528" s="122"/>
      <c r="S528" s="33" t="s">
        <v>278</v>
      </c>
      <c r="T528" s="122"/>
      <c r="U528" s="33" t="s">
        <v>278</v>
      </c>
      <c r="V528" s="122"/>
      <c r="W528" s="59" t="s">
        <v>548</v>
      </c>
      <c r="X528" s="33" t="str">
        <f>+VLOOKUP(OtherClients[[#This Row],[Part]],PartControl!$A$2:$E$564,5,FALSE)</f>
        <v>INFASCO</v>
      </c>
      <c r="Y528" s="108">
        <f>IF(OtherClients[[#This Row],[Re-certified or New]]&lt;&gt;"Re-certified",IF(OtherClients[[#This Row],[Client]]="infasco",VLOOKUP(OtherClients[[#This Row],[Part]],PartControl!$A$2:$E$564,2,FALSE),OtherClients[[#This Row],[Total Quantity]]*VLOOKUP(OtherClients[[#This Row],[Part]],PartControl!$A$2:$E$564,2,FALSE)),0)</f>
        <v>106.94</v>
      </c>
      <c r="Z528" s="108">
        <f>IF(OtherClients[[#This Row],[Re-certified or New]]&lt;&gt;"Re-certified",IF(OtherClients[[#This Row],[Client]]="infasco",VLOOKUP(OtherClients[[#This Row],[Part]],PartControl!$A$2:$E$564,2,FALSE),OtherClients[[#This Row],[Total Quantity]]*VLOOKUP(OtherClients[[#This Row],[Part]],PartControl!$A$2:$E$564,2,FALSE)),0)</f>
        <v>106.94</v>
      </c>
    </row>
    <row r="529" spans="1:26" ht="25.15" hidden="1" customHeight="1" x14ac:dyDescent="0.25">
      <c r="A529" s="112">
        <v>46244.690833333334</v>
      </c>
      <c r="B529" s="5" t="s">
        <v>343</v>
      </c>
      <c r="C529" s="5">
        <v>11549204</v>
      </c>
      <c r="D529" s="5">
        <v>715878</v>
      </c>
      <c r="E529" s="33">
        <v>20</v>
      </c>
      <c r="F529" s="60">
        <v>210</v>
      </c>
      <c r="G529" s="60">
        <f>+OtherClients[[#This Row],[Boxes / Pieces]]*OtherClients[[#This Row],[Unit Quantity]]</f>
        <v>4200</v>
      </c>
      <c r="H529" s="60" t="s">
        <v>757</v>
      </c>
      <c r="I529" s="120" t="s">
        <v>278</v>
      </c>
      <c r="J529" s="121"/>
      <c r="K529" s="33" t="s">
        <v>278</v>
      </c>
      <c r="L529" s="122"/>
      <c r="M529" s="33" t="s">
        <v>278</v>
      </c>
      <c r="N529" s="122"/>
      <c r="O529" s="33" t="s">
        <v>278</v>
      </c>
      <c r="P529" s="122"/>
      <c r="Q529" s="33" t="s">
        <v>587</v>
      </c>
      <c r="R529" s="122"/>
      <c r="S529" s="33" t="s">
        <v>278</v>
      </c>
      <c r="T529" s="122"/>
      <c r="U529" s="33" t="s">
        <v>278</v>
      </c>
      <c r="V529" s="122"/>
      <c r="W529" s="59" t="s">
        <v>548</v>
      </c>
      <c r="X529" s="33" t="str">
        <f>+VLOOKUP(OtherClients[[#This Row],[Part]],PartControl!$A$2:$E$564,5,FALSE)</f>
        <v>INFASCO</v>
      </c>
      <c r="Y529" s="108">
        <f>IF(OtherClients[[#This Row],[Re-certified or New]]&lt;&gt;"Re-certified",IF(OtherClients[[#This Row],[Client]]="infasco",VLOOKUP(OtherClients[[#This Row],[Part]],PartControl!$A$2:$E$564,2,FALSE),OtherClients[[#This Row],[Total Quantity]]*VLOOKUP(OtherClients[[#This Row],[Part]],PartControl!$A$2:$E$564,2,FALSE)),0)</f>
        <v>106.94</v>
      </c>
      <c r="Z529" s="108">
        <f>IF(OtherClients[[#This Row],[Re-certified or New]]&lt;&gt;"Re-certified",IF(OtherClients[[#This Row],[Client]]="infasco",VLOOKUP(OtherClients[[#This Row],[Part]],PartControl!$A$2:$E$564,2,FALSE),OtherClients[[#This Row],[Total Quantity]]*VLOOKUP(OtherClients[[#This Row],[Part]],PartControl!$A$2:$E$564,2,FALSE)),0)</f>
        <v>106.94</v>
      </c>
    </row>
    <row r="530" spans="1:26" ht="25.15" hidden="1" customHeight="1" x14ac:dyDescent="0.25">
      <c r="A530" s="112">
        <v>46244.690833333334</v>
      </c>
      <c r="B530" s="5" t="s">
        <v>346</v>
      </c>
      <c r="C530" s="5">
        <v>11548535</v>
      </c>
      <c r="D530" s="5">
        <v>713509</v>
      </c>
      <c r="E530" s="33">
        <v>37</v>
      </c>
      <c r="F530" s="60">
        <v>150</v>
      </c>
      <c r="G530" s="60">
        <f>+OtherClients[[#This Row],[Boxes / Pieces]]*OtherClients[[#This Row],[Unit Quantity]]</f>
        <v>5550</v>
      </c>
      <c r="H530" s="60" t="s">
        <v>871</v>
      </c>
      <c r="I530" s="120" t="s">
        <v>278</v>
      </c>
      <c r="J530" s="121"/>
      <c r="K530" s="33" t="s">
        <v>278</v>
      </c>
      <c r="L530" s="122"/>
      <c r="M530" s="33" t="s">
        <v>278</v>
      </c>
      <c r="N530" s="122"/>
      <c r="O530" s="33" t="s">
        <v>278</v>
      </c>
      <c r="P530" s="122"/>
      <c r="Q530" s="33" t="s">
        <v>587</v>
      </c>
      <c r="R530" s="122"/>
      <c r="S530" s="33" t="s">
        <v>278</v>
      </c>
      <c r="T530" s="122"/>
      <c r="U530" s="33" t="s">
        <v>278</v>
      </c>
      <c r="V530" s="122"/>
      <c r="W530" s="59" t="s">
        <v>548</v>
      </c>
      <c r="X530" s="33" t="str">
        <f>+VLOOKUP(OtherClients[[#This Row],[Part]],PartControl!$A$2:$E$564,5,FALSE)</f>
        <v>infasco</v>
      </c>
      <c r="Y530" s="108">
        <f>IF(OtherClients[[#This Row],[Re-certified or New]]&lt;&gt;"Re-certified",IF(OtherClients[[#This Row],[Client]]="infasco",VLOOKUP(OtherClients[[#This Row],[Part]],PartControl!$A$2:$E$564,2,FALSE),OtherClients[[#This Row],[Total Quantity]]*VLOOKUP(OtherClients[[#This Row],[Part]],PartControl!$A$2:$E$564,2,FALSE)),0)</f>
        <v>106.94</v>
      </c>
      <c r="Z530" s="108">
        <f>IF(OtherClients[[#This Row],[Re-certified or New]]&lt;&gt;"Re-certified",IF(OtherClients[[#This Row],[Client]]="infasco",VLOOKUP(OtherClients[[#This Row],[Part]],PartControl!$A$2:$E$564,2,FALSE),OtherClients[[#This Row],[Total Quantity]]*VLOOKUP(OtherClients[[#This Row],[Part]],PartControl!$A$2:$E$564,2,FALSE)),0)</f>
        <v>106.94</v>
      </c>
    </row>
    <row r="531" spans="1:26" ht="25.15" hidden="1" customHeight="1" x14ac:dyDescent="0.25">
      <c r="A531" s="112">
        <v>46244.690833333334</v>
      </c>
      <c r="B531" s="5" t="s">
        <v>346</v>
      </c>
      <c r="C531" s="5" t="s">
        <v>643</v>
      </c>
      <c r="D531" s="5">
        <v>714074</v>
      </c>
      <c r="E531" s="33">
        <v>38</v>
      </c>
      <c r="F531" s="60">
        <v>700</v>
      </c>
      <c r="G531" s="60">
        <f>+OtherClients[[#This Row],[Boxes / Pieces]]*OtherClients[[#This Row],[Unit Quantity]]</f>
        <v>26600</v>
      </c>
      <c r="H531" s="60" t="s">
        <v>871</v>
      </c>
      <c r="I531" s="120" t="s">
        <v>278</v>
      </c>
      <c r="J531" s="121"/>
      <c r="K531" s="33" t="s">
        <v>278</v>
      </c>
      <c r="L531" s="122"/>
      <c r="M531" s="33" t="s">
        <v>278</v>
      </c>
      <c r="N531" s="122"/>
      <c r="O531" s="33" t="s">
        <v>278</v>
      </c>
      <c r="P531" s="122"/>
      <c r="Q531" s="33" t="s">
        <v>587</v>
      </c>
      <c r="R531" s="122"/>
      <c r="S531" s="33" t="s">
        <v>278</v>
      </c>
      <c r="T531" s="122"/>
      <c r="U531" s="33" t="s">
        <v>278</v>
      </c>
      <c r="V531" s="122"/>
      <c r="W531" s="59" t="s">
        <v>548</v>
      </c>
      <c r="X531" s="33" t="str">
        <f>+VLOOKUP(OtherClients[[#This Row],[Part]],PartControl!$A$2:$E$564,5,FALSE)</f>
        <v>infasco</v>
      </c>
      <c r="Y531" s="108">
        <f>IF(OtherClients[[#This Row],[Re-certified or New]]&lt;&gt;"Re-certified",IF(OtherClients[[#This Row],[Client]]="infasco",VLOOKUP(OtherClients[[#This Row],[Part]],PartControl!$A$2:$E$564,2,FALSE),OtherClients[[#This Row],[Total Quantity]]*VLOOKUP(OtherClients[[#This Row],[Part]],PartControl!$A$2:$E$564,2,FALSE)),0)</f>
        <v>135.07999999999998</v>
      </c>
      <c r="Z531" s="108">
        <f>IF(OtherClients[[#This Row],[Re-certified or New]]&lt;&gt;"Re-certified",IF(OtherClients[[#This Row],[Client]]="infasco",VLOOKUP(OtherClients[[#This Row],[Part]],PartControl!$A$2:$E$564,2,FALSE),OtherClients[[#This Row],[Total Quantity]]*VLOOKUP(OtherClients[[#This Row],[Part]],PartControl!$A$2:$E$564,2,FALSE)),0)</f>
        <v>135.07999999999998</v>
      </c>
    </row>
    <row r="532" spans="1:26" ht="25.15" hidden="1" customHeight="1" x14ac:dyDescent="0.25">
      <c r="A532" s="112">
        <v>46244.690833333334</v>
      </c>
      <c r="B532" s="5" t="s">
        <v>346</v>
      </c>
      <c r="C532" s="5">
        <v>11610376</v>
      </c>
      <c r="D532" s="5">
        <v>714281</v>
      </c>
      <c r="E532" s="33">
        <v>29</v>
      </c>
      <c r="F532" s="60">
        <v>900</v>
      </c>
      <c r="G532" s="60">
        <f>+OtherClients[[#This Row],[Boxes / Pieces]]*OtherClients[[#This Row],[Unit Quantity]]</f>
        <v>26100</v>
      </c>
      <c r="H532" s="60" t="s">
        <v>871</v>
      </c>
      <c r="I532" s="120" t="s">
        <v>278</v>
      </c>
      <c r="J532" s="121"/>
      <c r="K532" s="33" t="s">
        <v>278</v>
      </c>
      <c r="L532" s="122"/>
      <c r="M532" s="33" t="s">
        <v>278</v>
      </c>
      <c r="N532" s="122"/>
      <c r="O532" s="33" t="s">
        <v>278</v>
      </c>
      <c r="P532" s="122"/>
      <c r="Q532" s="33" t="s">
        <v>587</v>
      </c>
      <c r="R532" s="122"/>
      <c r="S532" s="33" t="s">
        <v>278</v>
      </c>
      <c r="T532" s="122"/>
      <c r="U532" s="33" t="s">
        <v>278</v>
      </c>
      <c r="V532" s="122"/>
      <c r="W532" s="59" t="s">
        <v>548</v>
      </c>
      <c r="X532" s="33" t="str">
        <f>+VLOOKUP(OtherClients[[#This Row],[Part]],PartControl!$A$2:$E$564,5,FALSE)</f>
        <v>infasco</v>
      </c>
      <c r="Y532" s="108">
        <f>IF(OtherClients[[#This Row],[Re-certified or New]]&lt;&gt;"Re-certified",IF(OtherClients[[#This Row],[Client]]="infasco",VLOOKUP(OtherClients[[#This Row],[Part]],PartControl!$A$2:$E$564,2,FALSE),OtherClients[[#This Row],[Total Quantity]]*VLOOKUP(OtherClients[[#This Row],[Part]],PartControl!$A$2:$E$564,2,FALSE)),0)</f>
        <v>106.94</v>
      </c>
      <c r="Z532" s="108">
        <f>IF(OtherClients[[#This Row],[Re-certified or New]]&lt;&gt;"Re-certified",IF(OtherClients[[#This Row],[Client]]="infasco",VLOOKUP(OtherClients[[#This Row],[Part]],PartControl!$A$2:$E$564,2,FALSE),OtherClients[[#This Row],[Total Quantity]]*VLOOKUP(OtherClients[[#This Row],[Part]],PartControl!$A$2:$E$564,2,FALSE)),0)</f>
        <v>106.94</v>
      </c>
    </row>
    <row r="533" spans="1:26" ht="25.15" hidden="1" customHeight="1" x14ac:dyDescent="0.25">
      <c r="A533" s="112">
        <v>46244.690833333334</v>
      </c>
      <c r="B533" s="5" t="s">
        <v>346</v>
      </c>
      <c r="C533" s="5">
        <v>11549204</v>
      </c>
      <c r="D533" s="5">
        <v>715884</v>
      </c>
      <c r="E533" s="33">
        <v>42</v>
      </c>
      <c r="F533" s="60">
        <v>210</v>
      </c>
      <c r="G533" s="60">
        <f>+OtherClients[[#This Row],[Boxes / Pieces]]*OtherClients[[#This Row],[Unit Quantity]]</f>
        <v>8820</v>
      </c>
      <c r="H533" s="60" t="s">
        <v>871</v>
      </c>
      <c r="I533" s="120" t="s">
        <v>278</v>
      </c>
      <c r="J533" s="121"/>
      <c r="K533" s="33" t="s">
        <v>278</v>
      </c>
      <c r="L533" s="122"/>
      <c r="M533" s="33" t="s">
        <v>278</v>
      </c>
      <c r="N533" s="122"/>
      <c r="O533" s="33" t="s">
        <v>278</v>
      </c>
      <c r="P533" s="122"/>
      <c r="Q533" s="33" t="s">
        <v>587</v>
      </c>
      <c r="R533" s="122"/>
      <c r="S533" s="33" t="s">
        <v>278</v>
      </c>
      <c r="T533" s="122"/>
      <c r="U533" s="33" t="s">
        <v>278</v>
      </c>
      <c r="V533" s="122"/>
      <c r="W533" s="59" t="s">
        <v>548</v>
      </c>
      <c r="X533" s="33" t="str">
        <f>+VLOOKUP(OtherClients[[#This Row],[Part]],PartControl!$A$2:$E$564,5,FALSE)</f>
        <v>INFASCO</v>
      </c>
      <c r="Y533" s="108">
        <f>IF(OtherClients[[#This Row],[Re-certified or New]]&lt;&gt;"Re-certified",IF(OtherClients[[#This Row],[Client]]="infasco",VLOOKUP(OtherClients[[#This Row],[Part]],PartControl!$A$2:$E$564,2,FALSE),OtherClients[[#This Row],[Total Quantity]]*VLOOKUP(OtherClients[[#This Row],[Part]],PartControl!$A$2:$E$564,2,FALSE)),0)</f>
        <v>106.94</v>
      </c>
      <c r="Z533" s="108">
        <f>IF(OtherClients[[#This Row],[Re-certified or New]]&lt;&gt;"Re-certified",IF(OtherClients[[#This Row],[Client]]="infasco",VLOOKUP(OtherClients[[#This Row],[Part]],PartControl!$A$2:$E$564,2,FALSE),OtherClients[[#This Row],[Total Quantity]]*VLOOKUP(OtherClients[[#This Row],[Part]],PartControl!$A$2:$E$564,2,FALSE)),0)</f>
        <v>106.94</v>
      </c>
    </row>
    <row r="534" spans="1:26" ht="25.15" hidden="1" customHeight="1" x14ac:dyDescent="0.25">
      <c r="A534" s="112">
        <v>46244.690833333334</v>
      </c>
      <c r="B534" s="5" t="s">
        <v>346</v>
      </c>
      <c r="C534" s="5" t="s">
        <v>795</v>
      </c>
      <c r="D534" s="5">
        <v>715684</v>
      </c>
      <c r="E534" s="33">
        <v>26</v>
      </c>
      <c r="F534" s="60">
        <v>800</v>
      </c>
      <c r="G534" s="60">
        <f>+OtherClients[[#This Row],[Boxes / Pieces]]*OtherClients[[#This Row],[Unit Quantity]]</f>
        <v>20800</v>
      </c>
      <c r="H534" s="60" t="s">
        <v>871</v>
      </c>
      <c r="I534" s="120" t="s">
        <v>278</v>
      </c>
      <c r="J534" s="121"/>
      <c r="K534" s="33" t="s">
        <v>278</v>
      </c>
      <c r="L534" s="122"/>
      <c r="M534" s="33" t="s">
        <v>278</v>
      </c>
      <c r="N534" s="122"/>
      <c r="O534" s="33" t="s">
        <v>278</v>
      </c>
      <c r="P534" s="122"/>
      <c r="Q534" s="33" t="s">
        <v>587</v>
      </c>
      <c r="R534" s="122"/>
      <c r="S534" s="33" t="s">
        <v>278</v>
      </c>
      <c r="T534" s="122"/>
      <c r="U534" s="33" t="s">
        <v>278</v>
      </c>
      <c r="V534" s="122"/>
      <c r="W534" s="59" t="s">
        <v>548</v>
      </c>
      <c r="X534" s="33" t="str">
        <f>+VLOOKUP(OtherClients[[#This Row],[Part]],PartControl!$A$2:$E$564,5,FALSE)</f>
        <v>infasco</v>
      </c>
      <c r="Y534" s="108">
        <f>IF(OtherClients[[#This Row],[Re-certified or New]]&lt;&gt;"Re-certified",IF(OtherClients[[#This Row],[Client]]="infasco",VLOOKUP(OtherClients[[#This Row],[Part]],PartControl!$A$2:$E$564,2,FALSE),OtherClients[[#This Row],[Total Quantity]]*VLOOKUP(OtherClients[[#This Row],[Part]],PartControl!$A$2:$E$564,2,FALSE)),0)</f>
        <v>280.16000000000003</v>
      </c>
      <c r="Z534" s="108">
        <f>IF(OtherClients[[#This Row],[Re-certified or New]]&lt;&gt;"Re-certified",IF(OtherClients[[#This Row],[Client]]="infasco",VLOOKUP(OtherClients[[#This Row],[Part]],PartControl!$A$2:$E$564,2,FALSE),OtherClients[[#This Row],[Total Quantity]]*VLOOKUP(OtherClients[[#This Row],[Part]],PartControl!$A$2:$E$564,2,FALSE)),0)</f>
        <v>280.16000000000003</v>
      </c>
    </row>
    <row r="535" spans="1:26" ht="25.15" hidden="1" customHeight="1" x14ac:dyDescent="0.25">
      <c r="A535" s="112">
        <v>46244.690833333334</v>
      </c>
      <c r="B535" s="5" t="s">
        <v>346</v>
      </c>
      <c r="C535" s="5" t="s">
        <v>14</v>
      </c>
      <c r="D535" s="5">
        <v>715840</v>
      </c>
      <c r="E535" s="33">
        <v>33</v>
      </c>
      <c r="F535" s="60">
        <v>75</v>
      </c>
      <c r="G535" s="60">
        <f>+OtherClients[[#This Row],[Boxes / Pieces]]*OtherClients[[#This Row],[Unit Quantity]]</f>
        <v>2475</v>
      </c>
      <c r="H535" s="60" t="s">
        <v>871</v>
      </c>
      <c r="I535" s="120" t="s">
        <v>278</v>
      </c>
      <c r="J535" s="121"/>
      <c r="K535" s="33" t="s">
        <v>278</v>
      </c>
      <c r="L535" s="122"/>
      <c r="M535" s="33" t="s">
        <v>278</v>
      </c>
      <c r="N535" s="122"/>
      <c r="O535" s="33" t="s">
        <v>278</v>
      </c>
      <c r="P535" s="122"/>
      <c r="Q535" s="33" t="s">
        <v>587</v>
      </c>
      <c r="R535" s="122"/>
      <c r="S535" s="33" t="s">
        <v>278</v>
      </c>
      <c r="T535" s="122"/>
      <c r="U535" s="33" t="s">
        <v>278</v>
      </c>
      <c r="V535" s="122"/>
      <c r="W535" s="59" t="s">
        <v>548</v>
      </c>
      <c r="X535" s="33" t="str">
        <f>+VLOOKUP(OtherClients[[#This Row],[Part]],PartControl!$A$2:$E$564,5,FALSE)</f>
        <v>INFASCO</v>
      </c>
      <c r="Y535" s="108">
        <f>IF(OtherClients[[#This Row],[Re-certified or New]]&lt;&gt;"Re-certified",IF(OtherClients[[#This Row],[Client]]="infasco",VLOOKUP(OtherClients[[#This Row],[Part]],PartControl!$A$2:$E$564,2,FALSE),OtherClients[[#This Row],[Total Quantity]]*VLOOKUP(OtherClients[[#This Row],[Part]],PartControl!$A$2:$E$564,2,FALSE)),0)</f>
        <v>135.07999999999998</v>
      </c>
      <c r="Z535" s="108">
        <f>IF(OtherClients[[#This Row],[Re-certified or New]]&lt;&gt;"Re-certified",IF(OtherClients[[#This Row],[Client]]="infasco",VLOOKUP(OtherClients[[#This Row],[Part]],PartControl!$A$2:$E$564,2,FALSE),OtherClients[[#This Row],[Total Quantity]]*VLOOKUP(OtherClients[[#This Row],[Part]],PartControl!$A$2:$E$564,2,FALSE)),0)</f>
        <v>135.07999999999998</v>
      </c>
    </row>
    <row r="536" spans="1:26" ht="25.15" hidden="1" customHeight="1" x14ac:dyDescent="0.25">
      <c r="A536" s="112">
        <v>46244.690833333334</v>
      </c>
      <c r="B536" s="5" t="s">
        <v>346</v>
      </c>
      <c r="C536" s="5">
        <v>11548414</v>
      </c>
      <c r="D536" s="5">
        <v>716167</v>
      </c>
      <c r="E536" s="33">
        <v>40</v>
      </c>
      <c r="F536" s="60">
        <v>485</v>
      </c>
      <c r="G536" s="60">
        <f>+OtherClients[[#This Row],[Boxes / Pieces]]*OtherClients[[#This Row],[Unit Quantity]]</f>
        <v>19400</v>
      </c>
      <c r="H536" s="60" t="s">
        <v>871</v>
      </c>
      <c r="I536" s="120" t="s">
        <v>278</v>
      </c>
      <c r="J536" s="121"/>
      <c r="K536" s="33" t="s">
        <v>278</v>
      </c>
      <c r="L536" s="122"/>
      <c r="M536" s="33" t="s">
        <v>278</v>
      </c>
      <c r="N536" s="122"/>
      <c r="O536" s="33" t="s">
        <v>278</v>
      </c>
      <c r="P536" s="122"/>
      <c r="Q536" s="33" t="s">
        <v>587</v>
      </c>
      <c r="R536" s="122"/>
      <c r="S536" s="33" t="s">
        <v>278</v>
      </c>
      <c r="T536" s="122"/>
      <c r="U536" s="33" t="s">
        <v>278</v>
      </c>
      <c r="V536" s="122"/>
      <c r="W536" s="59" t="s">
        <v>548</v>
      </c>
      <c r="X536" s="33" t="str">
        <f>+VLOOKUP(OtherClients[[#This Row],[Part]],PartControl!$A$2:$E$564,5,FALSE)</f>
        <v>INFASCO</v>
      </c>
      <c r="Y536" s="108">
        <f>IF(OtherClients[[#This Row],[Re-certified or New]]&lt;&gt;"Re-certified",IF(OtherClients[[#This Row],[Client]]="infasco",VLOOKUP(OtherClients[[#This Row],[Part]],PartControl!$A$2:$E$564,2,FALSE),OtherClients[[#This Row],[Total Quantity]]*VLOOKUP(OtherClients[[#This Row],[Part]],PartControl!$A$2:$E$564,2,FALSE)),0)</f>
        <v>106.94</v>
      </c>
      <c r="Z536" s="108">
        <f>IF(OtherClients[[#This Row],[Re-certified or New]]&lt;&gt;"Re-certified",IF(OtherClients[[#This Row],[Client]]="infasco",VLOOKUP(OtherClients[[#This Row],[Part]],PartControl!$A$2:$E$564,2,FALSE),OtherClients[[#This Row],[Total Quantity]]*VLOOKUP(OtherClients[[#This Row],[Part]],PartControl!$A$2:$E$564,2,FALSE)),0)</f>
        <v>106.94</v>
      </c>
    </row>
    <row r="537" spans="1:26" ht="25.15" hidden="1" customHeight="1" x14ac:dyDescent="0.25">
      <c r="A537" s="112">
        <v>46244.690833333334</v>
      </c>
      <c r="B537" s="5" t="s">
        <v>346</v>
      </c>
      <c r="C537" s="5" t="s">
        <v>695</v>
      </c>
      <c r="D537" s="5">
        <v>714708</v>
      </c>
      <c r="E537" s="33">
        <v>20</v>
      </c>
      <c r="F537" s="60">
        <v>600</v>
      </c>
      <c r="G537" s="60">
        <f>+OtherClients[[#This Row],[Boxes / Pieces]]*OtherClients[[#This Row],[Unit Quantity]]</f>
        <v>12000</v>
      </c>
      <c r="H537" s="60" t="s">
        <v>871</v>
      </c>
      <c r="I537" s="120" t="s">
        <v>278</v>
      </c>
      <c r="J537" s="121"/>
      <c r="K537" s="33" t="s">
        <v>278</v>
      </c>
      <c r="L537" s="122"/>
      <c r="M537" s="33" t="s">
        <v>278</v>
      </c>
      <c r="N537" s="122"/>
      <c r="O537" s="33" t="s">
        <v>278</v>
      </c>
      <c r="P537" s="122"/>
      <c r="Q537" s="33" t="s">
        <v>587</v>
      </c>
      <c r="R537" s="122"/>
      <c r="S537" s="33" t="s">
        <v>278</v>
      </c>
      <c r="T537" s="122"/>
      <c r="U537" s="33" t="s">
        <v>278</v>
      </c>
      <c r="V537" s="122"/>
      <c r="W537" s="59" t="s">
        <v>633</v>
      </c>
      <c r="X537" s="33" t="str">
        <f>+VLOOKUP(OtherClients[[#This Row],[Part]],PartControl!$A$2:$E$564,5,FALSE)</f>
        <v>infasco</v>
      </c>
      <c r="Y537" s="108">
        <f>IF(OtherClients[[#This Row],[Re-certified or New]]&lt;&gt;"Re-certified",IF(OtherClients[[#This Row],[Client]]="infasco",VLOOKUP(OtherClients[[#This Row],[Part]],PartControl!$A$2:$E$564,2,FALSE),OtherClients[[#This Row],[Total Quantity]]*VLOOKUP(OtherClients[[#This Row],[Part]],PartControl!$A$2:$E$564,2,FALSE)),0)</f>
        <v>0</v>
      </c>
      <c r="Z537" s="108">
        <f>IF(OtherClients[[#This Row],[Re-certified or New]]&lt;&gt;"Re-certified",IF(OtherClients[[#This Row],[Client]]="infasco",VLOOKUP(OtherClients[[#This Row],[Part]],PartControl!$A$2:$E$564,2,FALSE),OtherClients[[#This Row],[Total Quantity]]*VLOOKUP(OtherClients[[#This Row],[Part]],PartControl!$A$2:$E$564,2,FALSE)),0)</f>
        <v>0</v>
      </c>
    </row>
    <row r="538" spans="1:26" ht="25.15" hidden="1" customHeight="1" x14ac:dyDescent="0.25">
      <c r="A538" s="112">
        <v>46244.690833333334</v>
      </c>
      <c r="B538" s="5" t="s">
        <v>249</v>
      </c>
      <c r="C538" s="5">
        <v>11612078</v>
      </c>
      <c r="D538" s="5">
        <v>707327</v>
      </c>
      <c r="E538" s="33">
        <v>12</v>
      </c>
      <c r="F538" s="60">
        <v>1850</v>
      </c>
      <c r="G538" s="60">
        <f>+OtherClients[[#This Row],[Boxes / Pieces]]*OtherClients[[#This Row],[Unit Quantity]]</f>
        <v>22200</v>
      </c>
      <c r="H538" s="60">
        <v>4</v>
      </c>
      <c r="I538" s="120" t="s">
        <v>278</v>
      </c>
      <c r="J538" s="121"/>
      <c r="K538" s="33" t="s">
        <v>278</v>
      </c>
      <c r="L538" s="122"/>
      <c r="M538" s="33" t="s">
        <v>278</v>
      </c>
      <c r="N538" s="122"/>
      <c r="O538" s="33" t="s">
        <v>278</v>
      </c>
      <c r="P538" s="122"/>
      <c r="Q538" s="33" t="s">
        <v>587</v>
      </c>
      <c r="R538" s="122"/>
      <c r="S538" s="33" t="s">
        <v>278</v>
      </c>
      <c r="T538" s="122"/>
      <c r="U538" s="33" t="s">
        <v>278</v>
      </c>
      <c r="V538" s="122"/>
      <c r="W538" s="59" t="s">
        <v>633</v>
      </c>
      <c r="X538" s="33" t="str">
        <f>+VLOOKUP(OtherClients[[#This Row],[Part]],PartControl!$A$2:$E$564,5,FALSE)</f>
        <v>infasco</v>
      </c>
      <c r="Y538" s="108">
        <f>IF(OtherClients[[#This Row],[Re-certified or New]]&lt;&gt;"Re-certified",IF(OtherClients[[#This Row],[Client]]="infasco",VLOOKUP(OtherClients[[#This Row],[Part]],PartControl!$A$2:$E$564,2,FALSE),OtherClients[[#This Row],[Total Quantity]]*VLOOKUP(OtherClients[[#This Row],[Part]],PartControl!$A$2:$E$564,2,FALSE)),0)</f>
        <v>0</v>
      </c>
      <c r="Z538" s="108">
        <f>IF(OtherClients[[#This Row],[Re-certified or New]]&lt;&gt;"Re-certified",IF(OtherClients[[#This Row],[Client]]="infasco",VLOOKUP(OtherClients[[#This Row],[Part]],PartControl!$A$2:$E$564,2,FALSE),OtherClients[[#This Row],[Total Quantity]]*VLOOKUP(OtherClients[[#This Row],[Part]],PartControl!$A$2:$E$564,2,FALSE)),0)</f>
        <v>0</v>
      </c>
    </row>
    <row r="539" spans="1:26" ht="25.15" hidden="1" customHeight="1" x14ac:dyDescent="0.25">
      <c r="A539" s="112">
        <v>46244.690833333334</v>
      </c>
      <c r="B539" s="5" t="s">
        <v>343</v>
      </c>
      <c r="C539" s="5">
        <v>11549204</v>
      </c>
      <c r="D539" s="5">
        <v>715879</v>
      </c>
      <c r="E539" s="33">
        <v>35</v>
      </c>
      <c r="F539" s="60">
        <v>210</v>
      </c>
      <c r="G539" s="60">
        <f>+OtherClients[[#This Row],[Boxes / Pieces]]*OtherClients[[#This Row],[Unit Quantity]]</f>
        <v>7350</v>
      </c>
      <c r="H539" s="60" t="s">
        <v>757</v>
      </c>
      <c r="I539" s="120" t="s">
        <v>278</v>
      </c>
      <c r="J539" s="121"/>
      <c r="K539" s="33" t="s">
        <v>278</v>
      </c>
      <c r="L539" s="122"/>
      <c r="M539" s="33" t="s">
        <v>278</v>
      </c>
      <c r="N539" s="122"/>
      <c r="O539" s="33" t="s">
        <v>278</v>
      </c>
      <c r="P539" s="122"/>
      <c r="Q539" s="33" t="s">
        <v>587</v>
      </c>
      <c r="R539" s="122"/>
      <c r="S539" s="33" t="s">
        <v>278</v>
      </c>
      <c r="T539" s="122"/>
      <c r="U539" s="33" t="s">
        <v>278</v>
      </c>
      <c r="V539" s="122"/>
      <c r="W539" s="59" t="s">
        <v>548</v>
      </c>
      <c r="X539" s="33" t="str">
        <f>+VLOOKUP(OtherClients[[#This Row],[Part]],PartControl!$A$2:$E$564,5,FALSE)</f>
        <v>INFASCO</v>
      </c>
      <c r="Y539" s="108">
        <f>IF(OtherClients[[#This Row],[Re-certified or New]]&lt;&gt;"Re-certified",IF(OtherClients[[#This Row],[Client]]="infasco",VLOOKUP(OtherClients[[#This Row],[Part]],PartControl!$A$2:$E$564,2,FALSE),OtherClients[[#This Row],[Total Quantity]]*VLOOKUP(OtherClients[[#This Row],[Part]],PartControl!$A$2:$E$564,2,FALSE)),0)</f>
        <v>106.94</v>
      </c>
      <c r="Z539" s="108">
        <f>IF(OtherClients[[#This Row],[Re-certified or New]]&lt;&gt;"Re-certified",IF(OtherClients[[#This Row],[Client]]="infasco",VLOOKUP(OtherClients[[#This Row],[Part]],PartControl!$A$2:$E$564,2,FALSE),OtherClients[[#This Row],[Total Quantity]]*VLOOKUP(OtherClients[[#This Row],[Part]],PartControl!$A$2:$E$564,2,FALSE)),0)</f>
        <v>106.94</v>
      </c>
    </row>
    <row r="540" spans="1:26" ht="25.15" hidden="1" customHeight="1" x14ac:dyDescent="0.25">
      <c r="A540" s="112">
        <v>46244.690833333334</v>
      </c>
      <c r="B540" s="5" t="s">
        <v>345</v>
      </c>
      <c r="C540" s="5">
        <v>11549204</v>
      </c>
      <c r="D540" s="5">
        <v>715880</v>
      </c>
      <c r="E540" s="33">
        <v>36</v>
      </c>
      <c r="F540" s="60">
        <v>210</v>
      </c>
      <c r="G540" s="60">
        <f>+OtherClients[[#This Row],[Boxes / Pieces]]*OtherClients[[#This Row],[Unit Quantity]]</f>
        <v>7560</v>
      </c>
      <c r="H540" s="60" t="s">
        <v>849</v>
      </c>
      <c r="I540" s="120" t="s">
        <v>278</v>
      </c>
      <c r="J540" s="121"/>
      <c r="K540" s="33" t="s">
        <v>278</v>
      </c>
      <c r="L540" s="122"/>
      <c r="M540" s="33" t="s">
        <v>278</v>
      </c>
      <c r="N540" s="122"/>
      <c r="O540" s="33" t="s">
        <v>278</v>
      </c>
      <c r="P540" s="122"/>
      <c r="Q540" s="33" t="s">
        <v>587</v>
      </c>
      <c r="R540" s="122"/>
      <c r="S540" s="33" t="s">
        <v>278</v>
      </c>
      <c r="T540" s="122"/>
      <c r="U540" s="33" t="s">
        <v>278</v>
      </c>
      <c r="V540" s="122"/>
      <c r="W540" s="59" t="s">
        <v>548</v>
      </c>
      <c r="X540" s="33" t="str">
        <f>+VLOOKUP(OtherClients[[#This Row],[Part]],PartControl!$A$2:$E$564,5,FALSE)</f>
        <v>INFASCO</v>
      </c>
      <c r="Y540" s="108">
        <f>IF(OtherClients[[#This Row],[Re-certified or New]]&lt;&gt;"Re-certified",IF(OtherClients[[#This Row],[Client]]="infasco",VLOOKUP(OtherClients[[#This Row],[Part]],PartControl!$A$2:$E$564,2,FALSE),OtherClients[[#This Row],[Total Quantity]]*VLOOKUP(OtherClients[[#This Row],[Part]],PartControl!$A$2:$E$564,2,FALSE)),0)</f>
        <v>106.94</v>
      </c>
      <c r="Z540" s="108">
        <f>IF(OtherClients[[#This Row],[Re-certified or New]]&lt;&gt;"Re-certified",IF(OtherClients[[#This Row],[Client]]="infasco",VLOOKUP(OtherClients[[#This Row],[Part]],PartControl!$A$2:$E$564,2,FALSE),OtherClients[[#This Row],[Total Quantity]]*VLOOKUP(OtherClients[[#This Row],[Part]],PartControl!$A$2:$E$564,2,FALSE)),0)</f>
        <v>106.94</v>
      </c>
    </row>
    <row r="541" spans="1:26" ht="25.15" hidden="1" customHeight="1" x14ac:dyDescent="0.25">
      <c r="A541" s="112">
        <v>46244.690833333334</v>
      </c>
      <c r="B541" s="5" t="s">
        <v>345</v>
      </c>
      <c r="C541" s="5">
        <v>11549204</v>
      </c>
      <c r="D541" s="5">
        <v>715881</v>
      </c>
      <c r="E541" s="33">
        <v>39</v>
      </c>
      <c r="F541" s="60">
        <v>210</v>
      </c>
      <c r="G541" s="60">
        <f>+OtherClients[[#This Row],[Boxes / Pieces]]*OtherClients[[#This Row],[Unit Quantity]]</f>
        <v>8190</v>
      </c>
      <c r="H541" s="60" t="s">
        <v>849</v>
      </c>
      <c r="I541" s="120" t="s">
        <v>278</v>
      </c>
      <c r="J541" s="121"/>
      <c r="K541" s="33" t="s">
        <v>278</v>
      </c>
      <c r="L541" s="122"/>
      <c r="M541" s="33" t="s">
        <v>278</v>
      </c>
      <c r="N541" s="122"/>
      <c r="O541" s="33" t="s">
        <v>278</v>
      </c>
      <c r="P541" s="122"/>
      <c r="Q541" s="33" t="s">
        <v>587</v>
      </c>
      <c r="R541" s="122"/>
      <c r="S541" s="33" t="s">
        <v>278</v>
      </c>
      <c r="T541" s="122"/>
      <c r="U541" s="33" t="s">
        <v>278</v>
      </c>
      <c r="V541" s="122"/>
      <c r="W541" s="59" t="s">
        <v>548</v>
      </c>
      <c r="X541" s="33" t="str">
        <f>+VLOOKUP(OtherClients[[#This Row],[Part]],PartControl!$A$2:$E$564,5,FALSE)</f>
        <v>INFASCO</v>
      </c>
      <c r="Y541" s="108">
        <f>IF(OtherClients[[#This Row],[Re-certified or New]]&lt;&gt;"Re-certified",IF(OtherClients[[#This Row],[Client]]="infasco",VLOOKUP(OtherClients[[#This Row],[Part]],PartControl!$A$2:$E$564,2,FALSE),OtherClients[[#This Row],[Total Quantity]]*VLOOKUP(OtherClients[[#This Row],[Part]],PartControl!$A$2:$E$564,2,FALSE)),0)</f>
        <v>106.94</v>
      </c>
      <c r="Z541" s="108">
        <f>IF(OtherClients[[#This Row],[Re-certified or New]]&lt;&gt;"Re-certified",IF(OtherClients[[#This Row],[Client]]="infasco",VLOOKUP(OtherClients[[#This Row],[Part]],PartControl!$A$2:$E$564,2,FALSE),OtherClients[[#This Row],[Total Quantity]]*VLOOKUP(OtherClients[[#This Row],[Part]],PartControl!$A$2:$E$564,2,FALSE)),0)</f>
        <v>106.94</v>
      </c>
    </row>
    <row r="542" spans="1:26" ht="25.15" hidden="1" customHeight="1" x14ac:dyDescent="0.25">
      <c r="A542" s="112">
        <v>46244.690833333334</v>
      </c>
      <c r="B542" s="5" t="s">
        <v>342</v>
      </c>
      <c r="C542" s="5">
        <v>11549204</v>
      </c>
      <c r="D542" s="5">
        <v>715885</v>
      </c>
      <c r="E542" s="33">
        <v>36</v>
      </c>
      <c r="F542" s="60">
        <v>210</v>
      </c>
      <c r="G542" s="60">
        <f>+OtherClients[[#This Row],[Boxes / Pieces]]*OtherClients[[#This Row],[Unit Quantity]]</f>
        <v>7560</v>
      </c>
      <c r="H542" s="60" t="s">
        <v>867</v>
      </c>
      <c r="I542" s="120" t="s">
        <v>278</v>
      </c>
      <c r="J542" s="121"/>
      <c r="K542" s="33" t="s">
        <v>278</v>
      </c>
      <c r="L542" s="122"/>
      <c r="M542" s="33" t="s">
        <v>278</v>
      </c>
      <c r="N542" s="122"/>
      <c r="O542" s="33" t="s">
        <v>278</v>
      </c>
      <c r="P542" s="122"/>
      <c r="Q542" s="33" t="s">
        <v>587</v>
      </c>
      <c r="R542" s="122"/>
      <c r="S542" s="33" t="s">
        <v>278</v>
      </c>
      <c r="T542" s="122"/>
      <c r="U542" s="33" t="s">
        <v>278</v>
      </c>
      <c r="V542" s="122"/>
      <c r="W542" s="59" t="s">
        <v>548</v>
      </c>
      <c r="X542" s="33" t="str">
        <f>+VLOOKUP(OtherClients[[#This Row],[Part]],PartControl!$A$2:$E$564,5,FALSE)</f>
        <v>INFASCO</v>
      </c>
      <c r="Y542" s="108">
        <f>IF(OtherClients[[#This Row],[Re-certified or New]]&lt;&gt;"Re-certified",IF(OtherClients[[#This Row],[Client]]="infasco",VLOOKUP(OtherClients[[#This Row],[Part]],PartControl!$A$2:$E$564,2,FALSE),OtherClients[[#This Row],[Total Quantity]]*VLOOKUP(OtherClients[[#This Row],[Part]],PartControl!$A$2:$E$564,2,FALSE)),0)</f>
        <v>106.94</v>
      </c>
      <c r="Z542" s="108">
        <f>IF(OtherClients[[#This Row],[Re-certified or New]]&lt;&gt;"Re-certified",IF(OtherClients[[#This Row],[Client]]="infasco",VLOOKUP(OtherClients[[#This Row],[Part]],PartControl!$A$2:$E$564,2,FALSE),OtherClients[[#This Row],[Total Quantity]]*VLOOKUP(OtherClients[[#This Row],[Part]],PartControl!$A$2:$E$564,2,FALSE)),0)</f>
        <v>106.94</v>
      </c>
    </row>
    <row r="543" spans="1:26" ht="25.15" hidden="1" customHeight="1" x14ac:dyDescent="0.25">
      <c r="A543" s="112">
        <v>46244.690833333334</v>
      </c>
      <c r="B543" s="5" t="s">
        <v>342</v>
      </c>
      <c r="C543" s="5">
        <v>11548414</v>
      </c>
      <c r="D543" s="5">
        <v>716166</v>
      </c>
      <c r="E543" s="33">
        <v>36</v>
      </c>
      <c r="F543" s="60">
        <v>485</v>
      </c>
      <c r="G543" s="60">
        <f>+OtherClients[[#This Row],[Boxes / Pieces]]*OtherClients[[#This Row],[Unit Quantity]]</f>
        <v>17460</v>
      </c>
      <c r="H543" s="60" t="s">
        <v>867</v>
      </c>
      <c r="I543" s="120" t="s">
        <v>278</v>
      </c>
      <c r="J543" s="121"/>
      <c r="K543" s="33" t="s">
        <v>278</v>
      </c>
      <c r="L543" s="122"/>
      <c r="M543" s="33" t="s">
        <v>278</v>
      </c>
      <c r="N543" s="122"/>
      <c r="O543" s="33" t="s">
        <v>278</v>
      </c>
      <c r="P543" s="122"/>
      <c r="Q543" s="33" t="s">
        <v>587</v>
      </c>
      <c r="R543" s="122"/>
      <c r="S543" s="33" t="s">
        <v>278</v>
      </c>
      <c r="T543" s="122"/>
      <c r="U543" s="33" t="s">
        <v>278</v>
      </c>
      <c r="V543" s="122"/>
      <c r="W543" s="59" t="s">
        <v>548</v>
      </c>
      <c r="X543" s="33" t="str">
        <f>+VLOOKUP(OtherClients[[#This Row],[Part]],PartControl!$A$2:$E$564,5,FALSE)</f>
        <v>INFASCO</v>
      </c>
      <c r="Y543" s="108">
        <f>IF(OtherClients[[#This Row],[Re-certified or New]]&lt;&gt;"Re-certified",IF(OtherClients[[#This Row],[Client]]="infasco",VLOOKUP(OtherClients[[#This Row],[Part]],PartControl!$A$2:$E$564,2,FALSE),OtherClients[[#This Row],[Total Quantity]]*VLOOKUP(OtherClients[[#This Row],[Part]],PartControl!$A$2:$E$564,2,FALSE)),0)</f>
        <v>106.94</v>
      </c>
      <c r="Z543" s="108">
        <f>IF(OtherClients[[#This Row],[Re-certified or New]]&lt;&gt;"Re-certified",IF(OtherClients[[#This Row],[Client]]="infasco",VLOOKUP(OtherClients[[#This Row],[Part]],PartControl!$A$2:$E$564,2,FALSE),OtherClients[[#This Row],[Total Quantity]]*VLOOKUP(OtherClients[[#This Row],[Part]],PartControl!$A$2:$E$564,2,FALSE)),0)</f>
        <v>106.94</v>
      </c>
    </row>
    <row r="544" spans="1:26" ht="25.15" hidden="1" customHeight="1" x14ac:dyDescent="0.25">
      <c r="A544" s="112">
        <v>46244.690833333334</v>
      </c>
      <c r="B544" s="5" t="s">
        <v>345</v>
      </c>
      <c r="C544" s="5">
        <v>11548414</v>
      </c>
      <c r="D544" s="5">
        <v>716169</v>
      </c>
      <c r="E544" s="33">
        <v>28</v>
      </c>
      <c r="F544" s="60">
        <v>485</v>
      </c>
      <c r="G544" s="60">
        <f>+OtherClients[[#This Row],[Boxes / Pieces]]*OtherClients[[#This Row],[Unit Quantity]]</f>
        <v>13580</v>
      </c>
      <c r="H544" s="60" t="s">
        <v>849</v>
      </c>
      <c r="I544" s="120" t="s">
        <v>278</v>
      </c>
      <c r="J544" s="121"/>
      <c r="K544" s="33" t="s">
        <v>278</v>
      </c>
      <c r="L544" s="122"/>
      <c r="M544" s="33" t="s">
        <v>278</v>
      </c>
      <c r="N544" s="122"/>
      <c r="O544" s="33" t="s">
        <v>278</v>
      </c>
      <c r="P544" s="122"/>
      <c r="Q544" s="33" t="s">
        <v>587</v>
      </c>
      <c r="R544" s="122"/>
      <c r="S544" s="33" t="s">
        <v>278</v>
      </c>
      <c r="T544" s="122"/>
      <c r="U544" s="33" t="s">
        <v>278</v>
      </c>
      <c r="V544" s="122"/>
      <c r="W544" s="59" t="s">
        <v>548</v>
      </c>
      <c r="X544" s="33" t="str">
        <f>+VLOOKUP(OtherClients[[#This Row],[Part]],PartControl!$A$2:$E$564,5,FALSE)</f>
        <v>INFASCO</v>
      </c>
      <c r="Y544" s="108">
        <f>IF(OtherClients[[#This Row],[Re-certified or New]]&lt;&gt;"Re-certified",IF(OtherClients[[#This Row],[Client]]="infasco",VLOOKUP(OtherClients[[#This Row],[Part]],PartControl!$A$2:$E$564,2,FALSE),OtherClients[[#This Row],[Total Quantity]]*VLOOKUP(OtherClients[[#This Row],[Part]],PartControl!$A$2:$E$564,2,FALSE)),0)</f>
        <v>106.94</v>
      </c>
      <c r="Z544" s="108">
        <f>IF(OtherClients[[#This Row],[Re-certified or New]]&lt;&gt;"Re-certified",IF(OtherClients[[#This Row],[Client]]="infasco",VLOOKUP(OtherClients[[#This Row],[Part]],PartControl!$A$2:$E$564,2,FALSE),OtherClients[[#This Row],[Total Quantity]]*VLOOKUP(OtherClients[[#This Row],[Part]],PartControl!$A$2:$E$564,2,FALSE)),0)</f>
        <v>106.94</v>
      </c>
    </row>
    <row r="545" spans="1:26" ht="25.15" hidden="1" customHeight="1" x14ac:dyDescent="0.25">
      <c r="A545" s="112">
        <v>46244.690833333334</v>
      </c>
      <c r="B545" s="5" t="s">
        <v>342</v>
      </c>
      <c r="C545" s="5">
        <v>40161567</v>
      </c>
      <c r="D545" s="5">
        <v>716202</v>
      </c>
      <c r="E545" s="33">
        <v>27</v>
      </c>
      <c r="F545" s="60">
        <v>175</v>
      </c>
      <c r="G545" s="60">
        <f>+OtherClients[[#This Row],[Boxes / Pieces]]*OtherClients[[#This Row],[Unit Quantity]]</f>
        <v>4725</v>
      </c>
      <c r="H545" s="60" t="s">
        <v>867</v>
      </c>
      <c r="I545" s="120" t="s">
        <v>278</v>
      </c>
      <c r="J545" s="121"/>
      <c r="K545" s="33" t="s">
        <v>278</v>
      </c>
      <c r="L545" s="122"/>
      <c r="M545" s="33" t="s">
        <v>278</v>
      </c>
      <c r="N545" s="122"/>
      <c r="O545" s="33" t="s">
        <v>278</v>
      </c>
      <c r="P545" s="122"/>
      <c r="Q545" s="33" t="s">
        <v>587</v>
      </c>
      <c r="R545" s="122"/>
      <c r="S545" s="33" t="s">
        <v>278</v>
      </c>
      <c r="T545" s="122"/>
      <c r="U545" s="33" t="s">
        <v>278</v>
      </c>
      <c r="V545" s="122"/>
      <c r="W545" s="59" t="s">
        <v>548</v>
      </c>
      <c r="X545" s="33" t="str">
        <f>+VLOOKUP(OtherClients[[#This Row],[Part]],PartControl!$A$2:$E$564,5,FALSE)</f>
        <v>INFASCO</v>
      </c>
      <c r="Y545" s="108">
        <f>IF(OtherClients[[#This Row],[Re-certified or New]]&lt;&gt;"Re-certified",IF(OtherClients[[#This Row],[Client]]="infasco",VLOOKUP(OtherClients[[#This Row],[Part]],PartControl!$A$2:$E$564,2,FALSE),OtherClients[[#This Row],[Total Quantity]]*VLOOKUP(OtherClients[[#This Row],[Part]],PartControl!$A$2:$E$564,2,FALSE)),0)</f>
        <v>106.94</v>
      </c>
      <c r="Z545" s="108">
        <f>IF(OtherClients[[#This Row],[Re-certified or New]]&lt;&gt;"Re-certified",IF(OtherClients[[#This Row],[Client]]="infasco",VLOOKUP(OtherClients[[#This Row],[Part]],PartControl!$A$2:$E$564,2,FALSE),OtherClients[[#This Row],[Total Quantity]]*VLOOKUP(OtherClients[[#This Row],[Part]],PartControl!$A$2:$E$564,2,FALSE)),0)</f>
        <v>106.94</v>
      </c>
    </row>
    <row r="546" spans="1:26" ht="25.15" hidden="1" customHeight="1" x14ac:dyDescent="0.25">
      <c r="A546" s="112">
        <v>46244.690833333334</v>
      </c>
      <c r="B546" s="5" t="s">
        <v>345</v>
      </c>
      <c r="C546" s="5">
        <v>40161567</v>
      </c>
      <c r="D546" s="5">
        <v>716203</v>
      </c>
      <c r="E546" s="33">
        <v>29</v>
      </c>
      <c r="F546" s="60">
        <v>175</v>
      </c>
      <c r="G546" s="60">
        <f>+OtherClients[[#This Row],[Boxes / Pieces]]*OtherClients[[#This Row],[Unit Quantity]]</f>
        <v>5075</v>
      </c>
      <c r="H546" s="60" t="s">
        <v>849</v>
      </c>
      <c r="I546" s="120" t="s">
        <v>278</v>
      </c>
      <c r="J546" s="121"/>
      <c r="K546" s="33" t="s">
        <v>278</v>
      </c>
      <c r="L546" s="122"/>
      <c r="M546" s="33" t="s">
        <v>278</v>
      </c>
      <c r="N546" s="122"/>
      <c r="O546" s="33" t="s">
        <v>278</v>
      </c>
      <c r="P546" s="122"/>
      <c r="Q546" s="33" t="s">
        <v>587</v>
      </c>
      <c r="R546" s="122"/>
      <c r="S546" s="33" t="s">
        <v>278</v>
      </c>
      <c r="T546" s="122"/>
      <c r="U546" s="33" t="s">
        <v>278</v>
      </c>
      <c r="V546" s="122"/>
      <c r="W546" s="59" t="s">
        <v>548</v>
      </c>
      <c r="X546" s="33" t="str">
        <f>+VLOOKUP(OtherClients[[#This Row],[Part]],PartControl!$A$2:$E$564,5,FALSE)</f>
        <v>INFASCO</v>
      </c>
      <c r="Y546" s="108">
        <f>IF(OtherClients[[#This Row],[Re-certified or New]]&lt;&gt;"Re-certified",IF(OtherClients[[#This Row],[Client]]="infasco",VLOOKUP(OtherClients[[#This Row],[Part]],PartControl!$A$2:$E$564,2,FALSE),OtherClients[[#This Row],[Total Quantity]]*VLOOKUP(OtherClients[[#This Row],[Part]],PartControl!$A$2:$E$564,2,FALSE)),0)</f>
        <v>106.94</v>
      </c>
      <c r="Z546" s="108">
        <f>IF(OtherClients[[#This Row],[Re-certified or New]]&lt;&gt;"Re-certified",IF(OtherClients[[#This Row],[Client]]="infasco",VLOOKUP(OtherClients[[#This Row],[Part]],PartControl!$A$2:$E$564,2,FALSE),OtherClients[[#This Row],[Total Quantity]]*VLOOKUP(OtherClients[[#This Row],[Part]],PartControl!$A$2:$E$564,2,FALSE)),0)</f>
        <v>106.94</v>
      </c>
    </row>
    <row r="547" spans="1:26" ht="25.15" hidden="1" customHeight="1" x14ac:dyDescent="0.25">
      <c r="A547" s="112">
        <v>46244.690833333334</v>
      </c>
      <c r="B547" s="5" t="s">
        <v>345</v>
      </c>
      <c r="C547" s="5">
        <v>40161567</v>
      </c>
      <c r="D547" s="5">
        <v>716204</v>
      </c>
      <c r="E547" s="33">
        <v>36</v>
      </c>
      <c r="F547" s="60">
        <v>175</v>
      </c>
      <c r="G547" s="60">
        <f>+OtherClients[[#This Row],[Boxes / Pieces]]*OtherClients[[#This Row],[Unit Quantity]]</f>
        <v>6300</v>
      </c>
      <c r="H547" s="60" t="s">
        <v>849</v>
      </c>
      <c r="I547" s="120" t="s">
        <v>278</v>
      </c>
      <c r="J547" s="121"/>
      <c r="K547" s="33" t="s">
        <v>278</v>
      </c>
      <c r="L547" s="122"/>
      <c r="M547" s="33" t="s">
        <v>278</v>
      </c>
      <c r="N547" s="122"/>
      <c r="O547" s="33" t="s">
        <v>278</v>
      </c>
      <c r="P547" s="122"/>
      <c r="Q547" s="33" t="s">
        <v>587</v>
      </c>
      <c r="R547" s="122"/>
      <c r="S547" s="33" t="s">
        <v>278</v>
      </c>
      <c r="T547" s="122"/>
      <c r="U547" s="33" t="s">
        <v>278</v>
      </c>
      <c r="V547" s="122"/>
      <c r="W547" s="59" t="s">
        <v>548</v>
      </c>
      <c r="X547" s="33" t="str">
        <f>+VLOOKUP(OtherClients[[#This Row],[Part]],PartControl!$A$2:$E$564,5,FALSE)</f>
        <v>INFASCO</v>
      </c>
      <c r="Y547" s="108">
        <f>IF(OtherClients[[#This Row],[Re-certified or New]]&lt;&gt;"Re-certified",IF(OtherClients[[#This Row],[Client]]="infasco",VLOOKUP(OtherClients[[#This Row],[Part]],PartControl!$A$2:$E$564,2,FALSE),OtherClients[[#This Row],[Total Quantity]]*VLOOKUP(OtherClients[[#This Row],[Part]],PartControl!$A$2:$E$564,2,FALSE)),0)</f>
        <v>106.94</v>
      </c>
      <c r="Z547" s="108">
        <f>IF(OtherClients[[#This Row],[Re-certified or New]]&lt;&gt;"Re-certified",IF(OtherClients[[#This Row],[Client]]="infasco",VLOOKUP(OtherClients[[#This Row],[Part]],PartControl!$A$2:$E$564,2,FALSE),OtherClients[[#This Row],[Total Quantity]]*VLOOKUP(OtherClients[[#This Row],[Part]],PartControl!$A$2:$E$564,2,FALSE)),0)</f>
        <v>106.94</v>
      </c>
    </row>
    <row r="548" spans="1:26" ht="25.15" hidden="1" customHeight="1" x14ac:dyDescent="0.25">
      <c r="A548" s="112">
        <v>46244.690833333334</v>
      </c>
      <c r="B548" s="5" t="s">
        <v>343</v>
      </c>
      <c r="C548" s="5">
        <v>40161567</v>
      </c>
      <c r="D548" s="5">
        <v>716205</v>
      </c>
      <c r="E548" s="33">
        <v>29</v>
      </c>
      <c r="F548" s="60">
        <v>175</v>
      </c>
      <c r="G548" s="60">
        <f>+OtherClients[[#This Row],[Boxes / Pieces]]*OtherClients[[#This Row],[Unit Quantity]]</f>
        <v>5075</v>
      </c>
      <c r="H548" s="60" t="s">
        <v>757</v>
      </c>
      <c r="I548" s="120" t="s">
        <v>278</v>
      </c>
      <c r="J548" s="121"/>
      <c r="K548" s="33" t="s">
        <v>278</v>
      </c>
      <c r="L548" s="122"/>
      <c r="M548" s="33" t="s">
        <v>278</v>
      </c>
      <c r="N548" s="122"/>
      <c r="O548" s="33" t="s">
        <v>278</v>
      </c>
      <c r="P548" s="122"/>
      <c r="Q548" s="33" t="s">
        <v>587</v>
      </c>
      <c r="R548" s="122"/>
      <c r="S548" s="33" t="s">
        <v>278</v>
      </c>
      <c r="T548" s="122"/>
      <c r="U548" s="33" t="s">
        <v>278</v>
      </c>
      <c r="V548" s="122"/>
      <c r="W548" s="59" t="s">
        <v>548</v>
      </c>
      <c r="X548" s="33" t="str">
        <f>+VLOOKUP(OtherClients[[#This Row],[Part]],PartControl!$A$2:$E$564,5,FALSE)</f>
        <v>INFASCO</v>
      </c>
      <c r="Y548" s="108">
        <f>IF(OtherClients[[#This Row],[Re-certified or New]]&lt;&gt;"Re-certified",IF(OtherClients[[#This Row],[Client]]="infasco",VLOOKUP(OtherClients[[#This Row],[Part]],PartControl!$A$2:$E$564,2,FALSE),OtherClients[[#This Row],[Total Quantity]]*VLOOKUP(OtherClients[[#This Row],[Part]],PartControl!$A$2:$E$564,2,FALSE)),0)</f>
        <v>106.94</v>
      </c>
      <c r="Z548" s="108">
        <f>IF(OtherClients[[#This Row],[Re-certified or New]]&lt;&gt;"Re-certified",IF(OtherClients[[#This Row],[Client]]="infasco",VLOOKUP(OtherClients[[#This Row],[Part]],PartControl!$A$2:$E$564,2,FALSE),OtherClients[[#This Row],[Total Quantity]]*VLOOKUP(OtherClients[[#This Row],[Part]],PartControl!$A$2:$E$564,2,FALSE)),0)</f>
        <v>106.94</v>
      </c>
    </row>
    <row r="549" spans="1:26" ht="25.15" hidden="1" customHeight="1" x14ac:dyDescent="0.25">
      <c r="A549" s="112">
        <v>46244.690833333334</v>
      </c>
      <c r="B549" s="5" t="s">
        <v>345</v>
      </c>
      <c r="C549" s="5">
        <v>40161567</v>
      </c>
      <c r="D549" s="5">
        <v>716206</v>
      </c>
      <c r="E549" s="33">
        <v>10</v>
      </c>
      <c r="F549" s="60">
        <v>175</v>
      </c>
      <c r="G549" s="60">
        <f>+OtherClients[[#This Row],[Boxes / Pieces]]*OtherClients[[#This Row],[Unit Quantity]]</f>
        <v>1750</v>
      </c>
      <c r="H549" s="60" t="s">
        <v>849</v>
      </c>
      <c r="I549" s="120" t="s">
        <v>278</v>
      </c>
      <c r="J549" s="121"/>
      <c r="K549" s="33" t="s">
        <v>278</v>
      </c>
      <c r="L549" s="122"/>
      <c r="M549" s="33" t="s">
        <v>278</v>
      </c>
      <c r="N549" s="122"/>
      <c r="O549" s="33" t="s">
        <v>278</v>
      </c>
      <c r="P549" s="122"/>
      <c r="Q549" s="33" t="s">
        <v>587</v>
      </c>
      <c r="R549" s="122"/>
      <c r="S549" s="33" t="s">
        <v>278</v>
      </c>
      <c r="T549" s="122"/>
      <c r="U549" s="33" t="s">
        <v>278</v>
      </c>
      <c r="V549" s="122"/>
      <c r="W549" s="59" t="s">
        <v>633</v>
      </c>
      <c r="X549" s="33" t="str">
        <f>+VLOOKUP(OtherClients[[#This Row],[Part]],PartControl!$A$2:$E$564,5,FALSE)</f>
        <v>INFASCO</v>
      </c>
      <c r="Y549" s="108">
        <f>IF(OtherClients[[#This Row],[Re-certified or New]]&lt;&gt;"Re-certified",IF(OtherClients[[#This Row],[Client]]="infasco",VLOOKUP(OtherClients[[#This Row],[Part]],PartControl!$A$2:$E$564,2,FALSE),OtherClients[[#This Row],[Total Quantity]]*VLOOKUP(OtherClients[[#This Row],[Part]],PartControl!$A$2:$E$564,2,FALSE)),0)</f>
        <v>0</v>
      </c>
      <c r="Z549" s="108">
        <f>IF(OtherClients[[#This Row],[Re-certified or New]]&lt;&gt;"Re-certified",IF(OtherClients[[#This Row],[Client]]="infasco",VLOOKUP(OtherClients[[#This Row],[Part]],PartControl!$A$2:$E$564,2,FALSE),OtherClients[[#This Row],[Total Quantity]]*VLOOKUP(OtherClients[[#This Row],[Part]],PartControl!$A$2:$E$564,2,FALSE)),0)</f>
        <v>0</v>
      </c>
    </row>
    <row r="550" spans="1:26" ht="25.15" hidden="1" customHeight="1" x14ac:dyDescent="0.25">
      <c r="A550" s="112">
        <v>46244.690833333334</v>
      </c>
      <c r="B550" s="5" t="s">
        <v>342</v>
      </c>
      <c r="C550" s="5">
        <v>40161567</v>
      </c>
      <c r="D550" s="5">
        <v>716207</v>
      </c>
      <c r="E550" s="33">
        <v>23</v>
      </c>
      <c r="F550" s="60">
        <v>175</v>
      </c>
      <c r="G550" s="60">
        <f>+OtherClients[[#This Row],[Boxes / Pieces]]*OtherClients[[#This Row],[Unit Quantity]]</f>
        <v>4025</v>
      </c>
      <c r="H550" s="60" t="s">
        <v>867</v>
      </c>
      <c r="I550" s="120" t="s">
        <v>278</v>
      </c>
      <c r="J550" s="121"/>
      <c r="K550" s="33" t="s">
        <v>278</v>
      </c>
      <c r="L550" s="122"/>
      <c r="M550" s="33" t="s">
        <v>278</v>
      </c>
      <c r="N550" s="122"/>
      <c r="O550" s="33" t="s">
        <v>278</v>
      </c>
      <c r="P550" s="122"/>
      <c r="Q550" s="33" t="s">
        <v>587</v>
      </c>
      <c r="R550" s="122"/>
      <c r="S550" s="33" t="s">
        <v>278</v>
      </c>
      <c r="T550" s="122"/>
      <c r="U550" s="33" t="s">
        <v>278</v>
      </c>
      <c r="V550" s="122"/>
      <c r="W550" s="59" t="s">
        <v>548</v>
      </c>
      <c r="X550" s="33" t="str">
        <f>+VLOOKUP(OtherClients[[#This Row],[Part]],PartControl!$A$2:$E$564,5,FALSE)</f>
        <v>INFASCO</v>
      </c>
      <c r="Y550" s="108">
        <f>IF(OtherClients[[#This Row],[Re-certified or New]]&lt;&gt;"Re-certified",IF(OtherClients[[#This Row],[Client]]="infasco",VLOOKUP(OtherClients[[#This Row],[Part]],PartControl!$A$2:$E$564,2,FALSE),OtherClients[[#This Row],[Total Quantity]]*VLOOKUP(OtherClients[[#This Row],[Part]],PartControl!$A$2:$E$564,2,FALSE)),0)</f>
        <v>106.94</v>
      </c>
      <c r="Z550" s="108">
        <f>IF(OtherClients[[#This Row],[Re-certified or New]]&lt;&gt;"Re-certified",IF(OtherClients[[#This Row],[Client]]="infasco",VLOOKUP(OtherClients[[#This Row],[Part]],PartControl!$A$2:$E$564,2,FALSE),OtherClients[[#This Row],[Total Quantity]]*VLOOKUP(OtherClients[[#This Row],[Part]],PartControl!$A$2:$E$564,2,FALSE)),0)</f>
        <v>106.94</v>
      </c>
    </row>
    <row r="551" spans="1:26" ht="25.15" hidden="1" customHeight="1" x14ac:dyDescent="0.25">
      <c r="A551" s="112">
        <v>46244.690833333334</v>
      </c>
      <c r="B551" s="5" t="s">
        <v>344</v>
      </c>
      <c r="C551" s="5">
        <v>11546703</v>
      </c>
      <c r="D551" s="5">
        <v>712585</v>
      </c>
      <c r="E551" s="33">
        <v>26</v>
      </c>
      <c r="F551" s="60">
        <v>4000</v>
      </c>
      <c r="G551" s="60">
        <f>+OtherClients[[#This Row],[Boxes / Pieces]]*OtherClients[[#This Row],[Unit Quantity]]</f>
        <v>104000</v>
      </c>
      <c r="H551" s="60" t="s">
        <v>816</v>
      </c>
      <c r="I551" s="120" t="s">
        <v>278</v>
      </c>
      <c r="J551" s="121"/>
      <c r="K551" s="33" t="s">
        <v>278</v>
      </c>
      <c r="L551" s="122"/>
      <c r="M551" s="33" t="s">
        <v>278</v>
      </c>
      <c r="N551" s="122"/>
      <c r="O551" s="33" t="s">
        <v>278</v>
      </c>
      <c r="P551" s="122"/>
      <c r="Q551" s="33" t="s">
        <v>587</v>
      </c>
      <c r="R551" s="122"/>
      <c r="S551" s="33" t="s">
        <v>278</v>
      </c>
      <c r="T551" s="122"/>
      <c r="U551" s="33" t="s">
        <v>278</v>
      </c>
      <c r="V551" s="122"/>
      <c r="W551" s="59" t="s">
        <v>548</v>
      </c>
      <c r="X551" s="33" t="str">
        <f>+VLOOKUP(OtherClients[[#This Row],[Part]],PartControl!$A$2:$E$564,5,FALSE)</f>
        <v>infasco</v>
      </c>
      <c r="Y551" s="108">
        <f>IF(OtherClients[[#This Row],[Re-certified or New]]&lt;&gt;"Re-certified",IF(OtherClients[[#This Row],[Client]]="infasco",VLOOKUP(OtherClients[[#This Row],[Part]],PartControl!$A$2:$E$564,2,FALSE),OtherClients[[#This Row],[Total Quantity]]*VLOOKUP(OtherClients[[#This Row],[Part]],PartControl!$A$2:$E$564,2,FALSE)),0)</f>
        <v>135.07999999999998</v>
      </c>
      <c r="Z551" s="108">
        <f>IF(OtherClients[[#This Row],[Re-certified or New]]&lt;&gt;"Re-certified",IF(OtherClients[[#This Row],[Client]]="infasco",VLOOKUP(OtherClients[[#This Row],[Part]],PartControl!$A$2:$E$564,2,FALSE),OtherClients[[#This Row],[Total Quantity]]*VLOOKUP(OtherClients[[#This Row],[Part]],PartControl!$A$2:$E$564,2,FALSE)),0)</f>
        <v>135.07999999999998</v>
      </c>
    </row>
    <row r="552" spans="1:26" ht="25.15" hidden="1" customHeight="1" x14ac:dyDescent="0.25">
      <c r="A552" s="112">
        <v>46244.690833333334</v>
      </c>
      <c r="B552" s="5" t="s">
        <v>344</v>
      </c>
      <c r="C552" s="5" t="s">
        <v>649</v>
      </c>
      <c r="D552" s="5">
        <v>714012</v>
      </c>
      <c r="E552" s="33">
        <v>28</v>
      </c>
      <c r="F552" s="60">
        <v>1250</v>
      </c>
      <c r="G552" s="60">
        <f>+OtherClients[[#This Row],[Boxes / Pieces]]*OtherClients[[#This Row],[Unit Quantity]]</f>
        <v>35000</v>
      </c>
      <c r="H552" s="60" t="s">
        <v>816</v>
      </c>
      <c r="I552" s="120" t="s">
        <v>278</v>
      </c>
      <c r="J552" s="121"/>
      <c r="K552" s="33" t="s">
        <v>278</v>
      </c>
      <c r="L552" s="122"/>
      <c r="M552" s="33" t="s">
        <v>278</v>
      </c>
      <c r="N552" s="122"/>
      <c r="O552" s="33" t="s">
        <v>278</v>
      </c>
      <c r="P552" s="122"/>
      <c r="Q552" s="33" t="s">
        <v>587</v>
      </c>
      <c r="R552" s="122"/>
      <c r="S552" s="33" t="s">
        <v>278</v>
      </c>
      <c r="T552" s="122"/>
      <c r="U552" s="33" t="s">
        <v>278</v>
      </c>
      <c r="V552" s="122"/>
      <c r="W552" s="59" t="s">
        <v>548</v>
      </c>
      <c r="X552" s="33" t="str">
        <f>+VLOOKUP(OtherClients[[#This Row],[Part]],PartControl!$A$2:$E$564,5,FALSE)</f>
        <v>infasco</v>
      </c>
      <c r="Y552" s="108">
        <f>IF(OtherClients[[#This Row],[Re-certified or New]]&lt;&gt;"Re-certified",IF(OtherClients[[#This Row],[Client]]="infasco",VLOOKUP(OtherClients[[#This Row],[Part]],PartControl!$A$2:$E$564,2,FALSE),OtherClients[[#This Row],[Total Quantity]]*VLOOKUP(OtherClients[[#This Row],[Part]],PartControl!$A$2:$E$564,2,FALSE)),0)</f>
        <v>135.07999999999998</v>
      </c>
      <c r="Z552" s="108">
        <f>IF(OtherClients[[#This Row],[Re-certified or New]]&lt;&gt;"Re-certified",IF(OtherClients[[#This Row],[Client]]="infasco",VLOOKUP(OtherClients[[#This Row],[Part]],PartControl!$A$2:$E$564,2,FALSE),OtherClients[[#This Row],[Total Quantity]]*VLOOKUP(OtherClients[[#This Row],[Part]],PartControl!$A$2:$E$564,2,FALSE)),0)</f>
        <v>135.07999999999998</v>
      </c>
    </row>
    <row r="553" spans="1:26" ht="25.15" hidden="1" customHeight="1" x14ac:dyDescent="0.25">
      <c r="A553" s="112">
        <v>46244.690833333334</v>
      </c>
      <c r="B553" s="5" t="s">
        <v>344</v>
      </c>
      <c r="C553" s="5">
        <v>11611121</v>
      </c>
      <c r="D553" s="5">
        <v>713556</v>
      </c>
      <c r="E553" s="33">
        <v>29</v>
      </c>
      <c r="F553" s="60">
        <v>900</v>
      </c>
      <c r="G553" s="60">
        <f>+OtherClients[[#This Row],[Boxes / Pieces]]*OtherClients[[#This Row],[Unit Quantity]]</f>
        <v>26100</v>
      </c>
      <c r="H553" s="60" t="s">
        <v>816</v>
      </c>
      <c r="I553" s="120" t="s">
        <v>278</v>
      </c>
      <c r="J553" s="121"/>
      <c r="K553" s="33" t="s">
        <v>278</v>
      </c>
      <c r="L553" s="122"/>
      <c r="M553" s="33" t="s">
        <v>278</v>
      </c>
      <c r="N553" s="122"/>
      <c r="O553" s="33" t="s">
        <v>278</v>
      </c>
      <c r="P553" s="122"/>
      <c r="Q553" s="33" t="s">
        <v>587</v>
      </c>
      <c r="R553" s="122"/>
      <c r="S553" s="33" t="s">
        <v>278</v>
      </c>
      <c r="T553" s="122"/>
      <c r="U553" s="33" t="s">
        <v>278</v>
      </c>
      <c r="V553" s="122"/>
      <c r="W553" s="59" t="s">
        <v>548</v>
      </c>
      <c r="X553" s="33" t="str">
        <f>+VLOOKUP(OtherClients[[#This Row],[Part]],PartControl!$A$2:$E$564,5,FALSE)</f>
        <v>INFASCO</v>
      </c>
      <c r="Y553" s="108">
        <f>IF(OtherClients[[#This Row],[Re-certified or New]]&lt;&gt;"Re-certified",IF(OtherClients[[#This Row],[Client]]="infasco",VLOOKUP(OtherClients[[#This Row],[Part]],PartControl!$A$2:$E$564,2,FALSE),OtherClients[[#This Row],[Total Quantity]]*VLOOKUP(OtherClients[[#This Row],[Part]],PartControl!$A$2:$E$564,2,FALSE)),0)</f>
        <v>135.07999999999998</v>
      </c>
      <c r="Z553" s="108">
        <f>IF(OtherClients[[#This Row],[Re-certified or New]]&lt;&gt;"Re-certified",IF(OtherClients[[#This Row],[Client]]="infasco",VLOOKUP(OtherClients[[#This Row],[Part]],PartControl!$A$2:$E$564,2,FALSE),OtherClients[[#This Row],[Total Quantity]]*VLOOKUP(OtherClients[[#This Row],[Part]],PartControl!$A$2:$E$564,2,FALSE)),0)</f>
        <v>135.07999999999998</v>
      </c>
    </row>
    <row r="554" spans="1:26" ht="25.15" hidden="1" customHeight="1" x14ac:dyDescent="0.25">
      <c r="A554" s="112">
        <v>46244.690833333334</v>
      </c>
      <c r="B554" s="5" t="s">
        <v>344</v>
      </c>
      <c r="C554" s="5">
        <v>11549204</v>
      </c>
      <c r="D554" s="5">
        <v>715883</v>
      </c>
      <c r="E554" s="33">
        <v>36</v>
      </c>
      <c r="F554" s="60">
        <v>210</v>
      </c>
      <c r="G554" s="60">
        <f>+OtherClients[[#This Row],[Boxes / Pieces]]*OtherClients[[#This Row],[Unit Quantity]]</f>
        <v>7560</v>
      </c>
      <c r="H554" s="60" t="s">
        <v>816</v>
      </c>
      <c r="I554" s="120" t="s">
        <v>278</v>
      </c>
      <c r="J554" s="121"/>
      <c r="K554" s="33" t="s">
        <v>278</v>
      </c>
      <c r="L554" s="122"/>
      <c r="M554" s="33" t="s">
        <v>278</v>
      </c>
      <c r="N554" s="122"/>
      <c r="O554" s="33" t="s">
        <v>278</v>
      </c>
      <c r="P554" s="122"/>
      <c r="Q554" s="33" t="s">
        <v>587</v>
      </c>
      <c r="R554" s="122"/>
      <c r="S554" s="33" t="s">
        <v>278</v>
      </c>
      <c r="T554" s="122"/>
      <c r="U554" s="33" t="s">
        <v>278</v>
      </c>
      <c r="V554" s="122"/>
      <c r="W554" s="59" t="s">
        <v>548</v>
      </c>
      <c r="X554" s="33" t="str">
        <f>+VLOOKUP(OtherClients[[#This Row],[Part]],PartControl!$A$2:$E$564,5,FALSE)</f>
        <v>INFASCO</v>
      </c>
      <c r="Y554" s="108">
        <f>IF(OtherClients[[#This Row],[Re-certified or New]]&lt;&gt;"Re-certified",IF(OtherClients[[#This Row],[Client]]="infasco",VLOOKUP(OtherClients[[#This Row],[Part]],PartControl!$A$2:$E$564,2,FALSE),OtherClients[[#This Row],[Total Quantity]]*VLOOKUP(OtherClients[[#This Row],[Part]],PartControl!$A$2:$E$564,2,FALSE)),0)</f>
        <v>106.94</v>
      </c>
      <c r="Z554" s="108">
        <f>IF(OtherClients[[#This Row],[Re-certified or New]]&lt;&gt;"Re-certified",IF(OtherClients[[#This Row],[Client]]="infasco",VLOOKUP(OtherClients[[#This Row],[Part]],PartControl!$A$2:$E$564,2,FALSE),OtherClients[[#This Row],[Total Quantity]]*VLOOKUP(OtherClients[[#This Row],[Part]],PartControl!$A$2:$E$564,2,FALSE)),0)</f>
        <v>106.94</v>
      </c>
    </row>
    <row r="555" spans="1:26" ht="25.15" hidden="1" customHeight="1" x14ac:dyDescent="0.25">
      <c r="A555" s="112">
        <v>46244.690833333334</v>
      </c>
      <c r="B555" s="5" t="s">
        <v>344</v>
      </c>
      <c r="C555" s="5">
        <v>11549204</v>
      </c>
      <c r="D555" s="5">
        <v>715882</v>
      </c>
      <c r="E555" s="33">
        <v>36</v>
      </c>
      <c r="F555" s="60">
        <v>210</v>
      </c>
      <c r="G555" s="60">
        <f>+OtherClients[[#This Row],[Boxes / Pieces]]*OtherClients[[#This Row],[Unit Quantity]]</f>
        <v>7560</v>
      </c>
      <c r="H555" s="60" t="s">
        <v>816</v>
      </c>
      <c r="I555" s="120" t="s">
        <v>278</v>
      </c>
      <c r="J555" s="121"/>
      <c r="K555" s="33" t="s">
        <v>278</v>
      </c>
      <c r="L555" s="122"/>
      <c r="M555" s="33" t="s">
        <v>278</v>
      </c>
      <c r="N555" s="122"/>
      <c r="O555" s="33" t="s">
        <v>278</v>
      </c>
      <c r="P555" s="122"/>
      <c r="Q555" s="33" t="s">
        <v>587</v>
      </c>
      <c r="R555" s="122"/>
      <c r="S555" s="33" t="s">
        <v>278</v>
      </c>
      <c r="T555" s="122"/>
      <c r="U555" s="33" t="s">
        <v>278</v>
      </c>
      <c r="V555" s="122"/>
      <c r="W555" s="59" t="s">
        <v>548</v>
      </c>
      <c r="X555" s="33" t="str">
        <f>+VLOOKUP(OtherClients[[#This Row],[Part]],PartControl!$A$2:$E$564,5,FALSE)</f>
        <v>INFASCO</v>
      </c>
      <c r="Y555" s="108">
        <f>IF(OtherClients[[#This Row],[Re-certified or New]]&lt;&gt;"Re-certified",IF(OtherClients[[#This Row],[Client]]="infasco",VLOOKUP(OtherClients[[#This Row],[Part]],PartControl!$A$2:$E$564,2,FALSE),OtherClients[[#This Row],[Total Quantity]]*VLOOKUP(OtherClients[[#This Row],[Part]],PartControl!$A$2:$E$564,2,FALSE)),0)</f>
        <v>106.94</v>
      </c>
      <c r="Z555" s="108">
        <f>IF(OtherClients[[#This Row],[Re-certified or New]]&lt;&gt;"Re-certified",IF(OtherClients[[#This Row],[Client]]="infasco",VLOOKUP(OtherClients[[#This Row],[Part]],PartControl!$A$2:$E$564,2,FALSE),OtherClients[[#This Row],[Total Quantity]]*VLOOKUP(OtherClients[[#This Row],[Part]],PartControl!$A$2:$E$564,2,FALSE)),0)</f>
        <v>106.94</v>
      </c>
    </row>
    <row r="556" spans="1:26" ht="25.15" hidden="1" customHeight="1" x14ac:dyDescent="0.25">
      <c r="A556" s="112">
        <v>46244.690833333334</v>
      </c>
      <c r="B556" s="5" t="s">
        <v>344</v>
      </c>
      <c r="C556" s="5">
        <v>11549204</v>
      </c>
      <c r="D556" s="5">
        <v>715876</v>
      </c>
      <c r="E556" s="33">
        <v>28</v>
      </c>
      <c r="F556" s="60">
        <v>210</v>
      </c>
      <c r="G556" s="60">
        <f>+OtherClients[[#This Row],[Boxes / Pieces]]*OtherClients[[#This Row],[Unit Quantity]]</f>
        <v>5880</v>
      </c>
      <c r="H556" s="60" t="s">
        <v>816</v>
      </c>
      <c r="I556" s="120" t="s">
        <v>278</v>
      </c>
      <c r="J556" s="121"/>
      <c r="K556" s="33" t="s">
        <v>278</v>
      </c>
      <c r="L556" s="122"/>
      <c r="M556" s="33" t="s">
        <v>278</v>
      </c>
      <c r="N556" s="122"/>
      <c r="O556" s="33" t="s">
        <v>278</v>
      </c>
      <c r="P556" s="122"/>
      <c r="Q556" s="33" t="s">
        <v>587</v>
      </c>
      <c r="R556" s="122"/>
      <c r="S556" s="33" t="s">
        <v>278</v>
      </c>
      <c r="T556" s="122"/>
      <c r="U556" s="33" t="s">
        <v>278</v>
      </c>
      <c r="V556" s="122"/>
      <c r="W556" s="59" t="s">
        <v>548</v>
      </c>
      <c r="X556" s="33" t="str">
        <f>+VLOOKUP(OtherClients[[#This Row],[Part]],PartControl!$A$2:$E$564,5,FALSE)</f>
        <v>INFASCO</v>
      </c>
      <c r="Y556" s="108">
        <f>IF(OtherClients[[#This Row],[Re-certified or New]]&lt;&gt;"Re-certified",IF(OtherClients[[#This Row],[Client]]="infasco",VLOOKUP(OtherClients[[#This Row],[Part]],PartControl!$A$2:$E$564,2,FALSE),OtherClients[[#This Row],[Total Quantity]]*VLOOKUP(OtherClients[[#This Row],[Part]],PartControl!$A$2:$E$564,2,FALSE)),0)</f>
        <v>106.94</v>
      </c>
      <c r="Z556" s="108">
        <f>IF(OtherClients[[#This Row],[Re-certified or New]]&lt;&gt;"Re-certified",IF(OtherClients[[#This Row],[Client]]="infasco",VLOOKUP(OtherClients[[#This Row],[Part]],PartControl!$A$2:$E$564,2,FALSE),OtherClients[[#This Row],[Total Quantity]]*VLOOKUP(OtherClients[[#This Row],[Part]],PartControl!$A$2:$E$564,2,FALSE)),0)</f>
        <v>106.94</v>
      </c>
    </row>
    <row r="557" spans="1:26" ht="25.15" hidden="1" customHeight="1" x14ac:dyDescent="0.25">
      <c r="A557" s="112">
        <v>46244.690833333334</v>
      </c>
      <c r="B557" s="5" t="s">
        <v>344</v>
      </c>
      <c r="C557" s="5" t="s">
        <v>795</v>
      </c>
      <c r="D557" s="5">
        <v>715685</v>
      </c>
      <c r="E557" s="33">
        <v>23</v>
      </c>
      <c r="F557" s="60">
        <v>800</v>
      </c>
      <c r="G557" s="60">
        <f>+OtherClients[[#This Row],[Boxes / Pieces]]*OtherClients[[#This Row],[Unit Quantity]]</f>
        <v>18400</v>
      </c>
      <c r="H557" s="60" t="s">
        <v>816</v>
      </c>
      <c r="I557" s="120" t="s">
        <v>278</v>
      </c>
      <c r="J557" s="121"/>
      <c r="K557" s="33" t="s">
        <v>278</v>
      </c>
      <c r="L557" s="122"/>
      <c r="M557" s="33" t="s">
        <v>278</v>
      </c>
      <c r="N557" s="122"/>
      <c r="O557" s="33" t="s">
        <v>278</v>
      </c>
      <c r="P557" s="122"/>
      <c r="Q557" s="33" t="s">
        <v>587</v>
      </c>
      <c r="R557" s="122"/>
      <c r="S557" s="33" t="s">
        <v>278</v>
      </c>
      <c r="T557" s="122"/>
      <c r="U557" s="33" t="s">
        <v>278</v>
      </c>
      <c r="V557" s="122"/>
      <c r="W557" s="59" t="s">
        <v>548</v>
      </c>
      <c r="X557" s="33" t="str">
        <f>+VLOOKUP(OtherClients[[#This Row],[Part]],PartControl!$A$2:$E$564,5,FALSE)</f>
        <v>infasco</v>
      </c>
      <c r="Y557" s="108">
        <f>IF(OtherClients[[#This Row],[Re-certified or New]]&lt;&gt;"Re-certified",IF(OtherClients[[#This Row],[Client]]="infasco",VLOOKUP(OtherClients[[#This Row],[Part]],PartControl!$A$2:$E$564,2,FALSE),OtherClients[[#This Row],[Total Quantity]]*VLOOKUP(OtherClients[[#This Row],[Part]],PartControl!$A$2:$E$564,2,FALSE)),0)</f>
        <v>280.16000000000003</v>
      </c>
      <c r="Z557" s="108">
        <f>IF(OtherClients[[#This Row],[Re-certified or New]]&lt;&gt;"Re-certified",IF(OtherClients[[#This Row],[Client]]="infasco",VLOOKUP(OtherClients[[#This Row],[Part]],PartControl!$A$2:$E$564,2,FALSE),OtherClients[[#This Row],[Total Quantity]]*VLOOKUP(OtherClients[[#This Row],[Part]],PartControl!$A$2:$E$564,2,FALSE)),0)</f>
        <v>280.16000000000003</v>
      </c>
    </row>
    <row r="558" spans="1:26" ht="25.15" hidden="1" customHeight="1" x14ac:dyDescent="0.25">
      <c r="A558" s="112">
        <v>46244.690833333334</v>
      </c>
      <c r="B558" s="5" t="s">
        <v>344</v>
      </c>
      <c r="C558" s="5" t="s">
        <v>14</v>
      </c>
      <c r="D558" s="5">
        <v>715845</v>
      </c>
      <c r="E558" s="33">
        <v>35</v>
      </c>
      <c r="F558" s="60">
        <v>75</v>
      </c>
      <c r="G558" s="60">
        <f>+OtherClients[[#This Row],[Boxes / Pieces]]*OtherClients[[#This Row],[Unit Quantity]]</f>
        <v>2625</v>
      </c>
      <c r="H558" s="60" t="s">
        <v>816</v>
      </c>
      <c r="I558" s="120" t="s">
        <v>278</v>
      </c>
      <c r="J558" s="121"/>
      <c r="K558" s="33" t="s">
        <v>278</v>
      </c>
      <c r="L558" s="122"/>
      <c r="M558" s="33" t="s">
        <v>278</v>
      </c>
      <c r="N558" s="122"/>
      <c r="O558" s="33" t="s">
        <v>278</v>
      </c>
      <c r="P558" s="122"/>
      <c r="Q558" s="33" t="s">
        <v>587</v>
      </c>
      <c r="R558" s="122"/>
      <c r="S558" s="33" t="s">
        <v>278</v>
      </c>
      <c r="T558" s="122"/>
      <c r="U558" s="33" t="s">
        <v>278</v>
      </c>
      <c r="V558" s="122"/>
      <c r="W558" s="59" t="s">
        <v>548</v>
      </c>
      <c r="X558" s="33" t="str">
        <f>+VLOOKUP(OtherClients[[#This Row],[Part]],PartControl!$A$2:$E$564,5,FALSE)</f>
        <v>INFASCO</v>
      </c>
      <c r="Y558" s="108">
        <f>IF(OtherClients[[#This Row],[Re-certified or New]]&lt;&gt;"Re-certified",IF(OtherClients[[#This Row],[Client]]="infasco",VLOOKUP(OtherClients[[#This Row],[Part]],PartControl!$A$2:$E$564,2,FALSE),OtherClients[[#This Row],[Total Quantity]]*VLOOKUP(OtherClients[[#This Row],[Part]],PartControl!$A$2:$E$564,2,FALSE)),0)</f>
        <v>135.07999999999998</v>
      </c>
      <c r="Z558" s="108">
        <f>IF(OtherClients[[#This Row],[Re-certified or New]]&lt;&gt;"Re-certified",IF(OtherClients[[#This Row],[Client]]="infasco",VLOOKUP(OtherClients[[#This Row],[Part]],PartControl!$A$2:$E$564,2,FALSE),OtherClients[[#This Row],[Total Quantity]]*VLOOKUP(OtherClients[[#This Row],[Part]],PartControl!$A$2:$E$564,2,FALSE)),0)</f>
        <v>135.07999999999998</v>
      </c>
    </row>
    <row r="559" spans="1:26" ht="25.15" hidden="1" customHeight="1" x14ac:dyDescent="0.25">
      <c r="A559" s="112">
        <v>46244.690833333334</v>
      </c>
      <c r="B559" s="5" t="s">
        <v>344</v>
      </c>
      <c r="C559" s="5">
        <v>11548414</v>
      </c>
      <c r="D559" s="5">
        <v>716168</v>
      </c>
      <c r="E559" s="33">
        <v>35</v>
      </c>
      <c r="F559" s="60">
        <v>485</v>
      </c>
      <c r="G559" s="60">
        <f>+OtherClients[[#This Row],[Boxes / Pieces]]*OtherClients[[#This Row],[Unit Quantity]]</f>
        <v>16975</v>
      </c>
      <c r="H559" s="60" t="s">
        <v>816</v>
      </c>
      <c r="I559" s="120" t="s">
        <v>278</v>
      </c>
      <c r="J559" s="121"/>
      <c r="K559" s="33" t="s">
        <v>278</v>
      </c>
      <c r="L559" s="122"/>
      <c r="M559" s="33" t="s">
        <v>278</v>
      </c>
      <c r="N559" s="122"/>
      <c r="O559" s="33" t="s">
        <v>278</v>
      </c>
      <c r="P559" s="122"/>
      <c r="Q559" s="33" t="s">
        <v>587</v>
      </c>
      <c r="R559" s="122"/>
      <c r="S559" s="33" t="s">
        <v>278</v>
      </c>
      <c r="T559" s="122"/>
      <c r="U559" s="33" t="s">
        <v>278</v>
      </c>
      <c r="V559" s="122"/>
      <c r="W559" s="59" t="s">
        <v>548</v>
      </c>
      <c r="X559" s="33" t="str">
        <f>+VLOOKUP(OtherClients[[#This Row],[Part]],PartControl!$A$2:$E$564,5,FALSE)</f>
        <v>INFASCO</v>
      </c>
      <c r="Y559" s="108">
        <f>IF(OtherClients[[#This Row],[Re-certified or New]]&lt;&gt;"Re-certified",IF(OtherClients[[#This Row],[Client]]="infasco",VLOOKUP(OtherClients[[#This Row],[Part]],PartControl!$A$2:$E$564,2,FALSE),OtherClients[[#This Row],[Total Quantity]]*VLOOKUP(OtherClients[[#This Row],[Part]],PartControl!$A$2:$E$564,2,FALSE)),0)</f>
        <v>106.94</v>
      </c>
      <c r="Z559" s="108">
        <f>IF(OtherClients[[#This Row],[Re-certified or New]]&lt;&gt;"Re-certified",IF(OtherClients[[#This Row],[Client]]="infasco",VLOOKUP(OtherClients[[#This Row],[Part]],PartControl!$A$2:$E$564,2,FALSE),OtherClients[[#This Row],[Total Quantity]]*VLOOKUP(OtherClients[[#This Row],[Part]],PartControl!$A$2:$E$564,2,FALSE)),0)</f>
        <v>106.94</v>
      </c>
    </row>
    <row r="560" spans="1:26" ht="25.15" hidden="1" customHeight="1" x14ac:dyDescent="0.25">
      <c r="A560" s="112">
        <v>46244.690833333334</v>
      </c>
      <c r="B560" s="5" t="s">
        <v>344</v>
      </c>
      <c r="C560" s="5" t="s">
        <v>695</v>
      </c>
      <c r="D560" s="5">
        <v>714709</v>
      </c>
      <c r="E560" s="33">
        <v>35</v>
      </c>
      <c r="F560" s="60">
        <v>600</v>
      </c>
      <c r="G560" s="60">
        <f>+OtherClients[[#This Row],[Boxes / Pieces]]*OtherClients[[#This Row],[Unit Quantity]]</f>
        <v>21000</v>
      </c>
      <c r="H560" s="60" t="s">
        <v>816</v>
      </c>
      <c r="I560" s="120" t="s">
        <v>278</v>
      </c>
      <c r="J560" s="121"/>
      <c r="K560" s="33" t="s">
        <v>278</v>
      </c>
      <c r="L560" s="122"/>
      <c r="M560" s="33" t="s">
        <v>278</v>
      </c>
      <c r="N560" s="122"/>
      <c r="O560" s="33" t="s">
        <v>278</v>
      </c>
      <c r="P560" s="122"/>
      <c r="Q560" s="33" t="s">
        <v>587</v>
      </c>
      <c r="R560" s="122"/>
      <c r="S560" s="33" t="s">
        <v>278</v>
      </c>
      <c r="T560" s="122"/>
      <c r="U560" s="33" t="s">
        <v>278</v>
      </c>
      <c r="V560" s="122"/>
      <c r="W560" s="59" t="s">
        <v>548</v>
      </c>
      <c r="X560" s="33" t="str">
        <f>+VLOOKUP(OtherClients[[#This Row],[Part]],PartControl!$A$2:$E$564,5,FALSE)</f>
        <v>infasco</v>
      </c>
      <c r="Y560" s="108">
        <f>IF(OtherClients[[#This Row],[Re-certified or New]]&lt;&gt;"Re-certified",IF(OtherClients[[#This Row],[Client]]="infasco",VLOOKUP(OtherClients[[#This Row],[Part]],PartControl!$A$2:$E$564,2,FALSE),OtherClients[[#This Row],[Total Quantity]]*VLOOKUP(OtherClients[[#This Row],[Part]],PartControl!$A$2:$E$564,2,FALSE)),0)</f>
        <v>106.94</v>
      </c>
      <c r="Z560" s="108">
        <f>IF(OtherClients[[#This Row],[Re-certified or New]]&lt;&gt;"Re-certified",IF(OtherClients[[#This Row],[Client]]="infasco",VLOOKUP(OtherClients[[#This Row],[Part]],PartControl!$A$2:$E$564,2,FALSE),OtherClients[[#This Row],[Total Quantity]]*VLOOKUP(OtherClients[[#This Row],[Part]],PartControl!$A$2:$E$564,2,FALSE)),0)</f>
        <v>106.94</v>
      </c>
    </row>
    <row r="561" spans="1:26" ht="25.15" hidden="1" customHeight="1" x14ac:dyDescent="0.25">
      <c r="A561" s="112">
        <v>46241.695208333331</v>
      </c>
      <c r="B561" s="5" t="s">
        <v>246</v>
      </c>
      <c r="C561" s="5" t="s">
        <v>303</v>
      </c>
      <c r="D561" s="5">
        <v>714132</v>
      </c>
      <c r="E561" s="33">
        <v>1</v>
      </c>
      <c r="F561" s="60">
        <v>25280</v>
      </c>
      <c r="G561" s="60">
        <f>+OtherClients[[#This Row],[Boxes / Pieces]]*OtherClients[[#This Row],[Unit Quantity]]</f>
        <v>25280</v>
      </c>
      <c r="H561" s="60">
        <v>272</v>
      </c>
      <c r="I561" s="60" t="s">
        <v>278</v>
      </c>
      <c r="J561" s="104"/>
      <c r="K561" s="33" t="s">
        <v>278</v>
      </c>
      <c r="L561" s="111"/>
      <c r="M561" s="33" t="s">
        <v>278</v>
      </c>
      <c r="N561" s="111"/>
      <c r="O561" s="33" t="s">
        <v>278</v>
      </c>
      <c r="P561" s="111"/>
      <c r="Q561" s="33" t="s">
        <v>587</v>
      </c>
      <c r="R561" s="111"/>
      <c r="S561" s="33" t="s">
        <v>278</v>
      </c>
      <c r="T561" s="111"/>
      <c r="U561" s="33" t="s">
        <v>278</v>
      </c>
      <c r="V561" s="111"/>
      <c r="W561" s="59" t="s">
        <v>548</v>
      </c>
      <c r="X561" s="33" t="str">
        <f>+VLOOKUP(OtherClients[[#This Row],[Part]],PartControl!$A$2:$E$564,5,FALSE)</f>
        <v>INFASCO</v>
      </c>
      <c r="Y561" s="122"/>
      <c r="Z561" s="108">
        <f>IF(OtherClients[[#This Row],[Re-certified or New]]&lt;&gt;"Re-certified",IF(OtherClients[[#This Row],[Client]]="infasco",VLOOKUP(OtherClients[[#This Row],[Part]],PartControl!$A$2:$E$564,2,FALSE),OtherClients[[#This Row],[Total Quantity]]*VLOOKUP(OtherClients[[#This Row],[Part]],PartControl!$A$2:$E$564,2,FALSE)),0)</f>
        <v>129.44999999999999</v>
      </c>
    </row>
    <row r="562" spans="1:26" ht="25.15" hidden="1" customHeight="1" x14ac:dyDescent="0.25">
      <c r="A562" s="112">
        <v>46241.695208333331</v>
      </c>
      <c r="B562" s="5" t="s">
        <v>246</v>
      </c>
      <c r="C562" s="5" t="s">
        <v>303</v>
      </c>
      <c r="D562" s="5">
        <v>714135</v>
      </c>
      <c r="E562" s="33">
        <v>1</v>
      </c>
      <c r="F562" s="60">
        <v>70000</v>
      </c>
      <c r="G562" s="60">
        <f>+OtherClients[[#This Row],[Boxes / Pieces]]*OtherClients[[#This Row],[Unit Quantity]]</f>
        <v>70000</v>
      </c>
      <c r="H562" s="60">
        <v>272</v>
      </c>
      <c r="I562" s="60" t="s">
        <v>278</v>
      </c>
      <c r="J562" s="104"/>
      <c r="K562" s="33" t="s">
        <v>278</v>
      </c>
      <c r="L562" s="111"/>
      <c r="M562" s="33" t="s">
        <v>278</v>
      </c>
      <c r="N562" s="111"/>
      <c r="O562" s="33" t="s">
        <v>278</v>
      </c>
      <c r="P562" s="111"/>
      <c r="Q562" s="33" t="s">
        <v>587</v>
      </c>
      <c r="R562" s="111"/>
      <c r="S562" s="33" t="s">
        <v>278</v>
      </c>
      <c r="T562" s="111"/>
      <c r="U562" s="33" t="s">
        <v>278</v>
      </c>
      <c r="V562" s="111"/>
      <c r="W562" s="59" t="s">
        <v>548</v>
      </c>
      <c r="X562" s="33" t="str">
        <f>+VLOOKUP(OtherClients[[#This Row],[Part]],PartControl!$A$2:$E$564,5,FALSE)</f>
        <v>INFASCO</v>
      </c>
      <c r="Y562" s="122"/>
      <c r="Z562" s="108">
        <f>IF(OtherClients[[#This Row],[Re-certified or New]]&lt;&gt;"Re-certified",IF(OtherClients[[#This Row],[Client]]="infasco",VLOOKUP(OtherClients[[#This Row],[Part]],PartControl!$A$2:$E$564,2,FALSE),OtherClients[[#This Row],[Total Quantity]]*VLOOKUP(OtherClients[[#This Row],[Part]],PartControl!$A$2:$E$564,2,FALSE)),0)</f>
        <v>129.44999999999999</v>
      </c>
    </row>
    <row r="563" spans="1:26" ht="25.15" hidden="1" customHeight="1" x14ac:dyDescent="0.25">
      <c r="A563" s="112">
        <v>46244.690833333334</v>
      </c>
      <c r="B563" s="5" t="s">
        <v>240</v>
      </c>
      <c r="C563" s="5" t="s">
        <v>565</v>
      </c>
      <c r="D563" s="5">
        <v>711243</v>
      </c>
      <c r="E563" s="33">
        <v>1</v>
      </c>
      <c r="F563" s="60">
        <v>20000</v>
      </c>
      <c r="G563" s="60">
        <f>+OtherClients[[#This Row],[Boxes / Pieces]]*OtherClients[[#This Row],[Unit Quantity]]</f>
        <v>20000</v>
      </c>
      <c r="H563" s="60">
        <v>290</v>
      </c>
      <c r="I563" s="120" t="s">
        <v>278</v>
      </c>
      <c r="J563" s="121"/>
      <c r="K563" s="33" t="s">
        <v>278</v>
      </c>
      <c r="L563" s="122"/>
      <c r="M563" s="33" t="s">
        <v>278</v>
      </c>
      <c r="N563" s="122"/>
      <c r="O563" s="33" t="s">
        <v>278</v>
      </c>
      <c r="P563" s="122"/>
      <c r="Q563" s="33" t="s">
        <v>587</v>
      </c>
      <c r="R563" s="122"/>
      <c r="S563" s="33" t="s">
        <v>278</v>
      </c>
      <c r="T563" s="122"/>
      <c r="U563" s="33" t="s">
        <v>278</v>
      </c>
      <c r="V563" s="122"/>
      <c r="W563" s="59" t="s">
        <v>548</v>
      </c>
      <c r="X563" s="33" t="str">
        <f>+VLOOKUP(OtherClients[[#This Row],[Part]],PartControl!$A$2:$E$564,5,FALSE)</f>
        <v>Infasco</v>
      </c>
      <c r="Y563" s="108">
        <f>IF(OtherClients[[#This Row],[Re-certified or New]]&lt;&gt;"Re-certified",IF(OtherClients[[#This Row],[Client]]="infasco",VLOOKUP(OtherClients[[#This Row],[Part]],PartControl!$A$2:$E$564,2,FALSE),OtherClients[[#This Row],[Total Quantity]]*VLOOKUP(OtherClients[[#This Row],[Part]],PartControl!$A$2:$E$564,2,FALSE)),0)</f>
        <v>106.94</v>
      </c>
      <c r="Z563" s="108">
        <f>IF(OtherClients[[#This Row],[Re-certified or New]]&lt;&gt;"Re-certified",IF(OtherClients[[#This Row],[Client]]="infasco",VLOOKUP(OtherClients[[#This Row],[Part]],PartControl!$A$2:$E$564,2,FALSE),OtherClients[[#This Row],[Total Quantity]]*VLOOKUP(OtherClients[[#This Row],[Part]],PartControl!$A$2:$E$564,2,FALSE)),0)</f>
        <v>106.94</v>
      </c>
    </row>
    <row r="564" spans="1:26" ht="25.15" hidden="1" customHeight="1" x14ac:dyDescent="0.25">
      <c r="A564" s="112">
        <v>46244.690833333334</v>
      </c>
      <c r="B564" s="5" t="s">
        <v>240</v>
      </c>
      <c r="C564" s="5" t="s">
        <v>565</v>
      </c>
      <c r="D564" s="5">
        <v>713552</v>
      </c>
      <c r="E564" s="33">
        <v>1</v>
      </c>
      <c r="F564" s="60">
        <v>20000</v>
      </c>
      <c r="G564" s="60">
        <f>+OtherClients[[#This Row],[Boxes / Pieces]]*OtherClients[[#This Row],[Unit Quantity]]</f>
        <v>20000</v>
      </c>
      <c r="H564" s="60">
        <v>290</v>
      </c>
      <c r="I564" s="120" t="s">
        <v>278</v>
      </c>
      <c r="J564" s="121"/>
      <c r="K564" s="33" t="s">
        <v>278</v>
      </c>
      <c r="L564" s="122"/>
      <c r="M564" s="33" t="s">
        <v>278</v>
      </c>
      <c r="N564" s="122"/>
      <c r="O564" s="33" t="s">
        <v>278</v>
      </c>
      <c r="P564" s="122"/>
      <c r="Q564" s="33" t="s">
        <v>587</v>
      </c>
      <c r="R564" s="122"/>
      <c r="S564" s="33" t="s">
        <v>278</v>
      </c>
      <c r="T564" s="122"/>
      <c r="U564" s="33" t="s">
        <v>278</v>
      </c>
      <c r="V564" s="122"/>
      <c r="W564" s="59" t="s">
        <v>548</v>
      </c>
      <c r="X564" s="33" t="str">
        <f>+VLOOKUP(OtherClients[[#This Row],[Part]],PartControl!$A$2:$E$564,5,FALSE)</f>
        <v>Infasco</v>
      </c>
      <c r="Y564" s="108">
        <f>IF(OtherClients[[#This Row],[Re-certified or New]]&lt;&gt;"Re-certified",IF(OtherClients[[#This Row],[Client]]="infasco",VLOOKUP(OtherClients[[#This Row],[Part]],PartControl!$A$2:$E$564,2,FALSE),OtherClients[[#This Row],[Total Quantity]]*VLOOKUP(OtherClients[[#This Row],[Part]],PartControl!$A$2:$E$564,2,FALSE)),0)</f>
        <v>106.94</v>
      </c>
      <c r="Z564" s="108">
        <f>IF(OtherClients[[#This Row],[Re-certified or New]]&lt;&gt;"Re-certified",IF(OtherClients[[#This Row],[Client]]="infasco",VLOOKUP(OtherClients[[#This Row],[Part]],PartControl!$A$2:$E$564,2,FALSE),OtherClients[[#This Row],[Total Quantity]]*VLOOKUP(OtherClients[[#This Row],[Part]],PartControl!$A$2:$E$564,2,FALSE)),0)</f>
        <v>106.94</v>
      </c>
    </row>
    <row r="565" spans="1:26" ht="25.15" hidden="1" customHeight="1" x14ac:dyDescent="0.25">
      <c r="A565" s="112">
        <v>46244.690833333334</v>
      </c>
      <c r="B565" s="5" t="s">
        <v>240</v>
      </c>
      <c r="C565" s="5" t="s">
        <v>645</v>
      </c>
      <c r="D565" s="5">
        <v>715858</v>
      </c>
      <c r="E565" s="33">
        <v>14</v>
      </c>
      <c r="F565" s="60">
        <v>1000</v>
      </c>
      <c r="G565" s="60">
        <f>+OtherClients[[#This Row],[Boxes / Pieces]]*OtherClients[[#This Row],[Unit Quantity]]</f>
        <v>14000</v>
      </c>
      <c r="H565" s="60">
        <v>290</v>
      </c>
      <c r="I565" s="120" t="s">
        <v>278</v>
      </c>
      <c r="J565" s="121"/>
      <c r="K565" s="33" t="s">
        <v>278</v>
      </c>
      <c r="L565" s="122"/>
      <c r="M565" s="33" t="s">
        <v>278</v>
      </c>
      <c r="N565" s="122"/>
      <c r="O565" s="33" t="s">
        <v>278</v>
      </c>
      <c r="P565" s="122"/>
      <c r="Q565" s="33" t="s">
        <v>587</v>
      </c>
      <c r="R565" s="122"/>
      <c r="S565" s="33" t="s">
        <v>278</v>
      </c>
      <c r="T565" s="122"/>
      <c r="U565" s="33" t="s">
        <v>278</v>
      </c>
      <c r="V565" s="122"/>
      <c r="W565" s="59" t="s">
        <v>633</v>
      </c>
      <c r="X565" s="33" t="str">
        <f>+VLOOKUP(OtherClients[[#This Row],[Part]],PartControl!$A$2:$E$564,5,FALSE)</f>
        <v>infasco</v>
      </c>
      <c r="Y565" s="108">
        <f>IF(OtherClients[[#This Row],[Re-certified or New]]&lt;&gt;"Re-certified",IF(OtherClients[[#This Row],[Client]]="infasco",VLOOKUP(OtherClients[[#This Row],[Part]],PartControl!$A$2:$E$564,2,FALSE),OtherClients[[#This Row],[Total Quantity]]*VLOOKUP(OtherClients[[#This Row],[Part]],PartControl!$A$2:$E$564,2,FALSE)),0)</f>
        <v>0</v>
      </c>
      <c r="Z565" s="108">
        <f>IF(OtherClients[[#This Row],[Re-certified or New]]&lt;&gt;"Re-certified",IF(OtherClients[[#This Row],[Client]]="infasco",VLOOKUP(OtherClients[[#This Row],[Part]],PartControl!$A$2:$E$564,2,FALSE),OtherClients[[#This Row],[Total Quantity]]*VLOOKUP(OtherClients[[#This Row],[Part]],PartControl!$A$2:$E$564,2,FALSE)),0)</f>
        <v>0</v>
      </c>
    </row>
    <row r="566" spans="1:26" ht="25.15" hidden="1" customHeight="1" x14ac:dyDescent="0.25">
      <c r="A566" s="112">
        <v>46245.697488425925</v>
      </c>
      <c r="B566" s="5" t="s">
        <v>234</v>
      </c>
      <c r="C566" s="5" t="s">
        <v>642</v>
      </c>
      <c r="D566" s="5">
        <v>715711</v>
      </c>
      <c r="E566" s="33">
        <f>36-18-5</f>
        <v>13</v>
      </c>
      <c r="F566" s="60">
        <v>2800</v>
      </c>
      <c r="G566" s="60">
        <f>+OtherClients[[#This Row],[Boxes / Pieces]]*OtherClients[[#This Row],[Unit Quantity]]</f>
        <v>36400</v>
      </c>
      <c r="H566" s="60">
        <v>275</v>
      </c>
      <c r="I566" s="60" t="s">
        <v>278</v>
      </c>
      <c r="J566" s="104"/>
      <c r="K566" s="33" t="s">
        <v>278</v>
      </c>
      <c r="L566" s="111"/>
      <c r="M566" s="33" t="s">
        <v>278</v>
      </c>
      <c r="N566" s="111"/>
      <c r="O566" s="33" t="s">
        <v>278</v>
      </c>
      <c r="P566" s="111"/>
      <c r="Q566" s="33" t="s">
        <v>587</v>
      </c>
      <c r="R566" s="111"/>
      <c r="S566" s="33" t="s">
        <v>278</v>
      </c>
      <c r="T566" s="111"/>
      <c r="U566" s="33" t="s">
        <v>278</v>
      </c>
      <c r="V566" s="111"/>
      <c r="W566" s="59" t="s">
        <v>548</v>
      </c>
      <c r="X566" s="33" t="str">
        <f>+VLOOKUP(OtherClients[[#This Row],[Part]],PartControl!$A$2:$E$564,5,FALSE)</f>
        <v>infasco</v>
      </c>
      <c r="Y566" s="111">
        <v>106.94</v>
      </c>
      <c r="Z566" s="108">
        <f>IF(OtherClients[[#This Row],[Re-certified or New]]&lt;&gt;"Re-certified",IF(OtherClients[[#This Row],[Client]]="infasco",VLOOKUP(OtherClients[[#This Row],[Part]],PartControl!$A$2:$E$564,2,FALSE),OtherClients[[#This Row],[Total Quantity]]*VLOOKUP(OtherClients[[#This Row],[Part]],PartControl!$A$2:$E$564,2,FALSE)),0)</f>
        <v>106.94</v>
      </c>
    </row>
    <row r="567" spans="1:26" ht="25.15" hidden="1" customHeight="1" x14ac:dyDescent="0.25">
      <c r="A567" s="112">
        <v>46245.697488425925</v>
      </c>
      <c r="B567" s="5" t="s">
        <v>234</v>
      </c>
      <c r="C567" s="5" t="s">
        <v>728</v>
      </c>
      <c r="D567" s="5">
        <v>716160</v>
      </c>
      <c r="E567" s="33">
        <v>30</v>
      </c>
      <c r="F567" s="60">
        <v>1500</v>
      </c>
      <c r="G567" s="60">
        <f>+OtherClients[[#This Row],[Boxes / Pieces]]*OtherClients[[#This Row],[Unit Quantity]]</f>
        <v>45000</v>
      </c>
      <c r="H567" s="60">
        <v>275</v>
      </c>
      <c r="I567" s="60" t="s">
        <v>278</v>
      </c>
      <c r="J567" s="104"/>
      <c r="K567" s="33" t="s">
        <v>278</v>
      </c>
      <c r="L567" s="111"/>
      <c r="M567" s="33" t="s">
        <v>278</v>
      </c>
      <c r="N567" s="111"/>
      <c r="O567" s="33" t="s">
        <v>278</v>
      </c>
      <c r="P567" s="111"/>
      <c r="Q567" s="33" t="s">
        <v>587</v>
      </c>
      <c r="R567" s="111"/>
      <c r="S567" s="33" t="s">
        <v>278</v>
      </c>
      <c r="T567" s="111"/>
      <c r="U567" s="33" t="s">
        <v>278</v>
      </c>
      <c r="V567" s="111"/>
      <c r="W567" s="59" t="s">
        <v>633</v>
      </c>
      <c r="X567" s="33" t="str">
        <f>+VLOOKUP(OtherClients[[#This Row],[Part]],PartControl!$A$2:$E$564,5,FALSE)</f>
        <v>infasco</v>
      </c>
      <c r="Y567" s="108">
        <f>IF(OtherClients[[#This Row],[Re-certified or New]]&lt;&gt;"Re-certified",IF(OtherClients[[#This Row],[Client]]="infasco",VLOOKUP(OtherClients[[#This Row],[Part]],PartControl!$A$2:$E$564,2,FALSE),OtherClients[[#This Row],[Total Quantity]]*VLOOKUP(OtherClients[[#This Row],[Part]],PartControl!$A$2:$E$564,2,FALSE)),0)</f>
        <v>0</v>
      </c>
      <c r="Z567" s="108">
        <f>IF(OtherClients[[#This Row],[Re-certified or New]]&lt;&gt;"Re-certified",IF(OtherClients[[#This Row],[Client]]="infasco",VLOOKUP(OtherClients[[#This Row],[Part]],PartControl!$A$2:$E$564,2,FALSE),OtherClients[[#This Row],[Total Quantity]]*VLOOKUP(OtherClients[[#This Row],[Part]],PartControl!$A$2:$E$564,2,FALSE)),0)</f>
        <v>0</v>
      </c>
    </row>
    <row r="568" spans="1:26" ht="25.15" hidden="1" customHeight="1" x14ac:dyDescent="0.25">
      <c r="A568" s="112">
        <v>46245.697488425925</v>
      </c>
      <c r="B568" s="5" t="s">
        <v>232</v>
      </c>
      <c r="C568" s="5" t="s">
        <v>728</v>
      </c>
      <c r="D568" s="5">
        <v>716076</v>
      </c>
      <c r="E568" s="33">
        <v>48</v>
      </c>
      <c r="F568" s="60">
        <v>1500</v>
      </c>
      <c r="G568" s="60">
        <f>+OtherClients[[#This Row],[Boxes / Pieces]]*OtherClients[[#This Row],[Unit Quantity]]</f>
        <v>72000</v>
      </c>
      <c r="H568" s="60">
        <v>275</v>
      </c>
      <c r="I568" s="60" t="s">
        <v>278</v>
      </c>
      <c r="J568" s="104"/>
      <c r="K568" s="33" t="s">
        <v>278</v>
      </c>
      <c r="L568" s="111"/>
      <c r="M568" s="33" t="s">
        <v>278</v>
      </c>
      <c r="N568" s="111"/>
      <c r="O568" s="33" t="s">
        <v>278</v>
      </c>
      <c r="P568" s="111"/>
      <c r="Q568" s="33" t="s">
        <v>587</v>
      </c>
      <c r="R568" s="111"/>
      <c r="S568" s="33" t="s">
        <v>278</v>
      </c>
      <c r="T568" s="111"/>
      <c r="U568" s="33" t="s">
        <v>278</v>
      </c>
      <c r="V568" s="111"/>
      <c r="W568" s="59" t="s">
        <v>548</v>
      </c>
      <c r="X568" s="33" t="str">
        <f>+VLOOKUP(OtherClients[[#This Row],[Part]],PartControl!$A$2:$E$564,5,FALSE)</f>
        <v>infasco</v>
      </c>
      <c r="Y568" s="108">
        <f>IF(OtherClients[[#This Row],[Re-certified or New]]&lt;&gt;"Re-certified",IF(OtherClients[[#This Row],[Client]]="infasco",VLOOKUP(OtherClients[[#This Row],[Part]],PartControl!$A$2:$E$564,2,FALSE),OtherClients[[#This Row],[Total Quantity]]*VLOOKUP(OtherClients[[#This Row],[Part]],PartControl!$A$2:$E$564,2,FALSE)),0)</f>
        <v>106.94</v>
      </c>
      <c r="Z568" s="108">
        <f>IF(OtherClients[[#This Row],[Re-certified or New]]&lt;&gt;"Re-certified",IF(OtherClients[[#This Row],[Client]]="infasco",VLOOKUP(OtherClients[[#This Row],[Part]],PartControl!$A$2:$E$564,2,FALSE),OtherClients[[#This Row],[Total Quantity]]*VLOOKUP(OtherClients[[#This Row],[Part]],PartControl!$A$2:$E$564,2,FALSE)),0)</f>
        <v>106.94</v>
      </c>
    </row>
    <row r="569" spans="1:26" ht="25.15" hidden="1" customHeight="1" x14ac:dyDescent="0.25">
      <c r="A569" s="112">
        <v>46245.697488425925</v>
      </c>
      <c r="B569" s="5" t="s">
        <v>232</v>
      </c>
      <c r="C569" s="5" t="s">
        <v>728</v>
      </c>
      <c r="D569" s="5">
        <v>716156</v>
      </c>
      <c r="E569" s="33">
        <v>12</v>
      </c>
      <c r="F569" s="60">
        <v>1500</v>
      </c>
      <c r="G569" s="60">
        <f>+OtherClients[[#This Row],[Boxes / Pieces]]*OtherClients[[#This Row],[Unit Quantity]]</f>
        <v>18000</v>
      </c>
      <c r="H569" s="60">
        <v>275</v>
      </c>
      <c r="I569" s="60" t="s">
        <v>278</v>
      </c>
      <c r="J569" s="104"/>
      <c r="K569" s="33" t="s">
        <v>278</v>
      </c>
      <c r="L569" s="111"/>
      <c r="M569" s="33" t="s">
        <v>278</v>
      </c>
      <c r="N569" s="111"/>
      <c r="O569" s="33" t="s">
        <v>278</v>
      </c>
      <c r="P569" s="111"/>
      <c r="Q569" s="33" t="s">
        <v>587</v>
      </c>
      <c r="R569" s="111"/>
      <c r="S569" s="33" t="s">
        <v>278</v>
      </c>
      <c r="T569" s="111"/>
      <c r="U569" s="33" t="s">
        <v>278</v>
      </c>
      <c r="V569" s="111"/>
      <c r="W569" s="59" t="s">
        <v>633</v>
      </c>
      <c r="X569" s="33" t="str">
        <f>+VLOOKUP(OtherClients[[#This Row],[Part]],PartControl!$A$2:$E$564,5,FALSE)</f>
        <v>infasco</v>
      </c>
      <c r="Y569" s="108">
        <f>IF(OtherClients[[#This Row],[Re-certified or New]]&lt;&gt;"Re-certified",IF(OtherClients[[#This Row],[Client]]="infasco",VLOOKUP(OtherClients[[#This Row],[Part]],PartControl!$A$2:$E$564,2,FALSE),OtherClients[[#This Row],[Total Quantity]]*VLOOKUP(OtherClients[[#This Row],[Part]],PartControl!$A$2:$E$564,2,FALSE)),0)</f>
        <v>0</v>
      </c>
      <c r="Z569" s="108">
        <f>IF(OtherClients[[#This Row],[Re-certified or New]]&lt;&gt;"Re-certified",IF(OtherClients[[#This Row],[Client]]="infasco",VLOOKUP(OtherClients[[#This Row],[Part]],PartControl!$A$2:$E$564,2,FALSE),OtherClients[[#This Row],[Total Quantity]]*VLOOKUP(OtherClients[[#This Row],[Part]],PartControl!$A$2:$E$564,2,FALSE)),0)</f>
        <v>0</v>
      </c>
    </row>
    <row r="570" spans="1:26" ht="25.15" hidden="1" customHeight="1" x14ac:dyDescent="0.25">
      <c r="A570" s="112">
        <v>46245.697488425925</v>
      </c>
      <c r="B570" s="5" t="s">
        <v>252</v>
      </c>
      <c r="C570" s="5" t="s">
        <v>642</v>
      </c>
      <c r="D570" s="5">
        <v>715701</v>
      </c>
      <c r="E570" s="33">
        <f>32-5</f>
        <v>27</v>
      </c>
      <c r="F570" s="60">
        <v>2800</v>
      </c>
      <c r="G570" s="60">
        <f>+OtherClients[[#This Row],[Boxes / Pieces]]*OtherClients[[#This Row],[Unit Quantity]]</f>
        <v>75600</v>
      </c>
      <c r="H570" s="60">
        <v>275</v>
      </c>
      <c r="I570" s="60" t="s">
        <v>278</v>
      </c>
      <c r="J570" s="104"/>
      <c r="K570" s="33" t="s">
        <v>278</v>
      </c>
      <c r="L570" s="111"/>
      <c r="M570" s="33" t="s">
        <v>278</v>
      </c>
      <c r="N570" s="111"/>
      <c r="O570" s="33" t="s">
        <v>278</v>
      </c>
      <c r="P570" s="111"/>
      <c r="Q570" s="33" t="s">
        <v>587</v>
      </c>
      <c r="R570" s="111"/>
      <c r="S570" s="33" t="s">
        <v>278</v>
      </c>
      <c r="T570" s="111"/>
      <c r="U570" s="33" t="s">
        <v>278</v>
      </c>
      <c r="V570" s="111"/>
      <c r="W570" s="59" t="s">
        <v>633</v>
      </c>
      <c r="X570" s="33" t="str">
        <f>+VLOOKUP(OtherClients[[#This Row],[Part]],PartControl!$A$2:$E$564,5,FALSE)</f>
        <v>infasco</v>
      </c>
      <c r="Y570" s="108">
        <f>IF(OtherClients[[#This Row],[Re-certified or New]]&lt;&gt;"Re-certified",IF(OtherClients[[#This Row],[Client]]="infasco",VLOOKUP(OtherClients[[#This Row],[Part]],PartControl!$A$2:$E$564,2,FALSE),OtherClients[[#This Row],[Total Quantity]]*VLOOKUP(OtherClients[[#This Row],[Part]],PartControl!$A$2:$E$564,2,FALSE)),0)</f>
        <v>0</v>
      </c>
      <c r="Z570" s="108">
        <f>IF(OtherClients[[#This Row],[Re-certified or New]]&lt;&gt;"Re-certified",IF(OtherClients[[#This Row],[Client]]="infasco",VLOOKUP(OtherClients[[#This Row],[Part]],PartControl!$A$2:$E$564,2,FALSE),OtherClients[[#This Row],[Total Quantity]]*VLOOKUP(OtherClients[[#This Row],[Part]],PartControl!$A$2:$E$564,2,FALSE)),0)</f>
        <v>0</v>
      </c>
    </row>
    <row r="571" spans="1:26" ht="25.15" hidden="1" customHeight="1" x14ac:dyDescent="0.25">
      <c r="A571" s="112">
        <v>46245.697488425925</v>
      </c>
      <c r="B571" s="5" t="s">
        <v>242</v>
      </c>
      <c r="C571" s="5" t="s">
        <v>703</v>
      </c>
      <c r="D571" s="5">
        <v>714195</v>
      </c>
      <c r="E571" s="33">
        <v>36</v>
      </c>
      <c r="F571" s="60">
        <v>700</v>
      </c>
      <c r="G571" s="60">
        <f>+OtherClients[[#This Row],[Boxes / Pieces]]*OtherClients[[#This Row],[Unit Quantity]]</f>
        <v>25200</v>
      </c>
      <c r="H571" s="60">
        <v>275</v>
      </c>
      <c r="I571" s="60" t="s">
        <v>278</v>
      </c>
      <c r="J571" s="104"/>
      <c r="K571" s="33" t="s">
        <v>278</v>
      </c>
      <c r="L571" s="111"/>
      <c r="M571" s="33" t="s">
        <v>278</v>
      </c>
      <c r="N571" s="111"/>
      <c r="O571" s="33" t="s">
        <v>278</v>
      </c>
      <c r="P571" s="111"/>
      <c r="Q571" s="33" t="s">
        <v>587</v>
      </c>
      <c r="R571" s="111"/>
      <c r="S571" s="33" t="s">
        <v>278</v>
      </c>
      <c r="T571" s="111"/>
      <c r="U571" s="33" t="s">
        <v>278</v>
      </c>
      <c r="V571" s="111"/>
      <c r="W571" s="59" t="s">
        <v>548</v>
      </c>
      <c r="X571" s="33" t="str">
        <f>+VLOOKUP(OtherClients[[#This Row],[Part]],PartControl!$A$2:$E$564,5,FALSE)</f>
        <v>infasco</v>
      </c>
      <c r="Y571" s="108">
        <f>IF(OtherClients[[#This Row],[Re-certified or New]]&lt;&gt;"Re-certified",IF(OtherClients[[#This Row],[Client]]="infasco",VLOOKUP(OtherClients[[#This Row],[Part]],PartControl!$A$2:$E$564,2,FALSE),OtherClients[[#This Row],[Total Quantity]]*VLOOKUP(OtherClients[[#This Row],[Part]],PartControl!$A$2:$E$564,2,FALSE)),0)</f>
        <v>106.94</v>
      </c>
      <c r="Z571" s="108">
        <f>IF(OtherClients[[#This Row],[Re-certified or New]]&lt;&gt;"Re-certified",IF(OtherClients[[#This Row],[Client]]="infasco",VLOOKUP(OtherClients[[#This Row],[Part]],PartControl!$A$2:$E$564,2,FALSE),OtherClients[[#This Row],[Total Quantity]]*VLOOKUP(OtherClients[[#This Row],[Part]],PartControl!$A$2:$E$564,2,FALSE)),0)</f>
        <v>106.94</v>
      </c>
    </row>
    <row r="572" spans="1:26" ht="25.15" hidden="1" customHeight="1" x14ac:dyDescent="0.25">
      <c r="A572" s="112">
        <v>46245.697488425925</v>
      </c>
      <c r="B572" s="5" t="s">
        <v>242</v>
      </c>
      <c r="C572" s="5" t="s">
        <v>703</v>
      </c>
      <c r="D572" s="5">
        <v>714190</v>
      </c>
      <c r="E572" s="33">
        <v>36</v>
      </c>
      <c r="F572" s="60">
        <v>700</v>
      </c>
      <c r="G572" s="60">
        <f>+OtherClients[[#This Row],[Boxes / Pieces]]*OtherClients[[#This Row],[Unit Quantity]]</f>
        <v>25200</v>
      </c>
      <c r="H572" s="60">
        <v>275</v>
      </c>
      <c r="I572" s="60" t="s">
        <v>278</v>
      </c>
      <c r="J572" s="104"/>
      <c r="K572" s="33" t="s">
        <v>278</v>
      </c>
      <c r="L572" s="111"/>
      <c r="M572" s="33" t="s">
        <v>278</v>
      </c>
      <c r="N572" s="111"/>
      <c r="O572" s="33" t="s">
        <v>278</v>
      </c>
      <c r="P572" s="111"/>
      <c r="Q572" s="33" t="s">
        <v>587</v>
      </c>
      <c r="R572" s="111"/>
      <c r="S572" s="33" t="s">
        <v>278</v>
      </c>
      <c r="T572" s="111"/>
      <c r="U572" s="33" t="s">
        <v>278</v>
      </c>
      <c r="V572" s="111"/>
      <c r="W572" s="59" t="s">
        <v>548</v>
      </c>
      <c r="X572" s="33" t="str">
        <f>+VLOOKUP(OtherClients[[#This Row],[Part]],PartControl!$A$2:$E$564,5,FALSE)</f>
        <v>infasco</v>
      </c>
      <c r="Y572" s="108">
        <f>IF(OtherClients[[#This Row],[Re-certified or New]]&lt;&gt;"Re-certified",IF(OtherClients[[#This Row],[Client]]="infasco",VLOOKUP(OtherClients[[#This Row],[Part]],PartControl!$A$2:$E$564,2,FALSE),OtherClients[[#This Row],[Total Quantity]]*VLOOKUP(OtherClients[[#This Row],[Part]],PartControl!$A$2:$E$564,2,FALSE)),0)</f>
        <v>106.94</v>
      </c>
      <c r="Z572" s="108">
        <f>IF(OtherClients[[#This Row],[Re-certified or New]]&lt;&gt;"Re-certified",IF(OtherClients[[#This Row],[Client]]="infasco",VLOOKUP(OtherClients[[#This Row],[Part]],PartControl!$A$2:$E$564,2,FALSE),OtherClients[[#This Row],[Total Quantity]]*VLOOKUP(OtherClients[[#This Row],[Part]],PartControl!$A$2:$E$564,2,FALSE)),0)</f>
        <v>106.94</v>
      </c>
    </row>
    <row r="573" spans="1:26" ht="25.15" hidden="1" customHeight="1" x14ac:dyDescent="0.25">
      <c r="A573" s="112">
        <v>46245.697488425925</v>
      </c>
      <c r="B573" s="5" t="s">
        <v>242</v>
      </c>
      <c r="C573" s="5" t="s">
        <v>703</v>
      </c>
      <c r="D573" s="5">
        <v>714189</v>
      </c>
      <c r="E573" s="33">
        <v>9</v>
      </c>
      <c r="F573" s="60">
        <v>700</v>
      </c>
      <c r="G573" s="60">
        <f>+OtherClients[[#This Row],[Boxes / Pieces]]*OtherClients[[#This Row],[Unit Quantity]]</f>
        <v>6300</v>
      </c>
      <c r="H573" s="60">
        <v>275</v>
      </c>
      <c r="I573" s="60" t="s">
        <v>278</v>
      </c>
      <c r="J573" s="104"/>
      <c r="K573" s="33" t="s">
        <v>278</v>
      </c>
      <c r="L573" s="111"/>
      <c r="M573" s="33" t="s">
        <v>278</v>
      </c>
      <c r="N573" s="111"/>
      <c r="O573" s="33" t="s">
        <v>278</v>
      </c>
      <c r="P573" s="111"/>
      <c r="Q573" s="33" t="s">
        <v>587</v>
      </c>
      <c r="R573" s="111"/>
      <c r="S573" s="33" t="s">
        <v>278</v>
      </c>
      <c r="T573" s="111"/>
      <c r="U573" s="33" t="s">
        <v>278</v>
      </c>
      <c r="V573" s="111"/>
      <c r="W573" s="59" t="s">
        <v>633</v>
      </c>
      <c r="X573" s="33" t="str">
        <f>+VLOOKUP(OtherClients[[#This Row],[Part]],PartControl!$A$2:$E$564,5,FALSE)</f>
        <v>infasco</v>
      </c>
      <c r="Y573" s="108">
        <f>IF(OtherClients[[#This Row],[Re-certified or New]]&lt;&gt;"Re-certified",IF(OtherClients[[#This Row],[Client]]="infasco",VLOOKUP(OtherClients[[#This Row],[Part]],PartControl!$A$2:$E$564,2,FALSE),OtherClients[[#This Row],[Total Quantity]]*VLOOKUP(OtherClients[[#This Row],[Part]],PartControl!$A$2:$E$564,2,FALSE)),0)</f>
        <v>0</v>
      </c>
      <c r="Z573" s="108">
        <f>IF(OtherClients[[#This Row],[Re-certified or New]]&lt;&gt;"Re-certified",IF(OtherClients[[#This Row],[Client]]="infasco",VLOOKUP(OtherClients[[#This Row],[Part]],PartControl!$A$2:$E$564,2,FALSE),OtherClients[[#This Row],[Total Quantity]]*VLOOKUP(OtherClients[[#This Row],[Part]],PartControl!$A$2:$E$564,2,FALSE)),0)</f>
        <v>0</v>
      </c>
    </row>
    <row r="574" spans="1:26" ht="25.15" hidden="1" customHeight="1" x14ac:dyDescent="0.25">
      <c r="A574" s="112">
        <v>46245.697488425925</v>
      </c>
      <c r="B574" s="5" t="s">
        <v>863</v>
      </c>
      <c r="C574" s="5" t="s">
        <v>656</v>
      </c>
      <c r="D574" s="5">
        <v>715682</v>
      </c>
      <c r="E574" s="33">
        <v>21</v>
      </c>
      <c r="F574" s="60">
        <v>825</v>
      </c>
      <c r="G574" s="60">
        <f>+OtherClients[[#This Row],[Boxes / Pieces]]*OtherClients[[#This Row],[Unit Quantity]]</f>
        <v>17325</v>
      </c>
      <c r="H574" s="60">
        <v>275</v>
      </c>
      <c r="I574" s="60" t="s">
        <v>278</v>
      </c>
      <c r="J574" s="104"/>
      <c r="K574" s="33" t="s">
        <v>278</v>
      </c>
      <c r="L574" s="111"/>
      <c r="M574" s="33" t="s">
        <v>278</v>
      </c>
      <c r="N574" s="111"/>
      <c r="O574" s="33" t="s">
        <v>278</v>
      </c>
      <c r="P574" s="111"/>
      <c r="Q574" s="33" t="s">
        <v>587</v>
      </c>
      <c r="R574" s="111"/>
      <c r="S574" s="33" t="s">
        <v>278</v>
      </c>
      <c r="T574" s="111"/>
      <c r="U574" s="33" t="s">
        <v>278</v>
      </c>
      <c r="V574" s="111"/>
      <c r="W574" s="59" t="s">
        <v>548</v>
      </c>
      <c r="X574" s="33" t="str">
        <f>+VLOOKUP(OtherClients[[#This Row],[Part]],PartControl!$A$2:$E$564,5,FALSE)</f>
        <v>infasco</v>
      </c>
      <c r="Y574" s="108">
        <f>IF(OtherClients[[#This Row],[Re-certified or New]]&lt;&gt;"Re-certified",IF(OtherClients[[#This Row],[Client]]="infasco",VLOOKUP(OtherClients[[#This Row],[Part]],PartControl!$A$2:$E$564,2,FALSE),OtherClients[[#This Row],[Total Quantity]]*VLOOKUP(OtherClients[[#This Row],[Part]],PartControl!$A$2:$E$564,2,FALSE)),0)</f>
        <v>280.16000000000003</v>
      </c>
      <c r="Z574" s="108">
        <f>IF(OtherClients[[#This Row],[Re-certified or New]]&lt;&gt;"Re-certified",IF(OtherClients[[#This Row],[Client]]="infasco",VLOOKUP(OtherClients[[#This Row],[Part]],PartControl!$A$2:$E$564,2,FALSE),OtherClients[[#This Row],[Total Quantity]]*VLOOKUP(OtherClients[[#This Row],[Part]],PartControl!$A$2:$E$564,2,FALSE)),0)</f>
        <v>280.16000000000003</v>
      </c>
    </row>
    <row r="575" spans="1:26" ht="25.15" hidden="1" customHeight="1" x14ac:dyDescent="0.25">
      <c r="A575" s="112">
        <v>46245.697488425925</v>
      </c>
      <c r="B575" s="5" t="s">
        <v>233</v>
      </c>
      <c r="C575" s="5" t="s">
        <v>667</v>
      </c>
      <c r="D575" s="5">
        <v>713266</v>
      </c>
      <c r="E575" s="33">
        <f>32-5</f>
        <v>27</v>
      </c>
      <c r="F575" s="60">
        <v>1600</v>
      </c>
      <c r="G575" s="60">
        <f>+OtherClients[[#This Row],[Boxes / Pieces]]*OtherClients[[#This Row],[Unit Quantity]]</f>
        <v>43200</v>
      </c>
      <c r="H575" s="60">
        <v>275</v>
      </c>
      <c r="I575" s="60" t="s">
        <v>278</v>
      </c>
      <c r="J575" s="104"/>
      <c r="K575" s="33" t="s">
        <v>278</v>
      </c>
      <c r="L575" s="111"/>
      <c r="M575" s="33" t="s">
        <v>278</v>
      </c>
      <c r="N575" s="111"/>
      <c r="O575" s="33" t="s">
        <v>278</v>
      </c>
      <c r="P575" s="111"/>
      <c r="Q575" s="33" t="s">
        <v>587</v>
      </c>
      <c r="R575" s="111"/>
      <c r="S575" s="33" t="s">
        <v>278</v>
      </c>
      <c r="T575" s="111"/>
      <c r="U575" s="33" t="s">
        <v>278</v>
      </c>
      <c r="V575" s="111"/>
      <c r="W575" s="59" t="s">
        <v>548</v>
      </c>
      <c r="X575" s="33" t="str">
        <f>+VLOOKUP(OtherClients[[#This Row],[Part]],PartControl!$A$2:$E$564,5,FALSE)</f>
        <v>infasco</v>
      </c>
      <c r="Y575" s="108">
        <f>IF(OtherClients[[#This Row],[Re-certified or New]]&lt;&gt;"Re-certified",IF(OtherClients[[#This Row],[Client]]="infasco",VLOOKUP(OtherClients[[#This Row],[Part]],PartControl!$A$2:$E$564,2,FALSE),OtherClients[[#This Row],[Total Quantity]]*VLOOKUP(OtherClients[[#This Row],[Part]],PartControl!$A$2:$E$564,2,FALSE)),0)</f>
        <v>106.94</v>
      </c>
      <c r="Z575" s="108">
        <f>IF(OtherClients[[#This Row],[Re-certified or New]]&lt;&gt;"Re-certified",IF(OtherClients[[#This Row],[Client]]="infasco",VLOOKUP(OtherClients[[#This Row],[Part]],PartControl!$A$2:$E$564,2,FALSE),OtherClients[[#This Row],[Total Quantity]]*VLOOKUP(OtherClients[[#This Row],[Part]],PartControl!$A$2:$E$564,2,FALSE)),0)</f>
        <v>106.94</v>
      </c>
    </row>
    <row r="576" spans="1:26" ht="25.15" hidden="1" customHeight="1" x14ac:dyDescent="0.25">
      <c r="A576" s="112">
        <v>46245.697488425925</v>
      </c>
      <c r="B576" s="5" t="s">
        <v>233</v>
      </c>
      <c r="C576" s="5" t="s">
        <v>571</v>
      </c>
      <c r="D576" s="5">
        <v>716152</v>
      </c>
      <c r="E576" s="33">
        <v>20</v>
      </c>
      <c r="F576" s="60">
        <v>2300</v>
      </c>
      <c r="G576" s="60">
        <f>+OtherClients[[#This Row],[Boxes / Pieces]]*OtherClients[[#This Row],[Unit Quantity]]</f>
        <v>46000</v>
      </c>
      <c r="H576" s="60">
        <v>275</v>
      </c>
      <c r="I576" s="60" t="s">
        <v>278</v>
      </c>
      <c r="J576" s="104"/>
      <c r="K576" s="33" t="s">
        <v>278</v>
      </c>
      <c r="L576" s="111"/>
      <c r="M576" s="33" t="s">
        <v>278</v>
      </c>
      <c r="N576" s="111"/>
      <c r="O576" s="33" t="s">
        <v>278</v>
      </c>
      <c r="P576" s="111"/>
      <c r="Q576" s="33" t="s">
        <v>587</v>
      </c>
      <c r="R576" s="111"/>
      <c r="S576" s="33" t="s">
        <v>278</v>
      </c>
      <c r="T576" s="111"/>
      <c r="U576" s="33" t="s">
        <v>278</v>
      </c>
      <c r="V576" s="111"/>
      <c r="W576" s="59" t="s">
        <v>633</v>
      </c>
      <c r="X576" s="33" t="str">
        <f>+VLOOKUP(OtherClients[[#This Row],[Part]],PartControl!$A$2:$E$564,5,FALSE)</f>
        <v>Infasco</v>
      </c>
      <c r="Y576" s="108">
        <f>IF(OtherClients[[#This Row],[Re-certified or New]]&lt;&gt;"Re-certified",IF(OtherClients[[#This Row],[Client]]="infasco",VLOOKUP(OtherClients[[#This Row],[Part]],PartControl!$A$2:$E$564,2,FALSE),OtherClients[[#This Row],[Total Quantity]]*VLOOKUP(OtherClients[[#This Row],[Part]],PartControl!$A$2:$E$564,2,FALSE)),0)</f>
        <v>0</v>
      </c>
      <c r="Z576" s="108">
        <f>IF(OtherClients[[#This Row],[Re-certified or New]]&lt;&gt;"Re-certified",IF(OtherClients[[#This Row],[Client]]="infasco",VLOOKUP(OtherClients[[#This Row],[Part]],PartControl!$A$2:$E$564,2,FALSE),OtherClients[[#This Row],[Total Quantity]]*VLOOKUP(OtherClients[[#This Row],[Part]],PartControl!$A$2:$E$564,2,FALSE)),0)</f>
        <v>0</v>
      </c>
    </row>
    <row r="577" spans="1:26" ht="25.15" hidden="1" customHeight="1" x14ac:dyDescent="0.25">
      <c r="A577" s="112">
        <v>46245.697488425925</v>
      </c>
      <c r="B577" s="5" t="s">
        <v>238</v>
      </c>
      <c r="C577" s="5" t="s">
        <v>703</v>
      </c>
      <c r="D577" s="5">
        <v>714193</v>
      </c>
      <c r="E577" s="33">
        <v>36</v>
      </c>
      <c r="F577" s="60">
        <v>700</v>
      </c>
      <c r="G577" s="60">
        <f>+OtherClients[[#This Row],[Boxes / Pieces]]*OtherClients[[#This Row],[Unit Quantity]]</f>
        <v>25200</v>
      </c>
      <c r="H577" s="60">
        <v>275</v>
      </c>
      <c r="I577" s="60" t="s">
        <v>278</v>
      </c>
      <c r="J577" s="104"/>
      <c r="K577" s="33" t="s">
        <v>278</v>
      </c>
      <c r="L577" s="111"/>
      <c r="M577" s="33" t="s">
        <v>278</v>
      </c>
      <c r="N577" s="111"/>
      <c r="O577" s="33" t="s">
        <v>278</v>
      </c>
      <c r="P577" s="111"/>
      <c r="Q577" s="33" t="s">
        <v>587</v>
      </c>
      <c r="R577" s="111"/>
      <c r="S577" s="33" t="s">
        <v>278</v>
      </c>
      <c r="T577" s="111"/>
      <c r="U577" s="33" t="s">
        <v>278</v>
      </c>
      <c r="V577" s="111"/>
      <c r="W577" s="59" t="s">
        <v>548</v>
      </c>
      <c r="X577" s="33" t="str">
        <f>+VLOOKUP(OtherClients[[#This Row],[Part]],PartControl!$A$2:$E$564,5,FALSE)</f>
        <v>infasco</v>
      </c>
      <c r="Y577" s="108">
        <f>IF(OtherClients[[#This Row],[Re-certified or New]]&lt;&gt;"Re-certified",IF(OtherClients[[#This Row],[Client]]="infasco",VLOOKUP(OtherClients[[#This Row],[Part]],PartControl!$A$2:$E$564,2,FALSE),OtherClients[[#This Row],[Total Quantity]]*VLOOKUP(OtherClients[[#This Row],[Part]],PartControl!$A$2:$E$564,2,FALSE)),0)</f>
        <v>106.94</v>
      </c>
      <c r="Z577" s="108">
        <f>IF(OtherClients[[#This Row],[Re-certified or New]]&lt;&gt;"Re-certified",IF(OtherClients[[#This Row],[Client]]="infasco",VLOOKUP(OtherClients[[#This Row],[Part]],PartControl!$A$2:$E$564,2,FALSE),OtherClients[[#This Row],[Total Quantity]]*VLOOKUP(OtherClients[[#This Row],[Part]],PartControl!$A$2:$E$564,2,FALSE)),0)</f>
        <v>106.94</v>
      </c>
    </row>
    <row r="578" spans="1:26" ht="25.15" hidden="1" customHeight="1" x14ac:dyDescent="0.25">
      <c r="A578" s="112">
        <v>46245.697488425925</v>
      </c>
      <c r="B578" s="5" t="s">
        <v>238</v>
      </c>
      <c r="C578" s="5" t="s">
        <v>703</v>
      </c>
      <c r="D578" s="5">
        <v>714192</v>
      </c>
      <c r="E578" s="33">
        <v>20</v>
      </c>
      <c r="F578" s="60">
        <v>700</v>
      </c>
      <c r="G578" s="60">
        <f>+OtherClients[[#This Row],[Boxes / Pieces]]*OtherClients[[#This Row],[Unit Quantity]]</f>
        <v>14000</v>
      </c>
      <c r="H578" s="60">
        <v>275</v>
      </c>
      <c r="I578" s="60" t="s">
        <v>278</v>
      </c>
      <c r="J578" s="104"/>
      <c r="K578" s="33" t="s">
        <v>278</v>
      </c>
      <c r="L578" s="111"/>
      <c r="M578" s="33" t="s">
        <v>278</v>
      </c>
      <c r="N578" s="111"/>
      <c r="O578" s="33" t="s">
        <v>278</v>
      </c>
      <c r="P578" s="111"/>
      <c r="Q578" s="33" t="s">
        <v>587</v>
      </c>
      <c r="R578" s="111"/>
      <c r="S578" s="33" t="s">
        <v>278</v>
      </c>
      <c r="T578" s="111"/>
      <c r="U578" s="33" t="s">
        <v>278</v>
      </c>
      <c r="V578" s="111"/>
      <c r="W578" s="59" t="s">
        <v>633</v>
      </c>
      <c r="X578" s="33" t="str">
        <f>+VLOOKUP(OtherClients[[#This Row],[Part]],PartControl!$A$2:$E$564,5,FALSE)</f>
        <v>infasco</v>
      </c>
      <c r="Y578" s="108">
        <f>IF(OtherClients[[#This Row],[Re-certified or New]]&lt;&gt;"Re-certified",IF(OtherClients[[#This Row],[Client]]="infasco",VLOOKUP(OtherClients[[#This Row],[Part]],PartControl!$A$2:$E$564,2,FALSE),OtherClients[[#This Row],[Total Quantity]]*VLOOKUP(OtherClients[[#This Row],[Part]],PartControl!$A$2:$E$564,2,FALSE)),0)</f>
        <v>0</v>
      </c>
      <c r="Z578" s="108">
        <f>IF(OtherClients[[#This Row],[Re-certified or New]]&lt;&gt;"Re-certified",IF(OtherClients[[#This Row],[Client]]="infasco",VLOOKUP(OtherClients[[#This Row],[Part]],PartControl!$A$2:$E$564,2,FALSE),OtherClients[[#This Row],[Total Quantity]]*VLOOKUP(OtherClients[[#This Row],[Part]],PartControl!$A$2:$E$564,2,FALSE)),0)</f>
        <v>0</v>
      </c>
    </row>
    <row r="579" spans="1:26" ht="25.15" hidden="1" customHeight="1" x14ac:dyDescent="0.25">
      <c r="A579" s="112">
        <v>46245.697488425925</v>
      </c>
      <c r="B579" s="5" t="s">
        <v>239</v>
      </c>
      <c r="C579" s="5">
        <v>11549170</v>
      </c>
      <c r="D579" s="5">
        <v>714390</v>
      </c>
      <c r="E579" s="33">
        <f>36-16</f>
        <v>20</v>
      </c>
      <c r="F579" s="60">
        <v>400</v>
      </c>
      <c r="G579" s="60">
        <f>+OtherClients[[#This Row],[Boxes / Pieces]]*OtherClients[[#This Row],[Unit Quantity]]</f>
        <v>8000</v>
      </c>
      <c r="H579" s="60">
        <v>290</v>
      </c>
      <c r="I579" s="60" t="s">
        <v>278</v>
      </c>
      <c r="J579" s="104"/>
      <c r="K579" s="33" t="s">
        <v>278</v>
      </c>
      <c r="L579" s="111"/>
      <c r="M579" s="33" t="s">
        <v>278</v>
      </c>
      <c r="N579" s="111"/>
      <c r="O579" s="33" t="s">
        <v>278</v>
      </c>
      <c r="P579" s="111"/>
      <c r="Q579" s="33" t="s">
        <v>587</v>
      </c>
      <c r="R579" s="111"/>
      <c r="S579" s="33" t="s">
        <v>278</v>
      </c>
      <c r="T579" s="111"/>
      <c r="U579" s="33" t="s">
        <v>278</v>
      </c>
      <c r="V579" s="111"/>
      <c r="W579" s="59" t="s">
        <v>548</v>
      </c>
      <c r="X579" s="33" t="str">
        <f>+VLOOKUP(OtherClients[[#This Row],[Part]],PartControl!$A$2:$E$564,5,FALSE)</f>
        <v>INFASCO</v>
      </c>
      <c r="Y579" s="108">
        <f>IF(OtherClients[[#This Row],[Re-certified or New]]&lt;&gt;"Re-certified",IF(OtherClients[[#This Row],[Client]]="infasco",VLOOKUP(OtherClients[[#This Row],[Part]],PartControl!$A$2:$E$564,2,FALSE),OtherClients[[#This Row],[Total Quantity]]*VLOOKUP(OtherClients[[#This Row],[Part]],PartControl!$A$2:$E$564,2,FALSE)),0)</f>
        <v>106.94</v>
      </c>
      <c r="Z579" s="108">
        <f>IF(OtherClients[[#This Row],[Re-certified or New]]&lt;&gt;"Re-certified",IF(OtherClients[[#This Row],[Client]]="infasco",VLOOKUP(OtherClients[[#This Row],[Part]],PartControl!$A$2:$E$564,2,FALSE),OtherClients[[#This Row],[Total Quantity]]*VLOOKUP(OtherClients[[#This Row],[Part]],PartControl!$A$2:$E$564,2,FALSE)),0)</f>
        <v>106.94</v>
      </c>
    </row>
    <row r="580" spans="1:26" ht="25.15" hidden="1" customHeight="1" x14ac:dyDescent="0.25">
      <c r="A580" s="112">
        <v>46245.697488425925</v>
      </c>
      <c r="B580" s="5" t="s">
        <v>239</v>
      </c>
      <c r="C580" s="5">
        <v>11549170</v>
      </c>
      <c r="D580" s="5">
        <v>714388</v>
      </c>
      <c r="E580" s="33">
        <v>36</v>
      </c>
      <c r="F580" s="60">
        <v>400</v>
      </c>
      <c r="G580" s="60">
        <f>+OtherClients[[#This Row],[Boxes / Pieces]]*OtherClients[[#This Row],[Unit Quantity]]</f>
        <v>14400</v>
      </c>
      <c r="H580" s="60">
        <v>290</v>
      </c>
      <c r="I580" s="60" t="s">
        <v>278</v>
      </c>
      <c r="J580" s="104"/>
      <c r="K580" s="33" t="s">
        <v>278</v>
      </c>
      <c r="L580" s="111"/>
      <c r="M580" s="33" t="s">
        <v>278</v>
      </c>
      <c r="N580" s="111"/>
      <c r="O580" s="33" t="s">
        <v>278</v>
      </c>
      <c r="P580" s="111"/>
      <c r="Q580" s="33" t="s">
        <v>587</v>
      </c>
      <c r="R580" s="111"/>
      <c r="S580" s="33" t="s">
        <v>278</v>
      </c>
      <c r="T580" s="111"/>
      <c r="U580" s="33" t="s">
        <v>278</v>
      </c>
      <c r="V580" s="111"/>
      <c r="W580" s="59" t="s">
        <v>548</v>
      </c>
      <c r="X580" s="33" t="str">
        <f>+VLOOKUP(OtherClients[[#This Row],[Part]],PartControl!$A$2:$E$564,5,FALSE)</f>
        <v>INFASCO</v>
      </c>
      <c r="Y580" s="108">
        <f>IF(OtherClients[[#This Row],[Re-certified or New]]&lt;&gt;"Re-certified",IF(OtherClients[[#This Row],[Client]]="infasco",VLOOKUP(OtherClients[[#This Row],[Part]],PartControl!$A$2:$E$564,2,FALSE),OtherClients[[#This Row],[Total Quantity]]*VLOOKUP(OtherClients[[#This Row],[Part]],PartControl!$A$2:$E$564,2,FALSE)),0)</f>
        <v>106.94</v>
      </c>
      <c r="Z580" s="108">
        <f>IF(OtherClients[[#This Row],[Re-certified or New]]&lt;&gt;"Re-certified",IF(OtherClients[[#This Row],[Client]]="infasco",VLOOKUP(OtherClients[[#This Row],[Part]],PartControl!$A$2:$E$564,2,FALSE),OtherClients[[#This Row],[Total Quantity]]*VLOOKUP(OtherClients[[#This Row],[Part]],PartControl!$A$2:$E$564,2,FALSE)),0)</f>
        <v>106.94</v>
      </c>
    </row>
    <row r="581" spans="1:26" ht="25.15" hidden="1" customHeight="1" x14ac:dyDescent="0.25">
      <c r="A581" s="112">
        <v>46245.697488425925</v>
      </c>
      <c r="B581" s="5" t="s">
        <v>239</v>
      </c>
      <c r="C581" s="5">
        <v>11549170</v>
      </c>
      <c r="D581" s="5">
        <v>714373</v>
      </c>
      <c r="E581" s="33">
        <f>36+12</f>
        <v>48</v>
      </c>
      <c r="F581" s="60">
        <v>400</v>
      </c>
      <c r="G581" s="60">
        <f>+OtherClients[[#This Row],[Boxes / Pieces]]*OtherClients[[#This Row],[Unit Quantity]]</f>
        <v>19200</v>
      </c>
      <c r="H581" s="60">
        <v>290</v>
      </c>
      <c r="I581" s="60" t="s">
        <v>278</v>
      </c>
      <c r="J581" s="104"/>
      <c r="K581" s="33" t="s">
        <v>278</v>
      </c>
      <c r="L581" s="111"/>
      <c r="M581" s="33" t="s">
        <v>278</v>
      </c>
      <c r="N581" s="111"/>
      <c r="O581" s="33" t="s">
        <v>278</v>
      </c>
      <c r="P581" s="111"/>
      <c r="Q581" s="33" t="s">
        <v>587</v>
      </c>
      <c r="R581" s="111"/>
      <c r="S581" s="33" t="s">
        <v>278</v>
      </c>
      <c r="T581" s="111"/>
      <c r="U581" s="33" t="s">
        <v>278</v>
      </c>
      <c r="V581" s="111"/>
      <c r="W581" s="59" t="s">
        <v>548</v>
      </c>
      <c r="X581" s="33" t="str">
        <f>+VLOOKUP(OtherClients[[#This Row],[Part]],PartControl!$A$2:$E$564,5,FALSE)</f>
        <v>INFASCO</v>
      </c>
      <c r="Y581" s="108">
        <f>IF(OtherClients[[#This Row],[Re-certified or New]]&lt;&gt;"Re-certified",IF(OtherClients[[#This Row],[Client]]="infasco",VLOOKUP(OtherClients[[#This Row],[Part]],PartControl!$A$2:$E$564,2,FALSE),OtherClients[[#This Row],[Total Quantity]]*VLOOKUP(OtherClients[[#This Row],[Part]],PartControl!$A$2:$E$564,2,FALSE)),0)</f>
        <v>106.94</v>
      </c>
      <c r="Z581" s="108">
        <f>IF(OtherClients[[#This Row],[Re-certified or New]]&lt;&gt;"Re-certified",IF(OtherClients[[#This Row],[Client]]="infasco",VLOOKUP(OtherClients[[#This Row],[Part]],PartControl!$A$2:$E$564,2,FALSE),OtherClients[[#This Row],[Total Quantity]]*VLOOKUP(OtherClients[[#This Row],[Part]],PartControl!$A$2:$E$564,2,FALSE)),0)</f>
        <v>106.94</v>
      </c>
    </row>
    <row r="582" spans="1:26" ht="25.15" hidden="1" customHeight="1" x14ac:dyDescent="0.25">
      <c r="A582" s="112">
        <v>46245.697488425925</v>
      </c>
      <c r="B582" s="5" t="s">
        <v>239</v>
      </c>
      <c r="C582" s="5">
        <v>11549170</v>
      </c>
      <c r="D582" s="5">
        <v>714386</v>
      </c>
      <c r="E582" s="33">
        <v>15</v>
      </c>
      <c r="F582" s="60">
        <v>400</v>
      </c>
      <c r="G582" s="60">
        <f>+OtherClients[[#This Row],[Boxes / Pieces]]*OtherClients[[#This Row],[Unit Quantity]]</f>
        <v>6000</v>
      </c>
      <c r="H582" s="60">
        <v>290</v>
      </c>
      <c r="I582" s="60" t="s">
        <v>278</v>
      </c>
      <c r="J582" s="104"/>
      <c r="K582" s="33" t="s">
        <v>278</v>
      </c>
      <c r="L582" s="111"/>
      <c r="M582" s="33" t="s">
        <v>278</v>
      </c>
      <c r="N582" s="111"/>
      <c r="O582" s="33" t="s">
        <v>278</v>
      </c>
      <c r="P582" s="111"/>
      <c r="Q582" s="33" t="s">
        <v>587</v>
      </c>
      <c r="R582" s="111"/>
      <c r="S582" s="33" t="s">
        <v>278</v>
      </c>
      <c r="T582" s="111"/>
      <c r="U582" s="33" t="s">
        <v>278</v>
      </c>
      <c r="V582" s="111"/>
      <c r="W582" s="59" t="s">
        <v>548</v>
      </c>
      <c r="X582" s="33" t="str">
        <f>+VLOOKUP(OtherClients[[#This Row],[Part]],PartControl!$A$2:$E$564,5,FALSE)</f>
        <v>INFASCO</v>
      </c>
      <c r="Y582" s="108">
        <f>IF(OtherClients[[#This Row],[Re-certified or New]]&lt;&gt;"Re-certified",IF(OtherClients[[#This Row],[Client]]="infasco",VLOOKUP(OtherClients[[#This Row],[Part]],PartControl!$A$2:$E$564,2,FALSE),OtherClients[[#This Row],[Total Quantity]]*VLOOKUP(OtherClients[[#This Row],[Part]],PartControl!$A$2:$E$564,2,FALSE)),0)</f>
        <v>106.94</v>
      </c>
      <c r="Z582" s="108">
        <f>IF(OtherClients[[#This Row],[Re-certified or New]]&lt;&gt;"Re-certified",IF(OtherClients[[#This Row],[Client]]="infasco",VLOOKUP(OtherClients[[#This Row],[Part]],PartControl!$A$2:$E$564,2,FALSE),OtherClients[[#This Row],[Total Quantity]]*VLOOKUP(OtherClients[[#This Row],[Part]],PartControl!$A$2:$E$564,2,FALSE)),0)</f>
        <v>106.94</v>
      </c>
    </row>
    <row r="583" spans="1:26" ht="25.15" hidden="1" customHeight="1" x14ac:dyDescent="0.25">
      <c r="A583" s="112">
        <v>46245.697488425925</v>
      </c>
      <c r="B583" s="5" t="s">
        <v>236</v>
      </c>
      <c r="C583" s="5" t="s">
        <v>728</v>
      </c>
      <c r="D583" s="5">
        <v>716077</v>
      </c>
      <c r="E583" s="33">
        <f>36+23-25</f>
        <v>34</v>
      </c>
      <c r="F583" s="60">
        <v>1500</v>
      </c>
      <c r="G583" s="60">
        <f>+OtherClients[[#This Row],[Boxes / Pieces]]*OtherClients[[#This Row],[Unit Quantity]]</f>
        <v>51000</v>
      </c>
      <c r="H583" s="60">
        <v>290</v>
      </c>
      <c r="I583" s="60" t="s">
        <v>278</v>
      </c>
      <c r="J583" s="104"/>
      <c r="K583" s="33" t="s">
        <v>278</v>
      </c>
      <c r="L583" s="111"/>
      <c r="M583" s="33" t="s">
        <v>278</v>
      </c>
      <c r="N583" s="111"/>
      <c r="O583" s="33" t="s">
        <v>278</v>
      </c>
      <c r="P583" s="111"/>
      <c r="Q583" s="33" t="s">
        <v>587</v>
      </c>
      <c r="R583" s="111"/>
      <c r="S583" s="33" t="s">
        <v>278</v>
      </c>
      <c r="T583" s="111"/>
      <c r="U583" s="33" t="s">
        <v>278</v>
      </c>
      <c r="V583" s="111"/>
      <c r="W583" s="59" t="s">
        <v>548</v>
      </c>
      <c r="X583" s="33" t="str">
        <f>+VLOOKUP(OtherClients[[#This Row],[Part]],PartControl!$A$2:$E$564,5,FALSE)</f>
        <v>infasco</v>
      </c>
      <c r="Y583" s="108">
        <f>IF(OtherClients[[#This Row],[Re-certified or New]]&lt;&gt;"Re-certified",IF(OtherClients[[#This Row],[Client]]="infasco",VLOOKUP(OtherClients[[#This Row],[Part]],PartControl!$A$2:$E$564,2,FALSE),OtherClients[[#This Row],[Total Quantity]]*VLOOKUP(OtherClients[[#This Row],[Part]],PartControl!$A$2:$E$564,2,FALSE)),0)</f>
        <v>106.94</v>
      </c>
      <c r="Z583" s="108">
        <f>IF(OtherClients[[#This Row],[Re-certified or New]]&lt;&gt;"Re-certified",IF(OtherClients[[#This Row],[Client]]="infasco",VLOOKUP(OtherClients[[#This Row],[Part]],PartControl!$A$2:$E$564,2,FALSE),OtherClients[[#This Row],[Total Quantity]]*VLOOKUP(OtherClients[[#This Row],[Part]],PartControl!$A$2:$E$564,2,FALSE)),0)</f>
        <v>106.94</v>
      </c>
    </row>
    <row r="584" spans="1:26" ht="25.15" hidden="1" customHeight="1" x14ac:dyDescent="0.25">
      <c r="A584" s="112">
        <v>46245.697488425925</v>
      </c>
      <c r="B584" s="5" t="s">
        <v>236</v>
      </c>
      <c r="C584" s="5" t="s">
        <v>728</v>
      </c>
      <c r="D584" s="5">
        <v>716158</v>
      </c>
      <c r="E584" s="33">
        <v>15</v>
      </c>
      <c r="F584" s="60">
        <v>1500</v>
      </c>
      <c r="G584" s="60">
        <f>+OtherClients[[#This Row],[Boxes / Pieces]]*OtherClients[[#This Row],[Unit Quantity]]</f>
        <v>22500</v>
      </c>
      <c r="H584" s="60">
        <v>290</v>
      </c>
      <c r="I584" s="60" t="s">
        <v>278</v>
      </c>
      <c r="J584" s="104"/>
      <c r="K584" s="33" t="s">
        <v>278</v>
      </c>
      <c r="L584" s="111"/>
      <c r="M584" s="33" t="s">
        <v>278</v>
      </c>
      <c r="N584" s="111"/>
      <c r="O584" s="33" t="s">
        <v>278</v>
      </c>
      <c r="P584" s="111"/>
      <c r="Q584" s="33" t="s">
        <v>587</v>
      </c>
      <c r="R584" s="111"/>
      <c r="S584" s="33" t="s">
        <v>278</v>
      </c>
      <c r="T584" s="111"/>
      <c r="U584" s="33" t="s">
        <v>278</v>
      </c>
      <c r="V584" s="111"/>
      <c r="W584" s="59" t="s">
        <v>633</v>
      </c>
      <c r="X584" s="33" t="str">
        <f>+VLOOKUP(OtherClients[[#This Row],[Part]],PartControl!$A$2:$E$564,5,FALSE)</f>
        <v>infasco</v>
      </c>
      <c r="Y584" s="108">
        <f>IF(OtherClients[[#This Row],[Re-certified or New]]&lt;&gt;"Re-certified",IF(OtherClients[[#This Row],[Client]]="infasco",VLOOKUP(OtherClients[[#This Row],[Part]],PartControl!$A$2:$E$564,2,FALSE),OtherClients[[#This Row],[Total Quantity]]*VLOOKUP(OtherClients[[#This Row],[Part]],PartControl!$A$2:$E$564,2,FALSE)),0)</f>
        <v>0</v>
      </c>
      <c r="Z584" s="108">
        <f>IF(OtherClients[[#This Row],[Re-certified or New]]&lt;&gt;"Re-certified",IF(OtherClients[[#This Row],[Client]]="infasco",VLOOKUP(OtherClients[[#This Row],[Part]],PartControl!$A$2:$E$564,2,FALSE),OtherClients[[#This Row],[Total Quantity]]*VLOOKUP(OtherClients[[#This Row],[Part]],PartControl!$A$2:$E$564,2,FALSE)),0)</f>
        <v>0</v>
      </c>
    </row>
    <row r="585" spans="1:26" ht="25.15" hidden="1" customHeight="1" x14ac:dyDescent="0.25">
      <c r="A585" s="112">
        <v>46245.697488425925</v>
      </c>
      <c r="B585" s="5" t="s">
        <v>235</v>
      </c>
      <c r="C585" s="5">
        <v>11546566</v>
      </c>
      <c r="D585" s="5">
        <v>714434</v>
      </c>
      <c r="E585" s="33">
        <v>1</v>
      </c>
      <c r="F585" s="60">
        <v>1800</v>
      </c>
      <c r="G585" s="60">
        <f>+OtherClients[[#This Row],[Boxes / Pieces]]*OtherClients[[#This Row],[Unit Quantity]]</f>
        <v>1800</v>
      </c>
      <c r="H585" s="60">
        <v>290</v>
      </c>
      <c r="I585" s="60" t="s">
        <v>278</v>
      </c>
      <c r="J585" s="104"/>
      <c r="K585" s="33" t="s">
        <v>278</v>
      </c>
      <c r="L585" s="111"/>
      <c r="M585" s="33" t="s">
        <v>278</v>
      </c>
      <c r="N585" s="111"/>
      <c r="O585" s="33" t="s">
        <v>278</v>
      </c>
      <c r="P585" s="111"/>
      <c r="Q585" s="33" t="s">
        <v>587</v>
      </c>
      <c r="R585" s="111"/>
      <c r="S585" s="33" t="s">
        <v>278</v>
      </c>
      <c r="T585" s="111"/>
      <c r="U585" s="33" t="s">
        <v>278</v>
      </c>
      <c r="V585" s="111"/>
      <c r="W585" s="59" t="s">
        <v>548</v>
      </c>
      <c r="X585" s="33" t="str">
        <f>+VLOOKUP(OtherClients[[#This Row],[Part]],PartControl!$A$2:$E$564,5,FALSE)</f>
        <v>infasco</v>
      </c>
      <c r="Y585" s="108">
        <f>IF(OtherClients[[#This Row],[Re-certified or New]]&lt;&gt;"Re-certified",IF(OtherClients[[#This Row],[Client]]="infasco",VLOOKUP(OtherClients[[#This Row],[Part]],PartControl!$A$2:$E$564,2,FALSE),OtherClients[[#This Row],[Total Quantity]]*VLOOKUP(OtherClients[[#This Row],[Part]],PartControl!$A$2:$E$564,2,FALSE)),0)</f>
        <v>135.07999999999998</v>
      </c>
      <c r="Z585" s="108">
        <f>IF(OtherClients[[#This Row],[Re-certified or New]]&lt;&gt;"Re-certified",IF(OtherClients[[#This Row],[Client]]="infasco",VLOOKUP(OtherClients[[#This Row],[Part]],PartControl!$A$2:$E$564,2,FALSE),OtherClients[[#This Row],[Total Quantity]]*VLOOKUP(OtherClients[[#This Row],[Part]],PartControl!$A$2:$E$564,2,FALSE)),0)</f>
        <v>135.07999999999998</v>
      </c>
    </row>
    <row r="586" spans="1:26" ht="25.15" hidden="1" customHeight="1" x14ac:dyDescent="0.25">
      <c r="A586" s="112">
        <v>46245.697488425925</v>
      </c>
      <c r="B586" s="5" t="s">
        <v>235</v>
      </c>
      <c r="C586" s="5" t="s">
        <v>656</v>
      </c>
      <c r="D586" s="5">
        <v>715680</v>
      </c>
      <c r="E586" s="33">
        <v>16</v>
      </c>
      <c r="F586" s="60">
        <v>825</v>
      </c>
      <c r="G586" s="60">
        <f>+OtherClients[[#This Row],[Boxes / Pieces]]*OtherClients[[#This Row],[Unit Quantity]]</f>
        <v>13200</v>
      </c>
      <c r="H586" s="60">
        <v>290</v>
      </c>
      <c r="I586" s="60" t="s">
        <v>278</v>
      </c>
      <c r="J586" s="104"/>
      <c r="K586" s="33" t="s">
        <v>278</v>
      </c>
      <c r="L586" s="111"/>
      <c r="M586" s="33" t="s">
        <v>278</v>
      </c>
      <c r="N586" s="111"/>
      <c r="O586" s="33" t="s">
        <v>278</v>
      </c>
      <c r="P586" s="111"/>
      <c r="Q586" s="33" t="s">
        <v>587</v>
      </c>
      <c r="R586" s="111"/>
      <c r="S586" s="33" t="s">
        <v>278</v>
      </c>
      <c r="T586" s="111"/>
      <c r="U586" s="33" t="s">
        <v>278</v>
      </c>
      <c r="V586" s="111"/>
      <c r="W586" s="59" t="s">
        <v>633</v>
      </c>
      <c r="X586" s="33" t="str">
        <f>+VLOOKUP(OtherClients[[#This Row],[Part]],PartControl!$A$2:$E$564,5,FALSE)</f>
        <v>infasco</v>
      </c>
      <c r="Y586" s="108">
        <f>IF(OtherClients[[#This Row],[Re-certified or New]]&lt;&gt;"Re-certified",IF(OtherClients[[#This Row],[Client]]="infasco",VLOOKUP(OtherClients[[#This Row],[Part]],PartControl!$A$2:$E$564,2,FALSE),OtherClients[[#This Row],[Total Quantity]]*VLOOKUP(OtherClients[[#This Row],[Part]],PartControl!$A$2:$E$564,2,FALSE)),0)</f>
        <v>0</v>
      </c>
      <c r="Z586" s="108">
        <f>IF(OtherClients[[#This Row],[Re-certified or New]]&lt;&gt;"Re-certified",IF(OtherClients[[#This Row],[Client]]="infasco",VLOOKUP(OtherClients[[#This Row],[Part]],PartControl!$A$2:$E$564,2,FALSE),OtherClients[[#This Row],[Total Quantity]]*VLOOKUP(OtherClients[[#This Row],[Part]],PartControl!$A$2:$E$564,2,FALSE)),0)</f>
        <v>0</v>
      </c>
    </row>
    <row r="587" spans="1:26" ht="25.15" hidden="1" customHeight="1" x14ac:dyDescent="0.25">
      <c r="A587" s="112">
        <v>46245.697488425925</v>
      </c>
      <c r="B587" s="5" t="s">
        <v>250</v>
      </c>
      <c r="C587" s="5">
        <v>11549170</v>
      </c>
      <c r="D587" s="5">
        <v>714381</v>
      </c>
      <c r="E587" s="33">
        <f>36+4-22</f>
        <v>18</v>
      </c>
      <c r="F587" s="60">
        <v>400</v>
      </c>
      <c r="G587" s="60">
        <f>+OtherClients[[#This Row],[Boxes / Pieces]]*OtherClients[[#This Row],[Unit Quantity]]</f>
        <v>7200</v>
      </c>
      <c r="H587" s="60">
        <v>290</v>
      </c>
      <c r="I587" s="60" t="s">
        <v>278</v>
      </c>
      <c r="J587" s="104"/>
      <c r="K587" s="33" t="s">
        <v>278</v>
      </c>
      <c r="L587" s="111"/>
      <c r="M587" s="33" t="s">
        <v>278</v>
      </c>
      <c r="N587" s="111"/>
      <c r="O587" s="33" t="s">
        <v>278</v>
      </c>
      <c r="P587" s="111"/>
      <c r="Q587" s="33" t="s">
        <v>587</v>
      </c>
      <c r="R587" s="111"/>
      <c r="S587" s="33" t="s">
        <v>278</v>
      </c>
      <c r="T587" s="111"/>
      <c r="U587" s="33" t="s">
        <v>278</v>
      </c>
      <c r="V587" s="111"/>
      <c r="W587" s="59" t="s">
        <v>548</v>
      </c>
      <c r="X587" s="33" t="str">
        <f>+VLOOKUP(OtherClients[[#This Row],[Part]],PartControl!$A$2:$E$564,5,FALSE)</f>
        <v>INFASCO</v>
      </c>
      <c r="Y587" s="108">
        <f>IF(OtherClients[[#This Row],[Re-certified or New]]&lt;&gt;"Re-certified",IF(OtherClients[[#This Row],[Client]]="infasco",VLOOKUP(OtherClients[[#This Row],[Part]],PartControl!$A$2:$E$564,2,FALSE),OtherClients[[#This Row],[Total Quantity]]*VLOOKUP(OtherClients[[#This Row],[Part]],PartControl!$A$2:$E$564,2,FALSE)),0)</f>
        <v>106.94</v>
      </c>
      <c r="Z587" s="108">
        <f>IF(OtherClients[[#This Row],[Re-certified or New]]&lt;&gt;"Re-certified",IF(OtherClients[[#This Row],[Client]]="infasco",VLOOKUP(OtherClients[[#This Row],[Part]],PartControl!$A$2:$E$564,2,FALSE),OtherClients[[#This Row],[Total Quantity]]*VLOOKUP(OtherClients[[#This Row],[Part]],PartControl!$A$2:$E$564,2,FALSE)),0)</f>
        <v>106.94</v>
      </c>
    </row>
    <row r="588" spans="1:26" ht="25.15" hidden="1" customHeight="1" x14ac:dyDescent="0.25">
      <c r="A588" s="112">
        <v>46245.697488425925</v>
      </c>
      <c r="B588" s="5" t="s">
        <v>250</v>
      </c>
      <c r="C588" s="5">
        <v>11549170</v>
      </c>
      <c r="D588" s="5">
        <v>714392</v>
      </c>
      <c r="E588" s="33">
        <v>36</v>
      </c>
      <c r="F588" s="60">
        <v>400</v>
      </c>
      <c r="G588" s="60">
        <f>+OtherClients[[#This Row],[Boxes / Pieces]]*OtherClients[[#This Row],[Unit Quantity]]</f>
        <v>14400</v>
      </c>
      <c r="H588" s="60">
        <v>290</v>
      </c>
      <c r="I588" s="60" t="s">
        <v>278</v>
      </c>
      <c r="J588" s="104"/>
      <c r="K588" s="33" t="s">
        <v>278</v>
      </c>
      <c r="L588" s="111"/>
      <c r="M588" s="33" t="s">
        <v>278</v>
      </c>
      <c r="N588" s="111"/>
      <c r="O588" s="33" t="s">
        <v>278</v>
      </c>
      <c r="P588" s="111"/>
      <c r="Q588" s="33" t="s">
        <v>587</v>
      </c>
      <c r="R588" s="111"/>
      <c r="S588" s="33" t="s">
        <v>278</v>
      </c>
      <c r="T588" s="111"/>
      <c r="U588" s="33" t="s">
        <v>278</v>
      </c>
      <c r="V588" s="111"/>
      <c r="W588" s="59" t="s">
        <v>548</v>
      </c>
      <c r="X588" s="33" t="str">
        <f>+VLOOKUP(OtherClients[[#This Row],[Part]],PartControl!$A$2:$E$564,5,FALSE)</f>
        <v>INFASCO</v>
      </c>
      <c r="Y588" s="108">
        <f>IF(OtherClients[[#This Row],[Re-certified or New]]&lt;&gt;"Re-certified",IF(OtherClients[[#This Row],[Client]]="infasco",VLOOKUP(OtherClients[[#This Row],[Part]],PartControl!$A$2:$E$564,2,FALSE),OtherClients[[#This Row],[Total Quantity]]*VLOOKUP(OtherClients[[#This Row],[Part]],PartControl!$A$2:$E$564,2,FALSE)),0)</f>
        <v>106.94</v>
      </c>
      <c r="Z588" s="108">
        <f>IF(OtherClients[[#This Row],[Re-certified or New]]&lt;&gt;"Re-certified",IF(OtherClients[[#This Row],[Client]]="infasco",VLOOKUP(OtherClients[[#This Row],[Part]],PartControl!$A$2:$E$564,2,FALSE),OtherClients[[#This Row],[Total Quantity]]*VLOOKUP(OtherClients[[#This Row],[Part]],PartControl!$A$2:$E$564,2,FALSE)),0)</f>
        <v>106.94</v>
      </c>
    </row>
    <row r="589" spans="1:26" ht="25.15" hidden="1" customHeight="1" x14ac:dyDescent="0.25">
      <c r="A589" s="112">
        <v>46245.697488425925</v>
      </c>
      <c r="B589" s="5" t="s">
        <v>237</v>
      </c>
      <c r="C589" s="5">
        <v>11549170</v>
      </c>
      <c r="D589" s="5">
        <v>714380</v>
      </c>
      <c r="E589" s="33">
        <v>12</v>
      </c>
      <c r="F589" s="60">
        <v>400</v>
      </c>
      <c r="G589" s="60">
        <f>+OtherClients[[#This Row],[Boxes / Pieces]]*OtherClients[[#This Row],[Unit Quantity]]</f>
        <v>4800</v>
      </c>
      <c r="H589" s="60">
        <v>290</v>
      </c>
      <c r="I589" s="60" t="s">
        <v>278</v>
      </c>
      <c r="J589" s="104"/>
      <c r="K589" s="33" t="s">
        <v>278</v>
      </c>
      <c r="L589" s="111"/>
      <c r="M589" s="33" t="s">
        <v>278</v>
      </c>
      <c r="N589" s="111"/>
      <c r="O589" s="33" t="s">
        <v>278</v>
      </c>
      <c r="P589" s="111"/>
      <c r="Q589" s="33" t="s">
        <v>587</v>
      </c>
      <c r="R589" s="111"/>
      <c r="S589" s="33" t="s">
        <v>278</v>
      </c>
      <c r="T589" s="111"/>
      <c r="U589" s="33" t="s">
        <v>278</v>
      </c>
      <c r="V589" s="111"/>
      <c r="W589" s="59" t="s">
        <v>633</v>
      </c>
      <c r="X589" s="33" t="str">
        <f>+VLOOKUP(OtherClients[[#This Row],[Part]],PartControl!$A$2:$E$564,5,FALSE)</f>
        <v>INFASCO</v>
      </c>
      <c r="Y589" s="108">
        <f>IF(OtherClients[[#This Row],[Re-certified or New]]&lt;&gt;"Re-certified",IF(OtherClients[[#This Row],[Client]]="infasco",VLOOKUP(OtherClients[[#This Row],[Part]],PartControl!$A$2:$E$564,2,FALSE),OtherClients[[#This Row],[Total Quantity]]*VLOOKUP(OtherClients[[#This Row],[Part]],PartControl!$A$2:$E$564,2,FALSE)),0)</f>
        <v>0</v>
      </c>
      <c r="Z589" s="108">
        <f>IF(OtherClients[[#This Row],[Re-certified or New]]&lt;&gt;"Re-certified",IF(OtherClients[[#This Row],[Client]]="infasco",VLOOKUP(OtherClients[[#This Row],[Part]],PartControl!$A$2:$E$564,2,FALSE),OtherClients[[#This Row],[Total Quantity]]*VLOOKUP(OtherClients[[#This Row],[Part]],PartControl!$A$2:$E$564,2,FALSE)),0)</f>
        <v>0</v>
      </c>
    </row>
    <row r="590" spans="1:26" ht="25.15" hidden="1" customHeight="1" x14ac:dyDescent="0.25">
      <c r="A590" s="112">
        <v>46245.697488425925</v>
      </c>
      <c r="B590" s="113" t="s">
        <v>237</v>
      </c>
      <c r="C590" s="113">
        <v>11549170</v>
      </c>
      <c r="D590" s="113">
        <v>714377</v>
      </c>
      <c r="E590" s="114">
        <f>36-30</f>
        <v>6</v>
      </c>
      <c r="F590" s="115">
        <v>400</v>
      </c>
      <c r="G590" s="115">
        <f>+OtherClients[[#This Row],[Boxes / Pieces]]*OtherClients[[#This Row],[Unit Quantity]]</f>
        <v>2400</v>
      </c>
      <c r="H590" s="60">
        <v>290</v>
      </c>
      <c r="I590" s="60" t="s">
        <v>278</v>
      </c>
      <c r="J590" s="104"/>
      <c r="K590" s="33" t="s">
        <v>278</v>
      </c>
      <c r="L590" s="111"/>
      <c r="M590" s="33" t="s">
        <v>278</v>
      </c>
      <c r="N590" s="111"/>
      <c r="O590" s="33" t="s">
        <v>278</v>
      </c>
      <c r="P590" s="111"/>
      <c r="Q590" s="33" t="s">
        <v>587</v>
      </c>
      <c r="R590" s="111"/>
      <c r="S590" s="33" t="s">
        <v>278</v>
      </c>
      <c r="T590" s="111"/>
      <c r="U590" s="33" t="s">
        <v>278</v>
      </c>
      <c r="V590" s="111"/>
      <c r="W590" s="59" t="s">
        <v>548</v>
      </c>
      <c r="X590" s="33" t="str">
        <f>+VLOOKUP(OtherClients[[#This Row],[Part]],PartControl!$A$2:$E$564,5,FALSE)</f>
        <v>INFASCO</v>
      </c>
      <c r="Y590" s="108">
        <f>IF(OtherClients[[#This Row],[Re-certified or New]]&lt;&gt;"Re-certified",IF(OtherClients[[#This Row],[Client]]="infasco",VLOOKUP(OtherClients[[#This Row],[Part]],PartControl!$A$2:$E$564,2,FALSE),OtherClients[[#This Row],[Total Quantity]]*VLOOKUP(OtherClients[[#This Row],[Part]],PartControl!$A$2:$E$564,2,FALSE)),0)</f>
        <v>106.94</v>
      </c>
      <c r="Z590" s="108">
        <f>IF(OtherClients[[#This Row],[Re-certified or New]]&lt;&gt;"Re-certified",IF(OtherClients[[#This Row],[Client]]="infasco",VLOOKUP(OtherClients[[#This Row],[Part]],PartControl!$A$2:$E$564,2,FALSE),OtherClients[[#This Row],[Total Quantity]]*VLOOKUP(OtherClients[[#This Row],[Part]],PartControl!$A$2:$E$564,2,FALSE)),0)</f>
        <v>106.94</v>
      </c>
    </row>
    <row r="591" spans="1:26" ht="25.15" hidden="1" customHeight="1" x14ac:dyDescent="0.25">
      <c r="A591" s="112">
        <v>46245.697488425925</v>
      </c>
      <c r="B591" s="5" t="s">
        <v>237</v>
      </c>
      <c r="C591" s="5">
        <v>11549170</v>
      </c>
      <c r="D591" s="5">
        <v>714382</v>
      </c>
      <c r="E591" s="33">
        <v>36</v>
      </c>
      <c r="F591" s="60">
        <v>400</v>
      </c>
      <c r="G591" s="60">
        <f>+OtherClients[[#This Row],[Boxes / Pieces]]*OtherClients[[#This Row],[Unit Quantity]]</f>
        <v>14400</v>
      </c>
      <c r="H591" s="60">
        <v>290</v>
      </c>
      <c r="I591" s="60" t="s">
        <v>278</v>
      </c>
      <c r="J591" s="104"/>
      <c r="K591" s="33" t="s">
        <v>278</v>
      </c>
      <c r="L591" s="111"/>
      <c r="M591" s="33" t="s">
        <v>278</v>
      </c>
      <c r="N591" s="111"/>
      <c r="O591" s="33" t="s">
        <v>278</v>
      </c>
      <c r="P591" s="111"/>
      <c r="Q591" s="33" t="s">
        <v>587</v>
      </c>
      <c r="R591" s="111"/>
      <c r="S591" s="33" t="s">
        <v>278</v>
      </c>
      <c r="T591" s="111"/>
      <c r="U591" s="33" t="s">
        <v>278</v>
      </c>
      <c r="V591" s="111"/>
      <c r="W591" s="59" t="s">
        <v>548</v>
      </c>
      <c r="X591" s="33" t="str">
        <f>+VLOOKUP(OtherClients[[#This Row],[Part]],PartControl!$A$2:$E$564,5,FALSE)</f>
        <v>INFASCO</v>
      </c>
      <c r="Y591" s="108">
        <f>IF(OtherClients[[#This Row],[Re-certified or New]]&lt;&gt;"Re-certified",IF(OtherClients[[#This Row],[Client]]="infasco",VLOOKUP(OtherClients[[#This Row],[Part]],PartControl!$A$2:$E$564,2,FALSE),OtherClients[[#This Row],[Total Quantity]]*VLOOKUP(OtherClients[[#This Row],[Part]],PartControl!$A$2:$E$564,2,FALSE)),0)</f>
        <v>106.94</v>
      </c>
      <c r="Z591" s="108">
        <f>IF(OtherClients[[#This Row],[Re-certified or New]]&lt;&gt;"Re-certified",IF(OtherClients[[#This Row],[Client]]="infasco",VLOOKUP(OtherClients[[#This Row],[Part]],PartControl!$A$2:$E$564,2,FALSE),OtherClients[[#This Row],[Total Quantity]]*VLOOKUP(OtherClients[[#This Row],[Part]],PartControl!$A$2:$E$564,2,FALSE)),0)</f>
        <v>106.94</v>
      </c>
    </row>
    <row r="592" spans="1:26" ht="25.15" hidden="1" customHeight="1" x14ac:dyDescent="0.25">
      <c r="A592" s="112">
        <v>46245.697488425925</v>
      </c>
      <c r="B592" s="5" t="s">
        <v>237</v>
      </c>
      <c r="C592" s="5">
        <v>11549170</v>
      </c>
      <c r="D592" s="5">
        <v>714383</v>
      </c>
      <c r="E592" s="33">
        <f>36+4</f>
        <v>40</v>
      </c>
      <c r="F592" s="60">
        <v>400</v>
      </c>
      <c r="G592" s="60">
        <f>+OtherClients[[#This Row],[Boxes / Pieces]]*OtherClients[[#This Row],[Unit Quantity]]</f>
        <v>16000</v>
      </c>
      <c r="H592" s="60">
        <v>290</v>
      </c>
      <c r="I592" s="60" t="s">
        <v>278</v>
      </c>
      <c r="J592" s="104"/>
      <c r="K592" s="33" t="s">
        <v>278</v>
      </c>
      <c r="L592" s="111"/>
      <c r="M592" s="33" t="s">
        <v>278</v>
      </c>
      <c r="N592" s="111"/>
      <c r="O592" s="33" t="s">
        <v>278</v>
      </c>
      <c r="P592" s="111"/>
      <c r="Q592" s="33" t="s">
        <v>587</v>
      </c>
      <c r="R592" s="111"/>
      <c r="S592" s="33" t="s">
        <v>278</v>
      </c>
      <c r="T592" s="111"/>
      <c r="U592" s="33" t="s">
        <v>278</v>
      </c>
      <c r="V592" s="111"/>
      <c r="W592" s="59" t="s">
        <v>548</v>
      </c>
      <c r="X592" s="33" t="str">
        <f>+VLOOKUP(OtherClients[[#This Row],[Part]],PartControl!$A$2:$E$564,5,FALSE)</f>
        <v>INFASCO</v>
      </c>
      <c r="Y592" s="108">
        <f>IF(OtherClients[[#This Row],[Re-certified or New]]&lt;&gt;"Re-certified",IF(OtherClients[[#This Row],[Client]]="infasco",VLOOKUP(OtherClients[[#This Row],[Part]],PartControl!$A$2:$E$564,2,FALSE),OtherClients[[#This Row],[Total Quantity]]*VLOOKUP(OtherClients[[#This Row],[Part]],PartControl!$A$2:$E$564,2,FALSE)),0)</f>
        <v>106.94</v>
      </c>
      <c r="Z592" s="108">
        <f>IF(OtherClients[[#This Row],[Re-certified or New]]&lt;&gt;"Re-certified",IF(OtherClients[[#This Row],[Client]]="infasco",VLOOKUP(OtherClients[[#This Row],[Part]],PartControl!$A$2:$E$564,2,FALSE),OtherClients[[#This Row],[Total Quantity]]*VLOOKUP(OtherClients[[#This Row],[Part]],PartControl!$A$2:$E$564,2,FALSE)),0)</f>
        <v>106.94</v>
      </c>
    </row>
    <row r="593" spans="1:26" ht="25.15" hidden="1" customHeight="1" x14ac:dyDescent="0.25">
      <c r="A593" s="112">
        <v>46245.697488425925</v>
      </c>
      <c r="B593" s="5" t="s">
        <v>237</v>
      </c>
      <c r="C593" s="5">
        <v>11549170</v>
      </c>
      <c r="D593" s="5">
        <v>714385</v>
      </c>
      <c r="E593" s="33">
        <v>36</v>
      </c>
      <c r="F593" s="60">
        <v>400</v>
      </c>
      <c r="G593" s="60">
        <f>+OtherClients[[#This Row],[Boxes / Pieces]]*OtherClients[[#This Row],[Unit Quantity]]</f>
        <v>14400</v>
      </c>
      <c r="H593" s="60">
        <v>290</v>
      </c>
      <c r="I593" s="60" t="s">
        <v>278</v>
      </c>
      <c r="J593" s="104"/>
      <c r="K593" s="33" t="s">
        <v>278</v>
      </c>
      <c r="L593" s="111"/>
      <c r="M593" s="33" t="s">
        <v>278</v>
      </c>
      <c r="N593" s="111"/>
      <c r="O593" s="33" t="s">
        <v>278</v>
      </c>
      <c r="P593" s="111"/>
      <c r="Q593" s="33" t="s">
        <v>587</v>
      </c>
      <c r="R593" s="111"/>
      <c r="S593" s="33" t="s">
        <v>278</v>
      </c>
      <c r="T593" s="111"/>
      <c r="U593" s="33" t="s">
        <v>278</v>
      </c>
      <c r="V593" s="111"/>
      <c r="W593" s="59" t="s">
        <v>548</v>
      </c>
      <c r="X593" s="33" t="str">
        <f>+VLOOKUP(OtherClients[[#This Row],[Part]],PartControl!$A$2:$E$564,5,FALSE)</f>
        <v>INFASCO</v>
      </c>
      <c r="Y593" s="108">
        <f>IF(OtherClients[[#This Row],[Re-certified or New]]&lt;&gt;"Re-certified",IF(OtherClients[[#This Row],[Client]]="infasco",VLOOKUP(OtherClients[[#This Row],[Part]],PartControl!$A$2:$E$564,2,FALSE),OtherClients[[#This Row],[Total Quantity]]*VLOOKUP(OtherClients[[#This Row],[Part]],PartControl!$A$2:$E$564,2,FALSE)),0)</f>
        <v>106.94</v>
      </c>
      <c r="Z593" s="108">
        <f>IF(OtherClients[[#This Row],[Re-certified or New]]&lt;&gt;"Re-certified",IF(OtherClients[[#This Row],[Client]]="infasco",VLOOKUP(OtherClients[[#This Row],[Part]],PartControl!$A$2:$E$564,2,FALSE),OtherClients[[#This Row],[Total Quantity]]*VLOOKUP(OtherClients[[#This Row],[Part]],PartControl!$A$2:$E$564,2,FALSE)),0)</f>
        <v>106.94</v>
      </c>
    </row>
    <row r="594" spans="1:26" ht="25.15" hidden="1" customHeight="1" x14ac:dyDescent="0.25">
      <c r="A594" s="112">
        <v>46245.697488425925</v>
      </c>
      <c r="B594" s="5" t="s">
        <v>240</v>
      </c>
      <c r="C594" s="5" t="s">
        <v>645</v>
      </c>
      <c r="D594" s="5">
        <v>715858</v>
      </c>
      <c r="E594" s="33">
        <f>40-14</f>
        <v>26</v>
      </c>
      <c r="F594" s="60">
        <v>1000</v>
      </c>
      <c r="G594" s="60">
        <f>+OtherClients[[#This Row],[Boxes / Pieces]]*OtherClients[[#This Row],[Unit Quantity]]</f>
        <v>26000</v>
      </c>
      <c r="H594" s="60">
        <v>290</v>
      </c>
      <c r="I594" s="60" t="s">
        <v>278</v>
      </c>
      <c r="J594" s="104"/>
      <c r="K594" s="33" t="s">
        <v>278</v>
      </c>
      <c r="L594" s="111"/>
      <c r="M594" s="33" t="s">
        <v>278</v>
      </c>
      <c r="N594" s="111"/>
      <c r="O594" s="33" t="s">
        <v>278</v>
      </c>
      <c r="P594" s="111"/>
      <c r="Q594" s="33" t="s">
        <v>587</v>
      </c>
      <c r="R594" s="111"/>
      <c r="S594" s="33" t="s">
        <v>278</v>
      </c>
      <c r="T594" s="111"/>
      <c r="U594" s="33" t="s">
        <v>278</v>
      </c>
      <c r="V594" s="111"/>
      <c r="W594" s="59" t="s">
        <v>548</v>
      </c>
      <c r="X594" s="33" t="str">
        <f>+VLOOKUP(OtherClients[[#This Row],[Part]],PartControl!$A$2:$E$564,5,FALSE)</f>
        <v>infasco</v>
      </c>
      <c r="Y594" s="108">
        <f>IF(OtherClients[[#This Row],[Re-certified or New]]&lt;&gt;"Re-certified",IF(OtherClients[[#This Row],[Client]]="infasco",VLOOKUP(OtherClients[[#This Row],[Part]],PartControl!$A$2:$E$564,2,FALSE),OtherClients[[#This Row],[Total Quantity]]*VLOOKUP(OtherClients[[#This Row],[Part]],PartControl!$A$2:$E$564,2,FALSE)),0)</f>
        <v>106.94</v>
      </c>
      <c r="Z594" s="108">
        <f>IF(OtherClients[[#This Row],[Re-certified or New]]&lt;&gt;"Re-certified",IF(OtherClients[[#This Row],[Client]]="infasco",VLOOKUP(OtherClients[[#This Row],[Part]],PartControl!$A$2:$E$564,2,FALSE),OtherClients[[#This Row],[Total Quantity]]*VLOOKUP(OtherClients[[#This Row],[Part]],PartControl!$A$2:$E$564,2,FALSE)),0)</f>
        <v>106.94</v>
      </c>
    </row>
    <row r="595" spans="1:26" ht="25.15" hidden="1" customHeight="1" x14ac:dyDescent="0.25">
      <c r="A595" s="112">
        <v>46245.697488425925</v>
      </c>
      <c r="B595" s="5" t="s">
        <v>240</v>
      </c>
      <c r="C595" s="5" t="s">
        <v>645</v>
      </c>
      <c r="D595" s="5">
        <v>715854</v>
      </c>
      <c r="E595" s="33">
        <v>40</v>
      </c>
      <c r="F595" s="60">
        <v>1000</v>
      </c>
      <c r="G595" s="60">
        <f>+OtherClients[[#This Row],[Boxes / Pieces]]*OtherClients[[#This Row],[Unit Quantity]]</f>
        <v>40000</v>
      </c>
      <c r="H595" s="60">
        <v>290</v>
      </c>
      <c r="I595" s="60" t="s">
        <v>278</v>
      </c>
      <c r="J595" s="104"/>
      <c r="K595" s="33" t="s">
        <v>278</v>
      </c>
      <c r="L595" s="111"/>
      <c r="M595" s="33" t="s">
        <v>278</v>
      </c>
      <c r="N595" s="111"/>
      <c r="O595" s="33" t="s">
        <v>278</v>
      </c>
      <c r="P595" s="111"/>
      <c r="Q595" s="33" t="s">
        <v>587</v>
      </c>
      <c r="R595" s="111"/>
      <c r="S595" s="33" t="s">
        <v>278</v>
      </c>
      <c r="T595" s="111"/>
      <c r="U595" s="33" t="s">
        <v>278</v>
      </c>
      <c r="V595" s="111"/>
      <c r="W595" s="59" t="s">
        <v>548</v>
      </c>
      <c r="X595" s="33" t="str">
        <f>+VLOOKUP(OtherClients[[#This Row],[Part]],PartControl!$A$2:$E$564,5,FALSE)</f>
        <v>infasco</v>
      </c>
      <c r="Y595" s="108">
        <f>IF(OtherClients[[#This Row],[Re-certified or New]]&lt;&gt;"Re-certified",IF(OtherClients[[#This Row],[Client]]="infasco",VLOOKUP(OtherClients[[#This Row],[Part]],PartControl!$A$2:$E$564,2,FALSE),OtherClients[[#This Row],[Total Quantity]]*VLOOKUP(OtherClients[[#This Row],[Part]],PartControl!$A$2:$E$564,2,FALSE)),0)</f>
        <v>106.94</v>
      </c>
      <c r="Z595" s="108">
        <f>IF(OtherClients[[#This Row],[Re-certified or New]]&lt;&gt;"Re-certified",IF(OtherClients[[#This Row],[Client]]="infasco",VLOOKUP(OtherClients[[#This Row],[Part]],PartControl!$A$2:$E$564,2,FALSE),OtherClients[[#This Row],[Total Quantity]]*VLOOKUP(OtherClients[[#This Row],[Part]],PartControl!$A$2:$E$564,2,FALSE)),0)</f>
        <v>106.94</v>
      </c>
    </row>
    <row r="596" spans="1:26" ht="25.15" hidden="1" customHeight="1" x14ac:dyDescent="0.25">
      <c r="A596" s="112">
        <v>46245.697488425925</v>
      </c>
      <c r="B596" s="5" t="s">
        <v>245</v>
      </c>
      <c r="C596" s="5" t="s">
        <v>728</v>
      </c>
      <c r="D596" s="5">
        <v>716078</v>
      </c>
      <c r="E596" s="33">
        <v>25</v>
      </c>
      <c r="F596" s="60">
        <v>1500</v>
      </c>
      <c r="G596" s="60">
        <f>+OtherClients[[#This Row],[Boxes / Pieces]]*OtherClients[[#This Row],[Unit Quantity]]</f>
        <v>37500</v>
      </c>
      <c r="H596" s="60">
        <v>292</v>
      </c>
      <c r="I596" s="60" t="s">
        <v>278</v>
      </c>
      <c r="J596" s="104"/>
      <c r="K596" s="33" t="s">
        <v>278</v>
      </c>
      <c r="L596" s="111"/>
      <c r="M596" s="33" t="s">
        <v>278</v>
      </c>
      <c r="N596" s="111"/>
      <c r="O596" s="33" t="s">
        <v>278</v>
      </c>
      <c r="P596" s="111"/>
      <c r="Q596" s="33" t="s">
        <v>587</v>
      </c>
      <c r="R596" s="111"/>
      <c r="S596" s="33" t="s">
        <v>278</v>
      </c>
      <c r="T596" s="111"/>
      <c r="U596" s="33" t="s">
        <v>278</v>
      </c>
      <c r="V596" s="111"/>
      <c r="W596" s="59" t="s">
        <v>548</v>
      </c>
      <c r="X596" s="33" t="str">
        <f>+VLOOKUP(OtherClients[[#This Row],[Part]],PartControl!$A$2:$E$564,5,FALSE)</f>
        <v>infasco</v>
      </c>
      <c r="Y596" s="108">
        <f>IF(OtherClients[[#This Row],[Re-certified or New]]&lt;&gt;"Re-certified",IF(OtherClients[[#This Row],[Client]]="infasco",VLOOKUP(OtherClients[[#This Row],[Part]],PartControl!$A$2:$E$564,2,FALSE),OtherClients[[#This Row],[Total Quantity]]*VLOOKUP(OtherClients[[#This Row],[Part]],PartControl!$A$2:$E$564,2,FALSE)),0)</f>
        <v>106.94</v>
      </c>
      <c r="Z596" s="108">
        <f>IF(OtherClients[[#This Row],[Re-certified or New]]&lt;&gt;"Re-certified",IF(OtherClients[[#This Row],[Client]]="infasco",VLOOKUP(OtherClients[[#This Row],[Part]],PartControl!$A$2:$E$564,2,FALSE),OtherClients[[#This Row],[Total Quantity]]*VLOOKUP(OtherClients[[#This Row],[Part]],PartControl!$A$2:$E$564,2,FALSE)),0)</f>
        <v>106.94</v>
      </c>
    </row>
    <row r="597" spans="1:26" ht="25.15" hidden="1" customHeight="1" x14ac:dyDescent="0.25">
      <c r="A597" s="112">
        <v>46245.697488425925</v>
      </c>
      <c r="B597" s="5" t="s">
        <v>245</v>
      </c>
      <c r="C597" s="5">
        <v>11546437</v>
      </c>
      <c r="D597" s="5">
        <v>716157</v>
      </c>
      <c r="E597" s="33">
        <v>8</v>
      </c>
      <c r="F597" s="60">
        <v>1500</v>
      </c>
      <c r="G597" s="60">
        <f>+OtherClients[[#This Row],[Boxes / Pieces]]*OtherClients[[#This Row],[Unit Quantity]]</f>
        <v>12000</v>
      </c>
      <c r="H597" s="60">
        <v>292</v>
      </c>
      <c r="I597" s="60" t="s">
        <v>278</v>
      </c>
      <c r="J597" s="104"/>
      <c r="K597" s="33" t="s">
        <v>278</v>
      </c>
      <c r="L597" s="111"/>
      <c r="M597" s="33" t="s">
        <v>278</v>
      </c>
      <c r="N597" s="111"/>
      <c r="O597" s="33" t="s">
        <v>278</v>
      </c>
      <c r="P597" s="111"/>
      <c r="Q597" s="33" t="s">
        <v>587</v>
      </c>
      <c r="R597" s="111"/>
      <c r="S597" s="33" t="s">
        <v>278</v>
      </c>
      <c r="T597" s="111"/>
      <c r="U597" s="33" t="s">
        <v>278</v>
      </c>
      <c r="V597" s="111"/>
      <c r="W597" s="59" t="s">
        <v>633</v>
      </c>
      <c r="X597" s="33" t="str">
        <f>+VLOOKUP(OtherClients[[#This Row],[Part]],PartControl!$A$2:$E$564,5,FALSE)</f>
        <v>infasco</v>
      </c>
      <c r="Y597" s="108">
        <f>IF(OtherClients[[#This Row],[Re-certified or New]]&lt;&gt;"Re-certified",IF(OtherClients[[#This Row],[Client]]="infasco",VLOOKUP(OtherClients[[#This Row],[Part]],PartControl!$A$2:$E$564,2,FALSE),OtherClients[[#This Row],[Total Quantity]]*VLOOKUP(OtherClients[[#This Row],[Part]],PartControl!$A$2:$E$564,2,FALSE)),0)</f>
        <v>0</v>
      </c>
      <c r="Z597" s="108">
        <f>IF(OtherClients[[#This Row],[Re-certified or New]]&lt;&gt;"Re-certified",IF(OtherClients[[#This Row],[Client]]="infasco",VLOOKUP(OtherClients[[#This Row],[Part]],PartControl!$A$2:$E$564,2,FALSE),OtherClients[[#This Row],[Total Quantity]]*VLOOKUP(OtherClients[[#This Row],[Part]],PartControl!$A$2:$E$564,2,FALSE)),0)</f>
        <v>0</v>
      </c>
    </row>
    <row r="598" spans="1:26" ht="25.15" hidden="1" customHeight="1" x14ac:dyDescent="0.25">
      <c r="A598" s="112">
        <v>46245.697488425925</v>
      </c>
      <c r="B598" s="5" t="s">
        <v>251</v>
      </c>
      <c r="C598" s="5">
        <v>11546462</v>
      </c>
      <c r="D598" s="5">
        <v>716184</v>
      </c>
      <c r="E598" s="33">
        <f>36-32</f>
        <v>4</v>
      </c>
      <c r="F598" s="60">
        <v>650</v>
      </c>
      <c r="G598" s="60">
        <f>+OtherClients[[#This Row],[Boxes / Pieces]]*OtherClients[[#This Row],[Unit Quantity]]</f>
        <v>2600</v>
      </c>
      <c r="H598" s="60">
        <v>292</v>
      </c>
      <c r="I598" s="60" t="s">
        <v>278</v>
      </c>
      <c r="J598" s="104"/>
      <c r="K598" s="33" t="s">
        <v>278</v>
      </c>
      <c r="L598" s="111"/>
      <c r="M598" s="33" t="s">
        <v>278</v>
      </c>
      <c r="N598" s="111"/>
      <c r="O598" s="33" t="s">
        <v>278</v>
      </c>
      <c r="P598" s="111"/>
      <c r="Q598" s="33" t="s">
        <v>587</v>
      </c>
      <c r="R598" s="111"/>
      <c r="S598" s="33" t="s">
        <v>278</v>
      </c>
      <c r="T598" s="111"/>
      <c r="U598" s="33" t="s">
        <v>278</v>
      </c>
      <c r="V598" s="111"/>
      <c r="W598" s="59" t="s">
        <v>548</v>
      </c>
      <c r="X598" s="33" t="str">
        <f>+VLOOKUP(OtherClients[[#This Row],[Part]],PartControl!$A$2:$E$564,5,FALSE)</f>
        <v>INFASCO</v>
      </c>
      <c r="Y598" s="108">
        <f>IF(OtherClients[[#This Row],[Re-certified or New]]&lt;&gt;"Re-certified",IF(OtherClients[[#This Row],[Client]]="infasco",VLOOKUP(OtherClients[[#This Row],[Part]],PartControl!$A$2:$E$564,2,FALSE),OtherClients[[#This Row],[Total Quantity]]*VLOOKUP(OtherClients[[#This Row],[Part]],PartControl!$A$2:$E$564,2,FALSE)),0)</f>
        <v>106.94</v>
      </c>
      <c r="Z598" s="108">
        <f>IF(OtherClients[[#This Row],[Re-certified or New]]&lt;&gt;"Re-certified",IF(OtherClients[[#This Row],[Client]]="infasco",VLOOKUP(OtherClients[[#This Row],[Part]],PartControl!$A$2:$E$564,2,FALSE),OtherClients[[#This Row],[Total Quantity]]*VLOOKUP(OtherClients[[#This Row],[Part]],PartControl!$A$2:$E$564,2,FALSE)),0)</f>
        <v>106.94</v>
      </c>
    </row>
    <row r="599" spans="1:26" ht="25.15" hidden="1" customHeight="1" x14ac:dyDescent="0.25">
      <c r="A599" s="112">
        <v>46245.697488425925</v>
      </c>
      <c r="B599" s="5" t="s">
        <v>251</v>
      </c>
      <c r="C599" s="5">
        <v>11546462</v>
      </c>
      <c r="D599" s="5">
        <v>716189</v>
      </c>
      <c r="E599" s="33">
        <v>36</v>
      </c>
      <c r="F599" s="60">
        <v>650</v>
      </c>
      <c r="G599" s="60">
        <f>+OtherClients[[#This Row],[Boxes / Pieces]]*OtherClients[[#This Row],[Unit Quantity]]</f>
        <v>23400</v>
      </c>
      <c r="H599" s="60">
        <v>292</v>
      </c>
      <c r="I599" s="60" t="s">
        <v>278</v>
      </c>
      <c r="J599" s="104"/>
      <c r="K599" s="33" t="s">
        <v>278</v>
      </c>
      <c r="L599" s="111"/>
      <c r="M599" s="33" t="s">
        <v>278</v>
      </c>
      <c r="N599" s="111"/>
      <c r="O599" s="33" t="s">
        <v>278</v>
      </c>
      <c r="P599" s="111"/>
      <c r="Q599" s="33" t="s">
        <v>587</v>
      </c>
      <c r="R599" s="111"/>
      <c r="S599" s="33" t="s">
        <v>278</v>
      </c>
      <c r="T599" s="111"/>
      <c r="U599" s="33" t="s">
        <v>278</v>
      </c>
      <c r="V599" s="111"/>
      <c r="W599" s="59" t="s">
        <v>548</v>
      </c>
      <c r="X599" s="33" t="str">
        <f>+VLOOKUP(OtherClients[[#This Row],[Part]],PartControl!$A$2:$E$564,5,FALSE)</f>
        <v>INFASCO</v>
      </c>
      <c r="Y599" s="108">
        <f>IF(OtherClients[[#This Row],[Re-certified or New]]&lt;&gt;"Re-certified",IF(OtherClients[[#This Row],[Client]]="infasco",VLOOKUP(OtherClients[[#This Row],[Part]],PartControl!$A$2:$E$564,2,FALSE),OtherClients[[#This Row],[Total Quantity]]*VLOOKUP(OtherClients[[#This Row],[Part]],PartControl!$A$2:$E$564,2,FALSE)),0)</f>
        <v>106.94</v>
      </c>
      <c r="Z599" s="108">
        <f>IF(OtherClients[[#This Row],[Re-certified or New]]&lt;&gt;"Re-certified",IF(OtherClients[[#This Row],[Client]]="infasco",VLOOKUP(OtherClients[[#This Row],[Part]],PartControl!$A$2:$E$564,2,FALSE),OtherClients[[#This Row],[Total Quantity]]*VLOOKUP(OtherClients[[#This Row],[Part]],PartControl!$A$2:$E$564,2,FALSE)),0)</f>
        <v>106.94</v>
      </c>
    </row>
    <row r="600" spans="1:26" ht="25.15" hidden="1" customHeight="1" x14ac:dyDescent="0.25">
      <c r="A600" s="112">
        <v>46245.697488425925</v>
      </c>
      <c r="B600" s="5" t="s">
        <v>251</v>
      </c>
      <c r="C600" s="5">
        <v>11546462</v>
      </c>
      <c r="D600" s="5">
        <v>716182</v>
      </c>
      <c r="E600" s="33">
        <v>25</v>
      </c>
      <c r="F600" s="60">
        <v>650</v>
      </c>
      <c r="G600" s="60">
        <f>+OtherClients[[#This Row],[Boxes / Pieces]]*OtherClients[[#This Row],[Unit Quantity]]</f>
        <v>16250</v>
      </c>
      <c r="H600" s="60">
        <v>292</v>
      </c>
      <c r="I600" s="60" t="s">
        <v>278</v>
      </c>
      <c r="J600" s="104"/>
      <c r="K600" s="33" t="s">
        <v>278</v>
      </c>
      <c r="L600" s="111"/>
      <c r="M600" s="33" t="s">
        <v>278</v>
      </c>
      <c r="N600" s="111"/>
      <c r="O600" s="33" t="s">
        <v>278</v>
      </c>
      <c r="P600" s="111"/>
      <c r="Q600" s="33" t="s">
        <v>587</v>
      </c>
      <c r="R600" s="111"/>
      <c r="S600" s="33" t="s">
        <v>278</v>
      </c>
      <c r="T600" s="111"/>
      <c r="U600" s="33" t="s">
        <v>278</v>
      </c>
      <c r="V600" s="111"/>
      <c r="W600" s="59" t="s">
        <v>633</v>
      </c>
      <c r="X600" s="33" t="str">
        <f>+VLOOKUP(OtherClients[[#This Row],[Part]],PartControl!$A$2:$E$564,5,FALSE)</f>
        <v>INFASCO</v>
      </c>
      <c r="Y600" s="108">
        <f>IF(OtherClients[[#This Row],[Re-certified or New]]&lt;&gt;"Re-certified",IF(OtherClients[[#This Row],[Client]]="infasco",VLOOKUP(OtherClients[[#This Row],[Part]],PartControl!$A$2:$E$564,2,FALSE),OtherClients[[#This Row],[Total Quantity]]*VLOOKUP(OtherClients[[#This Row],[Part]],PartControl!$A$2:$E$564,2,FALSE)),0)</f>
        <v>0</v>
      </c>
      <c r="Z600" s="108">
        <f>IF(OtherClients[[#This Row],[Re-certified or New]]&lt;&gt;"Re-certified",IF(OtherClients[[#This Row],[Client]]="infasco",VLOOKUP(OtherClients[[#This Row],[Part]],PartControl!$A$2:$E$564,2,FALSE),OtherClients[[#This Row],[Total Quantity]]*VLOOKUP(OtherClients[[#This Row],[Part]],PartControl!$A$2:$E$564,2,FALSE)),0)</f>
        <v>0</v>
      </c>
    </row>
    <row r="601" spans="1:26" ht="25.15" hidden="1" customHeight="1" x14ac:dyDescent="0.25">
      <c r="A601" s="112">
        <v>46245.697488425925</v>
      </c>
      <c r="B601" s="5" t="s">
        <v>244</v>
      </c>
      <c r="C601" s="5">
        <v>11546377</v>
      </c>
      <c r="D601" s="5">
        <v>715739</v>
      </c>
      <c r="E601" s="33">
        <f>25-12</f>
        <v>13</v>
      </c>
      <c r="F601" s="60">
        <v>2150</v>
      </c>
      <c r="G601" s="60">
        <f>+OtherClients[[#This Row],[Boxes / Pieces]]*OtherClients[[#This Row],[Unit Quantity]]</f>
        <v>27950</v>
      </c>
      <c r="H601" s="60">
        <v>292</v>
      </c>
      <c r="I601" s="60" t="s">
        <v>278</v>
      </c>
      <c r="J601" s="104"/>
      <c r="K601" s="33" t="s">
        <v>278</v>
      </c>
      <c r="L601" s="111"/>
      <c r="M601" s="33" t="s">
        <v>278</v>
      </c>
      <c r="N601" s="111"/>
      <c r="O601" s="33" t="s">
        <v>278</v>
      </c>
      <c r="P601" s="111"/>
      <c r="Q601" s="33" t="s">
        <v>587</v>
      </c>
      <c r="R601" s="111"/>
      <c r="S601" s="33" t="s">
        <v>278</v>
      </c>
      <c r="T601" s="111"/>
      <c r="U601" s="33" t="s">
        <v>278</v>
      </c>
      <c r="V601" s="111"/>
      <c r="W601" s="59" t="s">
        <v>548</v>
      </c>
      <c r="X601" s="33" t="str">
        <f>+VLOOKUP(OtherClients[[#This Row],[Part]],PartControl!$A$2:$E$564,5,FALSE)</f>
        <v>INFASCO</v>
      </c>
      <c r="Y601" s="108">
        <f>IF(OtherClients[[#This Row],[Re-certified or New]]&lt;&gt;"Re-certified",IF(OtherClients[[#This Row],[Client]]="infasco",VLOOKUP(OtherClients[[#This Row],[Part]],PartControl!$A$2:$E$564,2,FALSE),OtherClients[[#This Row],[Total Quantity]]*VLOOKUP(OtherClients[[#This Row],[Part]],PartControl!$A$2:$E$564,2,FALSE)),0)</f>
        <v>106.94</v>
      </c>
      <c r="Z601" s="108">
        <f>IF(OtherClients[[#This Row],[Re-certified or New]]&lt;&gt;"Re-certified",IF(OtherClients[[#This Row],[Client]]="infasco",VLOOKUP(OtherClients[[#This Row],[Part]],PartControl!$A$2:$E$564,2,FALSE),OtherClients[[#This Row],[Total Quantity]]*VLOOKUP(OtherClients[[#This Row],[Part]],PartControl!$A$2:$E$564,2,FALSE)),0)</f>
        <v>106.94</v>
      </c>
    </row>
    <row r="602" spans="1:26" ht="25.15" hidden="1" customHeight="1" x14ac:dyDescent="0.25">
      <c r="A602" s="112">
        <v>46245.697488425925</v>
      </c>
      <c r="B602" s="5" t="s">
        <v>244</v>
      </c>
      <c r="C602" s="5" t="s">
        <v>644</v>
      </c>
      <c r="D602" s="5">
        <v>716081</v>
      </c>
      <c r="E602" s="33">
        <v>12</v>
      </c>
      <c r="F602" s="60">
        <v>2150</v>
      </c>
      <c r="G602" s="60">
        <f>+OtherClients[[#This Row],[Boxes / Pieces]]*OtherClients[[#This Row],[Unit Quantity]]</f>
        <v>25800</v>
      </c>
      <c r="H602" s="60">
        <v>292</v>
      </c>
      <c r="I602" s="60" t="s">
        <v>278</v>
      </c>
      <c r="J602" s="104"/>
      <c r="K602" s="33" t="s">
        <v>278</v>
      </c>
      <c r="L602" s="111"/>
      <c r="M602" s="33" t="s">
        <v>278</v>
      </c>
      <c r="N602" s="111"/>
      <c r="O602" s="33" t="s">
        <v>278</v>
      </c>
      <c r="P602" s="111"/>
      <c r="Q602" s="33" t="s">
        <v>587</v>
      </c>
      <c r="R602" s="111"/>
      <c r="S602" s="33" t="s">
        <v>278</v>
      </c>
      <c r="T602" s="111"/>
      <c r="U602" s="33" t="s">
        <v>278</v>
      </c>
      <c r="V602" s="111"/>
      <c r="W602" s="59" t="s">
        <v>633</v>
      </c>
      <c r="X602" s="33" t="str">
        <f>+VLOOKUP(OtherClients[[#This Row],[Part]],PartControl!$A$2:$E$564,5,FALSE)</f>
        <v>infasco</v>
      </c>
      <c r="Y602" s="108">
        <f>IF(OtherClients[[#This Row],[Re-certified or New]]&lt;&gt;"Re-certified",IF(OtherClients[[#This Row],[Client]]="infasco",VLOOKUP(OtherClients[[#This Row],[Part]],PartControl!$A$2:$E$564,2,FALSE),OtherClients[[#This Row],[Total Quantity]]*VLOOKUP(OtherClients[[#This Row],[Part]],PartControl!$A$2:$E$564,2,FALSE)),0)</f>
        <v>0</v>
      </c>
      <c r="Z602" s="108">
        <f>IF(OtherClients[[#This Row],[Re-certified or New]]&lt;&gt;"Re-certified",IF(OtherClients[[#This Row],[Client]]="infasco",VLOOKUP(OtherClients[[#This Row],[Part]],PartControl!$A$2:$E$564,2,FALSE),OtherClients[[#This Row],[Total Quantity]]*VLOOKUP(OtherClients[[#This Row],[Part]],PartControl!$A$2:$E$564,2,FALSE)),0)</f>
        <v>0</v>
      </c>
    </row>
    <row r="603" spans="1:26" ht="25.15" hidden="1" customHeight="1" x14ac:dyDescent="0.25">
      <c r="A603" s="112">
        <v>46245.697488425925</v>
      </c>
      <c r="B603" s="5" t="s">
        <v>624</v>
      </c>
      <c r="C603" s="5">
        <v>11549170</v>
      </c>
      <c r="D603" s="5">
        <v>714391</v>
      </c>
      <c r="E603" s="33">
        <v>36</v>
      </c>
      <c r="F603" s="60">
        <v>400</v>
      </c>
      <c r="G603" s="60">
        <f>+OtherClients[[#This Row],[Boxes / Pieces]]*OtherClients[[#This Row],[Unit Quantity]]</f>
        <v>14400</v>
      </c>
      <c r="H603" s="60">
        <v>292</v>
      </c>
      <c r="I603" s="60" t="s">
        <v>278</v>
      </c>
      <c r="J603" s="104"/>
      <c r="K603" s="33" t="s">
        <v>278</v>
      </c>
      <c r="L603" s="111"/>
      <c r="M603" s="33" t="s">
        <v>278</v>
      </c>
      <c r="N603" s="111"/>
      <c r="O603" s="33" t="s">
        <v>278</v>
      </c>
      <c r="P603" s="111"/>
      <c r="Q603" s="33" t="s">
        <v>587</v>
      </c>
      <c r="R603" s="111"/>
      <c r="S603" s="33" t="s">
        <v>278</v>
      </c>
      <c r="T603" s="111"/>
      <c r="U603" s="33" t="s">
        <v>278</v>
      </c>
      <c r="V603" s="111"/>
      <c r="W603" s="59" t="s">
        <v>548</v>
      </c>
      <c r="X603" s="33" t="str">
        <f>+VLOOKUP(OtherClients[[#This Row],[Part]],PartControl!$A$2:$E$564,5,FALSE)</f>
        <v>INFASCO</v>
      </c>
      <c r="Y603" s="108">
        <f>IF(OtherClients[[#This Row],[Re-certified or New]]&lt;&gt;"Re-certified",IF(OtherClients[[#This Row],[Client]]="infasco",VLOOKUP(OtherClients[[#This Row],[Part]],PartControl!$A$2:$E$564,2,FALSE),OtherClients[[#This Row],[Total Quantity]]*VLOOKUP(OtherClients[[#This Row],[Part]],PartControl!$A$2:$E$564,2,FALSE)),0)</f>
        <v>106.94</v>
      </c>
      <c r="Z603" s="108">
        <f>IF(OtherClients[[#This Row],[Re-certified or New]]&lt;&gt;"Re-certified",IF(OtherClients[[#This Row],[Client]]="infasco",VLOOKUP(OtherClients[[#This Row],[Part]],PartControl!$A$2:$E$564,2,FALSE),OtherClients[[#This Row],[Total Quantity]]*VLOOKUP(OtherClients[[#This Row],[Part]],PartControl!$A$2:$E$564,2,FALSE)),0)</f>
        <v>106.94</v>
      </c>
    </row>
    <row r="604" spans="1:26" ht="25.15" hidden="1" customHeight="1" x14ac:dyDescent="0.25">
      <c r="A604" s="112">
        <v>46245.697488425925</v>
      </c>
      <c r="B604" s="5" t="s">
        <v>624</v>
      </c>
      <c r="C604" s="5">
        <v>11549170</v>
      </c>
      <c r="D604" s="5">
        <v>714384</v>
      </c>
      <c r="E604" s="33">
        <v>36</v>
      </c>
      <c r="F604" s="60">
        <v>400</v>
      </c>
      <c r="G604" s="60">
        <f>+OtherClients[[#This Row],[Boxes / Pieces]]*OtherClients[[#This Row],[Unit Quantity]]</f>
        <v>14400</v>
      </c>
      <c r="H604" s="60">
        <v>292</v>
      </c>
      <c r="I604" s="60" t="s">
        <v>278</v>
      </c>
      <c r="J604" s="104"/>
      <c r="K604" s="33" t="s">
        <v>278</v>
      </c>
      <c r="L604" s="111"/>
      <c r="M604" s="33" t="s">
        <v>278</v>
      </c>
      <c r="N604" s="111"/>
      <c r="O604" s="33" t="s">
        <v>278</v>
      </c>
      <c r="P604" s="111"/>
      <c r="Q604" s="33" t="s">
        <v>587</v>
      </c>
      <c r="R604" s="111"/>
      <c r="S604" s="33" t="s">
        <v>278</v>
      </c>
      <c r="T604" s="111"/>
      <c r="U604" s="33" t="s">
        <v>278</v>
      </c>
      <c r="V604" s="111"/>
      <c r="W604" s="59" t="s">
        <v>548</v>
      </c>
      <c r="X604" s="33" t="str">
        <f>+VLOOKUP(OtherClients[[#This Row],[Part]],PartControl!$A$2:$E$564,5,FALSE)</f>
        <v>INFASCO</v>
      </c>
      <c r="Y604" s="108">
        <f>IF(OtherClients[[#This Row],[Re-certified or New]]&lt;&gt;"Re-certified",IF(OtherClients[[#This Row],[Client]]="infasco",VLOOKUP(OtherClients[[#This Row],[Part]],PartControl!$A$2:$E$564,2,FALSE),OtherClients[[#This Row],[Total Quantity]]*VLOOKUP(OtherClients[[#This Row],[Part]],PartControl!$A$2:$E$564,2,FALSE)),0)</f>
        <v>106.94</v>
      </c>
      <c r="Z604" s="108">
        <f>IF(OtherClients[[#This Row],[Re-certified or New]]&lt;&gt;"Re-certified",IF(OtherClients[[#This Row],[Client]]="infasco",VLOOKUP(OtherClients[[#This Row],[Part]],PartControl!$A$2:$E$564,2,FALSE),OtherClients[[#This Row],[Total Quantity]]*VLOOKUP(OtherClients[[#This Row],[Part]],PartControl!$A$2:$E$564,2,FALSE)),0)</f>
        <v>106.94</v>
      </c>
    </row>
    <row r="605" spans="1:26" ht="25.15" hidden="1" customHeight="1" x14ac:dyDescent="0.25">
      <c r="A605" s="112">
        <v>46245.697488425925</v>
      </c>
      <c r="B605" s="5" t="s">
        <v>624</v>
      </c>
      <c r="C605" s="5">
        <v>11549170</v>
      </c>
      <c r="D605" s="5">
        <v>714376</v>
      </c>
      <c r="E605" s="33">
        <v>36</v>
      </c>
      <c r="F605" s="60">
        <v>400</v>
      </c>
      <c r="G605" s="60">
        <f>+OtherClients[[#This Row],[Boxes / Pieces]]*OtherClients[[#This Row],[Unit Quantity]]</f>
        <v>14400</v>
      </c>
      <c r="H605" s="60">
        <v>292</v>
      </c>
      <c r="I605" s="60" t="s">
        <v>278</v>
      </c>
      <c r="J605" s="104"/>
      <c r="K605" s="33" t="s">
        <v>278</v>
      </c>
      <c r="L605" s="111"/>
      <c r="M605" s="33" t="s">
        <v>278</v>
      </c>
      <c r="N605" s="111"/>
      <c r="O605" s="33" t="s">
        <v>278</v>
      </c>
      <c r="P605" s="111"/>
      <c r="Q605" s="33" t="s">
        <v>587</v>
      </c>
      <c r="R605" s="111"/>
      <c r="S605" s="33" t="s">
        <v>278</v>
      </c>
      <c r="T605" s="111"/>
      <c r="U605" s="33" t="s">
        <v>278</v>
      </c>
      <c r="V605" s="111"/>
      <c r="W605" s="59" t="s">
        <v>548</v>
      </c>
      <c r="X605" s="33" t="str">
        <f>+VLOOKUP(OtherClients[[#This Row],[Part]],PartControl!$A$2:$E$564,5,FALSE)</f>
        <v>INFASCO</v>
      </c>
      <c r="Y605" s="108">
        <f>IF(OtherClients[[#This Row],[Re-certified or New]]&lt;&gt;"Re-certified",IF(OtherClients[[#This Row],[Client]]="infasco",VLOOKUP(OtherClients[[#This Row],[Part]],PartControl!$A$2:$E$564,2,FALSE),OtherClients[[#This Row],[Total Quantity]]*VLOOKUP(OtherClients[[#This Row],[Part]],PartControl!$A$2:$E$564,2,FALSE)),0)</f>
        <v>106.94</v>
      </c>
      <c r="Z605" s="108">
        <f>IF(OtherClients[[#This Row],[Re-certified or New]]&lt;&gt;"Re-certified",IF(OtherClients[[#This Row],[Client]]="infasco",VLOOKUP(OtherClients[[#This Row],[Part]],PartControl!$A$2:$E$564,2,FALSE),OtherClients[[#This Row],[Total Quantity]]*VLOOKUP(OtherClients[[#This Row],[Part]],PartControl!$A$2:$E$564,2,FALSE)),0)</f>
        <v>106.94</v>
      </c>
    </row>
    <row r="606" spans="1:26" ht="25.15" hidden="1" customHeight="1" x14ac:dyDescent="0.25">
      <c r="A606" s="112">
        <v>46245.697488425925</v>
      </c>
      <c r="B606" s="5" t="s">
        <v>624</v>
      </c>
      <c r="C606" s="5">
        <v>11549170</v>
      </c>
      <c r="D606" s="5">
        <v>714379</v>
      </c>
      <c r="E606" s="33">
        <v>10</v>
      </c>
      <c r="F606" s="60">
        <v>400</v>
      </c>
      <c r="G606" s="60">
        <f>+OtherClients[[#This Row],[Boxes / Pieces]]*OtherClients[[#This Row],[Unit Quantity]]</f>
        <v>4000</v>
      </c>
      <c r="H606" s="60">
        <v>292</v>
      </c>
      <c r="I606" s="60" t="s">
        <v>278</v>
      </c>
      <c r="J606" s="104"/>
      <c r="K606" s="33" t="s">
        <v>278</v>
      </c>
      <c r="L606" s="111"/>
      <c r="M606" s="33" t="s">
        <v>278</v>
      </c>
      <c r="N606" s="111"/>
      <c r="O606" s="33" t="s">
        <v>278</v>
      </c>
      <c r="P606" s="111"/>
      <c r="Q606" s="33" t="s">
        <v>587</v>
      </c>
      <c r="R606" s="111"/>
      <c r="S606" s="33" t="s">
        <v>278</v>
      </c>
      <c r="T606" s="111"/>
      <c r="U606" s="33" t="s">
        <v>278</v>
      </c>
      <c r="V606" s="111"/>
      <c r="W606" s="59" t="s">
        <v>633</v>
      </c>
      <c r="X606" s="33" t="str">
        <f>+VLOOKUP(OtherClients[[#This Row],[Part]],PartControl!$A$2:$E$564,5,FALSE)</f>
        <v>INFASCO</v>
      </c>
      <c r="Y606" s="108">
        <f>IF(OtherClients[[#This Row],[Re-certified or New]]&lt;&gt;"Re-certified",IF(OtherClients[[#This Row],[Client]]="infasco",VLOOKUP(OtherClients[[#This Row],[Part]],PartControl!$A$2:$E$564,2,FALSE),OtherClients[[#This Row],[Total Quantity]]*VLOOKUP(OtherClients[[#This Row],[Part]],PartControl!$A$2:$E$564,2,FALSE)),0)</f>
        <v>0</v>
      </c>
      <c r="Z606" s="108">
        <f>IF(OtherClients[[#This Row],[Re-certified or New]]&lt;&gt;"Re-certified",IF(OtherClients[[#This Row],[Client]]="infasco",VLOOKUP(OtherClients[[#This Row],[Part]],PartControl!$A$2:$E$564,2,FALSE),OtherClients[[#This Row],[Total Quantity]]*VLOOKUP(OtherClients[[#This Row],[Part]],PartControl!$A$2:$E$564,2,FALSE)),0)</f>
        <v>0</v>
      </c>
    </row>
    <row r="607" spans="1:26" ht="25.15" hidden="1" customHeight="1" x14ac:dyDescent="0.25">
      <c r="A607" s="112">
        <v>46245.697488425925</v>
      </c>
      <c r="B607" s="5" t="s">
        <v>623</v>
      </c>
      <c r="C607" s="5">
        <v>11546463</v>
      </c>
      <c r="D607" s="5">
        <v>716171</v>
      </c>
      <c r="E607" s="33">
        <f>36-20</f>
        <v>16</v>
      </c>
      <c r="F607" s="60">
        <v>450</v>
      </c>
      <c r="G607" s="60">
        <f>+OtherClients[[#This Row],[Boxes / Pieces]]*OtherClients[[#This Row],[Unit Quantity]]</f>
        <v>7200</v>
      </c>
      <c r="H607" s="60">
        <v>292</v>
      </c>
      <c r="I607" s="60" t="s">
        <v>278</v>
      </c>
      <c r="J607" s="104"/>
      <c r="K607" s="33" t="s">
        <v>278</v>
      </c>
      <c r="L607" s="111"/>
      <c r="M607" s="33" t="s">
        <v>278</v>
      </c>
      <c r="N607" s="111"/>
      <c r="O607" s="33" t="s">
        <v>278</v>
      </c>
      <c r="P607" s="111"/>
      <c r="Q607" s="33" t="s">
        <v>587</v>
      </c>
      <c r="R607" s="111"/>
      <c r="S607" s="33" t="s">
        <v>278</v>
      </c>
      <c r="T607" s="111"/>
      <c r="U607" s="33" t="s">
        <v>278</v>
      </c>
      <c r="V607" s="111"/>
      <c r="W607" s="59" t="s">
        <v>548</v>
      </c>
      <c r="X607" s="33" t="str">
        <f>+VLOOKUP(OtherClients[[#This Row],[Part]],PartControl!$A$2:$E$564,5,FALSE)</f>
        <v>infasco</v>
      </c>
      <c r="Y607" s="108">
        <f>IF(OtherClients[[#This Row],[Re-certified or New]]&lt;&gt;"Re-certified",IF(OtherClients[[#This Row],[Client]]="infasco",VLOOKUP(OtherClients[[#This Row],[Part]],PartControl!$A$2:$E$564,2,FALSE),OtherClients[[#This Row],[Total Quantity]]*VLOOKUP(OtherClients[[#This Row],[Part]],PartControl!$A$2:$E$564,2,FALSE)),0)</f>
        <v>106.94</v>
      </c>
      <c r="Z607" s="108">
        <f>IF(OtherClients[[#This Row],[Re-certified or New]]&lt;&gt;"Re-certified",IF(OtherClients[[#This Row],[Client]]="infasco",VLOOKUP(OtherClients[[#This Row],[Part]],PartControl!$A$2:$E$564,2,FALSE),OtherClients[[#This Row],[Total Quantity]]*VLOOKUP(OtherClients[[#This Row],[Part]],PartControl!$A$2:$E$564,2,FALSE)),0)</f>
        <v>106.94</v>
      </c>
    </row>
    <row r="608" spans="1:26" ht="25.15" hidden="1" customHeight="1" x14ac:dyDescent="0.25">
      <c r="A608" s="112">
        <v>46245.697488425925</v>
      </c>
      <c r="B608" s="5" t="s">
        <v>623</v>
      </c>
      <c r="C608" s="5">
        <v>11546463</v>
      </c>
      <c r="D608" s="5">
        <v>716172</v>
      </c>
      <c r="E608" s="33">
        <v>36</v>
      </c>
      <c r="F608" s="60">
        <v>450</v>
      </c>
      <c r="G608" s="60">
        <f>+OtherClients[[#This Row],[Boxes / Pieces]]*OtherClients[[#This Row],[Unit Quantity]]</f>
        <v>16200</v>
      </c>
      <c r="H608" s="60">
        <v>292</v>
      </c>
      <c r="I608" s="60" t="s">
        <v>278</v>
      </c>
      <c r="J608" s="104"/>
      <c r="K608" s="33" t="s">
        <v>278</v>
      </c>
      <c r="L608" s="111"/>
      <c r="M608" s="33" t="s">
        <v>278</v>
      </c>
      <c r="N608" s="111"/>
      <c r="O608" s="33" t="s">
        <v>278</v>
      </c>
      <c r="P608" s="111"/>
      <c r="Q608" s="33" t="s">
        <v>587</v>
      </c>
      <c r="R608" s="111"/>
      <c r="S608" s="33" t="s">
        <v>278</v>
      </c>
      <c r="T608" s="111"/>
      <c r="U608" s="33" t="s">
        <v>278</v>
      </c>
      <c r="V608" s="111"/>
      <c r="W608" s="59" t="s">
        <v>548</v>
      </c>
      <c r="X608" s="33" t="str">
        <f>+VLOOKUP(OtherClients[[#This Row],[Part]],PartControl!$A$2:$E$564,5,FALSE)</f>
        <v>infasco</v>
      </c>
      <c r="Y608" s="108">
        <f>IF(OtherClients[[#This Row],[Re-certified or New]]&lt;&gt;"Re-certified",IF(OtherClients[[#This Row],[Client]]="infasco",VLOOKUP(OtherClients[[#This Row],[Part]],PartControl!$A$2:$E$564,2,FALSE),OtherClients[[#This Row],[Total Quantity]]*VLOOKUP(OtherClients[[#This Row],[Part]],PartControl!$A$2:$E$564,2,FALSE)),0)</f>
        <v>106.94</v>
      </c>
      <c r="Z608" s="108">
        <f>IF(OtherClients[[#This Row],[Re-certified or New]]&lt;&gt;"Re-certified",IF(OtherClients[[#This Row],[Client]]="infasco",VLOOKUP(OtherClients[[#This Row],[Part]],PartControl!$A$2:$E$564,2,FALSE),OtherClients[[#This Row],[Total Quantity]]*VLOOKUP(OtherClients[[#This Row],[Part]],PartControl!$A$2:$E$564,2,FALSE)),0)</f>
        <v>106.94</v>
      </c>
    </row>
    <row r="609" spans="1:26" ht="25.15" hidden="1" customHeight="1" x14ac:dyDescent="0.25">
      <c r="A609" s="112">
        <v>46245.697488425925</v>
      </c>
      <c r="B609" s="5" t="s">
        <v>623</v>
      </c>
      <c r="C609" s="5">
        <v>11546463</v>
      </c>
      <c r="D609" s="5">
        <v>716170</v>
      </c>
      <c r="E609" s="33">
        <v>36</v>
      </c>
      <c r="F609" s="60">
        <v>450</v>
      </c>
      <c r="G609" s="60">
        <f>+OtherClients[[#This Row],[Boxes / Pieces]]*OtherClients[[#This Row],[Unit Quantity]]</f>
        <v>16200</v>
      </c>
      <c r="H609" s="60">
        <v>292</v>
      </c>
      <c r="I609" s="60" t="s">
        <v>278</v>
      </c>
      <c r="J609" s="104"/>
      <c r="K609" s="33" t="s">
        <v>278</v>
      </c>
      <c r="L609" s="111"/>
      <c r="M609" s="33" t="s">
        <v>278</v>
      </c>
      <c r="N609" s="111"/>
      <c r="O609" s="33" t="s">
        <v>278</v>
      </c>
      <c r="P609" s="111"/>
      <c r="Q609" s="33" t="s">
        <v>587</v>
      </c>
      <c r="R609" s="111"/>
      <c r="S609" s="33" t="s">
        <v>278</v>
      </c>
      <c r="T609" s="111"/>
      <c r="U609" s="33" t="s">
        <v>278</v>
      </c>
      <c r="V609" s="111"/>
      <c r="W609" s="59" t="s">
        <v>548</v>
      </c>
      <c r="X609" s="33" t="str">
        <f>+VLOOKUP(OtherClients[[#This Row],[Part]],PartControl!$A$2:$E$564,5,FALSE)</f>
        <v>infasco</v>
      </c>
      <c r="Y609" s="108">
        <f>IF(OtherClients[[#This Row],[Re-certified or New]]&lt;&gt;"Re-certified",IF(OtherClients[[#This Row],[Client]]="infasco",VLOOKUP(OtherClients[[#This Row],[Part]],PartControl!$A$2:$E$564,2,FALSE),OtherClients[[#This Row],[Total Quantity]]*VLOOKUP(OtherClients[[#This Row],[Part]],PartControl!$A$2:$E$564,2,FALSE)),0)</f>
        <v>106.94</v>
      </c>
      <c r="Z609" s="108">
        <f>IF(OtherClients[[#This Row],[Re-certified or New]]&lt;&gt;"Re-certified",IF(OtherClients[[#This Row],[Client]]="infasco",VLOOKUP(OtherClients[[#This Row],[Part]],PartControl!$A$2:$E$564,2,FALSE),OtherClients[[#This Row],[Total Quantity]]*VLOOKUP(OtherClients[[#This Row],[Part]],PartControl!$A$2:$E$564,2,FALSE)),0)</f>
        <v>106.94</v>
      </c>
    </row>
    <row r="610" spans="1:26" ht="25.15" hidden="1" customHeight="1" x14ac:dyDescent="0.25">
      <c r="A610" s="112">
        <v>46245.697488425925</v>
      </c>
      <c r="B610" s="5" t="s">
        <v>623</v>
      </c>
      <c r="C610" s="5">
        <v>11546463</v>
      </c>
      <c r="D610" s="5">
        <v>716180</v>
      </c>
      <c r="E610" s="33">
        <v>36</v>
      </c>
      <c r="F610" s="60">
        <v>450</v>
      </c>
      <c r="G610" s="60">
        <f>+OtherClients[[#This Row],[Boxes / Pieces]]*OtherClients[[#This Row],[Unit Quantity]]</f>
        <v>16200</v>
      </c>
      <c r="H610" s="60">
        <v>292</v>
      </c>
      <c r="I610" s="60" t="s">
        <v>278</v>
      </c>
      <c r="J610" s="104"/>
      <c r="K610" s="33" t="s">
        <v>278</v>
      </c>
      <c r="L610" s="111"/>
      <c r="M610" s="33" t="s">
        <v>278</v>
      </c>
      <c r="N610" s="111"/>
      <c r="O610" s="33" t="s">
        <v>278</v>
      </c>
      <c r="P610" s="111"/>
      <c r="Q610" s="33" t="s">
        <v>587</v>
      </c>
      <c r="R610" s="111"/>
      <c r="S610" s="33" t="s">
        <v>278</v>
      </c>
      <c r="T610" s="111"/>
      <c r="U610" s="33" t="s">
        <v>278</v>
      </c>
      <c r="V610" s="111"/>
      <c r="W610" s="59" t="s">
        <v>548</v>
      </c>
      <c r="X610" s="33" t="str">
        <f>+VLOOKUP(OtherClients[[#This Row],[Part]],PartControl!$A$2:$E$564,5,FALSE)</f>
        <v>infasco</v>
      </c>
      <c r="Y610" s="108">
        <f>IF(OtherClients[[#This Row],[Re-certified or New]]&lt;&gt;"Re-certified",IF(OtherClients[[#This Row],[Client]]="infasco",VLOOKUP(OtherClients[[#This Row],[Part]],PartControl!$A$2:$E$564,2,FALSE),OtherClients[[#This Row],[Total Quantity]]*VLOOKUP(OtherClients[[#This Row],[Part]],PartControl!$A$2:$E$564,2,FALSE)),0)</f>
        <v>106.94</v>
      </c>
      <c r="Z610" s="108">
        <f>IF(OtherClients[[#This Row],[Re-certified or New]]&lt;&gt;"Re-certified",IF(OtherClients[[#This Row],[Client]]="infasco",VLOOKUP(OtherClients[[#This Row],[Part]],PartControl!$A$2:$E$564,2,FALSE),OtherClients[[#This Row],[Total Quantity]]*VLOOKUP(OtherClients[[#This Row],[Part]],PartControl!$A$2:$E$564,2,FALSE)),0)</f>
        <v>106.94</v>
      </c>
    </row>
    <row r="611" spans="1:26" ht="25.15" hidden="1" customHeight="1" x14ac:dyDescent="0.25">
      <c r="A611" s="112">
        <v>46245.697488425925</v>
      </c>
      <c r="B611" s="5" t="s">
        <v>243</v>
      </c>
      <c r="C611" s="5" t="s">
        <v>657</v>
      </c>
      <c r="D611" s="5">
        <v>716151</v>
      </c>
      <c r="E611" s="33">
        <v>1</v>
      </c>
      <c r="F611" s="60">
        <f>4*2500</f>
        <v>10000</v>
      </c>
      <c r="G611" s="60">
        <f>+OtherClients[[#This Row],[Boxes / Pieces]]*OtherClients[[#This Row],[Unit Quantity]]</f>
        <v>10000</v>
      </c>
      <c r="H611" s="60">
        <v>292</v>
      </c>
      <c r="I611" s="60" t="s">
        <v>278</v>
      </c>
      <c r="J611" s="104"/>
      <c r="K611" s="33" t="s">
        <v>278</v>
      </c>
      <c r="L611" s="111"/>
      <c r="M611" s="33" t="s">
        <v>278</v>
      </c>
      <c r="N611" s="111"/>
      <c r="O611" s="33" t="s">
        <v>278</v>
      </c>
      <c r="P611" s="111"/>
      <c r="Q611" s="33" t="s">
        <v>587</v>
      </c>
      <c r="R611" s="111"/>
      <c r="S611" s="33" t="s">
        <v>278</v>
      </c>
      <c r="T611" s="111"/>
      <c r="U611" s="33" t="s">
        <v>278</v>
      </c>
      <c r="V611" s="111"/>
      <c r="W611" s="59" t="s">
        <v>633</v>
      </c>
      <c r="X611" s="33" t="str">
        <f>+VLOOKUP(OtherClients[[#This Row],[Part]],PartControl!$A$2:$E$564,5,FALSE)</f>
        <v>infasco</v>
      </c>
      <c r="Y611" s="108">
        <f>IF(OtherClients[[#This Row],[Re-certified or New]]&lt;&gt;"Re-certified",IF(OtherClients[[#This Row],[Client]]="infasco",VLOOKUP(OtherClients[[#This Row],[Part]],PartControl!$A$2:$E$564,2,FALSE),OtherClients[[#This Row],[Total Quantity]]*VLOOKUP(OtherClients[[#This Row],[Part]],PartControl!$A$2:$E$564,2,FALSE)),0)</f>
        <v>0</v>
      </c>
      <c r="Z611" s="108">
        <f>IF(OtherClients[[#This Row],[Re-certified or New]]&lt;&gt;"Re-certified",IF(OtherClients[[#This Row],[Client]]="infasco",VLOOKUP(OtherClients[[#This Row],[Part]],PartControl!$A$2:$E$564,2,FALSE),OtherClients[[#This Row],[Total Quantity]]*VLOOKUP(OtherClients[[#This Row],[Part]],PartControl!$A$2:$E$564,2,FALSE)),0)</f>
        <v>0</v>
      </c>
    </row>
    <row r="612" spans="1:26" ht="25.15" hidden="1" customHeight="1" x14ac:dyDescent="0.25">
      <c r="A612" s="112">
        <v>46245.697488425925</v>
      </c>
      <c r="B612" s="5" t="s">
        <v>246</v>
      </c>
      <c r="C612" s="5" t="s">
        <v>303</v>
      </c>
      <c r="D612" s="5">
        <v>713725</v>
      </c>
      <c r="E612" s="33">
        <v>1</v>
      </c>
      <c r="F612" s="60">
        <v>70000</v>
      </c>
      <c r="G612" s="60">
        <f>+OtherClients[[#This Row],[Boxes / Pieces]]*OtherClients[[#This Row],[Unit Quantity]]</f>
        <v>70000</v>
      </c>
      <c r="H612" s="60">
        <v>272</v>
      </c>
      <c r="I612" s="60" t="s">
        <v>278</v>
      </c>
      <c r="J612" s="104"/>
      <c r="K612" s="33" t="s">
        <v>278</v>
      </c>
      <c r="L612" s="111"/>
      <c r="M612" s="33" t="s">
        <v>278</v>
      </c>
      <c r="N612" s="111"/>
      <c r="O612" s="33" t="s">
        <v>278</v>
      </c>
      <c r="P612" s="111"/>
      <c r="Q612" s="33" t="s">
        <v>587</v>
      </c>
      <c r="R612" s="111"/>
      <c r="S612" s="33" t="s">
        <v>278</v>
      </c>
      <c r="T612" s="111"/>
      <c r="U612" s="33" t="s">
        <v>278</v>
      </c>
      <c r="V612" s="111"/>
      <c r="W612" s="59" t="s">
        <v>548</v>
      </c>
      <c r="X612" s="33" t="str">
        <f>+VLOOKUP(OtherClients[[#This Row],[Part]],PartControl!$A$2:$E$564,5,FALSE)</f>
        <v>INFASCO</v>
      </c>
      <c r="Y612" s="108">
        <f>IF(OtherClients[[#This Row],[Re-certified or New]]&lt;&gt;"Re-certified",IF(OtherClients[[#This Row],[Client]]="infasco",VLOOKUP(OtherClients[[#This Row],[Part]],PartControl!$A$2:$E$564,2,FALSE),OtherClients[[#This Row],[Total Quantity]]*VLOOKUP(OtherClients[[#This Row],[Part]],PartControl!$A$2:$E$564,2,FALSE)),0)</f>
        <v>129.44999999999999</v>
      </c>
      <c r="Z612" s="108">
        <f>IF(OtherClients[[#This Row],[Re-certified or New]]&lt;&gt;"Re-certified",IF(OtherClients[[#This Row],[Client]]="infasco",VLOOKUP(OtherClients[[#This Row],[Part]],PartControl!$A$2:$E$564,2,FALSE),OtherClients[[#This Row],[Total Quantity]]*VLOOKUP(OtherClients[[#This Row],[Part]],PartControl!$A$2:$E$564,2,FALSE)),0)</f>
        <v>129.44999999999999</v>
      </c>
    </row>
    <row r="613" spans="1:26" ht="25.15" hidden="1" customHeight="1" x14ac:dyDescent="0.25">
      <c r="A613" s="112">
        <v>46245.697488425925</v>
      </c>
      <c r="B613" s="5" t="s">
        <v>342</v>
      </c>
      <c r="C613" s="5" t="s">
        <v>818</v>
      </c>
      <c r="D613" s="5">
        <v>716111</v>
      </c>
      <c r="E613" s="33">
        <v>16</v>
      </c>
      <c r="F613" s="60">
        <v>670</v>
      </c>
      <c r="G613" s="60">
        <f>+OtherClients[[#This Row],[Boxes / Pieces]]*OtherClients[[#This Row],[Unit Quantity]]</f>
        <v>10720</v>
      </c>
      <c r="H613" s="60" t="s">
        <v>870</v>
      </c>
      <c r="I613" s="60" t="s">
        <v>278</v>
      </c>
      <c r="J613" s="104"/>
      <c r="K613" s="33" t="s">
        <v>278</v>
      </c>
      <c r="L613" s="111"/>
      <c r="M613" s="33" t="s">
        <v>278</v>
      </c>
      <c r="N613" s="111"/>
      <c r="O613" s="33" t="s">
        <v>278</v>
      </c>
      <c r="P613" s="111"/>
      <c r="Q613" s="33" t="s">
        <v>587</v>
      </c>
      <c r="R613" s="111"/>
      <c r="S613" s="33" t="s">
        <v>278</v>
      </c>
      <c r="T613" s="111"/>
      <c r="U613" s="33" t="s">
        <v>278</v>
      </c>
      <c r="V613" s="111"/>
      <c r="W613" s="59" t="s">
        <v>548</v>
      </c>
      <c r="X613" s="33" t="str">
        <f>+VLOOKUP(OtherClients[[#This Row],[Part]],PartControl!$A$2:$E$564,5,FALSE)</f>
        <v>infasco</v>
      </c>
      <c r="Y613" s="108">
        <f>IF(OtherClients[[#This Row],[Re-certified or New]]&lt;&gt;"Re-certified",IF(OtherClients[[#This Row],[Client]]="infasco",VLOOKUP(OtherClients[[#This Row],[Part]],PartControl!$A$2:$E$564,2,FALSE),OtherClients[[#This Row],[Total Quantity]]*VLOOKUP(OtherClients[[#This Row],[Part]],PartControl!$A$2:$E$564,2,FALSE)),0)</f>
        <v>280.16000000000003</v>
      </c>
      <c r="Z613" s="108">
        <f>IF(OtherClients[[#This Row],[Re-certified or New]]&lt;&gt;"Re-certified",IF(OtherClients[[#This Row],[Client]]="infasco",VLOOKUP(OtherClients[[#This Row],[Part]],PartControl!$A$2:$E$564,2,FALSE),OtherClients[[#This Row],[Total Quantity]]*VLOOKUP(OtherClients[[#This Row],[Part]],PartControl!$A$2:$E$564,2,FALSE)),0)</f>
        <v>280.16000000000003</v>
      </c>
    </row>
    <row r="614" spans="1:26" ht="25.15" hidden="1" customHeight="1" x14ac:dyDescent="0.25">
      <c r="A614" s="112">
        <v>46245.697488425925</v>
      </c>
      <c r="B614" s="5" t="s">
        <v>342</v>
      </c>
      <c r="C614" s="5" t="s">
        <v>818</v>
      </c>
      <c r="D614" s="5">
        <v>716115</v>
      </c>
      <c r="E614" s="33">
        <v>20</v>
      </c>
      <c r="F614" s="60">
        <v>670</v>
      </c>
      <c r="G614" s="60">
        <f>+OtherClients[[#This Row],[Boxes / Pieces]]*OtherClients[[#This Row],[Unit Quantity]]</f>
        <v>13400</v>
      </c>
      <c r="H614" s="60" t="s">
        <v>870</v>
      </c>
      <c r="I614" s="60" t="s">
        <v>278</v>
      </c>
      <c r="J614" s="104"/>
      <c r="K614" s="33" t="s">
        <v>278</v>
      </c>
      <c r="L614" s="111"/>
      <c r="M614" s="33" t="s">
        <v>278</v>
      </c>
      <c r="N614" s="111"/>
      <c r="O614" s="33" t="s">
        <v>278</v>
      </c>
      <c r="P614" s="111"/>
      <c r="Q614" s="33" t="s">
        <v>587</v>
      </c>
      <c r="R614" s="111"/>
      <c r="S614" s="33" t="s">
        <v>278</v>
      </c>
      <c r="T614" s="111"/>
      <c r="U614" s="33" t="s">
        <v>278</v>
      </c>
      <c r="V614" s="111"/>
      <c r="W614" s="59" t="s">
        <v>548</v>
      </c>
      <c r="X614" s="33" t="str">
        <f>+VLOOKUP(OtherClients[[#This Row],[Part]],PartControl!$A$2:$E$564,5,FALSE)</f>
        <v>infasco</v>
      </c>
      <c r="Y614" s="108">
        <f>IF(OtherClients[[#This Row],[Re-certified or New]]&lt;&gt;"Re-certified",IF(OtherClients[[#This Row],[Client]]="infasco",VLOOKUP(OtherClients[[#This Row],[Part]],PartControl!$A$2:$E$564,2,FALSE),OtherClients[[#This Row],[Total Quantity]]*VLOOKUP(OtherClients[[#This Row],[Part]],PartControl!$A$2:$E$564,2,FALSE)),0)</f>
        <v>280.16000000000003</v>
      </c>
      <c r="Z614" s="108">
        <f>IF(OtherClients[[#This Row],[Re-certified or New]]&lt;&gt;"Re-certified",IF(OtherClients[[#This Row],[Client]]="infasco",VLOOKUP(OtherClients[[#This Row],[Part]],PartControl!$A$2:$E$564,2,FALSE),OtherClients[[#This Row],[Total Quantity]]*VLOOKUP(OtherClients[[#This Row],[Part]],PartControl!$A$2:$E$564,2,FALSE)),0)</f>
        <v>280.16000000000003</v>
      </c>
    </row>
    <row r="615" spans="1:26" ht="25.15" hidden="1" customHeight="1" x14ac:dyDescent="0.25">
      <c r="A615" s="112">
        <v>46245.697488425925</v>
      </c>
      <c r="B615" s="5" t="s">
        <v>342</v>
      </c>
      <c r="C615" s="5" t="s">
        <v>818</v>
      </c>
      <c r="D615" s="5">
        <v>716114</v>
      </c>
      <c r="E615" s="33">
        <v>36</v>
      </c>
      <c r="F615" s="60">
        <v>670</v>
      </c>
      <c r="G615" s="60">
        <f>+OtherClients[[#This Row],[Boxes / Pieces]]*OtherClients[[#This Row],[Unit Quantity]]</f>
        <v>24120</v>
      </c>
      <c r="H615" s="60" t="s">
        <v>870</v>
      </c>
      <c r="I615" s="60" t="s">
        <v>278</v>
      </c>
      <c r="J615" s="104"/>
      <c r="K615" s="33" t="s">
        <v>278</v>
      </c>
      <c r="L615" s="111"/>
      <c r="M615" s="33" t="s">
        <v>278</v>
      </c>
      <c r="N615" s="111"/>
      <c r="O615" s="33" t="s">
        <v>278</v>
      </c>
      <c r="P615" s="111"/>
      <c r="Q615" s="33" t="s">
        <v>587</v>
      </c>
      <c r="R615" s="111"/>
      <c r="S615" s="33" t="s">
        <v>278</v>
      </c>
      <c r="T615" s="111"/>
      <c r="U615" s="33" t="s">
        <v>278</v>
      </c>
      <c r="V615" s="111"/>
      <c r="W615" s="59" t="s">
        <v>548</v>
      </c>
      <c r="X615" s="33" t="str">
        <f>+VLOOKUP(OtherClients[[#This Row],[Part]],PartControl!$A$2:$E$564,5,FALSE)</f>
        <v>infasco</v>
      </c>
      <c r="Y615" s="108">
        <f>IF(OtherClients[[#This Row],[Re-certified or New]]&lt;&gt;"Re-certified",IF(OtherClients[[#This Row],[Client]]="infasco",VLOOKUP(OtherClients[[#This Row],[Part]],PartControl!$A$2:$E$564,2,FALSE),OtherClients[[#This Row],[Total Quantity]]*VLOOKUP(OtherClients[[#This Row],[Part]],PartControl!$A$2:$E$564,2,FALSE)),0)</f>
        <v>280.16000000000003</v>
      </c>
      <c r="Z615" s="108">
        <f>IF(OtherClients[[#This Row],[Re-certified or New]]&lt;&gt;"Re-certified",IF(OtherClients[[#This Row],[Client]]="infasco",VLOOKUP(OtherClients[[#This Row],[Part]],PartControl!$A$2:$E$564,2,FALSE),OtherClients[[#This Row],[Total Quantity]]*VLOOKUP(OtherClients[[#This Row],[Part]],PartControl!$A$2:$E$564,2,FALSE)),0)</f>
        <v>280.16000000000003</v>
      </c>
    </row>
    <row r="616" spans="1:26" ht="25.15" hidden="1" customHeight="1" x14ac:dyDescent="0.25">
      <c r="A616" s="112">
        <v>46245.697488425925</v>
      </c>
      <c r="B616" s="5" t="s">
        <v>342</v>
      </c>
      <c r="C616" s="5">
        <v>11610376</v>
      </c>
      <c r="D616" s="5">
        <v>714201</v>
      </c>
      <c r="E616" s="33">
        <f>39-2</f>
        <v>37</v>
      </c>
      <c r="F616" s="60">
        <v>900</v>
      </c>
      <c r="G616" s="60">
        <f>+OtherClients[[#This Row],[Boxes / Pieces]]*OtherClients[[#This Row],[Unit Quantity]]</f>
        <v>33300</v>
      </c>
      <c r="H616" s="60" t="s">
        <v>870</v>
      </c>
      <c r="I616" s="60" t="s">
        <v>278</v>
      </c>
      <c r="J616" s="104"/>
      <c r="K616" s="33" t="s">
        <v>278</v>
      </c>
      <c r="L616" s="111"/>
      <c r="M616" s="33" t="s">
        <v>278</v>
      </c>
      <c r="N616" s="111"/>
      <c r="O616" s="33" t="s">
        <v>278</v>
      </c>
      <c r="P616" s="111"/>
      <c r="Q616" s="33" t="s">
        <v>587</v>
      </c>
      <c r="R616" s="111"/>
      <c r="S616" s="33" t="s">
        <v>278</v>
      </c>
      <c r="T616" s="111"/>
      <c r="U616" s="33" t="s">
        <v>278</v>
      </c>
      <c r="V616" s="111"/>
      <c r="W616" s="59" t="s">
        <v>548</v>
      </c>
      <c r="X616" s="33" t="str">
        <f>+VLOOKUP(OtherClients[[#This Row],[Part]],PartControl!$A$2:$E$564,5,FALSE)</f>
        <v>infasco</v>
      </c>
      <c r="Y616" s="108">
        <f>IF(OtherClients[[#This Row],[Re-certified or New]]&lt;&gt;"Re-certified",IF(OtherClients[[#This Row],[Client]]="infasco",VLOOKUP(OtherClients[[#This Row],[Part]],PartControl!$A$2:$E$564,2,FALSE),OtherClients[[#This Row],[Total Quantity]]*VLOOKUP(OtherClients[[#This Row],[Part]],PartControl!$A$2:$E$564,2,FALSE)),0)</f>
        <v>106.94</v>
      </c>
      <c r="Z616" s="108">
        <f>IF(OtherClients[[#This Row],[Re-certified or New]]&lt;&gt;"Re-certified",IF(OtherClients[[#This Row],[Client]]="infasco",VLOOKUP(OtherClients[[#This Row],[Part]],PartControl!$A$2:$E$564,2,FALSE),OtherClients[[#This Row],[Total Quantity]]*VLOOKUP(OtherClients[[#This Row],[Part]],PartControl!$A$2:$E$564,2,FALSE)),0)</f>
        <v>106.94</v>
      </c>
    </row>
    <row r="617" spans="1:26" ht="25.15" hidden="1" customHeight="1" x14ac:dyDescent="0.25">
      <c r="A617" s="112">
        <v>46245.697488425925</v>
      </c>
      <c r="B617" s="5" t="s">
        <v>342</v>
      </c>
      <c r="C617" s="5">
        <v>11549170</v>
      </c>
      <c r="D617" s="5">
        <v>714638</v>
      </c>
      <c r="E617" s="33">
        <v>36</v>
      </c>
      <c r="F617" s="60">
        <v>400</v>
      </c>
      <c r="G617" s="60">
        <f>+OtherClients[[#This Row],[Boxes / Pieces]]*OtherClients[[#This Row],[Unit Quantity]]</f>
        <v>14400</v>
      </c>
      <c r="H617" s="60" t="s">
        <v>870</v>
      </c>
      <c r="I617" s="60" t="s">
        <v>278</v>
      </c>
      <c r="J617" s="104"/>
      <c r="K617" s="33" t="s">
        <v>278</v>
      </c>
      <c r="L617" s="111"/>
      <c r="M617" s="33" t="s">
        <v>278</v>
      </c>
      <c r="N617" s="111"/>
      <c r="O617" s="33" t="s">
        <v>278</v>
      </c>
      <c r="P617" s="111"/>
      <c r="Q617" s="33" t="s">
        <v>587</v>
      </c>
      <c r="R617" s="111"/>
      <c r="S617" s="33" t="s">
        <v>278</v>
      </c>
      <c r="T617" s="111"/>
      <c r="U617" s="33" t="s">
        <v>278</v>
      </c>
      <c r="V617" s="111"/>
      <c r="W617" s="59" t="s">
        <v>548</v>
      </c>
      <c r="X617" s="33" t="str">
        <f>+VLOOKUP(OtherClients[[#This Row],[Part]],PartControl!$A$2:$E$564,5,FALSE)</f>
        <v>INFASCO</v>
      </c>
      <c r="Y617" s="108">
        <f>IF(OtherClients[[#This Row],[Re-certified or New]]&lt;&gt;"Re-certified",IF(OtherClients[[#This Row],[Client]]="infasco",VLOOKUP(OtherClients[[#This Row],[Part]],PartControl!$A$2:$E$564,2,FALSE),OtherClients[[#This Row],[Total Quantity]]*VLOOKUP(OtherClients[[#This Row],[Part]],PartControl!$A$2:$E$564,2,FALSE)),0)</f>
        <v>106.94</v>
      </c>
      <c r="Z617" s="108">
        <f>IF(OtherClients[[#This Row],[Re-certified or New]]&lt;&gt;"Re-certified",IF(OtherClients[[#This Row],[Client]]="infasco",VLOOKUP(OtherClients[[#This Row],[Part]],PartControl!$A$2:$E$564,2,FALSE),OtherClients[[#This Row],[Total Quantity]]*VLOOKUP(OtherClients[[#This Row],[Part]],PartControl!$A$2:$E$564,2,FALSE)),0)</f>
        <v>106.94</v>
      </c>
    </row>
    <row r="618" spans="1:26" ht="25.15" hidden="1" customHeight="1" x14ac:dyDescent="0.25">
      <c r="A618" s="112">
        <v>46245.697488425925</v>
      </c>
      <c r="B618" s="5" t="s">
        <v>342</v>
      </c>
      <c r="C618" s="5">
        <v>11549170</v>
      </c>
      <c r="D618" s="5">
        <v>714642</v>
      </c>
      <c r="E618" s="33">
        <v>43</v>
      </c>
      <c r="F618" s="60">
        <v>400</v>
      </c>
      <c r="G618" s="60">
        <f>+OtherClients[[#This Row],[Boxes / Pieces]]*OtherClients[[#This Row],[Unit Quantity]]</f>
        <v>17200</v>
      </c>
      <c r="H618" s="60" t="s">
        <v>870</v>
      </c>
      <c r="I618" s="60" t="s">
        <v>278</v>
      </c>
      <c r="J618" s="104"/>
      <c r="K618" s="33" t="s">
        <v>278</v>
      </c>
      <c r="L618" s="111"/>
      <c r="M618" s="33" t="s">
        <v>278</v>
      </c>
      <c r="N618" s="111"/>
      <c r="O618" s="33" t="s">
        <v>278</v>
      </c>
      <c r="P618" s="111"/>
      <c r="Q618" s="33" t="s">
        <v>587</v>
      </c>
      <c r="R618" s="111"/>
      <c r="S618" s="33" t="s">
        <v>278</v>
      </c>
      <c r="T618" s="111"/>
      <c r="U618" s="33" t="s">
        <v>278</v>
      </c>
      <c r="V618" s="111"/>
      <c r="W618" s="59" t="s">
        <v>548</v>
      </c>
      <c r="X618" s="33" t="str">
        <f>+VLOOKUP(OtherClients[[#This Row],[Part]],PartControl!$A$2:$E$564,5,FALSE)</f>
        <v>INFASCO</v>
      </c>
      <c r="Y618" s="108">
        <f>IF(OtherClients[[#This Row],[Re-certified or New]]&lt;&gt;"Re-certified",IF(OtherClients[[#This Row],[Client]]="infasco",VLOOKUP(OtherClients[[#This Row],[Part]],PartControl!$A$2:$E$564,2,FALSE),OtherClients[[#This Row],[Total Quantity]]*VLOOKUP(OtherClients[[#This Row],[Part]],PartControl!$A$2:$E$564,2,FALSE)),0)</f>
        <v>106.94</v>
      </c>
      <c r="Z618" s="108">
        <f>IF(OtherClients[[#This Row],[Re-certified or New]]&lt;&gt;"Re-certified",IF(OtherClients[[#This Row],[Client]]="infasco",VLOOKUP(OtherClients[[#This Row],[Part]],PartControl!$A$2:$E$564,2,FALSE),OtherClients[[#This Row],[Total Quantity]]*VLOOKUP(OtherClients[[#This Row],[Part]],PartControl!$A$2:$E$564,2,FALSE)),0)</f>
        <v>106.94</v>
      </c>
    </row>
    <row r="619" spans="1:26" ht="25.15" hidden="1" customHeight="1" x14ac:dyDescent="0.25">
      <c r="A619" s="112">
        <v>46245.697488425925</v>
      </c>
      <c r="B619" s="5" t="s">
        <v>342</v>
      </c>
      <c r="C619" s="5" t="s">
        <v>818</v>
      </c>
      <c r="D619" s="5">
        <v>716118</v>
      </c>
      <c r="E619" s="33">
        <v>36</v>
      </c>
      <c r="F619" s="60">
        <v>670</v>
      </c>
      <c r="G619" s="60">
        <f>+OtherClients[[#This Row],[Boxes / Pieces]]*OtherClients[[#This Row],[Unit Quantity]]</f>
        <v>24120</v>
      </c>
      <c r="H619" s="60" t="s">
        <v>870</v>
      </c>
      <c r="I619" s="60" t="s">
        <v>278</v>
      </c>
      <c r="J619" s="104"/>
      <c r="K619" s="33" t="s">
        <v>278</v>
      </c>
      <c r="L619" s="111"/>
      <c r="M619" s="33" t="s">
        <v>278</v>
      </c>
      <c r="N619" s="111"/>
      <c r="O619" s="33" t="s">
        <v>278</v>
      </c>
      <c r="P619" s="111"/>
      <c r="Q619" s="33" t="s">
        <v>587</v>
      </c>
      <c r="R619" s="111"/>
      <c r="S619" s="33" t="s">
        <v>278</v>
      </c>
      <c r="T619" s="111"/>
      <c r="U619" s="33" t="s">
        <v>278</v>
      </c>
      <c r="V619" s="111"/>
      <c r="W619" s="59" t="s">
        <v>548</v>
      </c>
      <c r="X619" s="33" t="str">
        <f>+VLOOKUP(OtherClients[[#This Row],[Part]],PartControl!$A$2:$E$564,5,FALSE)</f>
        <v>infasco</v>
      </c>
      <c r="Y619" s="108">
        <f>IF(OtherClients[[#This Row],[Re-certified or New]]&lt;&gt;"Re-certified",IF(OtherClients[[#This Row],[Client]]="infasco",VLOOKUP(OtherClients[[#This Row],[Part]],PartControl!$A$2:$E$564,2,FALSE),OtherClients[[#This Row],[Total Quantity]]*VLOOKUP(OtherClients[[#This Row],[Part]],PartControl!$A$2:$E$564,2,FALSE)),0)</f>
        <v>280.16000000000003</v>
      </c>
      <c r="Z619" s="108">
        <f>IF(OtherClients[[#This Row],[Re-certified or New]]&lt;&gt;"Re-certified",IF(OtherClients[[#This Row],[Client]]="infasco",VLOOKUP(OtherClients[[#This Row],[Part]],PartControl!$A$2:$E$564,2,FALSE),OtherClients[[#This Row],[Total Quantity]]*VLOOKUP(OtherClients[[#This Row],[Part]],PartControl!$A$2:$E$564,2,FALSE)),0)</f>
        <v>280.16000000000003</v>
      </c>
    </row>
    <row r="620" spans="1:26" ht="25.15" hidden="1" customHeight="1" x14ac:dyDescent="0.25">
      <c r="A620" s="112">
        <v>46245.697488425925</v>
      </c>
      <c r="B620" s="5" t="s">
        <v>342</v>
      </c>
      <c r="C620" s="5" t="s">
        <v>818</v>
      </c>
      <c r="D620" s="5">
        <v>716116</v>
      </c>
      <c r="E620" s="33">
        <v>36</v>
      </c>
      <c r="F620" s="60">
        <v>670</v>
      </c>
      <c r="G620" s="60">
        <f>+OtherClients[[#This Row],[Boxes / Pieces]]*OtherClients[[#This Row],[Unit Quantity]]</f>
        <v>24120</v>
      </c>
      <c r="H620" s="60" t="s">
        <v>870</v>
      </c>
      <c r="I620" s="60" t="s">
        <v>278</v>
      </c>
      <c r="J620" s="104"/>
      <c r="K620" s="33" t="s">
        <v>278</v>
      </c>
      <c r="L620" s="111"/>
      <c r="M620" s="33" t="s">
        <v>278</v>
      </c>
      <c r="N620" s="111"/>
      <c r="O620" s="33" t="s">
        <v>278</v>
      </c>
      <c r="P620" s="111"/>
      <c r="Q620" s="33" t="s">
        <v>587</v>
      </c>
      <c r="R620" s="111"/>
      <c r="S620" s="33" t="s">
        <v>278</v>
      </c>
      <c r="T620" s="111"/>
      <c r="U620" s="33" t="s">
        <v>278</v>
      </c>
      <c r="V620" s="111"/>
      <c r="W620" s="59" t="s">
        <v>548</v>
      </c>
      <c r="X620" s="33" t="str">
        <f>+VLOOKUP(OtherClients[[#This Row],[Part]],PartControl!$A$2:$E$564,5,FALSE)</f>
        <v>infasco</v>
      </c>
      <c r="Y620" s="108">
        <f>IF(OtherClients[[#This Row],[Re-certified or New]]&lt;&gt;"Re-certified",IF(OtherClients[[#This Row],[Client]]="infasco",VLOOKUP(OtherClients[[#This Row],[Part]],PartControl!$A$2:$E$564,2,FALSE),OtherClients[[#This Row],[Total Quantity]]*VLOOKUP(OtherClients[[#This Row],[Part]],PartControl!$A$2:$E$564,2,FALSE)),0)</f>
        <v>280.16000000000003</v>
      </c>
      <c r="Z620" s="108">
        <f>IF(OtherClients[[#This Row],[Re-certified or New]]&lt;&gt;"Re-certified",IF(OtherClients[[#This Row],[Client]]="infasco",VLOOKUP(OtherClients[[#This Row],[Part]],PartControl!$A$2:$E$564,2,FALSE),OtherClients[[#This Row],[Total Quantity]]*VLOOKUP(OtherClients[[#This Row],[Part]],PartControl!$A$2:$E$564,2,FALSE)),0)</f>
        <v>280.16000000000003</v>
      </c>
    </row>
    <row r="621" spans="1:26" ht="25.15" hidden="1" customHeight="1" x14ac:dyDescent="0.25">
      <c r="A621" s="112">
        <v>46245.697488425925</v>
      </c>
      <c r="B621" s="5" t="s">
        <v>344</v>
      </c>
      <c r="C621" s="5" t="s">
        <v>59</v>
      </c>
      <c r="D621" s="5">
        <v>716707</v>
      </c>
      <c r="E621" s="33">
        <v>20</v>
      </c>
      <c r="F621" s="60">
        <v>1600</v>
      </c>
      <c r="G621" s="60">
        <f>+OtherClients[[#This Row],[Boxes / Pieces]]*OtherClients[[#This Row],[Unit Quantity]]</f>
        <v>32000</v>
      </c>
      <c r="H621" s="60" t="s">
        <v>816</v>
      </c>
      <c r="I621" s="60" t="s">
        <v>278</v>
      </c>
      <c r="J621" s="104"/>
      <c r="K621" s="33" t="s">
        <v>278</v>
      </c>
      <c r="L621" s="111"/>
      <c r="M621" s="33" t="s">
        <v>278</v>
      </c>
      <c r="N621" s="111"/>
      <c r="O621" s="33" t="s">
        <v>278</v>
      </c>
      <c r="P621" s="111"/>
      <c r="Q621" s="33" t="s">
        <v>587</v>
      </c>
      <c r="R621" s="111"/>
      <c r="S621" s="33" t="s">
        <v>278</v>
      </c>
      <c r="T621" s="111"/>
      <c r="U621" s="33" t="s">
        <v>278</v>
      </c>
      <c r="V621" s="111"/>
      <c r="W621" s="59" t="s">
        <v>548</v>
      </c>
      <c r="X621" s="33" t="str">
        <f>+VLOOKUP(OtherClients[[#This Row],[Part]],PartControl!$A$2:$E$564,5,FALSE)</f>
        <v>infasco</v>
      </c>
      <c r="Y621" s="108">
        <f>IF(OtherClients[[#This Row],[Re-certified or New]]&lt;&gt;"Re-certified",IF(OtherClients[[#This Row],[Client]]="infasco",VLOOKUP(OtherClients[[#This Row],[Part]],PartControl!$A$2:$E$564,2,FALSE),OtherClients[[#This Row],[Total Quantity]]*VLOOKUP(OtherClients[[#This Row],[Part]],PartControl!$A$2:$E$564,2,FALSE)),0)</f>
        <v>257.95319999999998</v>
      </c>
      <c r="Z621" s="108">
        <f>IF(OtherClients[[#This Row],[Re-certified or New]]&lt;&gt;"Re-certified",IF(OtherClients[[#This Row],[Client]]="infasco",VLOOKUP(OtherClients[[#This Row],[Part]],PartControl!$A$2:$E$564,2,FALSE),OtherClients[[#This Row],[Total Quantity]]*VLOOKUP(OtherClients[[#This Row],[Part]],PartControl!$A$2:$E$564,2,FALSE)),0)</f>
        <v>257.95319999999998</v>
      </c>
    </row>
    <row r="622" spans="1:26" ht="25.15" hidden="1" customHeight="1" x14ac:dyDescent="0.25">
      <c r="A622" s="112">
        <v>46245.697488425925</v>
      </c>
      <c r="B622" s="5" t="s">
        <v>344</v>
      </c>
      <c r="C622" s="5">
        <v>11546463</v>
      </c>
      <c r="D622" s="5">
        <v>716181</v>
      </c>
      <c r="E622" s="33">
        <v>30</v>
      </c>
      <c r="F622" s="60">
        <v>450</v>
      </c>
      <c r="G622" s="60">
        <f>+OtherClients[[#This Row],[Boxes / Pieces]]*OtherClients[[#This Row],[Unit Quantity]]</f>
        <v>13500</v>
      </c>
      <c r="H622" s="60" t="s">
        <v>816</v>
      </c>
      <c r="I622" s="60" t="s">
        <v>278</v>
      </c>
      <c r="J622" s="104"/>
      <c r="K622" s="33" t="s">
        <v>278</v>
      </c>
      <c r="L622" s="111"/>
      <c r="M622" s="33" t="s">
        <v>278</v>
      </c>
      <c r="N622" s="111"/>
      <c r="O622" s="33" t="s">
        <v>278</v>
      </c>
      <c r="P622" s="111"/>
      <c r="Q622" s="33" t="s">
        <v>587</v>
      </c>
      <c r="R622" s="111"/>
      <c r="S622" s="33" t="s">
        <v>278</v>
      </c>
      <c r="T622" s="111"/>
      <c r="U622" s="33" t="s">
        <v>278</v>
      </c>
      <c r="V622" s="111"/>
      <c r="W622" s="59" t="s">
        <v>548</v>
      </c>
      <c r="X622" s="33" t="str">
        <f>+VLOOKUP(OtherClients[[#This Row],[Part]],PartControl!$A$2:$E$564,5,FALSE)</f>
        <v>infasco</v>
      </c>
      <c r="Y622" s="108">
        <f>IF(OtherClients[[#This Row],[Re-certified or New]]&lt;&gt;"Re-certified",IF(OtherClients[[#This Row],[Client]]="infasco",VLOOKUP(OtherClients[[#This Row],[Part]],PartControl!$A$2:$E$564,2,FALSE),OtherClients[[#This Row],[Total Quantity]]*VLOOKUP(OtherClients[[#This Row],[Part]],PartControl!$A$2:$E$564,2,FALSE)),0)</f>
        <v>106.94</v>
      </c>
      <c r="Z622" s="108">
        <f>IF(OtherClients[[#This Row],[Re-certified or New]]&lt;&gt;"Re-certified",IF(OtherClients[[#This Row],[Client]]="infasco",VLOOKUP(OtherClients[[#This Row],[Part]],PartControl!$A$2:$E$564,2,FALSE),OtherClients[[#This Row],[Total Quantity]]*VLOOKUP(OtherClients[[#This Row],[Part]],PartControl!$A$2:$E$564,2,FALSE)),0)</f>
        <v>106.94</v>
      </c>
    </row>
    <row r="623" spans="1:26" ht="25.15" hidden="1" customHeight="1" x14ac:dyDescent="0.25">
      <c r="A623" s="112">
        <v>46245.697488425925</v>
      </c>
      <c r="B623" s="5" t="s">
        <v>344</v>
      </c>
      <c r="C623" s="5">
        <v>91058</v>
      </c>
      <c r="D623" s="5">
        <v>713300</v>
      </c>
      <c r="E623" s="33">
        <v>29</v>
      </c>
      <c r="F623" s="60">
        <v>1200</v>
      </c>
      <c r="G623" s="60">
        <f>+OtherClients[[#This Row],[Boxes / Pieces]]*OtherClients[[#This Row],[Unit Quantity]]</f>
        <v>34800</v>
      </c>
      <c r="H623" s="60" t="s">
        <v>816</v>
      </c>
      <c r="I623" s="60" t="s">
        <v>278</v>
      </c>
      <c r="J623" s="104"/>
      <c r="K623" s="33" t="s">
        <v>278</v>
      </c>
      <c r="L623" s="111"/>
      <c r="M623" s="33" t="s">
        <v>278</v>
      </c>
      <c r="N623" s="111"/>
      <c r="O623" s="33" t="s">
        <v>278</v>
      </c>
      <c r="P623" s="111"/>
      <c r="Q623" s="33" t="s">
        <v>587</v>
      </c>
      <c r="R623" s="111"/>
      <c r="S623" s="33" t="s">
        <v>278</v>
      </c>
      <c r="T623" s="111"/>
      <c r="U623" s="33" t="s">
        <v>278</v>
      </c>
      <c r="V623" s="111"/>
      <c r="W623" s="59" t="s">
        <v>633</v>
      </c>
      <c r="X623" s="33" t="str">
        <f>+VLOOKUP(OtherClients[[#This Row],[Part]],PartControl!$A$2:$E$564,5,FALSE)</f>
        <v>infasco</v>
      </c>
      <c r="Y623" s="108">
        <f>IF(OtherClients[[#This Row],[Re-certified or New]]&lt;&gt;"Re-certified",IF(OtherClients[[#This Row],[Client]]="infasco",VLOOKUP(OtherClients[[#This Row],[Part]],PartControl!$A$2:$E$564,2,FALSE),OtherClients[[#This Row],[Total Quantity]]*VLOOKUP(OtherClients[[#This Row],[Part]],PartControl!$A$2:$E$564,2,FALSE)),0)</f>
        <v>0</v>
      </c>
      <c r="Z623" s="108">
        <f>IF(OtherClients[[#This Row],[Re-certified or New]]&lt;&gt;"Re-certified",IF(OtherClients[[#This Row],[Client]]="infasco",VLOOKUP(OtherClients[[#This Row],[Part]],PartControl!$A$2:$E$564,2,FALSE),OtherClients[[#This Row],[Total Quantity]]*VLOOKUP(OtherClients[[#This Row],[Part]],PartControl!$A$2:$E$564,2,FALSE)),0)</f>
        <v>0</v>
      </c>
    </row>
    <row r="624" spans="1:26" ht="25.15" hidden="1" customHeight="1" x14ac:dyDescent="0.25">
      <c r="A624" s="112">
        <v>46245.697488425925</v>
      </c>
      <c r="B624" s="5" t="s">
        <v>344</v>
      </c>
      <c r="C624" s="5">
        <v>11549170</v>
      </c>
      <c r="D624" s="5">
        <v>714626</v>
      </c>
      <c r="E624" s="33">
        <v>36</v>
      </c>
      <c r="F624" s="60">
        <v>400</v>
      </c>
      <c r="G624" s="60">
        <f>+OtherClients[[#This Row],[Boxes / Pieces]]*OtherClients[[#This Row],[Unit Quantity]]</f>
        <v>14400</v>
      </c>
      <c r="H624" s="60" t="s">
        <v>816</v>
      </c>
      <c r="I624" s="60" t="s">
        <v>278</v>
      </c>
      <c r="J624" s="104"/>
      <c r="K624" s="33" t="s">
        <v>278</v>
      </c>
      <c r="L624" s="111"/>
      <c r="M624" s="33" t="s">
        <v>278</v>
      </c>
      <c r="N624" s="111"/>
      <c r="O624" s="33" t="s">
        <v>278</v>
      </c>
      <c r="P624" s="111"/>
      <c r="Q624" s="33" t="s">
        <v>587</v>
      </c>
      <c r="R624" s="111"/>
      <c r="S624" s="33" t="s">
        <v>278</v>
      </c>
      <c r="T624" s="111"/>
      <c r="U624" s="33" t="s">
        <v>278</v>
      </c>
      <c r="V624" s="111"/>
      <c r="W624" s="59" t="s">
        <v>548</v>
      </c>
      <c r="X624" s="33" t="str">
        <f>+VLOOKUP(OtherClients[[#This Row],[Part]],PartControl!$A$2:$E$564,5,FALSE)</f>
        <v>INFASCO</v>
      </c>
      <c r="Y624" s="108">
        <f>IF(OtherClients[[#This Row],[Re-certified or New]]&lt;&gt;"Re-certified",IF(OtherClients[[#This Row],[Client]]="infasco",VLOOKUP(OtherClients[[#This Row],[Part]],PartControl!$A$2:$E$564,2,FALSE),OtherClients[[#This Row],[Total Quantity]]*VLOOKUP(OtherClients[[#This Row],[Part]],PartControl!$A$2:$E$564,2,FALSE)),0)</f>
        <v>106.94</v>
      </c>
      <c r="Z624" s="108">
        <f>IF(OtherClients[[#This Row],[Re-certified or New]]&lt;&gt;"Re-certified",IF(OtherClients[[#This Row],[Client]]="infasco",VLOOKUP(OtherClients[[#This Row],[Part]],PartControl!$A$2:$E$564,2,FALSE),OtherClients[[#This Row],[Total Quantity]]*VLOOKUP(OtherClients[[#This Row],[Part]],PartControl!$A$2:$E$564,2,FALSE)),0)</f>
        <v>106.94</v>
      </c>
    </row>
    <row r="625" spans="1:26" ht="25.15" hidden="1" customHeight="1" x14ac:dyDescent="0.25">
      <c r="A625" s="112">
        <v>46245.697488425925</v>
      </c>
      <c r="B625" s="5" t="s">
        <v>344</v>
      </c>
      <c r="C625" s="5">
        <v>11549170</v>
      </c>
      <c r="D625" s="5">
        <v>714620</v>
      </c>
      <c r="E625" s="33">
        <f>36+3</f>
        <v>39</v>
      </c>
      <c r="F625" s="60">
        <v>400</v>
      </c>
      <c r="G625" s="60">
        <f>+OtherClients[[#This Row],[Boxes / Pieces]]*OtherClients[[#This Row],[Unit Quantity]]</f>
        <v>15600</v>
      </c>
      <c r="H625" s="60" t="s">
        <v>816</v>
      </c>
      <c r="I625" s="60" t="s">
        <v>278</v>
      </c>
      <c r="J625" s="104"/>
      <c r="K625" s="33" t="s">
        <v>278</v>
      </c>
      <c r="L625" s="111"/>
      <c r="M625" s="33" t="s">
        <v>278</v>
      </c>
      <c r="N625" s="111"/>
      <c r="O625" s="33" t="s">
        <v>278</v>
      </c>
      <c r="P625" s="111"/>
      <c r="Q625" s="33" t="s">
        <v>587</v>
      </c>
      <c r="R625" s="111"/>
      <c r="S625" s="33" t="s">
        <v>278</v>
      </c>
      <c r="T625" s="111"/>
      <c r="U625" s="33" t="s">
        <v>278</v>
      </c>
      <c r="V625" s="111"/>
      <c r="W625" s="59" t="s">
        <v>548</v>
      </c>
      <c r="X625" s="33" t="str">
        <f>+VLOOKUP(OtherClients[[#This Row],[Part]],PartControl!$A$2:$E$564,5,FALSE)</f>
        <v>INFASCO</v>
      </c>
      <c r="Y625" s="108">
        <f>IF(OtherClients[[#This Row],[Re-certified or New]]&lt;&gt;"Re-certified",IF(OtherClients[[#This Row],[Client]]="infasco",VLOOKUP(OtherClients[[#This Row],[Part]],PartControl!$A$2:$E$564,2,FALSE),OtherClients[[#This Row],[Total Quantity]]*VLOOKUP(OtherClients[[#This Row],[Part]],PartControl!$A$2:$E$564,2,FALSE)),0)</f>
        <v>106.94</v>
      </c>
      <c r="Z625" s="108">
        <f>IF(OtherClients[[#This Row],[Re-certified or New]]&lt;&gt;"Re-certified",IF(OtherClients[[#This Row],[Client]]="infasco",VLOOKUP(OtherClients[[#This Row],[Part]],PartControl!$A$2:$E$564,2,FALSE),OtherClients[[#This Row],[Total Quantity]]*VLOOKUP(OtherClients[[#This Row],[Part]],PartControl!$A$2:$E$564,2,FALSE)),0)</f>
        <v>106.94</v>
      </c>
    </row>
    <row r="626" spans="1:26" ht="25.15" hidden="1" customHeight="1" x14ac:dyDescent="0.25">
      <c r="A626" s="112">
        <v>46245.697488425925</v>
      </c>
      <c r="B626" s="5" t="s">
        <v>344</v>
      </c>
      <c r="C626" s="5">
        <v>1420503001</v>
      </c>
      <c r="D626" s="5">
        <v>716703</v>
      </c>
      <c r="E626" s="33">
        <v>15</v>
      </c>
      <c r="F626" s="60">
        <v>1500</v>
      </c>
      <c r="G626" s="60">
        <f>+OtherClients[[#This Row],[Boxes / Pieces]]*OtherClients[[#This Row],[Unit Quantity]]</f>
        <v>22500</v>
      </c>
      <c r="H626" s="60" t="s">
        <v>816</v>
      </c>
      <c r="I626" s="60" t="s">
        <v>278</v>
      </c>
      <c r="J626" s="104"/>
      <c r="K626" s="33" t="s">
        <v>278</v>
      </c>
      <c r="L626" s="111"/>
      <c r="M626" s="33" t="s">
        <v>278</v>
      </c>
      <c r="N626" s="111"/>
      <c r="O626" s="33" t="s">
        <v>278</v>
      </c>
      <c r="P626" s="111"/>
      <c r="Q626" s="33" t="s">
        <v>587</v>
      </c>
      <c r="R626" s="111"/>
      <c r="S626" s="33" t="s">
        <v>278</v>
      </c>
      <c r="T626" s="111"/>
      <c r="U626" s="33" t="s">
        <v>278</v>
      </c>
      <c r="V626" s="111"/>
      <c r="W626" s="59" t="s">
        <v>548</v>
      </c>
      <c r="X626" s="33" t="str">
        <f>+VLOOKUP(OtherClients[[#This Row],[Part]],PartControl!$A$2:$E$564,5,FALSE)</f>
        <v>INFASCO</v>
      </c>
      <c r="Y626" s="108">
        <f>IF(OtherClients[[#This Row],[Re-certified or New]]&lt;&gt;"Re-certified",IF(OtherClients[[#This Row],[Client]]="infasco",VLOOKUP(OtherClients[[#This Row],[Part]],PartControl!$A$2:$E$564,2,FALSE),OtherClients[[#This Row],[Total Quantity]]*VLOOKUP(OtherClients[[#This Row],[Part]],PartControl!$A$2:$E$564,2,FALSE)),0)</f>
        <v>124.82</v>
      </c>
      <c r="Z626" s="108">
        <f>IF(OtherClients[[#This Row],[Re-certified or New]]&lt;&gt;"Re-certified",IF(OtherClients[[#This Row],[Client]]="infasco",VLOOKUP(OtherClients[[#This Row],[Part]],PartControl!$A$2:$E$564,2,FALSE),OtherClients[[#This Row],[Total Quantity]]*VLOOKUP(OtherClients[[#This Row],[Part]],PartControl!$A$2:$E$564,2,FALSE)),0)</f>
        <v>124.82</v>
      </c>
    </row>
    <row r="627" spans="1:26" ht="25.15" hidden="1" customHeight="1" x14ac:dyDescent="0.25">
      <c r="A627" s="112">
        <v>46245.697488425925</v>
      </c>
      <c r="B627" s="5" t="s">
        <v>344</v>
      </c>
      <c r="C627" s="5" t="s">
        <v>59</v>
      </c>
      <c r="D627" s="5">
        <v>716705</v>
      </c>
      <c r="E627" s="33">
        <v>28</v>
      </c>
      <c r="F627" s="60">
        <v>1600</v>
      </c>
      <c r="G627" s="60">
        <f>+OtherClients[[#This Row],[Boxes / Pieces]]*OtherClients[[#This Row],[Unit Quantity]]</f>
        <v>44800</v>
      </c>
      <c r="H627" s="60" t="s">
        <v>816</v>
      </c>
      <c r="I627" s="60" t="s">
        <v>278</v>
      </c>
      <c r="J627" s="104"/>
      <c r="K627" s="33" t="s">
        <v>278</v>
      </c>
      <c r="L627" s="111"/>
      <c r="M627" s="33" t="s">
        <v>278</v>
      </c>
      <c r="N627" s="111"/>
      <c r="O627" s="33" t="s">
        <v>278</v>
      </c>
      <c r="P627" s="111"/>
      <c r="Q627" s="33" t="s">
        <v>587</v>
      </c>
      <c r="R627" s="111"/>
      <c r="S627" s="33" t="s">
        <v>278</v>
      </c>
      <c r="T627" s="111"/>
      <c r="U627" s="33" t="s">
        <v>278</v>
      </c>
      <c r="V627" s="111"/>
      <c r="W627" s="59" t="s">
        <v>548</v>
      </c>
      <c r="X627" s="33" t="str">
        <f>+VLOOKUP(OtherClients[[#This Row],[Part]],PartControl!$A$2:$E$564,5,FALSE)</f>
        <v>infasco</v>
      </c>
      <c r="Y627" s="108">
        <f>IF(OtherClients[[#This Row],[Re-certified or New]]&lt;&gt;"Re-certified",IF(OtherClients[[#This Row],[Client]]="infasco",VLOOKUP(OtherClients[[#This Row],[Part]],PartControl!$A$2:$E$564,2,FALSE),OtherClients[[#This Row],[Total Quantity]]*VLOOKUP(OtherClients[[#This Row],[Part]],PartControl!$A$2:$E$564,2,FALSE)),0)</f>
        <v>257.95319999999998</v>
      </c>
      <c r="Z627" s="108">
        <f>IF(OtherClients[[#This Row],[Re-certified or New]]&lt;&gt;"Re-certified",IF(OtherClients[[#This Row],[Client]]="infasco",VLOOKUP(OtherClients[[#This Row],[Part]],PartControl!$A$2:$E$564,2,FALSE),OtherClients[[#This Row],[Total Quantity]]*VLOOKUP(OtherClients[[#This Row],[Part]],PartControl!$A$2:$E$564,2,FALSE)),0)</f>
        <v>257.95319999999998</v>
      </c>
    </row>
    <row r="628" spans="1:26" ht="25.15" hidden="1" customHeight="1" x14ac:dyDescent="0.25">
      <c r="A628" s="112">
        <v>46245.697488425925</v>
      </c>
      <c r="B628" s="5" t="s">
        <v>344</v>
      </c>
      <c r="C628" s="5" t="s">
        <v>59</v>
      </c>
      <c r="D628" s="5">
        <v>716708</v>
      </c>
      <c r="E628" s="33">
        <v>19</v>
      </c>
      <c r="F628" s="60">
        <v>1600</v>
      </c>
      <c r="G628" s="60">
        <f>+OtherClients[[#This Row],[Boxes / Pieces]]*OtherClients[[#This Row],[Unit Quantity]]</f>
        <v>30400</v>
      </c>
      <c r="H628" s="60" t="s">
        <v>816</v>
      </c>
      <c r="I628" s="60" t="s">
        <v>278</v>
      </c>
      <c r="J628" s="104"/>
      <c r="K628" s="33" t="s">
        <v>278</v>
      </c>
      <c r="L628" s="111"/>
      <c r="M628" s="33" t="s">
        <v>278</v>
      </c>
      <c r="N628" s="111"/>
      <c r="O628" s="33" t="s">
        <v>278</v>
      </c>
      <c r="P628" s="111"/>
      <c r="Q628" s="33" t="s">
        <v>587</v>
      </c>
      <c r="R628" s="111"/>
      <c r="S628" s="33" t="s">
        <v>278</v>
      </c>
      <c r="T628" s="111"/>
      <c r="U628" s="33" t="s">
        <v>278</v>
      </c>
      <c r="V628" s="111"/>
      <c r="W628" s="59" t="s">
        <v>548</v>
      </c>
      <c r="X628" s="33" t="str">
        <f>+VLOOKUP(OtherClients[[#This Row],[Part]],PartControl!$A$2:$E$564,5,FALSE)</f>
        <v>infasco</v>
      </c>
      <c r="Y628" s="108">
        <f>IF(OtherClients[[#This Row],[Re-certified or New]]&lt;&gt;"Re-certified",IF(OtherClients[[#This Row],[Client]]="infasco",VLOOKUP(OtherClients[[#This Row],[Part]],PartControl!$A$2:$E$564,2,FALSE),OtherClients[[#This Row],[Total Quantity]]*VLOOKUP(OtherClients[[#This Row],[Part]],PartControl!$A$2:$E$564,2,FALSE)),0)</f>
        <v>257.95319999999998</v>
      </c>
      <c r="Z628" s="108">
        <f>IF(OtherClients[[#This Row],[Re-certified or New]]&lt;&gt;"Re-certified",IF(OtherClients[[#This Row],[Client]]="infasco",VLOOKUP(OtherClients[[#This Row],[Part]],PartControl!$A$2:$E$564,2,FALSE),OtherClients[[#This Row],[Total Quantity]]*VLOOKUP(OtherClients[[#This Row],[Part]],PartControl!$A$2:$E$564,2,FALSE)),0)</f>
        <v>257.95319999999998</v>
      </c>
    </row>
    <row r="629" spans="1:26" ht="25.15" hidden="1" customHeight="1" x14ac:dyDescent="0.25">
      <c r="A629" s="112">
        <v>46245.697488425925</v>
      </c>
      <c r="B629" s="5" t="s">
        <v>345</v>
      </c>
      <c r="C629" s="5">
        <v>40161567</v>
      </c>
      <c r="D629" s="5">
        <v>716206</v>
      </c>
      <c r="E629" s="33">
        <v>16</v>
      </c>
      <c r="F629" s="60">
        <v>175</v>
      </c>
      <c r="G629" s="60">
        <f>+OtherClients[[#This Row],[Boxes / Pieces]]*OtherClients[[#This Row],[Unit Quantity]]</f>
        <v>2800</v>
      </c>
      <c r="H629" s="60" t="s">
        <v>849</v>
      </c>
      <c r="I629" s="60" t="s">
        <v>278</v>
      </c>
      <c r="J629" s="104"/>
      <c r="K629" s="33" t="s">
        <v>278</v>
      </c>
      <c r="L629" s="111"/>
      <c r="M629" s="33" t="s">
        <v>278</v>
      </c>
      <c r="N629" s="111"/>
      <c r="O629" s="33" t="s">
        <v>278</v>
      </c>
      <c r="P629" s="111"/>
      <c r="Q629" s="33" t="s">
        <v>587</v>
      </c>
      <c r="R629" s="111"/>
      <c r="S629" s="33" t="s">
        <v>278</v>
      </c>
      <c r="T629" s="111"/>
      <c r="U629" s="33" t="s">
        <v>278</v>
      </c>
      <c r="V629" s="111"/>
      <c r="W629" s="59" t="s">
        <v>548</v>
      </c>
      <c r="X629" s="33" t="str">
        <f>+VLOOKUP(OtherClients[[#This Row],[Part]],PartControl!$A$2:$E$564,5,FALSE)</f>
        <v>INFASCO</v>
      </c>
      <c r="Y629" s="108">
        <f>IF(OtherClients[[#This Row],[Re-certified or New]]&lt;&gt;"Re-certified",IF(OtherClients[[#This Row],[Client]]="infasco",VLOOKUP(OtherClients[[#This Row],[Part]],PartControl!$A$2:$E$564,2,FALSE),OtherClients[[#This Row],[Total Quantity]]*VLOOKUP(OtherClients[[#This Row],[Part]],PartControl!$A$2:$E$564,2,FALSE)),0)</f>
        <v>106.94</v>
      </c>
      <c r="Z629" s="108">
        <f>IF(OtherClients[[#This Row],[Re-certified or New]]&lt;&gt;"Re-certified",IF(OtherClients[[#This Row],[Client]]="infasco",VLOOKUP(OtherClients[[#This Row],[Part]],PartControl!$A$2:$E$564,2,FALSE),OtherClients[[#This Row],[Total Quantity]]*VLOOKUP(OtherClients[[#This Row],[Part]],PartControl!$A$2:$E$564,2,FALSE)),0)</f>
        <v>106.94</v>
      </c>
    </row>
    <row r="630" spans="1:26" ht="25.15" hidden="1" customHeight="1" x14ac:dyDescent="0.25">
      <c r="A630" s="112">
        <v>46245.697488425925</v>
      </c>
      <c r="B630" s="5" t="s">
        <v>345</v>
      </c>
      <c r="C630" s="5">
        <v>11549170</v>
      </c>
      <c r="D630" s="5">
        <v>714634</v>
      </c>
      <c r="E630" s="33">
        <v>30</v>
      </c>
      <c r="F630" s="60">
        <v>400</v>
      </c>
      <c r="G630" s="60">
        <f>+OtherClients[[#This Row],[Boxes / Pieces]]*OtherClients[[#This Row],[Unit Quantity]]</f>
        <v>12000</v>
      </c>
      <c r="H630" s="60" t="s">
        <v>849</v>
      </c>
      <c r="I630" s="60" t="s">
        <v>278</v>
      </c>
      <c r="J630" s="104"/>
      <c r="K630" s="33" t="s">
        <v>278</v>
      </c>
      <c r="L630" s="111"/>
      <c r="M630" s="33" t="s">
        <v>278</v>
      </c>
      <c r="N630" s="111"/>
      <c r="O630" s="33" t="s">
        <v>278</v>
      </c>
      <c r="P630" s="111"/>
      <c r="Q630" s="33" t="s">
        <v>587</v>
      </c>
      <c r="R630" s="111"/>
      <c r="S630" s="33" t="s">
        <v>278</v>
      </c>
      <c r="T630" s="111"/>
      <c r="U630" s="33" t="s">
        <v>278</v>
      </c>
      <c r="V630" s="111"/>
      <c r="W630" s="59" t="s">
        <v>548</v>
      </c>
      <c r="X630" s="33" t="str">
        <f>+VLOOKUP(OtherClients[[#This Row],[Part]],PartControl!$A$2:$E$564,5,FALSE)</f>
        <v>INFASCO</v>
      </c>
      <c r="Y630" s="108">
        <f>IF(OtherClients[[#This Row],[Re-certified or New]]&lt;&gt;"Re-certified",IF(OtherClients[[#This Row],[Client]]="infasco",VLOOKUP(OtherClients[[#This Row],[Part]],PartControl!$A$2:$E$564,2,FALSE),OtherClients[[#This Row],[Total Quantity]]*VLOOKUP(OtherClients[[#This Row],[Part]],PartControl!$A$2:$E$564,2,FALSE)),0)</f>
        <v>106.94</v>
      </c>
      <c r="Z630" s="108">
        <f>IF(OtherClients[[#This Row],[Re-certified or New]]&lt;&gt;"Re-certified",IF(OtherClients[[#This Row],[Client]]="infasco",VLOOKUP(OtherClients[[#This Row],[Part]],PartControl!$A$2:$E$564,2,FALSE),OtherClients[[#This Row],[Total Quantity]]*VLOOKUP(OtherClients[[#This Row],[Part]],PartControl!$A$2:$E$564,2,FALSE)),0)</f>
        <v>106.94</v>
      </c>
    </row>
    <row r="631" spans="1:26" ht="25.15" hidden="1" customHeight="1" x14ac:dyDescent="0.25">
      <c r="A631" s="112">
        <v>46245.697488425925</v>
      </c>
      <c r="B631" s="5" t="s">
        <v>345</v>
      </c>
      <c r="C631" s="5" t="s">
        <v>59</v>
      </c>
      <c r="D631" s="5">
        <v>716706</v>
      </c>
      <c r="E631" s="33">
        <v>29</v>
      </c>
      <c r="F631" s="60">
        <v>1600</v>
      </c>
      <c r="G631" s="60">
        <f>+OtherClients[[#This Row],[Boxes / Pieces]]*OtherClients[[#This Row],[Unit Quantity]]</f>
        <v>46400</v>
      </c>
      <c r="H631" s="60" t="s">
        <v>849</v>
      </c>
      <c r="I631" s="60" t="s">
        <v>278</v>
      </c>
      <c r="J631" s="104"/>
      <c r="K631" s="33" t="s">
        <v>278</v>
      </c>
      <c r="L631" s="111"/>
      <c r="M631" s="33" t="s">
        <v>278</v>
      </c>
      <c r="N631" s="111"/>
      <c r="O631" s="33" t="s">
        <v>278</v>
      </c>
      <c r="P631" s="111"/>
      <c r="Q631" s="33" t="s">
        <v>587</v>
      </c>
      <c r="R631" s="111"/>
      <c r="S631" s="33" t="s">
        <v>278</v>
      </c>
      <c r="T631" s="111"/>
      <c r="U631" s="33" t="s">
        <v>278</v>
      </c>
      <c r="V631" s="111"/>
      <c r="W631" s="59" t="s">
        <v>548</v>
      </c>
      <c r="X631" s="33" t="str">
        <f>+VLOOKUP(OtherClients[[#This Row],[Part]],PartControl!$A$2:$E$564,5,FALSE)</f>
        <v>infasco</v>
      </c>
      <c r="Y631" s="108">
        <f>IF(OtherClients[[#This Row],[Re-certified or New]]&lt;&gt;"Re-certified",IF(OtherClients[[#This Row],[Client]]="infasco",VLOOKUP(OtherClients[[#This Row],[Part]],PartControl!$A$2:$E$564,2,FALSE),OtherClients[[#This Row],[Total Quantity]]*VLOOKUP(OtherClients[[#This Row],[Part]],PartControl!$A$2:$E$564,2,FALSE)),0)</f>
        <v>257.95319999999998</v>
      </c>
      <c r="Z631" s="108">
        <f>IF(OtherClients[[#This Row],[Re-certified or New]]&lt;&gt;"Re-certified",IF(OtherClients[[#This Row],[Client]]="infasco",VLOOKUP(OtherClients[[#This Row],[Part]],PartControl!$A$2:$E$564,2,FALSE),OtherClients[[#This Row],[Total Quantity]]*VLOOKUP(OtherClients[[#This Row],[Part]],PartControl!$A$2:$E$564,2,FALSE)),0)</f>
        <v>257.95319999999998</v>
      </c>
    </row>
    <row r="632" spans="1:26" ht="25.15" hidden="1" customHeight="1" x14ac:dyDescent="0.25">
      <c r="A632" s="112">
        <v>46245.697488425925</v>
      </c>
      <c r="B632" s="5" t="s">
        <v>345</v>
      </c>
      <c r="C632" s="5">
        <v>1420503001</v>
      </c>
      <c r="D632" s="5">
        <v>716704</v>
      </c>
      <c r="E632" s="33">
        <v>16</v>
      </c>
      <c r="F632" s="60">
        <v>1500</v>
      </c>
      <c r="G632" s="60">
        <f>+OtherClients[[#This Row],[Boxes / Pieces]]*OtherClients[[#This Row],[Unit Quantity]]</f>
        <v>24000</v>
      </c>
      <c r="H632" s="60" t="s">
        <v>849</v>
      </c>
      <c r="I632" s="60" t="s">
        <v>278</v>
      </c>
      <c r="J632" s="104"/>
      <c r="K632" s="33" t="s">
        <v>278</v>
      </c>
      <c r="L632" s="111"/>
      <c r="M632" s="33" t="s">
        <v>278</v>
      </c>
      <c r="N632" s="111"/>
      <c r="O632" s="33" t="s">
        <v>278</v>
      </c>
      <c r="P632" s="111"/>
      <c r="Q632" s="33" t="s">
        <v>587</v>
      </c>
      <c r="R632" s="111"/>
      <c r="S632" s="33" t="s">
        <v>278</v>
      </c>
      <c r="T632" s="111"/>
      <c r="U632" s="33" t="s">
        <v>278</v>
      </c>
      <c r="V632" s="111"/>
      <c r="W632" s="59" t="s">
        <v>548</v>
      </c>
      <c r="X632" s="33" t="str">
        <f>+VLOOKUP(OtherClients[[#This Row],[Part]],PartControl!$A$2:$E$564,5,FALSE)</f>
        <v>INFASCO</v>
      </c>
      <c r="Y632" s="108">
        <f>IF(OtherClients[[#This Row],[Re-certified or New]]&lt;&gt;"Re-certified",IF(OtherClients[[#This Row],[Client]]="infasco",VLOOKUP(OtherClients[[#This Row],[Part]],PartControl!$A$2:$E$564,2,FALSE),OtherClients[[#This Row],[Total Quantity]]*VLOOKUP(OtherClients[[#This Row],[Part]],PartControl!$A$2:$E$564,2,FALSE)),0)</f>
        <v>124.82</v>
      </c>
      <c r="Z632" s="108">
        <f>IF(OtherClients[[#This Row],[Re-certified or New]]&lt;&gt;"Re-certified",IF(OtherClients[[#This Row],[Client]]="infasco",VLOOKUP(OtherClients[[#This Row],[Part]],PartControl!$A$2:$E$564,2,FALSE),OtherClients[[#This Row],[Total Quantity]]*VLOOKUP(OtherClients[[#This Row],[Part]],PartControl!$A$2:$E$564,2,FALSE)),0)</f>
        <v>124.82</v>
      </c>
    </row>
    <row r="633" spans="1:26" ht="25.15" hidden="1" customHeight="1" x14ac:dyDescent="0.25">
      <c r="A633" s="112">
        <v>46245.697488425925</v>
      </c>
      <c r="B633" s="5" t="s">
        <v>345</v>
      </c>
      <c r="C633" s="5" t="s">
        <v>662</v>
      </c>
      <c r="D633" s="5">
        <v>716699</v>
      </c>
      <c r="E633" s="33">
        <v>31</v>
      </c>
      <c r="F633" s="60">
        <v>580</v>
      </c>
      <c r="G633" s="60">
        <f>+OtherClients[[#This Row],[Boxes / Pieces]]*OtherClients[[#This Row],[Unit Quantity]]</f>
        <v>17980</v>
      </c>
      <c r="H633" s="60" t="s">
        <v>849</v>
      </c>
      <c r="I633" s="60" t="s">
        <v>278</v>
      </c>
      <c r="J633" s="104"/>
      <c r="K633" s="33" t="s">
        <v>278</v>
      </c>
      <c r="L633" s="111"/>
      <c r="M633" s="33" t="s">
        <v>278</v>
      </c>
      <c r="N633" s="111"/>
      <c r="O633" s="33" t="s">
        <v>278</v>
      </c>
      <c r="P633" s="111"/>
      <c r="Q633" s="33" t="s">
        <v>587</v>
      </c>
      <c r="R633" s="111"/>
      <c r="S633" s="33" t="s">
        <v>278</v>
      </c>
      <c r="T633" s="111"/>
      <c r="U633" s="33" t="s">
        <v>278</v>
      </c>
      <c r="V633" s="111"/>
      <c r="W633" s="59" t="s">
        <v>548</v>
      </c>
      <c r="X633" s="33" t="str">
        <f>+VLOOKUP(OtherClients[[#This Row],[Part]],PartControl!$A$2:$E$564,5,FALSE)</f>
        <v>infasco</v>
      </c>
      <c r="Y633" s="108">
        <f>IF(OtherClients[[#This Row],[Re-certified or New]]&lt;&gt;"Re-certified",IF(OtherClients[[#This Row],[Client]]="infasco",VLOOKUP(OtherClients[[#This Row],[Part]],PartControl!$A$2:$E$564,2,FALSE),OtherClients[[#This Row],[Total Quantity]]*VLOOKUP(OtherClients[[#This Row],[Part]],PartControl!$A$2:$E$564,2,FALSE)),0)</f>
        <v>280.15999999999997</v>
      </c>
      <c r="Z633" s="108">
        <f>IF(OtherClients[[#This Row],[Re-certified or New]]&lt;&gt;"Re-certified",IF(OtherClients[[#This Row],[Client]]="infasco",VLOOKUP(OtherClients[[#This Row],[Part]],PartControl!$A$2:$E$564,2,FALSE),OtherClients[[#This Row],[Total Quantity]]*VLOOKUP(OtherClients[[#This Row],[Part]],PartControl!$A$2:$E$564,2,FALSE)),0)</f>
        <v>280.15999999999997</v>
      </c>
    </row>
    <row r="634" spans="1:26" ht="25.15" hidden="1" customHeight="1" x14ac:dyDescent="0.25">
      <c r="A634" s="112">
        <v>46245.697488425925</v>
      </c>
      <c r="B634" s="5" t="s">
        <v>345</v>
      </c>
      <c r="C634" s="5">
        <v>61525</v>
      </c>
      <c r="D634" s="5">
        <v>716709</v>
      </c>
      <c r="E634" s="33">
        <v>16</v>
      </c>
      <c r="F634" s="60">
        <v>3000</v>
      </c>
      <c r="G634" s="60">
        <f>+OtherClients[[#This Row],[Boxes / Pieces]]*OtherClients[[#This Row],[Unit Quantity]]</f>
        <v>48000</v>
      </c>
      <c r="H634" s="60" t="s">
        <v>849</v>
      </c>
      <c r="I634" s="60" t="s">
        <v>278</v>
      </c>
      <c r="J634" s="104"/>
      <c r="K634" s="33" t="s">
        <v>278</v>
      </c>
      <c r="L634" s="111"/>
      <c r="M634" s="33" t="s">
        <v>278</v>
      </c>
      <c r="N634" s="111"/>
      <c r="O634" s="33" t="s">
        <v>278</v>
      </c>
      <c r="P634" s="111"/>
      <c r="Q634" s="33" t="s">
        <v>587</v>
      </c>
      <c r="R634" s="111"/>
      <c r="S634" s="33" t="s">
        <v>278</v>
      </c>
      <c r="T634" s="111"/>
      <c r="U634" s="33" t="s">
        <v>278</v>
      </c>
      <c r="V634" s="111"/>
      <c r="W634" s="59" t="s">
        <v>548</v>
      </c>
      <c r="X634" s="33" t="str">
        <f>+VLOOKUP(OtherClients[[#This Row],[Part]],PartControl!$A$2:$E$564,5,FALSE)</f>
        <v>infasco</v>
      </c>
      <c r="Y634" s="108">
        <f>IF(OtherClients[[#This Row],[Re-certified or New]]&lt;&gt;"Re-certified",IF(OtherClients[[#This Row],[Client]]="infasco",VLOOKUP(OtherClients[[#This Row],[Part]],PartControl!$A$2:$E$564,2,FALSE),OtherClients[[#This Row],[Total Quantity]]*VLOOKUP(OtherClients[[#This Row],[Part]],PartControl!$A$2:$E$564,2,FALSE)),0)</f>
        <v>224.49</v>
      </c>
      <c r="Z634" s="108">
        <f>IF(OtherClients[[#This Row],[Re-certified or New]]&lt;&gt;"Re-certified",IF(OtherClients[[#This Row],[Client]]="infasco",VLOOKUP(OtherClients[[#This Row],[Part]],PartControl!$A$2:$E$564,2,FALSE),OtherClients[[#This Row],[Total Quantity]]*VLOOKUP(OtherClients[[#This Row],[Part]],PartControl!$A$2:$E$564,2,FALSE)),0)</f>
        <v>224.49</v>
      </c>
    </row>
    <row r="635" spans="1:26" ht="25.15" hidden="1" customHeight="1" x14ac:dyDescent="0.25">
      <c r="A635" s="112">
        <v>46245.697488425925</v>
      </c>
      <c r="B635" s="5" t="s">
        <v>345</v>
      </c>
      <c r="C635" s="5">
        <v>61525</v>
      </c>
      <c r="D635" s="5">
        <v>716710</v>
      </c>
      <c r="E635" s="33">
        <v>12</v>
      </c>
      <c r="F635" s="60">
        <v>3000</v>
      </c>
      <c r="G635" s="60">
        <f>+OtherClients[[#This Row],[Boxes / Pieces]]*OtherClients[[#This Row],[Unit Quantity]]</f>
        <v>36000</v>
      </c>
      <c r="H635" s="60" t="s">
        <v>849</v>
      </c>
      <c r="I635" s="60" t="s">
        <v>278</v>
      </c>
      <c r="J635" s="104"/>
      <c r="K635" s="33" t="s">
        <v>278</v>
      </c>
      <c r="L635" s="111"/>
      <c r="M635" s="33" t="s">
        <v>278</v>
      </c>
      <c r="N635" s="111"/>
      <c r="O635" s="33" t="s">
        <v>278</v>
      </c>
      <c r="P635" s="111"/>
      <c r="Q635" s="33" t="s">
        <v>587</v>
      </c>
      <c r="R635" s="111"/>
      <c r="S635" s="33" t="s">
        <v>278</v>
      </c>
      <c r="T635" s="111"/>
      <c r="U635" s="33" t="s">
        <v>278</v>
      </c>
      <c r="V635" s="111"/>
      <c r="W635" s="59" t="s">
        <v>548</v>
      </c>
      <c r="X635" s="33" t="str">
        <f>+VLOOKUP(OtherClients[[#This Row],[Part]],PartControl!$A$2:$E$564,5,FALSE)</f>
        <v>infasco</v>
      </c>
      <c r="Y635" s="108">
        <f>IF(OtherClients[[#This Row],[Re-certified or New]]&lt;&gt;"Re-certified",IF(OtherClients[[#This Row],[Client]]="infasco",VLOOKUP(OtherClients[[#This Row],[Part]],PartControl!$A$2:$E$564,2,FALSE),OtherClients[[#This Row],[Total Quantity]]*VLOOKUP(OtherClients[[#This Row],[Part]],PartControl!$A$2:$E$564,2,FALSE)),0)</f>
        <v>224.49</v>
      </c>
      <c r="Z635" s="108">
        <f>IF(OtherClients[[#This Row],[Re-certified or New]]&lt;&gt;"Re-certified",IF(OtherClients[[#This Row],[Client]]="infasco",VLOOKUP(OtherClients[[#This Row],[Part]],PartControl!$A$2:$E$564,2,FALSE),OtherClients[[#This Row],[Total Quantity]]*VLOOKUP(OtherClients[[#This Row],[Part]],PartControl!$A$2:$E$564,2,FALSE)),0)</f>
        <v>224.49</v>
      </c>
    </row>
    <row r="636" spans="1:26" ht="25.15" hidden="1" customHeight="1" x14ac:dyDescent="0.25">
      <c r="A636" s="112">
        <v>46245.697488425925</v>
      </c>
      <c r="B636" s="5" t="s">
        <v>345</v>
      </c>
      <c r="C636" s="5" t="s">
        <v>662</v>
      </c>
      <c r="D636" s="5">
        <v>716702</v>
      </c>
      <c r="E636" s="33">
        <v>33</v>
      </c>
      <c r="F636" s="60">
        <v>580</v>
      </c>
      <c r="G636" s="60">
        <f>+OtherClients[[#This Row],[Boxes / Pieces]]*OtherClients[[#This Row],[Unit Quantity]]</f>
        <v>19140</v>
      </c>
      <c r="H636" s="60" t="s">
        <v>849</v>
      </c>
      <c r="I636" s="60" t="s">
        <v>278</v>
      </c>
      <c r="J636" s="104"/>
      <c r="K636" s="33" t="s">
        <v>278</v>
      </c>
      <c r="L636" s="111"/>
      <c r="M636" s="33" t="s">
        <v>278</v>
      </c>
      <c r="N636" s="111"/>
      <c r="O636" s="33" t="s">
        <v>278</v>
      </c>
      <c r="P636" s="111"/>
      <c r="Q636" s="33" t="s">
        <v>587</v>
      </c>
      <c r="R636" s="111"/>
      <c r="S636" s="33" t="s">
        <v>278</v>
      </c>
      <c r="T636" s="111"/>
      <c r="U636" s="33" t="s">
        <v>278</v>
      </c>
      <c r="V636" s="111"/>
      <c r="W636" s="59" t="s">
        <v>548</v>
      </c>
      <c r="X636" s="33" t="str">
        <f>+VLOOKUP(OtherClients[[#This Row],[Part]],PartControl!$A$2:$E$564,5,FALSE)</f>
        <v>infasco</v>
      </c>
      <c r="Y636" s="108">
        <f>IF(OtherClients[[#This Row],[Re-certified or New]]&lt;&gt;"Re-certified",IF(OtherClients[[#This Row],[Client]]="infasco",VLOOKUP(OtherClients[[#This Row],[Part]],PartControl!$A$2:$E$564,2,FALSE),OtherClients[[#This Row],[Total Quantity]]*VLOOKUP(OtherClients[[#This Row],[Part]],PartControl!$A$2:$E$564,2,FALSE)),0)</f>
        <v>280.15999999999997</v>
      </c>
      <c r="Z636" s="108">
        <f>IF(OtherClients[[#This Row],[Re-certified or New]]&lt;&gt;"Re-certified",IF(OtherClients[[#This Row],[Client]]="infasco",VLOOKUP(OtherClients[[#This Row],[Part]],PartControl!$A$2:$E$564,2,FALSE),OtherClients[[#This Row],[Total Quantity]]*VLOOKUP(OtherClients[[#This Row],[Part]],PartControl!$A$2:$E$564,2,FALSE)),0)</f>
        <v>280.15999999999997</v>
      </c>
    </row>
    <row r="637" spans="1:26" ht="25.15" hidden="1" customHeight="1" x14ac:dyDescent="0.25">
      <c r="A637" s="112">
        <v>46245.697488425925</v>
      </c>
      <c r="B637" s="5" t="s">
        <v>345</v>
      </c>
      <c r="C637" s="5" t="s">
        <v>818</v>
      </c>
      <c r="D637" s="5">
        <v>716117</v>
      </c>
      <c r="E637" s="33">
        <v>26</v>
      </c>
      <c r="F637" s="60">
        <v>670</v>
      </c>
      <c r="G637" s="60">
        <f>+OtherClients[[#This Row],[Boxes / Pieces]]*OtherClients[[#This Row],[Unit Quantity]]</f>
        <v>17420</v>
      </c>
      <c r="H637" s="60" t="s">
        <v>849</v>
      </c>
      <c r="I637" s="60" t="s">
        <v>278</v>
      </c>
      <c r="J637" s="104"/>
      <c r="K637" s="33" t="s">
        <v>278</v>
      </c>
      <c r="L637" s="111"/>
      <c r="M637" s="33" t="s">
        <v>278</v>
      </c>
      <c r="N637" s="111"/>
      <c r="O637" s="33" t="s">
        <v>278</v>
      </c>
      <c r="P637" s="111"/>
      <c r="Q637" s="33" t="s">
        <v>587</v>
      </c>
      <c r="R637" s="111"/>
      <c r="S637" s="33" t="s">
        <v>278</v>
      </c>
      <c r="T637" s="111"/>
      <c r="U637" s="33" t="s">
        <v>278</v>
      </c>
      <c r="V637" s="111"/>
      <c r="W637" s="59" t="s">
        <v>548</v>
      </c>
      <c r="X637" s="33" t="str">
        <f>+VLOOKUP(OtherClients[[#This Row],[Part]],PartControl!$A$2:$E$564,5,FALSE)</f>
        <v>infasco</v>
      </c>
      <c r="Y637" s="108">
        <f>IF(OtherClients[[#This Row],[Re-certified or New]]&lt;&gt;"Re-certified",IF(OtherClients[[#This Row],[Client]]="infasco",VLOOKUP(OtherClients[[#This Row],[Part]],PartControl!$A$2:$E$564,2,FALSE),OtherClients[[#This Row],[Total Quantity]]*VLOOKUP(OtherClients[[#This Row],[Part]],PartControl!$A$2:$E$564,2,FALSE)),0)</f>
        <v>280.16000000000003</v>
      </c>
      <c r="Z637" s="108">
        <f>IF(OtherClients[[#This Row],[Re-certified or New]]&lt;&gt;"Re-certified",IF(OtherClients[[#This Row],[Client]]="infasco",VLOOKUP(OtherClients[[#This Row],[Part]],PartControl!$A$2:$E$564,2,FALSE),OtherClients[[#This Row],[Total Quantity]]*VLOOKUP(OtherClients[[#This Row],[Part]],PartControl!$A$2:$E$564,2,FALSE)),0)</f>
        <v>280.16000000000003</v>
      </c>
    </row>
    <row r="638" spans="1:26" ht="25.15" hidden="1" customHeight="1" x14ac:dyDescent="0.25">
      <c r="A638" s="112">
        <v>46245.697488425925</v>
      </c>
      <c r="B638" s="5" t="s">
        <v>345</v>
      </c>
      <c r="C638" s="5">
        <v>91058</v>
      </c>
      <c r="D638" s="5">
        <v>713301</v>
      </c>
      <c r="E638" s="33">
        <v>18</v>
      </c>
      <c r="F638" s="60">
        <v>1200</v>
      </c>
      <c r="G638" s="60">
        <f>+OtherClients[[#This Row],[Boxes / Pieces]]*OtherClients[[#This Row],[Unit Quantity]]</f>
        <v>21600</v>
      </c>
      <c r="H638" s="60" t="s">
        <v>849</v>
      </c>
      <c r="I638" s="60" t="s">
        <v>278</v>
      </c>
      <c r="J638" s="104"/>
      <c r="K638" s="33" t="s">
        <v>278</v>
      </c>
      <c r="L638" s="111"/>
      <c r="M638" s="33" t="s">
        <v>278</v>
      </c>
      <c r="N638" s="111"/>
      <c r="O638" s="33" t="s">
        <v>278</v>
      </c>
      <c r="P638" s="111"/>
      <c r="Q638" s="33" t="s">
        <v>587</v>
      </c>
      <c r="R638" s="111"/>
      <c r="S638" s="33" t="s">
        <v>278</v>
      </c>
      <c r="T638" s="111"/>
      <c r="U638" s="33" t="s">
        <v>278</v>
      </c>
      <c r="V638" s="111"/>
      <c r="W638" s="59" t="s">
        <v>633</v>
      </c>
      <c r="X638" s="33" t="str">
        <f>+VLOOKUP(OtherClients[[#This Row],[Part]],PartControl!$A$2:$E$564,5,FALSE)</f>
        <v>infasco</v>
      </c>
      <c r="Y638" s="108">
        <f>IF(OtherClients[[#This Row],[Re-certified or New]]&lt;&gt;"Re-certified",IF(OtherClients[[#This Row],[Client]]="infasco",VLOOKUP(OtherClients[[#This Row],[Part]],PartControl!$A$2:$E$564,2,FALSE),OtherClients[[#This Row],[Total Quantity]]*VLOOKUP(OtherClients[[#This Row],[Part]],PartControl!$A$2:$E$564,2,FALSE)),0)</f>
        <v>0</v>
      </c>
      <c r="Z638" s="108">
        <f>IF(OtherClients[[#This Row],[Re-certified or New]]&lt;&gt;"Re-certified",IF(OtherClients[[#This Row],[Client]]="infasco",VLOOKUP(OtherClients[[#This Row],[Part]],PartControl!$A$2:$E$564,2,FALSE),OtherClients[[#This Row],[Total Quantity]]*VLOOKUP(OtherClients[[#This Row],[Part]],PartControl!$A$2:$E$564,2,FALSE)),0)</f>
        <v>0</v>
      </c>
    </row>
    <row r="639" spans="1:26" ht="25.15" hidden="1" customHeight="1" x14ac:dyDescent="0.25">
      <c r="A639" s="112">
        <v>46245.697488425925</v>
      </c>
      <c r="B639" s="5" t="s">
        <v>346</v>
      </c>
      <c r="C639" s="5" t="s">
        <v>695</v>
      </c>
      <c r="D639" s="5">
        <v>714708</v>
      </c>
      <c r="E639" s="33">
        <f>38-20</f>
        <v>18</v>
      </c>
      <c r="F639" s="60">
        <v>600</v>
      </c>
      <c r="G639" s="60">
        <f>+OtherClients[[#This Row],[Boxes / Pieces]]*OtherClients[[#This Row],[Unit Quantity]]</f>
        <v>10800</v>
      </c>
      <c r="H639" s="60" t="s">
        <v>871</v>
      </c>
      <c r="I639" s="60" t="s">
        <v>278</v>
      </c>
      <c r="J639" s="104"/>
      <c r="K639" s="33" t="s">
        <v>278</v>
      </c>
      <c r="L639" s="111"/>
      <c r="M639" s="33" t="s">
        <v>278</v>
      </c>
      <c r="N639" s="111"/>
      <c r="O639" s="33" t="s">
        <v>278</v>
      </c>
      <c r="P639" s="111"/>
      <c r="Q639" s="33" t="s">
        <v>587</v>
      </c>
      <c r="R639" s="111"/>
      <c r="S639" s="33" t="s">
        <v>278</v>
      </c>
      <c r="T639" s="111"/>
      <c r="U639" s="33" t="s">
        <v>278</v>
      </c>
      <c r="V639" s="111"/>
      <c r="W639" s="59" t="s">
        <v>548</v>
      </c>
      <c r="X639" s="33" t="str">
        <f>+VLOOKUP(OtherClients[[#This Row],[Part]],PartControl!$A$2:$E$564,5,FALSE)</f>
        <v>infasco</v>
      </c>
      <c r="Y639" s="108">
        <f>IF(OtherClients[[#This Row],[Re-certified or New]]&lt;&gt;"Re-certified",IF(OtherClients[[#This Row],[Client]]="infasco",VLOOKUP(OtherClients[[#This Row],[Part]],PartControl!$A$2:$E$564,2,FALSE),OtherClients[[#This Row],[Total Quantity]]*VLOOKUP(OtherClients[[#This Row],[Part]],PartControl!$A$2:$E$564,2,FALSE)),0)</f>
        <v>106.94</v>
      </c>
      <c r="Z639" s="108">
        <f>IF(OtherClients[[#This Row],[Re-certified or New]]&lt;&gt;"Re-certified",IF(OtherClients[[#This Row],[Client]]="infasco",VLOOKUP(OtherClients[[#This Row],[Part]],PartControl!$A$2:$E$564,2,FALSE),OtherClients[[#This Row],[Total Quantity]]*VLOOKUP(OtherClients[[#This Row],[Part]],PartControl!$A$2:$E$564,2,FALSE)),0)</f>
        <v>106.94</v>
      </c>
    </row>
    <row r="640" spans="1:26" ht="25.15" hidden="1" customHeight="1" x14ac:dyDescent="0.25">
      <c r="A640" s="112">
        <v>46245.697488425925</v>
      </c>
      <c r="B640" s="5" t="s">
        <v>346</v>
      </c>
      <c r="C640" s="5">
        <v>11549170</v>
      </c>
      <c r="D640" s="5">
        <v>714635</v>
      </c>
      <c r="E640" s="33">
        <v>36</v>
      </c>
      <c r="F640" s="60">
        <v>400</v>
      </c>
      <c r="G640" s="60">
        <f>+OtherClients[[#This Row],[Boxes / Pieces]]*OtherClients[[#This Row],[Unit Quantity]]</f>
        <v>14400</v>
      </c>
      <c r="H640" s="60" t="s">
        <v>871</v>
      </c>
      <c r="I640" s="60" t="s">
        <v>278</v>
      </c>
      <c r="J640" s="104"/>
      <c r="K640" s="33" t="s">
        <v>278</v>
      </c>
      <c r="L640" s="111"/>
      <c r="M640" s="33" t="s">
        <v>278</v>
      </c>
      <c r="N640" s="111"/>
      <c r="O640" s="33" t="s">
        <v>278</v>
      </c>
      <c r="P640" s="111"/>
      <c r="Q640" s="33" t="s">
        <v>587</v>
      </c>
      <c r="R640" s="111"/>
      <c r="S640" s="33" t="s">
        <v>278</v>
      </c>
      <c r="T640" s="111"/>
      <c r="U640" s="33" t="s">
        <v>278</v>
      </c>
      <c r="V640" s="111"/>
      <c r="W640" s="59" t="s">
        <v>548</v>
      </c>
      <c r="X640" s="33" t="str">
        <f>+VLOOKUP(OtherClients[[#This Row],[Part]],PartControl!$A$2:$E$564,5,FALSE)</f>
        <v>INFASCO</v>
      </c>
      <c r="Y640" s="108">
        <f>IF(OtherClients[[#This Row],[Re-certified or New]]&lt;&gt;"Re-certified",IF(OtherClients[[#This Row],[Client]]="infasco",VLOOKUP(OtherClients[[#This Row],[Part]],PartControl!$A$2:$E$564,2,FALSE),OtherClients[[#This Row],[Total Quantity]]*VLOOKUP(OtherClients[[#This Row],[Part]],PartControl!$A$2:$E$564,2,FALSE)),0)</f>
        <v>106.94</v>
      </c>
      <c r="Z640" s="108">
        <f>IF(OtherClients[[#This Row],[Re-certified or New]]&lt;&gt;"Re-certified",IF(OtherClients[[#This Row],[Client]]="infasco",VLOOKUP(OtherClients[[#This Row],[Part]],PartControl!$A$2:$E$564,2,FALSE),OtherClients[[#This Row],[Total Quantity]]*VLOOKUP(OtherClients[[#This Row],[Part]],PartControl!$A$2:$E$564,2,FALSE)),0)</f>
        <v>106.94</v>
      </c>
    </row>
    <row r="641" spans="1:26" ht="25.15" hidden="1" customHeight="1" x14ac:dyDescent="0.25">
      <c r="A641" s="112">
        <v>46245.697488425925</v>
      </c>
      <c r="B641" s="5" t="s">
        <v>346</v>
      </c>
      <c r="C641" s="5">
        <v>11549170</v>
      </c>
      <c r="D641" s="5">
        <v>714647</v>
      </c>
      <c r="E641" s="33">
        <v>39</v>
      </c>
      <c r="F641" s="60">
        <v>400</v>
      </c>
      <c r="G641" s="60">
        <f>+OtherClients[[#This Row],[Boxes / Pieces]]*OtherClients[[#This Row],[Unit Quantity]]</f>
        <v>15600</v>
      </c>
      <c r="H641" s="60" t="s">
        <v>871</v>
      </c>
      <c r="I641" s="60" t="s">
        <v>278</v>
      </c>
      <c r="J641" s="104"/>
      <c r="K641" s="33" t="s">
        <v>278</v>
      </c>
      <c r="L641" s="111"/>
      <c r="M641" s="33" t="s">
        <v>278</v>
      </c>
      <c r="N641" s="111"/>
      <c r="O641" s="33" t="s">
        <v>278</v>
      </c>
      <c r="P641" s="111"/>
      <c r="Q641" s="33" t="s">
        <v>587</v>
      </c>
      <c r="R641" s="111"/>
      <c r="S641" s="33" t="s">
        <v>278</v>
      </c>
      <c r="T641" s="111"/>
      <c r="U641" s="33" t="s">
        <v>278</v>
      </c>
      <c r="V641" s="111"/>
      <c r="W641" s="59" t="s">
        <v>548</v>
      </c>
      <c r="X641" s="33" t="str">
        <f>+VLOOKUP(OtherClients[[#This Row],[Part]],PartControl!$A$2:$E$564,5,FALSE)</f>
        <v>INFASCO</v>
      </c>
      <c r="Y641" s="108">
        <f>IF(OtherClients[[#This Row],[Re-certified or New]]&lt;&gt;"Re-certified",IF(OtherClients[[#This Row],[Client]]="infasco",VLOOKUP(OtherClients[[#This Row],[Part]],PartControl!$A$2:$E$564,2,FALSE),OtherClients[[#This Row],[Total Quantity]]*VLOOKUP(OtherClients[[#This Row],[Part]],PartControl!$A$2:$E$564,2,FALSE)),0)</f>
        <v>106.94</v>
      </c>
      <c r="Z641" s="108">
        <f>IF(OtherClients[[#This Row],[Re-certified or New]]&lt;&gt;"Re-certified",IF(OtherClients[[#This Row],[Client]]="infasco",VLOOKUP(OtherClients[[#This Row],[Part]],PartControl!$A$2:$E$564,2,FALSE),OtherClients[[#This Row],[Total Quantity]]*VLOOKUP(OtherClients[[#This Row],[Part]],PartControl!$A$2:$E$564,2,FALSE)),0)</f>
        <v>106.94</v>
      </c>
    </row>
    <row r="642" spans="1:26" ht="25.15" hidden="1" customHeight="1" x14ac:dyDescent="0.25">
      <c r="A642" s="112">
        <v>46245.697488425925</v>
      </c>
      <c r="B642" s="5" t="s">
        <v>346</v>
      </c>
      <c r="C642" s="5" t="s">
        <v>662</v>
      </c>
      <c r="D642" s="5">
        <v>716700</v>
      </c>
      <c r="E642" s="33">
        <v>37</v>
      </c>
      <c r="F642" s="60">
        <v>580</v>
      </c>
      <c r="G642" s="60">
        <f>+OtherClients[[#This Row],[Boxes / Pieces]]*OtherClients[[#This Row],[Unit Quantity]]</f>
        <v>21460</v>
      </c>
      <c r="H642" s="60" t="s">
        <v>871</v>
      </c>
      <c r="I642" s="60" t="s">
        <v>278</v>
      </c>
      <c r="J642" s="104"/>
      <c r="K642" s="33" t="s">
        <v>278</v>
      </c>
      <c r="L642" s="111"/>
      <c r="M642" s="33" t="s">
        <v>278</v>
      </c>
      <c r="N642" s="111"/>
      <c r="O642" s="33" t="s">
        <v>278</v>
      </c>
      <c r="P642" s="111"/>
      <c r="Q642" s="33" t="s">
        <v>587</v>
      </c>
      <c r="R642" s="111"/>
      <c r="S642" s="33" t="s">
        <v>278</v>
      </c>
      <c r="T642" s="111"/>
      <c r="U642" s="33" t="s">
        <v>278</v>
      </c>
      <c r="V642" s="111"/>
      <c r="W642" s="59" t="s">
        <v>548</v>
      </c>
      <c r="X642" s="33" t="str">
        <f>+VLOOKUP(OtherClients[[#This Row],[Part]],PartControl!$A$2:$E$564,5,FALSE)</f>
        <v>infasco</v>
      </c>
      <c r="Y642" s="108">
        <f>IF(OtherClients[[#This Row],[Re-certified or New]]&lt;&gt;"Re-certified",IF(OtherClients[[#This Row],[Client]]="infasco",VLOOKUP(OtherClients[[#This Row],[Part]],PartControl!$A$2:$E$564,2,FALSE),OtherClients[[#This Row],[Total Quantity]]*VLOOKUP(OtherClients[[#This Row],[Part]],PartControl!$A$2:$E$564,2,FALSE)),0)</f>
        <v>280.15999999999997</v>
      </c>
      <c r="Z642" s="108">
        <f>IF(OtherClients[[#This Row],[Re-certified or New]]&lt;&gt;"Re-certified",IF(OtherClients[[#This Row],[Client]]="infasco",VLOOKUP(OtherClients[[#This Row],[Part]],PartControl!$A$2:$E$564,2,FALSE),OtherClients[[#This Row],[Total Quantity]]*VLOOKUP(OtherClients[[#This Row],[Part]],PartControl!$A$2:$E$564,2,FALSE)),0)</f>
        <v>280.15999999999997</v>
      </c>
    </row>
    <row r="643" spans="1:26" ht="25.15" hidden="1" customHeight="1" x14ac:dyDescent="0.25">
      <c r="A643" s="112">
        <v>46245.697488425925</v>
      </c>
      <c r="B643" s="5" t="s">
        <v>346</v>
      </c>
      <c r="C643" s="5" t="s">
        <v>662</v>
      </c>
      <c r="D643" s="5">
        <v>716701</v>
      </c>
      <c r="E643" s="33">
        <v>36</v>
      </c>
      <c r="F643" s="60">
        <v>580</v>
      </c>
      <c r="G643" s="60">
        <f>+OtherClients[[#This Row],[Boxes / Pieces]]*OtherClients[[#This Row],[Unit Quantity]]</f>
        <v>20880</v>
      </c>
      <c r="H643" s="60" t="s">
        <v>871</v>
      </c>
      <c r="I643" s="60" t="s">
        <v>278</v>
      </c>
      <c r="J643" s="104"/>
      <c r="K643" s="33" t="s">
        <v>278</v>
      </c>
      <c r="L643" s="111"/>
      <c r="M643" s="33" t="s">
        <v>278</v>
      </c>
      <c r="N643" s="111"/>
      <c r="O643" s="33" t="s">
        <v>278</v>
      </c>
      <c r="P643" s="111"/>
      <c r="Q643" s="33" t="s">
        <v>587</v>
      </c>
      <c r="R643" s="111"/>
      <c r="S643" s="33" t="s">
        <v>278</v>
      </c>
      <c r="T643" s="111"/>
      <c r="U643" s="33" t="s">
        <v>278</v>
      </c>
      <c r="V643" s="111"/>
      <c r="W643" s="59" t="s">
        <v>548</v>
      </c>
      <c r="X643" s="33" t="str">
        <f>+VLOOKUP(OtherClients[[#This Row],[Part]],PartControl!$A$2:$E$564,5,FALSE)</f>
        <v>infasco</v>
      </c>
      <c r="Y643" s="108">
        <f>IF(OtherClients[[#This Row],[Re-certified or New]]&lt;&gt;"Re-certified",IF(OtherClients[[#This Row],[Client]]="infasco",VLOOKUP(OtherClients[[#This Row],[Part]],PartControl!$A$2:$E$564,2,FALSE),OtherClients[[#This Row],[Total Quantity]]*VLOOKUP(OtherClients[[#This Row],[Part]],PartControl!$A$2:$E$564,2,FALSE)),0)</f>
        <v>280.15999999999997</v>
      </c>
      <c r="Z643" s="108">
        <f>IF(OtherClients[[#This Row],[Re-certified or New]]&lt;&gt;"Re-certified",IF(OtherClients[[#This Row],[Client]]="infasco",VLOOKUP(OtherClients[[#This Row],[Part]],PartControl!$A$2:$E$564,2,FALSE),OtherClients[[#This Row],[Total Quantity]]*VLOOKUP(OtherClients[[#This Row],[Part]],PartControl!$A$2:$E$564,2,FALSE)),0)</f>
        <v>280.15999999999997</v>
      </c>
    </row>
    <row r="644" spans="1:26" ht="25.15" hidden="1" customHeight="1" x14ac:dyDescent="0.25">
      <c r="A644" s="112">
        <v>46245.697488425925</v>
      </c>
      <c r="B644" s="5" t="s">
        <v>346</v>
      </c>
      <c r="C644" s="5">
        <v>11549170</v>
      </c>
      <c r="D644" s="5">
        <v>714639</v>
      </c>
      <c r="E644" s="33">
        <v>38</v>
      </c>
      <c r="F644" s="60">
        <v>400</v>
      </c>
      <c r="G644" s="60">
        <f>+OtherClients[[#This Row],[Boxes / Pieces]]*OtherClients[[#This Row],[Unit Quantity]]</f>
        <v>15200</v>
      </c>
      <c r="H644" s="60" t="s">
        <v>871</v>
      </c>
      <c r="I644" s="60" t="s">
        <v>278</v>
      </c>
      <c r="J644" s="104"/>
      <c r="K644" s="33" t="s">
        <v>278</v>
      </c>
      <c r="L644" s="111"/>
      <c r="M644" s="33" t="s">
        <v>278</v>
      </c>
      <c r="N644" s="111"/>
      <c r="O644" s="33" t="s">
        <v>278</v>
      </c>
      <c r="P644" s="111"/>
      <c r="Q644" s="33" t="s">
        <v>587</v>
      </c>
      <c r="R644" s="111"/>
      <c r="S644" s="33" t="s">
        <v>278</v>
      </c>
      <c r="T644" s="111"/>
      <c r="U644" s="33" t="s">
        <v>278</v>
      </c>
      <c r="V644" s="111"/>
      <c r="W644" s="59" t="s">
        <v>548</v>
      </c>
      <c r="X644" s="33" t="str">
        <f>+VLOOKUP(OtherClients[[#This Row],[Part]],PartControl!$A$2:$E$564,5,FALSE)</f>
        <v>INFASCO</v>
      </c>
      <c r="Y644" s="108">
        <f>IF(OtherClients[[#This Row],[Re-certified or New]]&lt;&gt;"Re-certified",IF(OtherClients[[#This Row],[Client]]="infasco",VLOOKUP(OtherClients[[#This Row],[Part]],PartControl!$A$2:$E$564,2,FALSE),OtherClients[[#This Row],[Total Quantity]]*VLOOKUP(OtherClients[[#This Row],[Part]],PartControl!$A$2:$E$564,2,FALSE)),0)</f>
        <v>106.94</v>
      </c>
      <c r="Z644" s="108">
        <f>IF(OtherClients[[#This Row],[Re-certified or New]]&lt;&gt;"Re-certified",IF(OtherClients[[#This Row],[Client]]="infasco",VLOOKUP(OtherClients[[#This Row],[Part]],PartControl!$A$2:$E$564,2,FALSE),OtherClients[[#This Row],[Total Quantity]]*VLOOKUP(OtherClients[[#This Row],[Part]],PartControl!$A$2:$E$564,2,FALSE)),0)</f>
        <v>106.94</v>
      </c>
    </row>
    <row r="645" spans="1:26" ht="25.15" hidden="1" customHeight="1" x14ac:dyDescent="0.25">
      <c r="A645" s="112">
        <v>46245.697488425925</v>
      </c>
      <c r="B645" s="5" t="s">
        <v>346</v>
      </c>
      <c r="C645" s="5">
        <v>11546463</v>
      </c>
      <c r="D645" s="5">
        <v>716173</v>
      </c>
      <c r="E645" s="33">
        <v>34</v>
      </c>
      <c r="F645" s="60">
        <v>450</v>
      </c>
      <c r="G645" s="60">
        <f>+OtherClients[[#This Row],[Boxes / Pieces]]*OtherClients[[#This Row],[Unit Quantity]]</f>
        <v>15300</v>
      </c>
      <c r="H645" s="60" t="s">
        <v>871</v>
      </c>
      <c r="I645" s="60" t="s">
        <v>278</v>
      </c>
      <c r="J645" s="104"/>
      <c r="K645" s="33" t="s">
        <v>278</v>
      </c>
      <c r="L645" s="111"/>
      <c r="M645" s="33" t="s">
        <v>278</v>
      </c>
      <c r="N645" s="111"/>
      <c r="O645" s="33" t="s">
        <v>278</v>
      </c>
      <c r="P645" s="111"/>
      <c r="Q645" s="33" t="s">
        <v>587</v>
      </c>
      <c r="R645" s="111"/>
      <c r="S645" s="33" t="s">
        <v>278</v>
      </c>
      <c r="T645" s="111"/>
      <c r="U645" s="33" t="s">
        <v>278</v>
      </c>
      <c r="V645" s="111"/>
      <c r="W645" s="59" t="s">
        <v>548</v>
      </c>
      <c r="X645" s="33" t="str">
        <f>+VLOOKUP(OtherClients[[#This Row],[Part]],PartControl!$A$2:$E$564,5,FALSE)</f>
        <v>infasco</v>
      </c>
      <c r="Y645" s="108">
        <f>IF(OtherClients[[#This Row],[Re-certified or New]]&lt;&gt;"Re-certified",IF(OtherClients[[#This Row],[Client]]="infasco",VLOOKUP(OtherClients[[#This Row],[Part]],PartControl!$A$2:$E$564,2,FALSE),OtherClients[[#This Row],[Total Quantity]]*VLOOKUP(OtherClients[[#This Row],[Part]],PartControl!$A$2:$E$564,2,FALSE)),0)</f>
        <v>106.94</v>
      </c>
      <c r="Z645" s="108">
        <f>IF(OtherClients[[#This Row],[Re-certified or New]]&lt;&gt;"Re-certified",IF(OtherClients[[#This Row],[Client]]="infasco",VLOOKUP(OtherClients[[#This Row],[Part]],PartControl!$A$2:$E$564,2,FALSE),OtherClients[[#This Row],[Total Quantity]]*VLOOKUP(OtherClients[[#This Row],[Part]],PartControl!$A$2:$E$564,2,FALSE)),0)</f>
        <v>106.94</v>
      </c>
    </row>
    <row r="646" spans="1:26" ht="25.15" hidden="1" customHeight="1" x14ac:dyDescent="0.25">
      <c r="A646" s="112">
        <v>46245.697488425925</v>
      </c>
      <c r="B646" s="5" t="s">
        <v>346</v>
      </c>
      <c r="C646" s="5" t="s">
        <v>818</v>
      </c>
      <c r="D646" s="5">
        <v>716108</v>
      </c>
      <c r="E646" s="33">
        <v>32</v>
      </c>
      <c r="F646" s="60">
        <v>670</v>
      </c>
      <c r="G646" s="60">
        <f>+OtherClients[[#This Row],[Boxes / Pieces]]*OtherClients[[#This Row],[Unit Quantity]]</f>
        <v>21440</v>
      </c>
      <c r="H646" s="60" t="s">
        <v>871</v>
      </c>
      <c r="I646" s="60" t="s">
        <v>278</v>
      </c>
      <c r="J646" s="104"/>
      <c r="K646" s="33" t="s">
        <v>278</v>
      </c>
      <c r="L646" s="111"/>
      <c r="M646" s="33" t="s">
        <v>278</v>
      </c>
      <c r="N646" s="111"/>
      <c r="O646" s="33" t="s">
        <v>278</v>
      </c>
      <c r="P646" s="111"/>
      <c r="Q646" s="33" t="s">
        <v>587</v>
      </c>
      <c r="R646" s="111"/>
      <c r="S646" s="33" t="s">
        <v>278</v>
      </c>
      <c r="T646" s="111"/>
      <c r="U646" s="33" t="s">
        <v>278</v>
      </c>
      <c r="V646" s="111"/>
      <c r="W646" s="59" t="s">
        <v>548</v>
      </c>
      <c r="X646" s="33" t="str">
        <f>+VLOOKUP(OtherClients[[#This Row],[Part]],PartControl!$A$2:$E$564,5,FALSE)</f>
        <v>infasco</v>
      </c>
      <c r="Y646" s="108">
        <f>IF(OtherClients[[#This Row],[Re-certified or New]]&lt;&gt;"Re-certified",IF(OtherClients[[#This Row],[Client]]="infasco",VLOOKUP(OtherClients[[#This Row],[Part]],PartControl!$A$2:$E$564,2,FALSE),OtherClients[[#This Row],[Total Quantity]]*VLOOKUP(OtherClients[[#This Row],[Part]],PartControl!$A$2:$E$564,2,FALSE)),0)</f>
        <v>280.16000000000003</v>
      </c>
      <c r="Z646" s="108">
        <f>IF(OtherClients[[#This Row],[Re-certified or New]]&lt;&gt;"Re-certified",IF(OtherClients[[#This Row],[Client]]="infasco",VLOOKUP(OtherClients[[#This Row],[Part]],PartControl!$A$2:$E$564,2,FALSE),OtherClients[[#This Row],[Total Quantity]]*VLOOKUP(OtherClients[[#This Row],[Part]],PartControl!$A$2:$E$564,2,FALSE)),0)</f>
        <v>280.16000000000003</v>
      </c>
    </row>
    <row r="647" spans="1:26" ht="25.15" hidden="1" customHeight="1" x14ac:dyDescent="0.25">
      <c r="A647" s="112">
        <v>46245.697488425925</v>
      </c>
      <c r="B647" s="5" t="s">
        <v>346</v>
      </c>
      <c r="C647" s="5" t="s">
        <v>691</v>
      </c>
      <c r="D647" s="5">
        <v>712204</v>
      </c>
      <c r="E647" s="33">
        <v>13</v>
      </c>
      <c r="F647" s="60">
        <v>1800</v>
      </c>
      <c r="G647" s="60">
        <f>+OtherClients[[#This Row],[Boxes / Pieces]]*OtherClients[[#This Row],[Unit Quantity]]</f>
        <v>23400</v>
      </c>
      <c r="H647" s="60" t="s">
        <v>871</v>
      </c>
      <c r="I647" s="60" t="s">
        <v>278</v>
      </c>
      <c r="J647" s="104"/>
      <c r="K647" s="33" t="s">
        <v>278</v>
      </c>
      <c r="L647" s="111"/>
      <c r="M647" s="33" t="s">
        <v>278</v>
      </c>
      <c r="N647" s="111"/>
      <c r="O647" s="33" t="s">
        <v>278</v>
      </c>
      <c r="P647" s="111"/>
      <c r="Q647" s="33" t="s">
        <v>587</v>
      </c>
      <c r="R647" s="111"/>
      <c r="S647" s="33" t="s">
        <v>278</v>
      </c>
      <c r="T647" s="111"/>
      <c r="U647" s="33" t="s">
        <v>278</v>
      </c>
      <c r="V647" s="111"/>
      <c r="W647" s="59" t="s">
        <v>633</v>
      </c>
      <c r="X647" s="33" t="str">
        <f>+VLOOKUP(OtherClients[[#This Row],[Part]],PartControl!$A$2:$E$564,5,FALSE)</f>
        <v>infasco</v>
      </c>
      <c r="Y647" s="108">
        <f>IF(OtherClients[[#This Row],[Re-certified or New]]&lt;&gt;"Re-certified",IF(OtherClients[[#This Row],[Client]]="infasco",VLOOKUP(OtherClients[[#This Row],[Part]],PartControl!$A$2:$E$564,2,FALSE),OtherClients[[#This Row],[Total Quantity]]*VLOOKUP(OtherClients[[#This Row],[Part]],PartControl!$A$2:$E$564,2,FALSE)),0)</f>
        <v>0</v>
      </c>
      <c r="Z647" s="108">
        <f>IF(OtherClients[[#This Row],[Re-certified or New]]&lt;&gt;"Re-certified",IF(OtherClients[[#This Row],[Client]]="infasco",VLOOKUP(OtherClients[[#This Row],[Part]],PartControl!$A$2:$E$564,2,FALSE),OtherClients[[#This Row],[Total Quantity]]*VLOOKUP(OtherClients[[#This Row],[Part]],PartControl!$A$2:$E$564,2,FALSE)),0)</f>
        <v>0</v>
      </c>
    </row>
    <row r="648" spans="1:26" ht="25.15" hidden="1" customHeight="1" x14ac:dyDescent="0.25">
      <c r="A648" s="112">
        <v>46245.697488425925</v>
      </c>
      <c r="B648" s="5" t="s">
        <v>637</v>
      </c>
      <c r="C648" s="5" t="s">
        <v>571</v>
      </c>
      <c r="D648" s="5">
        <v>716153</v>
      </c>
      <c r="E648" s="33">
        <v>18</v>
      </c>
      <c r="F648" s="60">
        <v>2300</v>
      </c>
      <c r="G648" s="60">
        <f>+OtherClients[[#This Row],[Boxes / Pieces]]*OtherClients[[#This Row],[Unit Quantity]]</f>
        <v>41400</v>
      </c>
      <c r="H648" s="60">
        <v>280</v>
      </c>
      <c r="I648" s="60" t="s">
        <v>278</v>
      </c>
      <c r="J648" s="104"/>
      <c r="K648" s="33" t="s">
        <v>278</v>
      </c>
      <c r="L648" s="111"/>
      <c r="M648" s="33" t="s">
        <v>278</v>
      </c>
      <c r="N648" s="111"/>
      <c r="O648" s="33" t="s">
        <v>278</v>
      </c>
      <c r="P648" s="111"/>
      <c r="Q648" s="33" t="s">
        <v>587</v>
      </c>
      <c r="R648" s="111"/>
      <c r="S648" s="33" t="s">
        <v>278</v>
      </c>
      <c r="T648" s="111"/>
      <c r="U648" s="33" t="s">
        <v>278</v>
      </c>
      <c r="V648" s="111"/>
      <c r="W648" s="59" t="s">
        <v>633</v>
      </c>
      <c r="X648" s="33" t="str">
        <f>+VLOOKUP(OtherClients[[#This Row],[Part]],PartControl!$A$2:$E$564,5,FALSE)</f>
        <v>Infasco</v>
      </c>
      <c r="Y648" s="108">
        <f>IF(OtherClients[[#This Row],[Re-certified or New]]&lt;&gt;"Re-certified",IF(OtherClients[[#This Row],[Client]]="infasco",VLOOKUP(OtherClients[[#This Row],[Part]],PartControl!$A$2:$E$564,2,FALSE),OtherClients[[#This Row],[Total Quantity]]*VLOOKUP(OtherClients[[#This Row],[Part]],PartControl!$A$2:$E$564,2,FALSE)),0)</f>
        <v>0</v>
      </c>
      <c r="Z648" s="108">
        <f>IF(OtherClients[[#This Row],[Re-certified or New]]&lt;&gt;"Re-certified",IF(OtherClients[[#This Row],[Client]]="infasco",VLOOKUP(OtherClients[[#This Row],[Part]],PartControl!$A$2:$E$564,2,FALSE),OtherClients[[#This Row],[Total Quantity]]*VLOOKUP(OtherClients[[#This Row],[Part]],PartControl!$A$2:$E$564,2,FALSE)),0)</f>
        <v>0</v>
      </c>
    </row>
    <row r="649" spans="1:26" ht="25.15" hidden="1" customHeight="1" x14ac:dyDescent="0.25">
      <c r="A649" s="112">
        <v>46245.697488425925</v>
      </c>
      <c r="B649" s="5" t="s">
        <v>636</v>
      </c>
      <c r="C649" s="5">
        <v>11546462</v>
      </c>
      <c r="D649" s="5">
        <v>716187</v>
      </c>
      <c r="E649" s="33">
        <f>36-24</f>
        <v>12</v>
      </c>
      <c r="F649" s="60">
        <v>650</v>
      </c>
      <c r="G649" s="60">
        <f>+OtherClients[[#This Row],[Boxes / Pieces]]*OtherClients[[#This Row],[Unit Quantity]]</f>
        <v>7800</v>
      </c>
      <c r="H649" s="60">
        <v>280</v>
      </c>
      <c r="I649" s="60" t="s">
        <v>278</v>
      </c>
      <c r="J649" s="104"/>
      <c r="K649" s="33" t="s">
        <v>278</v>
      </c>
      <c r="L649" s="111"/>
      <c r="M649" s="33" t="s">
        <v>278</v>
      </c>
      <c r="N649" s="111"/>
      <c r="O649" s="33" t="s">
        <v>278</v>
      </c>
      <c r="P649" s="111"/>
      <c r="Q649" s="33" t="s">
        <v>587</v>
      </c>
      <c r="R649" s="111"/>
      <c r="S649" s="33" t="s">
        <v>278</v>
      </c>
      <c r="T649" s="111"/>
      <c r="U649" s="33" t="s">
        <v>278</v>
      </c>
      <c r="V649" s="111"/>
      <c r="W649" s="59" t="s">
        <v>548</v>
      </c>
      <c r="X649" s="33" t="str">
        <f>+VLOOKUP(OtherClients[[#This Row],[Part]],PartControl!$A$2:$E$564,5,FALSE)</f>
        <v>INFASCO</v>
      </c>
      <c r="Y649" s="108">
        <f>IF(OtherClients[[#This Row],[Re-certified or New]]&lt;&gt;"Re-certified",IF(OtherClients[[#This Row],[Client]]="infasco",VLOOKUP(OtherClients[[#This Row],[Part]],PartControl!$A$2:$E$564,2,FALSE),OtherClients[[#This Row],[Total Quantity]]*VLOOKUP(OtherClients[[#This Row],[Part]],PartControl!$A$2:$E$564,2,FALSE)),0)</f>
        <v>106.94</v>
      </c>
      <c r="Z649" s="108">
        <f>IF(OtherClients[[#This Row],[Re-certified or New]]&lt;&gt;"Re-certified",IF(OtherClients[[#This Row],[Client]]="infasco",VLOOKUP(OtherClients[[#This Row],[Part]],PartControl!$A$2:$E$564,2,FALSE),OtherClients[[#This Row],[Total Quantity]]*VLOOKUP(OtherClients[[#This Row],[Part]],PartControl!$A$2:$E$564,2,FALSE)),0)</f>
        <v>106.94</v>
      </c>
    </row>
    <row r="650" spans="1:26" ht="25.15" hidden="1" customHeight="1" x14ac:dyDescent="0.25">
      <c r="A650" s="112">
        <v>46245.697488425925</v>
      </c>
      <c r="B650" s="5" t="s">
        <v>636</v>
      </c>
      <c r="C650" s="5">
        <v>11546462</v>
      </c>
      <c r="D650" s="5">
        <v>716188</v>
      </c>
      <c r="E650" s="33">
        <v>30</v>
      </c>
      <c r="F650" s="60">
        <v>650</v>
      </c>
      <c r="G650" s="60">
        <f>+OtherClients[[#This Row],[Boxes / Pieces]]*OtherClients[[#This Row],[Unit Quantity]]</f>
        <v>19500</v>
      </c>
      <c r="H650" s="60">
        <v>280</v>
      </c>
      <c r="I650" s="60" t="s">
        <v>278</v>
      </c>
      <c r="J650" s="104"/>
      <c r="K650" s="33" t="s">
        <v>278</v>
      </c>
      <c r="L650" s="111"/>
      <c r="M650" s="33" t="s">
        <v>278</v>
      </c>
      <c r="N650" s="111"/>
      <c r="O650" s="33" t="s">
        <v>278</v>
      </c>
      <c r="P650" s="111"/>
      <c r="Q650" s="33" t="s">
        <v>587</v>
      </c>
      <c r="R650" s="111"/>
      <c r="S650" s="33" t="s">
        <v>278</v>
      </c>
      <c r="T650" s="111"/>
      <c r="U650" s="33" t="s">
        <v>278</v>
      </c>
      <c r="V650" s="111"/>
      <c r="W650" s="59" t="s">
        <v>548</v>
      </c>
      <c r="X650" s="33" t="str">
        <f>+VLOOKUP(OtherClients[[#This Row],[Part]],PartControl!$A$2:$E$564,5,FALSE)</f>
        <v>INFASCO</v>
      </c>
      <c r="Y650" s="108">
        <f>IF(OtherClients[[#This Row],[Re-certified or New]]&lt;&gt;"Re-certified",IF(OtherClients[[#This Row],[Client]]="infasco",VLOOKUP(OtherClients[[#This Row],[Part]],PartControl!$A$2:$E$564,2,FALSE),OtherClients[[#This Row],[Total Quantity]]*VLOOKUP(OtherClients[[#This Row],[Part]],PartControl!$A$2:$E$564,2,FALSE)),0)</f>
        <v>106.94</v>
      </c>
      <c r="Z650" s="108">
        <f>IF(OtherClients[[#This Row],[Re-certified or New]]&lt;&gt;"Re-certified",IF(OtherClients[[#This Row],[Client]]="infasco",VLOOKUP(OtherClients[[#This Row],[Part]],PartControl!$A$2:$E$564,2,FALSE),OtherClients[[#This Row],[Total Quantity]]*VLOOKUP(OtherClients[[#This Row],[Part]],PartControl!$A$2:$E$564,2,FALSE)),0)</f>
        <v>106.94</v>
      </c>
    </row>
    <row r="651" spans="1:26" ht="25.15" hidden="1" customHeight="1" x14ac:dyDescent="0.25">
      <c r="A651" s="112">
        <v>46245.697488425925</v>
      </c>
      <c r="B651" s="5" t="s">
        <v>357</v>
      </c>
      <c r="C651" s="5" t="s">
        <v>642</v>
      </c>
      <c r="D651" s="5">
        <v>715708</v>
      </c>
      <c r="E651" s="33">
        <f>41-16</f>
        <v>25</v>
      </c>
      <c r="F651" s="60">
        <v>2800</v>
      </c>
      <c r="G651" s="60">
        <f>+OtherClients[[#This Row],[Boxes / Pieces]]*OtherClients[[#This Row],[Unit Quantity]]</f>
        <v>70000</v>
      </c>
      <c r="H651" s="60">
        <v>280</v>
      </c>
      <c r="I651" s="60" t="s">
        <v>278</v>
      </c>
      <c r="J651" s="104"/>
      <c r="K651" s="33" t="s">
        <v>278</v>
      </c>
      <c r="L651" s="111"/>
      <c r="M651" s="33" t="s">
        <v>278</v>
      </c>
      <c r="N651" s="111"/>
      <c r="O651" s="33" t="s">
        <v>278</v>
      </c>
      <c r="P651" s="111"/>
      <c r="Q651" s="33" t="s">
        <v>587</v>
      </c>
      <c r="R651" s="111"/>
      <c r="S651" s="33" t="s">
        <v>278</v>
      </c>
      <c r="T651" s="111"/>
      <c r="U651" s="33" t="s">
        <v>278</v>
      </c>
      <c r="V651" s="111"/>
      <c r="W651" s="59" t="s">
        <v>548</v>
      </c>
      <c r="X651" s="33" t="str">
        <f>+VLOOKUP(OtherClients[[#This Row],[Part]],PartControl!$A$2:$E$564,5,FALSE)</f>
        <v>infasco</v>
      </c>
      <c r="Y651" s="108">
        <f>IF(OtherClients[[#This Row],[Re-certified or New]]&lt;&gt;"Re-certified",IF(OtherClients[[#This Row],[Client]]="infasco",VLOOKUP(OtherClients[[#This Row],[Part]],PartControl!$A$2:$E$564,2,FALSE),OtherClients[[#This Row],[Total Quantity]]*VLOOKUP(OtherClients[[#This Row],[Part]],PartControl!$A$2:$E$564,2,FALSE)),0)</f>
        <v>106.94</v>
      </c>
      <c r="Z651" s="108">
        <f>IF(OtherClients[[#This Row],[Re-certified or New]]&lt;&gt;"Re-certified",IF(OtherClients[[#This Row],[Client]]="infasco",VLOOKUP(OtherClients[[#This Row],[Part]],PartControl!$A$2:$E$564,2,FALSE),OtherClients[[#This Row],[Total Quantity]]*VLOOKUP(OtherClients[[#This Row],[Part]],PartControl!$A$2:$E$564,2,FALSE)),0)</f>
        <v>106.94</v>
      </c>
    </row>
    <row r="652" spans="1:26" ht="25.15" hidden="1" customHeight="1" x14ac:dyDescent="0.25">
      <c r="A652" s="112">
        <v>46245.697488425925</v>
      </c>
      <c r="B652" s="5" t="s">
        <v>357</v>
      </c>
      <c r="C652" s="5" t="s">
        <v>728</v>
      </c>
      <c r="D652" s="5">
        <v>716159</v>
      </c>
      <c r="E652" s="33">
        <v>60</v>
      </c>
      <c r="F652" s="60">
        <v>1500</v>
      </c>
      <c r="G652" s="60">
        <f>+OtherClients[[#This Row],[Boxes / Pieces]]*OtherClients[[#This Row],[Unit Quantity]]</f>
        <v>90000</v>
      </c>
      <c r="H652" s="60">
        <v>280</v>
      </c>
      <c r="I652" s="60" t="s">
        <v>278</v>
      </c>
      <c r="J652" s="104"/>
      <c r="K652" s="33" t="s">
        <v>278</v>
      </c>
      <c r="L652" s="111"/>
      <c r="M652" s="33" t="s">
        <v>278</v>
      </c>
      <c r="N652" s="111"/>
      <c r="O652" s="33" t="s">
        <v>278</v>
      </c>
      <c r="P652" s="111"/>
      <c r="Q652" s="33" t="s">
        <v>587</v>
      </c>
      <c r="R652" s="111"/>
      <c r="S652" s="33" t="s">
        <v>278</v>
      </c>
      <c r="T652" s="111"/>
      <c r="U652" s="33" t="s">
        <v>278</v>
      </c>
      <c r="V652" s="111"/>
      <c r="W652" s="59" t="s">
        <v>548</v>
      </c>
      <c r="X652" s="33" t="str">
        <f>+VLOOKUP(OtherClients[[#This Row],[Part]],PartControl!$A$2:$E$564,5,FALSE)</f>
        <v>infasco</v>
      </c>
      <c r="Y652" s="108">
        <f>IF(OtherClients[[#This Row],[Re-certified or New]]&lt;&gt;"Re-certified",IF(OtherClients[[#This Row],[Client]]="infasco",VLOOKUP(OtherClients[[#This Row],[Part]],PartControl!$A$2:$E$564,2,FALSE),OtherClients[[#This Row],[Total Quantity]]*VLOOKUP(OtherClients[[#This Row],[Part]],PartControl!$A$2:$E$564,2,FALSE)),0)</f>
        <v>106.94</v>
      </c>
      <c r="Z652" s="108">
        <f>IF(OtherClients[[#This Row],[Re-certified or New]]&lt;&gt;"Re-certified",IF(OtherClients[[#This Row],[Client]]="infasco",VLOOKUP(OtherClients[[#This Row],[Part]],PartControl!$A$2:$E$564,2,FALSE),OtherClients[[#This Row],[Total Quantity]]*VLOOKUP(OtherClients[[#This Row],[Part]],PartControl!$A$2:$E$564,2,FALSE)),0)</f>
        <v>106.94</v>
      </c>
    </row>
    <row r="653" spans="1:26" ht="25.15" hidden="1" customHeight="1" x14ac:dyDescent="0.25">
      <c r="A653" s="112">
        <v>46245.697488425925</v>
      </c>
      <c r="B653" s="5" t="s">
        <v>357</v>
      </c>
      <c r="C653" s="5" t="s">
        <v>728</v>
      </c>
      <c r="D653" s="5">
        <v>716161</v>
      </c>
      <c r="E653" s="33">
        <v>32</v>
      </c>
      <c r="F653" s="60">
        <v>1500</v>
      </c>
      <c r="G653" s="60">
        <f>+OtherClients[[#This Row],[Boxes / Pieces]]*OtherClients[[#This Row],[Unit Quantity]]</f>
        <v>48000</v>
      </c>
      <c r="H653" s="60">
        <v>280</v>
      </c>
      <c r="I653" s="60" t="s">
        <v>278</v>
      </c>
      <c r="J653" s="104"/>
      <c r="K653" s="33" t="s">
        <v>278</v>
      </c>
      <c r="L653" s="111"/>
      <c r="M653" s="33" t="s">
        <v>278</v>
      </c>
      <c r="N653" s="111"/>
      <c r="O653" s="33" t="s">
        <v>278</v>
      </c>
      <c r="P653" s="111"/>
      <c r="Q653" s="33" t="s">
        <v>587</v>
      </c>
      <c r="R653" s="111"/>
      <c r="S653" s="33" t="s">
        <v>278</v>
      </c>
      <c r="T653" s="111"/>
      <c r="U653" s="33" t="s">
        <v>278</v>
      </c>
      <c r="V653" s="111"/>
      <c r="W653" s="59" t="s">
        <v>633</v>
      </c>
      <c r="X653" s="33" t="str">
        <f>+VLOOKUP(OtherClients[[#This Row],[Part]],PartControl!$A$2:$E$564,5,FALSE)</f>
        <v>infasco</v>
      </c>
      <c r="Y653" s="108">
        <f>IF(OtherClients[[#This Row],[Re-certified or New]]&lt;&gt;"Re-certified",IF(OtherClients[[#This Row],[Client]]="infasco",VLOOKUP(OtherClients[[#This Row],[Part]],PartControl!$A$2:$E$564,2,FALSE),OtherClients[[#This Row],[Total Quantity]]*VLOOKUP(OtherClients[[#This Row],[Part]],PartControl!$A$2:$E$564,2,FALSE)),0)</f>
        <v>0</v>
      </c>
      <c r="Z653" s="108">
        <f>IF(OtherClients[[#This Row],[Re-certified or New]]&lt;&gt;"Re-certified",IF(OtherClients[[#This Row],[Client]]="infasco",VLOOKUP(OtherClients[[#This Row],[Part]],PartControl!$A$2:$E$564,2,FALSE),OtherClients[[#This Row],[Total Quantity]]*VLOOKUP(OtherClients[[#This Row],[Part]],PartControl!$A$2:$E$564,2,FALSE)),0)</f>
        <v>0</v>
      </c>
    </row>
    <row r="654" spans="1:26" ht="25.15" hidden="1" customHeight="1" x14ac:dyDescent="0.25">
      <c r="A654" s="112">
        <v>46245.697488425925</v>
      </c>
      <c r="B654" s="5" t="s">
        <v>634</v>
      </c>
      <c r="C654" s="5" t="s">
        <v>306</v>
      </c>
      <c r="D654" s="5">
        <v>715837</v>
      </c>
      <c r="E654" s="33">
        <v>1</v>
      </c>
      <c r="F654" s="60">
        <v>28000</v>
      </c>
      <c r="G654" s="60">
        <f>+OtherClients[[#This Row],[Boxes / Pieces]]*OtherClients[[#This Row],[Unit Quantity]]</f>
        <v>28000</v>
      </c>
      <c r="H654" s="60">
        <v>280</v>
      </c>
      <c r="I654" s="60" t="s">
        <v>278</v>
      </c>
      <c r="J654" s="104"/>
      <c r="K654" s="33" t="s">
        <v>278</v>
      </c>
      <c r="L654" s="111"/>
      <c r="M654" s="33" t="s">
        <v>278</v>
      </c>
      <c r="N654" s="111"/>
      <c r="O654" s="33" t="s">
        <v>278</v>
      </c>
      <c r="P654" s="111"/>
      <c r="Q654" s="33" t="s">
        <v>587</v>
      </c>
      <c r="R654" s="111"/>
      <c r="S654" s="33" t="s">
        <v>278</v>
      </c>
      <c r="T654" s="111"/>
      <c r="U654" s="33" t="s">
        <v>278</v>
      </c>
      <c r="V654" s="111"/>
      <c r="W654" s="59" t="s">
        <v>633</v>
      </c>
      <c r="X654" s="33" t="str">
        <f>+VLOOKUP(OtherClients[[#This Row],[Part]],PartControl!$A$2:$E$564,5,FALSE)</f>
        <v>INFASCO</v>
      </c>
      <c r="Y654" s="108">
        <f>IF(OtherClients[[#This Row],[Re-certified or New]]&lt;&gt;"Re-certified",IF(OtherClients[[#This Row],[Client]]="infasco",VLOOKUP(OtherClients[[#This Row],[Part]],PartControl!$A$2:$E$564,2,FALSE),OtherClients[[#This Row],[Total Quantity]]*VLOOKUP(OtherClients[[#This Row],[Part]],PartControl!$A$2:$E$564,2,FALSE)),0)</f>
        <v>0</v>
      </c>
      <c r="Z654" s="108">
        <f>IF(OtherClients[[#This Row],[Re-certified or New]]&lt;&gt;"Re-certified",IF(OtherClients[[#This Row],[Client]]="infasco",VLOOKUP(OtherClients[[#This Row],[Part]],PartControl!$A$2:$E$564,2,FALSE),OtherClients[[#This Row],[Total Quantity]]*VLOOKUP(OtherClients[[#This Row],[Part]],PartControl!$A$2:$E$564,2,FALSE)),0)</f>
        <v>0</v>
      </c>
    </row>
    <row r="655" spans="1:26" ht="25.15" hidden="1" customHeight="1" x14ac:dyDescent="0.25">
      <c r="A655" s="112">
        <v>46245.697488425925</v>
      </c>
      <c r="B655" s="5" t="s">
        <v>635</v>
      </c>
      <c r="C655" s="5" t="s">
        <v>852</v>
      </c>
      <c r="D655" s="5">
        <v>715991</v>
      </c>
      <c r="E655" s="33">
        <f>31-4</f>
        <v>27</v>
      </c>
      <c r="F655" s="60">
        <v>1120</v>
      </c>
      <c r="G655" s="60">
        <f>+OtherClients[[#This Row],[Boxes / Pieces]]*OtherClients[[#This Row],[Unit Quantity]]</f>
        <v>30240</v>
      </c>
      <c r="H655" s="60">
        <v>280</v>
      </c>
      <c r="I655" s="60" t="s">
        <v>278</v>
      </c>
      <c r="J655" s="104"/>
      <c r="K655" s="33" t="s">
        <v>278</v>
      </c>
      <c r="L655" s="111"/>
      <c r="M655" s="33" t="s">
        <v>278</v>
      </c>
      <c r="N655" s="111"/>
      <c r="O655" s="33" t="s">
        <v>278</v>
      </c>
      <c r="P655" s="111"/>
      <c r="Q655" s="33" t="s">
        <v>587</v>
      </c>
      <c r="R655" s="111"/>
      <c r="S655" s="33" t="s">
        <v>278</v>
      </c>
      <c r="T655" s="111"/>
      <c r="U655" s="33" t="s">
        <v>278</v>
      </c>
      <c r="V655" s="111"/>
      <c r="W655" s="59" t="s">
        <v>548</v>
      </c>
      <c r="X655" s="33" t="str">
        <f>+VLOOKUP(OtherClients[[#This Row],[Part]],PartControl!$A$2:$E$564,5,FALSE)</f>
        <v>infasco</v>
      </c>
      <c r="Y655" s="108">
        <f>IF(OtherClients[[#This Row],[Re-certified or New]]&lt;&gt;"Re-certified",IF(OtherClients[[#This Row],[Client]]="infasco",VLOOKUP(OtherClients[[#This Row],[Part]],PartControl!$A$2:$E$564,2,FALSE),OtherClients[[#This Row],[Total Quantity]]*VLOOKUP(OtherClients[[#This Row],[Part]],PartControl!$A$2:$E$564,2,FALSE)),0)</f>
        <v>106.94</v>
      </c>
      <c r="Z655" s="108">
        <f>IF(OtherClients[[#This Row],[Re-certified or New]]&lt;&gt;"Re-certified",IF(OtherClients[[#This Row],[Client]]="infasco",VLOOKUP(OtherClients[[#This Row],[Part]],PartControl!$A$2:$E$564,2,FALSE),OtherClients[[#This Row],[Total Quantity]]*VLOOKUP(OtherClients[[#This Row],[Part]],PartControl!$A$2:$E$564,2,FALSE)),0)</f>
        <v>106.94</v>
      </c>
    </row>
    <row r="656" spans="1:26" ht="25.15" hidden="1" customHeight="1" x14ac:dyDescent="0.25">
      <c r="A656" s="112">
        <v>46245.697488425925</v>
      </c>
      <c r="B656" s="5" t="s">
        <v>635</v>
      </c>
      <c r="C656" s="5" t="s">
        <v>306</v>
      </c>
      <c r="D656" s="5">
        <v>715836</v>
      </c>
      <c r="E656" s="33">
        <v>1</v>
      </c>
      <c r="F656" s="60">
        <v>19000</v>
      </c>
      <c r="G656" s="60">
        <f>+OtherClients[[#This Row],[Boxes / Pieces]]*OtherClients[[#This Row],[Unit Quantity]]</f>
        <v>19000</v>
      </c>
      <c r="H656" s="60">
        <v>280</v>
      </c>
      <c r="I656" s="60" t="s">
        <v>278</v>
      </c>
      <c r="J656" s="104"/>
      <c r="K656" s="33" t="s">
        <v>278</v>
      </c>
      <c r="L656" s="111"/>
      <c r="M656" s="33" t="s">
        <v>278</v>
      </c>
      <c r="N656" s="111"/>
      <c r="O656" s="33" t="s">
        <v>278</v>
      </c>
      <c r="P656" s="111"/>
      <c r="Q656" s="33" t="s">
        <v>587</v>
      </c>
      <c r="R656" s="111"/>
      <c r="S656" s="33" t="s">
        <v>278</v>
      </c>
      <c r="T656" s="111"/>
      <c r="U656" s="33" t="s">
        <v>278</v>
      </c>
      <c r="V656" s="111"/>
      <c r="W656" s="59" t="s">
        <v>633</v>
      </c>
      <c r="X656" s="33" t="str">
        <f>+VLOOKUP(OtherClients[[#This Row],[Part]],PartControl!$A$2:$E$564,5,FALSE)</f>
        <v>INFASCO</v>
      </c>
      <c r="Y656" s="108">
        <f>IF(OtherClients[[#This Row],[Re-certified or New]]&lt;&gt;"Re-certified",IF(OtherClients[[#This Row],[Client]]="infasco",VLOOKUP(OtherClients[[#This Row],[Part]],PartControl!$A$2:$E$564,2,FALSE),OtherClients[[#This Row],[Total Quantity]]*VLOOKUP(OtherClients[[#This Row],[Part]],PartControl!$A$2:$E$564,2,FALSE)),0)</f>
        <v>0</v>
      </c>
      <c r="Z656" s="108">
        <f>IF(OtherClients[[#This Row],[Re-certified or New]]&lt;&gt;"Re-certified",IF(OtherClients[[#This Row],[Client]]="infasco",VLOOKUP(OtherClients[[#This Row],[Part]],PartControl!$A$2:$E$564,2,FALSE),OtherClients[[#This Row],[Total Quantity]]*VLOOKUP(OtherClients[[#This Row],[Part]],PartControl!$A$2:$E$564,2,FALSE)),0)</f>
        <v>0</v>
      </c>
    </row>
    <row r="657" spans="1:26" ht="25.15" hidden="1" customHeight="1" x14ac:dyDescent="0.25">
      <c r="A657" s="112">
        <v>46245.697488425925</v>
      </c>
      <c r="B657" s="5" t="s">
        <v>249</v>
      </c>
      <c r="C657" s="5">
        <v>11612078</v>
      </c>
      <c r="D657" s="5">
        <v>707327</v>
      </c>
      <c r="E657" s="33">
        <v>8</v>
      </c>
      <c r="F657" s="60">
        <v>1850</v>
      </c>
      <c r="G657" s="60">
        <f>+OtherClients[[#This Row],[Boxes / Pieces]]*OtherClients[[#This Row],[Unit Quantity]]</f>
        <v>14800</v>
      </c>
      <c r="H657" s="60">
        <v>4</v>
      </c>
      <c r="I657" s="60" t="s">
        <v>278</v>
      </c>
      <c r="J657" s="104"/>
      <c r="K657" s="33" t="s">
        <v>278</v>
      </c>
      <c r="L657" s="111"/>
      <c r="M657" s="33" t="s">
        <v>278</v>
      </c>
      <c r="N657" s="111"/>
      <c r="O657" s="33" t="s">
        <v>278</v>
      </c>
      <c r="P657" s="111"/>
      <c r="Q657" s="33" t="s">
        <v>587</v>
      </c>
      <c r="R657" s="111"/>
      <c r="S657" s="33" t="s">
        <v>278</v>
      </c>
      <c r="T657" s="111"/>
      <c r="U657" s="33" t="s">
        <v>278</v>
      </c>
      <c r="V657" s="111"/>
      <c r="W657" s="59" t="s">
        <v>548</v>
      </c>
      <c r="X657" s="33" t="str">
        <f>+VLOOKUP(OtherClients[[#This Row],[Part]],PartControl!$A$2:$E$564,5,FALSE)</f>
        <v>infasco</v>
      </c>
      <c r="Y657" s="108">
        <f>IF(OtherClients[[#This Row],[Re-certified or New]]&lt;&gt;"Re-certified",IF(OtherClients[[#This Row],[Client]]="infasco",VLOOKUP(OtherClients[[#This Row],[Part]],PartControl!$A$2:$E$564,2,FALSE),OtherClients[[#This Row],[Total Quantity]]*VLOOKUP(OtherClients[[#This Row],[Part]],PartControl!$A$2:$E$564,2,FALSE)),0)</f>
        <v>247.64</v>
      </c>
      <c r="Z657" s="108">
        <f>IF(OtherClients[[#This Row],[Re-certified or New]]&lt;&gt;"Re-certified",IF(OtherClients[[#This Row],[Client]]="infasco",VLOOKUP(OtherClients[[#This Row],[Part]],PartControl!$A$2:$E$564,2,FALSE),OtherClients[[#This Row],[Total Quantity]]*VLOOKUP(OtherClients[[#This Row],[Part]],PartControl!$A$2:$E$564,2,FALSE)),0)</f>
        <v>247.64</v>
      </c>
    </row>
    <row r="658" spans="1:26" ht="25.15" hidden="1" customHeight="1" x14ac:dyDescent="0.25">
      <c r="A658" s="112">
        <v>46245.697488425925</v>
      </c>
      <c r="B658" s="5" t="s">
        <v>249</v>
      </c>
      <c r="C658" s="5">
        <v>11612078</v>
      </c>
      <c r="D658" s="5">
        <v>709056</v>
      </c>
      <c r="E658" s="33">
        <v>15</v>
      </c>
      <c r="F658" s="60">
        <v>1850</v>
      </c>
      <c r="G658" s="60">
        <f>+OtherClients[[#This Row],[Boxes / Pieces]]*OtherClients[[#This Row],[Unit Quantity]]</f>
        <v>27750</v>
      </c>
      <c r="H658" s="60">
        <v>4</v>
      </c>
      <c r="I658" s="60" t="s">
        <v>278</v>
      </c>
      <c r="J658" s="104"/>
      <c r="K658" s="33" t="s">
        <v>278</v>
      </c>
      <c r="L658" s="111"/>
      <c r="M658" s="33" t="s">
        <v>278</v>
      </c>
      <c r="N658" s="111"/>
      <c r="O658" s="33" t="s">
        <v>278</v>
      </c>
      <c r="P658" s="111"/>
      <c r="Q658" s="33" t="s">
        <v>587</v>
      </c>
      <c r="R658" s="111"/>
      <c r="S658" s="33" t="s">
        <v>278</v>
      </c>
      <c r="T658" s="111"/>
      <c r="U658" s="33" t="s">
        <v>278</v>
      </c>
      <c r="V658" s="111"/>
      <c r="W658" s="59" t="s">
        <v>633</v>
      </c>
      <c r="X658" s="33" t="str">
        <f>+VLOOKUP(OtherClients[[#This Row],[Part]],PartControl!$A$2:$E$564,5,FALSE)</f>
        <v>infasco</v>
      </c>
      <c r="Y658" s="108">
        <f>IF(OtherClients[[#This Row],[Re-certified or New]]&lt;&gt;"Re-certified",IF(OtherClients[[#This Row],[Client]]="infasco",VLOOKUP(OtherClients[[#This Row],[Part]],PartControl!$A$2:$E$564,2,FALSE),OtherClients[[#This Row],[Total Quantity]]*VLOOKUP(OtherClients[[#This Row],[Part]],PartControl!$A$2:$E$564,2,FALSE)),0)</f>
        <v>0</v>
      </c>
      <c r="Z658" s="108">
        <f>IF(OtherClients[[#This Row],[Re-certified or New]]&lt;&gt;"Re-certified",IF(OtherClients[[#This Row],[Client]]="infasco",VLOOKUP(OtherClients[[#This Row],[Part]],PartControl!$A$2:$E$564,2,FALSE),OtherClients[[#This Row],[Total Quantity]]*VLOOKUP(OtherClients[[#This Row],[Part]],PartControl!$A$2:$E$564,2,FALSE)),0)</f>
        <v>0</v>
      </c>
    </row>
    <row r="659" spans="1:26" ht="25.15" hidden="1" customHeight="1" x14ac:dyDescent="0.25">
      <c r="A659" s="112">
        <v>46245.697488425925</v>
      </c>
      <c r="B659" s="5" t="s">
        <v>877</v>
      </c>
      <c r="C659" s="5" t="s">
        <v>691</v>
      </c>
      <c r="D659" s="5">
        <v>712976</v>
      </c>
      <c r="E659" s="33">
        <v>33</v>
      </c>
      <c r="F659" s="60">
        <v>1800</v>
      </c>
      <c r="G659" s="60">
        <f>+OtherClients[[#This Row],[Boxes / Pieces]]*OtherClients[[#This Row],[Unit Quantity]]</f>
        <v>59400</v>
      </c>
      <c r="H659" s="60" t="s">
        <v>757</v>
      </c>
      <c r="I659" s="60" t="s">
        <v>278</v>
      </c>
      <c r="J659" s="104"/>
      <c r="K659" s="33" t="s">
        <v>278</v>
      </c>
      <c r="L659" s="111"/>
      <c r="M659" s="33" t="s">
        <v>278</v>
      </c>
      <c r="N659" s="111"/>
      <c r="O659" s="33" t="s">
        <v>278</v>
      </c>
      <c r="P659" s="111"/>
      <c r="Q659" s="33" t="s">
        <v>587</v>
      </c>
      <c r="R659" s="111"/>
      <c r="S659" s="33" t="s">
        <v>278</v>
      </c>
      <c r="T659" s="111"/>
      <c r="U659" s="33" t="s">
        <v>278</v>
      </c>
      <c r="V659" s="111"/>
      <c r="W659" s="59" t="s">
        <v>548</v>
      </c>
      <c r="X659" s="33" t="str">
        <f>+VLOOKUP(OtherClients[[#This Row],[Part]],PartControl!$A$2:$E$564,5,FALSE)</f>
        <v>infasco</v>
      </c>
      <c r="Y659" s="108">
        <f>IF(OtherClients[[#This Row],[Re-certified or New]]&lt;&gt;"Re-certified",IF(OtherClients[[#This Row],[Client]]="infasco",VLOOKUP(OtherClients[[#This Row],[Part]],PartControl!$A$2:$E$564,2,FALSE),OtherClients[[#This Row],[Total Quantity]]*VLOOKUP(OtherClients[[#This Row],[Part]],PartControl!$A$2:$E$564,2,FALSE)),0)</f>
        <v>106.94</v>
      </c>
      <c r="Z659" s="108">
        <f>IF(OtherClients[[#This Row],[Re-certified or New]]&lt;&gt;"Re-certified",IF(OtherClients[[#This Row],[Client]]="infasco",VLOOKUP(OtherClients[[#This Row],[Part]],PartControl!$A$2:$E$564,2,FALSE),OtherClients[[#This Row],[Total Quantity]]*VLOOKUP(OtherClients[[#This Row],[Part]],PartControl!$A$2:$E$564,2,FALSE)),0)</f>
        <v>106.94</v>
      </c>
    </row>
    <row r="660" spans="1:26" ht="25.15" hidden="1" customHeight="1" x14ac:dyDescent="0.25">
      <c r="A660" s="112">
        <v>46245.697488425925</v>
      </c>
      <c r="B660" s="5" t="s">
        <v>877</v>
      </c>
      <c r="C660" s="5">
        <v>11548147</v>
      </c>
      <c r="D660" s="5">
        <v>716100</v>
      </c>
      <c r="E660" s="33">
        <v>36</v>
      </c>
      <c r="F660" s="60">
        <v>250</v>
      </c>
      <c r="G660" s="60">
        <f>+OtherClients[[#This Row],[Boxes / Pieces]]*OtherClients[[#This Row],[Unit Quantity]]</f>
        <v>9000</v>
      </c>
      <c r="H660" s="60" t="s">
        <v>757</v>
      </c>
      <c r="I660" s="60" t="s">
        <v>278</v>
      </c>
      <c r="J660" s="104"/>
      <c r="K660" s="33" t="s">
        <v>278</v>
      </c>
      <c r="L660" s="111"/>
      <c r="M660" s="33" t="s">
        <v>278</v>
      </c>
      <c r="N660" s="111"/>
      <c r="O660" s="33" t="s">
        <v>278</v>
      </c>
      <c r="P660" s="111"/>
      <c r="Q660" s="33" t="s">
        <v>587</v>
      </c>
      <c r="R660" s="111"/>
      <c r="S660" s="33" t="s">
        <v>278</v>
      </c>
      <c r="T660" s="111"/>
      <c r="U660" s="33" t="s">
        <v>278</v>
      </c>
      <c r="V660" s="111"/>
      <c r="W660" s="59" t="s">
        <v>548</v>
      </c>
      <c r="X660" s="33" t="str">
        <f>+VLOOKUP(OtherClients[[#This Row],[Part]],PartControl!$A$2:$E$564,5,FALSE)</f>
        <v>infasco</v>
      </c>
      <c r="Y660" s="108">
        <f>IF(OtherClients[[#This Row],[Re-certified or New]]&lt;&gt;"Re-certified",IF(OtherClients[[#This Row],[Client]]="infasco",VLOOKUP(OtherClients[[#This Row],[Part]],PartControl!$A$2:$E$564,2,FALSE),OtherClients[[#This Row],[Total Quantity]]*VLOOKUP(OtherClients[[#This Row],[Part]],PartControl!$A$2:$E$564,2,FALSE)),0)</f>
        <v>280.15999999999997</v>
      </c>
      <c r="Z660" s="108">
        <f>IF(OtherClients[[#This Row],[Re-certified or New]]&lt;&gt;"Re-certified",IF(OtherClients[[#This Row],[Client]]="infasco",VLOOKUP(OtherClients[[#This Row],[Part]],PartControl!$A$2:$E$564,2,FALSE),OtherClients[[#This Row],[Total Quantity]]*VLOOKUP(OtherClients[[#This Row],[Part]],PartControl!$A$2:$E$564,2,FALSE)),0)</f>
        <v>280.15999999999997</v>
      </c>
    </row>
    <row r="661" spans="1:26" ht="25.15" hidden="1" customHeight="1" x14ac:dyDescent="0.25">
      <c r="A661" s="112">
        <v>46245.697488425925</v>
      </c>
      <c r="B661" s="5" t="s">
        <v>877</v>
      </c>
      <c r="C661" s="5">
        <v>11548147</v>
      </c>
      <c r="D661" s="5">
        <v>716101</v>
      </c>
      <c r="E661" s="33">
        <v>13</v>
      </c>
      <c r="F661" s="60">
        <v>250</v>
      </c>
      <c r="G661" s="60">
        <f>+OtherClients[[#This Row],[Boxes / Pieces]]*OtherClients[[#This Row],[Unit Quantity]]</f>
        <v>3250</v>
      </c>
      <c r="H661" s="60" t="s">
        <v>757</v>
      </c>
      <c r="I661" s="60" t="s">
        <v>278</v>
      </c>
      <c r="J661" s="104"/>
      <c r="K661" s="33" t="s">
        <v>278</v>
      </c>
      <c r="L661" s="111"/>
      <c r="M661" s="33" t="s">
        <v>278</v>
      </c>
      <c r="N661" s="111"/>
      <c r="O661" s="33" t="s">
        <v>278</v>
      </c>
      <c r="P661" s="111"/>
      <c r="Q661" s="33" t="s">
        <v>587</v>
      </c>
      <c r="R661" s="111"/>
      <c r="S661" s="33" t="s">
        <v>278</v>
      </c>
      <c r="T661" s="111"/>
      <c r="U661" s="33" t="s">
        <v>278</v>
      </c>
      <c r="V661" s="111"/>
      <c r="W661" s="59" t="s">
        <v>548</v>
      </c>
      <c r="X661" s="33" t="str">
        <f>+VLOOKUP(OtherClients[[#This Row],[Part]],PartControl!$A$2:$E$564,5,FALSE)</f>
        <v>infasco</v>
      </c>
      <c r="Y661" s="108">
        <f>IF(OtherClients[[#This Row],[Re-certified or New]]&lt;&gt;"Re-certified",IF(OtherClients[[#This Row],[Client]]="infasco",VLOOKUP(OtherClients[[#This Row],[Part]],PartControl!$A$2:$E$564,2,FALSE),OtherClients[[#This Row],[Total Quantity]]*VLOOKUP(OtherClients[[#This Row],[Part]],PartControl!$A$2:$E$564,2,FALSE)),0)</f>
        <v>280.15999999999997</v>
      </c>
      <c r="Z661" s="108">
        <f>IF(OtherClients[[#This Row],[Re-certified or New]]&lt;&gt;"Re-certified",IF(OtherClients[[#This Row],[Client]]="infasco",VLOOKUP(OtherClients[[#This Row],[Part]],PartControl!$A$2:$E$564,2,FALSE),OtherClients[[#This Row],[Total Quantity]]*VLOOKUP(OtherClients[[#This Row],[Part]],PartControl!$A$2:$E$564,2,FALSE)),0)</f>
        <v>280.15999999999997</v>
      </c>
    </row>
    <row r="662" spans="1:26" ht="25.15" hidden="1" customHeight="1" x14ac:dyDescent="0.25">
      <c r="A662" s="112">
        <v>46245.697488425925</v>
      </c>
      <c r="B662" s="5" t="s">
        <v>877</v>
      </c>
      <c r="C662" s="5" t="s">
        <v>818</v>
      </c>
      <c r="D662" s="5">
        <v>716119</v>
      </c>
      <c r="E662" s="33">
        <v>36</v>
      </c>
      <c r="F662" s="60">
        <v>670</v>
      </c>
      <c r="G662" s="60">
        <f>+OtherClients[[#This Row],[Boxes / Pieces]]*OtherClients[[#This Row],[Unit Quantity]]</f>
        <v>24120</v>
      </c>
      <c r="H662" s="60" t="s">
        <v>757</v>
      </c>
      <c r="I662" s="60" t="s">
        <v>278</v>
      </c>
      <c r="J662" s="104"/>
      <c r="K662" s="33" t="s">
        <v>278</v>
      </c>
      <c r="L662" s="111"/>
      <c r="M662" s="33" t="s">
        <v>278</v>
      </c>
      <c r="N662" s="111"/>
      <c r="O662" s="33" t="s">
        <v>278</v>
      </c>
      <c r="P662" s="111"/>
      <c r="Q662" s="33" t="s">
        <v>587</v>
      </c>
      <c r="R662" s="111"/>
      <c r="S662" s="33" t="s">
        <v>278</v>
      </c>
      <c r="T662" s="111"/>
      <c r="U662" s="33" t="s">
        <v>278</v>
      </c>
      <c r="V662" s="111"/>
      <c r="W662" s="59" t="s">
        <v>548</v>
      </c>
      <c r="X662" s="33" t="str">
        <f>+VLOOKUP(OtherClients[[#This Row],[Part]],PartControl!$A$2:$E$564,5,FALSE)</f>
        <v>infasco</v>
      </c>
      <c r="Y662" s="108">
        <f>IF(OtherClients[[#This Row],[Re-certified or New]]&lt;&gt;"Re-certified",IF(OtherClients[[#This Row],[Client]]="infasco",VLOOKUP(OtherClients[[#This Row],[Part]],PartControl!$A$2:$E$564,2,FALSE),OtherClients[[#This Row],[Total Quantity]]*VLOOKUP(OtherClients[[#This Row],[Part]],PartControl!$A$2:$E$564,2,FALSE)),0)</f>
        <v>280.16000000000003</v>
      </c>
      <c r="Z662" s="108">
        <f>IF(OtherClients[[#This Row],[Re-certified or New]]&lt;&gt;"Re-certified",IF(OtherClients[[#This Row],[Client]]="infasco",VLOOKUP(OtherClients[[#This Row],[Part]],PartControl!$A$2:$E$564,2,FALSE),OtherClients[[#This Row],[Total Quantity]]*VLOOKUP(OtherClients[[#This Row],[Part]],PartControl!$A$2:$E$564,2,FALSE)),0)</f>
        <v>280.16000000000003</v>
      </c>
    </row>
    <row r="663" spans="1:26" ht="25.15" hidden="1" customHeight="1" x14ac:dyDescent="0.25">
      <c r="A663" s="112">
        <v>46245.697488425925</v>
      </c>
      <c r="B663" s="5" t="s">
        <v>877</v>
      </c>
      <c r="C663" s="5" t="s">
        <v>818</v>
      </c>
      <c r="D663" s="5">
        <v>716109</v>
      </c>
      <c r="E663" s="33">
        <v>19</v>
      </c>
      <c r="F663" s="60">
        <v>670</v>
      </c>
      <c r="G663" s="60">
        <f>+OtherClients[[#This Row],[Boxes / Pieces]]*OtherClients[[#This Row],[Unit Quantity]]</f>
        <v>12730</v>
      </c>
      <c r="H663" s="60" t="s">
        <v>757</v>
      </c>
      <c r="I663" s="60" t="s">
        <v>278</v>
      </c>
      <c r="J663" s="104"/>
      <c r="K663" s="33" t="s">
        <v>278</v>
      </c>
      <c r="L663" s="111"/>
      <c r="M663" s="33" t="s">
        <v>278</v>
      </c>
      <c r="N663" s="111"/>
      <c r="O663" s="33" t="s">
        <v>278</v>
      </c>
      <c r="P663" s="111"/>
      <c r="Q663" s="33" t="s">
        <v>587</v>
      </c>
      <c r="R663" s="111"/>
      <c r="S663" s="33" t="s">
        <v>278</v>
      </c>
      <c r="T663" s="111"/>
      <c r="U663" s="33" t="s">
        <v>278</v>
      </c>
      <c r="V663" s="111"/>
      <c r="W663" s="59" t="s">
        <v>548</v>
      </c>
      <c r="X663" s="33" t="str">
        <f>+VLOOKUP(OtherClients[[#This Row],[Part]],PartControl!$A$2:$E$564,5,FALSE)</f>
        <v>infasco</v>
      </c>
      <c r="Y663" s="108">
        <f>IF(OtherClients[[#This Row],[Re-certified or New]]&lt;&gt;"Re-certified",IF(OtherClients[[#This Row],[Client]]="infasco",VLOOKUP(OtherClients[[#This Row],[Part]],PartControl!$A$2:$E$564,2,FALSE),OtherClients[[#This Row],[Total Quantity]]*VLOOKUP(OtherClients[[#This Row],[Part]],PartControl!$A$2:$E$564,2,FALSE)),0)</f>
        <v>280.16000000000003</v>
      </c>
      <c r="Z663" s="108">
        <f>IF(OtherClients[[#This Row],[Re-certified or New]]&lt;&gt;"Re-certified",IF(OtherClients[[#This Row],[Client]]="infasco",VLOOKUP(OtherClients[[#This Row],[Part]],PartControl!$A$2:$E$564,2,FALSE),OtherClients[[#This Row],[Total Quantity]]*VLOOKUP(OtherClients[[#This Row],[Part]],PartControl!$A$2:$E$564,2,FALSE)),0)</f>
        <v>280.16000000000003</v>
      </c>
    </row>
    <row r="664" spans="1:26" ht="25.15" hidden="1" customHeight="1" x14ac:dyDescent="0.25">
      <c r="A664" s="112">
        <v>46245.697488425925</v>
      </c>
      <c r="B664" s="5" t="s">
        <v>877</v>
      </c>
      <c r="C664" s="5">
        <v>11549168</v>
      </c>
      <c r="D664" s="5">
        <v>712003</v>
      </c>
      <c r="E664" s="33">
        <v>30</v>
      </c>
      <c r="F664" s="60">
        <v>1000</v>
      </c>
      <c r="G664" s="60">
        <f>+OtherClients[[#This Row],[Boxes / Pieces]]*OtherClients[[#This Row],[Unit Quantity]]</f>
        <v>30000</v>
      </c>
      <c r="H664" s="60" t="s">
        <v>757</v>
      </c>
      <c r="I664" s="60" t="s">
        <v>278</v>
      </c>
      <c r="J664" s="104"/>
      <c r="K664" s="33" t="s">
        <v>278</v>
      </c>
      <c r="L664" s="111"/>
      <c r="M664" s="33" t="s">
        <v>278</v>
      </c>
      <c r="N664" s="111"/>
      <c r="O664" s="33" t="s">
        <v>278</v>
      </c>
      <c r="P664" s="111"/>
      <c r="Q664" s="33" t="s">
        <v>587</v>
      </c>
      <c r="R664" s="111"/>
      <c r="S664" s="33" t="s">
        <v>278</v>
      </c>
      <c r="T664" s="111"/>
      <c r="U664" s="33" t="s">
        <v>278</v>
      </c>
      <c r="V664" s="111"/>
      <c r="W664" s="59" t="s">
        <v>633</v>
      </c>
      <c r="X664" s="33" t="str">
        <f>+VLOOKUP(OtherClients[[#This Row],[Part]],PartControl!$A$2:$E$564,5,FALSE)</f>
        <v>INFASCO</v>
      </c>
      <c r="Y664" s="108">
        <f>IF(OtherClients[[#This Row],[Re-certified or New]]&lt;&gt;"Re-certified",IF(OtherClients[[#This Row],[Client]]="infasco",VLOOKUP(OtherClients[[#This Row],[Part]],PartControl!$A$2:$E$564,2,FALSE),OtherClients[[#This Row],[Total Quantity]]*VLOOKUP(OtherClients[[#This Row],[Part]],PartControl!$A$2:$E$564,2,FALSE)),0)</f>
        <v>0</v>
      </c>
      <c r="Z664" s="108">
        <f>IF(OtherClients[[#This Row],[Re-certified or New]]&lt;&gt;"Re-certified",IF(OtherClients[[#This Row],[Client]]="infasco",VLOOKUP(OtherClients[[#This Row],[Part]],PartControl!$A$2:$E$564,2,FALSE),OtherClients[[#This Row],[Total Quantity]]*VLOOKUP(OtherClients[[#This Row],[Part]],PartControl!$A$2:$E$564,2,FALSE)),0)</f>
        <v>0</v>
      </c>
    </row>
    <row r="665" spans="1:26" ht="25.15" hidden="1" customHeight="1" x14ac:dyDescent="0.25">
      <c r="A665" s="112">
        <v>46246.697256944448</v>
      </c>
      <c r="B665" s="5" t="s">
        <v>238</v>
      </c>
      <c r="C665" s="5" t="s">
        <v>703</v>
      </c>
      <c r="D665" s="5">
        <v>714192</v>
      </c>
      <c r="E665" s="33">
        <v>16</v>
      </c>
      <c r="F665" s="60">
        <v>700</v>
      </c>
      <c r="G665" s="60">
        <v>11200</v>
      </c>
      <c r="H665" s="60">
        <v>275</v>
      </c>
      <c r="I665" s="126" t="s">
        <v>278</v>
      </c>
      <c r="J665" s="127"/>
      <c r="K665" s="33" t="s">
        <v>278</v>
      </c>
      <c r="L665" s="125"/>
      <c r="M665" s="33" t="s">
        <v>278</v>
      </c>
      <c r="N665" s="125"/>
      <c r="O665" s="33" t="s">
        <v>278</v>
      </c>
      <c r="P665" s="125"/>
      <c r="Q665" s="33" t="s">
        <v>587</v>
      </c>
      <c r="R665" s="125"/>
      <c r="S665" s="33" t="s">
        <v>278</v>
      </c>
      <c r="T665" s="125"/>
      <c r="U665" s="33" t="s">
        <v>278</v>
      </c>
      <c r="V665" s="125"/>
      <c r="W665" s="128" t="s">
        <v>548</v>
      </c>
      <c r="X665" s="33" t="str">
        <f>+VLOOKUP(OtherClients[[#This Row],[Part]],PartControl!$A$2:$E$564,5,FALSE)</f>
        <v>infasco</v>
      </c>
      <c r="Y665" s="125">
        <v>106.94</v>
      </c>
      <c r="Z665" s="108">
        <f>IF(OtherClients[[#This Row],[Re-certified or New]]&lt;&gt;"Re-certified",IF(OtherClients[[#This Row],[Client]]="infasco",VLOOKUP(OtherClients[[#This Row],[Part]],PartControl!$A$2:$E$564,2,FALSE),OtherClients[[#This Row],[Total Quantity]]*VLOOKUP(OtherClients[[#This Row],[Part]],PartControl!$A$2:$E$564,2,FALSE)),0)</f>
        <v>106.94</v>
      </c>
    </row>
    <row r="666" spans="1:26" ht="25.15" hidden="1" customHeight="1" x14ac:dyDescent="0.25">
      <c r="A666" s="112">
        <v>46246.697256944448</v>
      </c>
      <c r="B666" s="5" t="s">
        <v>238</v>
      </c>
      <c r="C666" s="5" t="s">
        <v>703</v>
      </c>
      <c r="D666" s="5">
        <v>714191</v>
      </c>
      <c r="E666" s="33">
        <v>36</v>
      </c>
      <c r="F666" s="60">
        <v>700</v>
      </c>
      <c r="G666" s="60">
        <f>+OtherClients[[#This Row],[Boxes / Pieces]]*OtherClients[[#This Row],[Unit Quantity]]</f>
        <v>25200</v>
      </c>
      <c r="H666" s="60">
        <v>275</v>
      </c>
      <c r="I666" s="126" t="s">
        <v>278</v>
      </c>
      <c r="J666" s="127"/>
      <c r="K666" s="33" t="s">
        <v>278</v>
      </c>
      <c r="L666" s="125"/>
      <c r="M666" s="33" t="s">
        <v>278</v>
      </c>
      <c r="N666" s="125"/>
      <c r="O666" s="33" t="s">
        <v>278</v>
      </c>
      <c r="P666" s="125"/>
      <c r="Q666" s="33" t="s">
        <v>587</v>
      </c>
      <c r="R666" s="125"/>
      <c r="S666" s="33" t="s">
        <v>278</v>
      </c>
      <c r="T666" s="125"/>
      <c r="U666" s="33" t="s">
        <v>278</v>
      </c>
      <c r="V666" s="125"/>
      <c r="W666" s="59" t="s">
        <v>548</v>
      </c>
      <c r="X666" s="33" t="str">
        <f>+VLOOKUP(OtherClients[[#This Row],[Part]],PartControl!$A$2:$E$564,5,FALSE)</f>
        <v>infasco</v>
      </c>
      <c r="Y666" s="125">
        <v>106.94</v>
      </c>
      <c r="Z666" s="108">
        <f>IF(OtherClients[[#This Row],[Re-certified or New]]&lt;&gt;"Re-certified",IF(OtherClients[[#This Row],[Client]]="infasco",VLOOKUP(OtherClients[[#This Row],[Part]],PartControl!$A$2:$E$564,2,FALSE),OtherClients[[#This Row],[Total Quantity]]*VLOOKUP(OtherClients[[#This Row],[Part]],PartControl!$A$2:$E$564,2,FALSE)),0)</f>
        <v>106.94</v>
      </c>
    </row>
    <row r="667" spans="1:26" ht="25.15" hidden="1" customHeight="1" x14ac:dyDescent="0.25">
      <c r="A667" s="112">
        <v>46246.697256944448</v>
      </c>
      <c r="B667" s="5" t="s">
        <v>233</v>
      </c>
      <c r="C667" s="5" t="s">
        <v>571</v>
      </c>
      <c r="D667" s="5">
        <v>716152</v>
      </c>
      <c r="E667" s="33">
        <v>16</v>
      </c>
      <c r="F667" s="60">
        <v>2300</v>
      </c>
      <c r="G667" s="60">
        <f>+OtherClients[[#This Row],[Boxes / Pieces]]*OtherClients[[#This Row],[Unit Quantity]]</f>
        <v>36800</v>
      </c>
      <c r="H667" s="60">
        <v>275</v>
      </c>
      <c r="I667" s="126" t="s">
        <v>278</v>
      </c>
      <c r="J667" s="127"/>
      <c r="K667" s="33" t="s">
        <v>278</v>
      </c>
      <c r="L667" s="125"/>
      <c r="M667" s="33" t="s">
        <v>278</v>
      </c>
      <c r="N667" s="125"/>
      <c r="O667" s="33" t="s">
        <v>278</v>
      </c>
      <c r="P667" s="125"/>
      <c r="Q667" s="33" t="s">
        <v>587</v>
      </c>
      <c r="R667" s="125"/>
      <c r="S667" s="33" t="s">
        <v>278</v>
      </c>
      <c r="T667" s="125"/>
      <c r="U667" s="33" t="s">
        <v>278</v>
      </c>
      <c r="V667" s="125"/>
      <c r="W667" s="59" t="s">
        <v>548</v>
      </c>
      <c r="X667" s="33" t="str">
        <f>+VLOOKUP(OtherClients[[#This Row],[Part]],PartControl!$A$2:$E$564,5,FALSE)</f>
        <v>Infasco</v>
      </c>
      <c r="Y667" s="125">
        <v>106.94</v>
      </c>
      <c r="Z667" s="108">
        <f>IF(OtherClients[[#This Row],[Re-certified or New]]&lt;&gt;"Re-certified",IF(OtherClients[[#This Row],[Client]]="infasco",VLOOKUP(OtherClients[[#This Row],[Part]],PartControl!$A$2:$E$564,2,FALSE),OtherClients[[#This Row],[Total Quantity]]*VLOOKUP(OtherClients[[#This Row],[Part]],PartControl!$A$2:$E$564,2,FALSE)),0)</f>
        <v>106.94</v>
      </c>
    </row>
    <row r="668" spans="1:26" ht="25.15" hidden="1" customHeight="1" x14ac:dyDescent="0.25">
      <c r="A668" s="112">
        <v>46246.697256944448</v>
      </c>
      <c r="B668" s="5" t="s">
        <v>233</v>
      </c>
      <c r="C668" s="5">
        <v>11546545</v>
      </c>
      <c r="D668" s="5">
        <v>716264</v>
      </c>
      <c r="E668" s="33">
        <v>20</v>
      </c>
      <c r="F668" s="60">
        <v>2500</v>
      </c>
      <c r="G668" s="60">
        <f>+OtherClients[[#This Row],[Boxes / Pieces]]*OtherClients[[#This Row],[Unit Quantity]]</f>
        <v>50000</v>
      </c>
      <c r="H668" s="60">
        <v>275</v>
      </c>
      <c r="I668" s="126" t="s">
        <v>278</v>
      </c>
      <c r="J668" s="127"/>
      <c r="K668" s="33" t="s">
        <v>278</v>
      </c>
      <c r="L668" s="125"/>
      <c r="M668" s="33" t="s">
        <v>278</v>
      </c>
      <c r="N668" s="125"/>
      <c r="O668" s="33" t="s">
        <v>278</v>
      </c>
      <c r="P668" s="125"/>
      <c r="Q668" s="33" t="s">
        <v>587</v>
      </c>
      <c r="R668" s="125"/>
      <c r="S668" s="33" t="s">
        <v>278</v>
      </c>
      <c r="T668" s="125"/>
      <c r="U668" s="33" t="s">
        <v>278</v>
      </c>
      <c r="V668" s="125"/>
      <c r="W668" s="59" t="s">
        <v>633</v>
      </c>
      <c r="X668" s="33" t="str">
        <f>+VLOOKUP(OtherClients[[#This Row],[Part]],PartControl!$A$2:$E$564,5,FALSE)</f>
        <v>infasco</v>
      </c>
      <c r="Y668" s="125">
        <v>106.94</v>
      </c>
      <c r="Z668" s="108">
        <f>IF(OtherClients[[#This Row],[Re-certified or New]]&lt;&gt;"Re-certified",IF(OtherClients[[#This Row],[Client]]="infasco",VLOOKUP(OtherClients[[#This Row],[Part]],PartControl!$A$2:$E$564,2,FALSE),OtherClients[[#This Row],[Total Quantity]]*VLOOKUP(OtherClients[[#This Row],[Part]],PartControl!$A$2:$E$564,2,FALSE)),0)</f>
        <v>0</v>
      </c>
    </row>
    <row r="669" spans="1:26" ht="25.15" hidden="1" customHeight="1" x14ac:dyDescent="0.25">
      <c r="A669" s="112">
        <v>46246.697256944448</v>
      </c>
      <c r="B669" s="5" t="s">
        <v>234</v>
      </c>
      <c r="C669" s="5" t="s">
        <v>728</v>
      </c>
      <c r="D669" s="5">
        <v>716160</v>
      </c>
      <c r="E669" s="33">
        <f>36+18-30</f>
        <v>24</v>
      </c>
      <c r="F669" s="60">
        <v>1500</v>
      </c>
      <c r="G669" s="60">
        <f>+OtherClients[[#This Row],[Boxes / Pieces]]*OtherClients[[#This Row],[Unit Quantity]]</f>
        <v>36000</v>
      </c>
      <c r="H669" s="60">
        <v>275</v>
      </c>
      <c r="I669" s="126" t="s">
        <v>278</v>
      </c>
      <c r="J669" s="127"/>
      <c r="K669" s="33" t="s">
        <v>278</v>
      </c>
      <c r="L669" s="125"/>
      <c r="M669" s="33" t="s">
        <v>278</v>
      </c>
      <c r="N669" s="125"/>
      <c r="O669" s="33" t="s">
        <v>278</v>
      </c>
      <c r="P669" s="125"/>
      <c r="Q669" s="33" t="s">
        <v>587</v>
      </c>
      <c r="R669" s="125"/>
      <c r="S669" s="33" t="s">
        <v>278</v>
      </c>
      <c r="T669" s="125"/>
      <c r="U669" s="33" t="s">
        <v>278</v>
      </c>
      <c r="V669" s="125"/>
      <c r="W669" s="59" t="s">
        <v>548</v>
      </c>
      <c r="X669" s="33" t="str">
        <f>+VLOOKUP(OtherClients[[#This Row],[Part]],PartControl!$A$2:$E$564,5,FALSE)</f>
        <v>infasco</v>
      </c>
      <c r="Y669" s="125">
        <v>106.94</v>
      </c>
      <c r="Z669" s="108">
        <f>IF(OtherClients[[#This Row],[Re-certified or New]]&lt;&gt;"Re-certified",IF(OtherClients[[#This Row],[Client]]="infasco",VLOOKUP(OtherClients[[#This Row],[Part]],PartControl!$A$2:$E$564,2,FALSE),OtherClients[[#This Row],[Total Quantity]]*VLOOKUP(OtherClients[[#This Row],[Part]],PartControl!$A$2:$E$564,2,FALSE)),0)</f>
        <v>106.94</v>
      </c>
    </row>
    <row r="670" spans="1:26" ht="25.15" hidden="1" customHeight="1" x14ac:dyDescent="0.25">
      <c r="A670" s="112">
        <v>46246.697256944448</v>
      </c>
      <c r="B670" s="5" t="s">
        <v>234</v>
      </c>
      <c r="C670" s="5" t="s">
        <v>728</v>
      </c>
      <c r="D670" s="5">
        <v>716075</v>
      </c>
      <c r="E670" s="33">
        <v>49</v>
      </c>
      <c r="F670" s="60">
        <v>1500</v>
      </c>
      <c r="G670" s="60">
        <f>+OtherClients[[#This Row],[Boxes / Pieces]]*OtherClients[[#This Row],[Unit Quantity]]</f>
        <v>73500</v>
      </c>
      <c r="H670" s="60">
        <v>275</v>
      </c>
      <c r="I670" s="126" t="s">
        <v>278</v>
      </c>
      <c r="J670" s="127"/>
      <c r="K670" s="33" t="s">
        <v>278</v>
      </c>
      <c r="L670" s="125"/>
      <c r="M670" s="33" t="s">
        <v>278</v>
      </c>
      <c r="N670" s="125"/>
      <c r="O670" s="33" t="s">
        <v>278</v>
      </c>
      <c r="P670" s="125"/>
      <c r="Q670" s="33" t="s">
        <v>587</v>
      </c>
      <c r="R670" s="125"/>
      <c r="S670" s="33" t="s">
        <v>278</v>
      </c>
      <c r="T670" s="125"/>
      <c r="U670" s="33" t="s">
        <v>278</v>
      </c>
      <c r="V670" s="125"/>
      <c r="W670" s="59" t="s">
        <v>633</v>
      </c>
      <c r="X670" s="33" t="str">
        <f>+VLOOKUP(OtherClients[[#This Row],[Part]],PartControl!$A$2:$E$564,5,FALSE)</f>
        <v>infasco</v>
      </c>
      <c r="Y670" s="125">
        <v>106.94</v>
      </c>
      <c r="Z670" s="108">
        <f>IF(OtherClients[[#This Row],[Re-certified or New]]&lt;&gt;"Re-certified",IF(OtherClients[[#This Row],[Client]]="infasco",VLOOKUP(OtherClients[[#This Row],[Part]],PartControl!$A$2:$E$564,2,FALSE),OtherClients[[#This Row],[Total Quantity]]*VLOOKUP(OtherClients[[#This Row],[Part]],PartControl!$A$2:$E$564,2,FALSE)),0)</f>
        <v>0</v>
      </c>
    </row>
    <row r="671" spans="1:26" ht="25.15" hidden="1" customHeight="1" x14ac:dyDescent="0.25">
      <c r="A671" s="112">
        <v>46246.697256944448</v>
      </c>
      <c r="B671" s="5" t="s">
        <v>863</v>
      </c>
      <c r="C671" s="5" t="s">
        <v>835</v>
      </c>
      <c r="D671" s="5">
        <v>715867</v>
      </c>
      <c r="E671" s="33">
        <v>23</v>
      </c>
      <c r="F671" s="60">
        <v>660</v>
      </c>
      <c r="G671" s="60">
        <f>+OtherClients[[#This Row],[Boxes / Pieces]]*OtherClients[[#This Row],[Unit Quantity]]</f>
        <v>15180</v>
      </c>
      <c r="H671" s="60">
        <v>275</v>
      </c>
      <c r="I671" s="126" t="s">
        <v>278</v>
      </c>
      <c r="J671" s="127"/>
      <c r="K671" s="33" t="s">
        <v>278</v>
      </c>
      <c r="L671" s="125"/>
      <c r="M671" s="33" t="s">
        <v>278</v>
      </c>
      <c r="N671" s="125"/>
      <c r="O671" s="33" t="s">
        <v>278</v>
      </c>
      <c r="P671" s="125"/>
      <c r="Q671" s="33" t="s">
        <v>587</v>
      </c>
      <c r="R671" s="125"/>
      <c r="S671" s="33" t="s">
        <v>278</v>
      </c>
      <c r="T671" s="125"/>
      <c r="U671" s="33" t="s">
        <v>278</v>
      </c>
      <c r="V671" s="125"/>
      <c r="W671" s="59" t="s">
        <v>548</v>
      </c>
      <c r="X671" s="33" t="str">
        <f>+VLOOKUP(OtherClients[[#This Row],[Part]],PartControl!$A$2:$E$564,5,FALSE)</f>
        <v>infasco</v>
      </c>
      <c r="Y671" s="125">
        <v>106.94</v>
      </c>
      <c r="Z671" s="108">
        <f>IF(OtherClients[[#This Row],[Re-certified or New]]&lt;&gt;"Re-certified",IF(OtherClients[[#This Row],[Client]]="infasco",VLOOKUP(OtherClients[[#This Row],[Part]],PartControl!$A$2:$E$564,2,FALSE),OtherClients[[#This Row],[Total Quantity]]*VLOOKUP(OtherClients[[#This Row],[Part]],PartControl!$A$2:$E$564,2,FALSE)),0)</f>
        <v>135.08000000000001</v>
      </c>
    </row>
    <row r="672" spans="1:26" ht="25.15" hidden="1" customHeight="1" x14ac:dyDescent="0.25">
      <c r="A672" s="112">
        <v>46246.697256944448</v>
      </c>
      <c r="B672" s="5" t="s">
        <v>863</v>
      </c>
      <c r="C672" s="5" t="s">
        <v>835</v>
      </c>
      <c r="D672" s="5">
        <v>715864</v>
      </c>
      <c r="E672" s="33">
        <v>8</v>
      </c>
      <c r="F672" s="60">
        <v>660</v>
      </c>
      <c r="G672" s="60">
        <f>+OtherClients[[#This Row],[Boxes / Pieces]]*OtherClients[[#This Row],[Unit Quantity]]</f>
        <v>5280</v>
      </c>
      <c r="H672" s="60">
        <v>275</v>
      </c>
      <c r="I672" s="126" t="s">
        <v>278</v>
      </c>
      <c r="J672" s="127"/>
      <c r="K672" s="33" t="s">
        <v>278</v>
      </c>
      <c r="L672" s="125"/>
      <c r="M672" s="33" t="s">
        <v>278</v>
      </c>
      <c r="N672" s="125"/>
      <c r="O672" s="33" t="s">
        <v>278</v>
      </c>
      <c r="P672" s="125"/>
      <c r="Q672" s="33" t="s">
        <v>587</v>
      </c>
      <c r="R672" s="125"/>
      <c r="S672" s="33" t="s">
        <v>278</v>
      </c>
      <c r="T672" s="125"/>
      <c r="U672" s="33" t="s">
        <v>278</v>
      </c>
      <c r="V672" s="125"/>
      <c r="W672" s="59" t="s">
        <v>633</v>
      </c>
      <c r="X672" s="33" t="str">
        <f>+VLOOKUP(OtherClients[[#This Row],[Part]],PartControl!$A$2:$E$564,5,FALSE)</f>
        <v>infasco</v>
      </c>
      <c r="Y672" s="125">
        <v>106.94</v>
      </c>
      <c r="Z672" s="108">
        <f>IF(OtherClients[[#This Row],[Re-certified or New]]&lt;&gt;"Re-certified",IF(OtherClients[[#This Row],[Client]]="infasco",VLOOKUP(OtherClients[[#This Row],[Part]],PartControl!$A$2:$E$564,2,FALSE),OtherClients[[#This Row],[Total Quantity]]*VLOOKUP(OtherClients[[#This Row],[Part]],PartControl!$A$2:$E$564,2,FALSE)),0)</f>
        <v>0</v>
      </c>
    </row>
    <row r="673" spans="1:26" ht="25.15" hidden="1" customHeight="1" x14ac:dyDescent="0.25">
      <c r="A673" s="112">
        <v>46246.697256944448</v>
      </c>
      <c r="B673" s="5" t="s">
        <v>242</v>
      </c>
      <c r="C673" s="5" t="s">
        <v>703</v>
      </c>
      <c r="D673" s="5">
        <v>714189</v>
      </c>
      <c r="E673" s="33">
        <f>36-9</f>
        <v>27</v>
      </c>
      <c r="F673" s="60">
        <v>700</v>
      </c>
      <c r="G673" s="60">
        <f>+OtherClients[[#This Row],[Boxes / Pieces]]*OtherClients[[#This Row],[Unit Quantity]]</f>
        <v>18900</v>
      </c>
      <c r="H673" s="60">
        <v>275</v>
      </c>
      <c r="I673" s="126" t="s">
        <v>278</v>
      </c>
      <c r="J673" s="127"/>
      <c r="K673" s="33" t="s">
        <v>278</v>
      </c>
      <c r="L673" s="125"/>
      <c r="M673" s="33" t="s">
        <v>278</v>
      </c>
      <c r="N673" s="125"/>
      <c r="O673" s="33" t="s">
        <v>278</v>
      </c>
      <c r="P673" s="125"/>
      <c r="Q673" s="33" t="s">
        <v>587</v>
      </c>
      <c r="R673" s="125"/>
      <c r="S673" s="33" t="s">
        <v>278</v>
      </c>
      <c r="T673" s="125"/>
      <c r="U673" s="33" t="s">
        <v>278</v>
      </c>
      <c r="V673" s="125"/>
      <c r="W673" s="59" t="s">
        <v>548</v>
      </c>
      <c r="X673" s="33" t="str">
        <f>+VLOOKUP(OtherClients[[#This Row],[Part]],PartControl!$A$2:$E$564,5,FALSE)</f>
        <v>infasco</v>
      </c>
      <c r="Y673" s="125">
        <v>106.94</v>
      </c>
      <c r="Z673" s="108">
        <f>IF(OtherClients[[#This Row],[Re-certified or New]]&lt;&gt;"Re-certified",IF(OtherClients[[#This Row],[Client]]="infasco",VLOOKUP(OtherClients[[#This Row],[Part]],PartControl!$A$2:$E$564,2,FALSE),OtherClients[[#This Row],[Total Quantity]]*VLOOKUP(OtherClients[[#This Row],[Part]],PartControl!$A$2:$E$564,2,FALSE)),0)</f>
        <v>106.94</v>
      </c>
    </row>
    <row r="674" spans="1:26" ht="25.15" hidden="1" customHeight="1" x14ac:dyDescent="0.25">
      <c r="A674" s="112">
        <v>46246.697256944448</v>
      </c>
      <c r="B674" s="5" t="s">
        <v>242</v>
      </c>
      <c r="C674" s="5" t="s">
        <v>703</v>
      </c>
      <c r="D674" s="5">
        <v>714188</v>
      </c>
      <c r="E674" s="33">
        <v>36</v>
      </c>
      <c r="F674" s="60">
        <v>700</v>
      </c>
      <c r="G674" s="60">
        <f>+OtherClients[[#This Row],[Boxes / Pieces]]*OtherClients[[#This Row],[Unit Quantity]]</f>
        <v>25200</v>
      </c>
      <c r="H674" s="60">
        <v>275</v>
      </c>
      <c r="I674" s="126" t="s">
        <v>278</v>
      </c>
      <c r="J674" s="127"/>
      <c r="K674" s="33" t="s">
        <v>278</v>
      </c>
      <c r="L674" s="125"/>
      <c r="M674" s="33" t="s">
        <v>278</v>
      </c>
      <c r="N674" s="125"/>
      <c r="O674" s="33" t="s">
        <v>278</v>
      </c>
      <c r="P674" s="125"/>
      <c r="Q674" s="33" t="s">
        <v>587</v>
      </c>
      <c r="R674" s="125"/>
      <c r="S674" s="33" t="s">
        <v>278</v>
      </c>
      <c r="T674" s="125"/>
      <c r="U674" s="33" t="s">
        <v>278</v>
      </c>
      <c r="V674" s="125"/>
      <c r="W674" s="59" t="s">
        <v>548</v>
      </c>
      <c r="X674" s="33" t="str">
        <f>+VLOOKUP(OtherClients[[#This Row],[Part]],PartControl!$A$2:$E$564,5,FALSE)</f>
        <v>infasco</v>
      </c>
      <c r="Y674" s="125">
        <v>106.94</v>
      </c>
      <c r="Z674" s="108">
        <f>IF(OtherClients[[#This Row],[Re-certified or New]]&lt;&gt;"Re-certified",IF(OtherClients[[#This Row],[Client]]="infasco",VLOOKUP(OtherClients[[#This Row],[Part]],PartControl!$A$2:$E$564,2,FALSE),OtherClients[[#This Row],[Total Quantity]]*VLOOKUP(OtherClients[[#This Row],[Part]],PartControl!$A$2:$E$564,2,FALSE)),0)</f>
        <v>106.94</v>
      </c>
    </row>
    <row r="675" spans="1:26" ht="25.15" hidden="1" customHeight="1" x14ac:dyDescent="0.25">
      <c r="A675" s="112">
        <v>46246.697256944448</v>
      </c>
      <c r="B675" s="5" t="s">
        <v>242</v>
      </c>
      <c r="C675" s="5" t="s">
        <v>703</v>
      </c>
      <c r="D675" s="5">
        <v>714194</v>
      </c>
      <c r="E675" s="33">
        <v>18</v>
      </c>
      <c r="F675" s="60">
        <v>700</v>
      </c>
      <c r="G675" s="60">
        <f>+OtherClients[[#This Row],[Boxes / Pieces]]*OtherClients[[#This Row],[Unit Quantity]]</f>
        <v>12600</v>
      </c>
      <c r="H675" s="60">
        <v>275</v>
      </c>
      <c r="I675" s="126" t="s">
        <v>278</v>
      </c>
      <c r="J675" s="127"/>
      <c r="K675" s="33" t="s">
        <v>278</v>
      </c>
      <c r="L675" s="125"/>
      <c r="M675" s="33" t="s">
        <v>278</v>
      </c>
      <c r="N675" s="125"/>
      <c r="O675" s="33" t="s">
        <v>278</v>
      </c>
      <c r="P675" s="125"/>
      <c r="Q675" s="33" t="s">
        <v>587</v>
      </c>
      <c r="R675" s="125"/>
      <c r="S675" s="33" t="s">
        <v>278</v>
      </c>
      <c r="T675" s="125"/>
      <c r="U675" s="33" t="s">
        <v>278</v>
      </c>
      <c r="V675" s="125"/>
      <c r="W675" s="59" t="s">
        <v>633</v>
      </c>
      <c r="X675" s="33" t="str">
        <f>+VLOOKUP(OtherClients[[#This Row],[Part]],PartControl!$A$2:$E$564,5,FALSE)</f>
        <v>infasco</v>
      </c>
      <c r="Y675" s="125">
        <v>106.94</v>
      </c>
      <c r="Z675" s="108">
        <f>IF(OtherClients[[#This Row],[Re-certified or New]]&lt;&gt;"Re-certified",IF(OtherClients[[#This Row],[Client]]="infasco",VLOOKUP(OtherClients[[#This Row],[Part]],PartControl!$A$2:$E$564,2,FALSE),OtherClients[[#This Row],[Total Quantity]]*VLOOKUP(OtherClients[[#This Row],[Part]],PartControl!$A$2:$E$564,2,FALSE)),0)</f>
        <v>0</v>
      </c>
    </row>
    <row r="676" spans="1:26" ht="25.15" hidden="1" customHeight="1" x14ac:dyDescent="0.25">
      <c r="A676" s="112">
        <v>46246.697256944448</v>
      </c>
      <c r="B676" s="5" t="s">
        <v>252</v>
      </c>
      <c r="C676" s="5" t="s">
        <v>642</v>
      </c>
      <c r="D676" s="5">
        <v>715701</v>
      </c>
      <c r="E676" s="33">
        <f>36+3-32</f>
        <v>7</v>
      </c>
      <c r="F676" s="60">
        <v>2800</v>
      </c>
      <c r="G676" s="60">
        <f>+OtherClients[[#This Row],[Boxes / Pieces]]*OtherClients[[#This Row],[Unit Quantity]]</f>
        <v>19600</v>
      </c>
      <c r="H676" s="60">
        <v>275</v>
      </c>
      <c r="I676" s="126" t="s">
        <v>278</v>
      </c>
      <c r="J676" s="127"/>
      <c r="K676" s="33" t="s">
        <v>278</v>
      </c>
      <c r="L676" s="125"/>
      <c r="M676" s="33" t="s">
        <v>278</v>
      </c>
      <c r="N676" s="125"/>
      <c r="O676" s="33" t="s">
        <v>278</v>
      </c>
      <c r="P676" s="125"/>
      <c r="Q676" s="33" t="s">
        <v>587</v>
      </c>
      <c r="R676" s="125"/>
      <c r="S676" s="33" t="s">
        <v>278</v>
      </c>
      <c r="T676" s="125"/>
      <c r="U676" s="33" t="s">
        <v>278</v>
      </c>
      <c r="V676" s="125"/>
      <c r="W676" s="59" t="s">
        <v>548</v>
      </c>
      <c r="X676" s="33" t="str">
        <f>+VLOOKUP(OtherClients[[#This Row],[Part]],PartControl!$A$2:$E$564,5,FALSE)</f>
        <v>infasco</v>
      </c>
      <c r="Y676" s="125">
        <v>106.94</v>
      </c>
      <c r="Z676" s="108">
        <f>IF(OtherClients[[#This Row],[Re-certified or New]]&lt;&gt;"Re-certified",IF(OtherClients[[#This Row],[Client]]="infasco",VLOOKUP(OtherClients[[#This Row],[Part]],PartControl!$A$2:$E$564,2,FALSE),OtherClients[[#This Row],[Total Quantity]]*VLOOKUP(OtherClients[[#This Row],[Part]],PartControl!$A$2:$E$564,2,FALSE)),0)</f>
        <v>106.94</v>
      </c>
    </row>
    <row r="677" spans="1:26" ht="25.15" hidden="1" customHeight="1" x14ac:dyDescent="0.25">
      <c r="A677" s="112">
        <v>46246.697256944448</v>
      </c>
      <c r="B677" s="5" t="s">
        <v>252</v>
      </c>
      <c r="C677" s="5" t="s">
        <v>814</v>
      </c>
      <c r="D677" s="5">
        <v>714171</v>
      </c>
      <c r="E677" s="33">
        <v>20</v>
      </c>
      <c r="F677" s="60">
        <v>2500</v>
      </c>
      <c r="G677" s="60">
        <f>+OtherClients[[#This Row],[Boxes / Pieces]]*OtherClients[[#This Row],[Unit Quantity]]</f>
        <v>50000</v>
      </c>
      <c r="H677" s="60">
        <v>275</v>
      </c>
      <c r="I677" s="126" t="s">
        <v>278</v>
      </c>
      <c r="J677" s="127"/>
      <c r="K677" s="33" t="s">
        <v>278</v>
      </c>
      <c r="L677" s="125"/>
      <c r="M677" s="33" t="s">
        <v>278</v>
      </c>
      <c r="N677" s="125"/>
      <c r="O677" s="33" t="s">
        <v>278</v>
      </c>
      <c r="P677" s="125"/>
      <c r="Q677" s="33" t="s">
        <v>587</v>
      </c>
      <c r="R677" s="125"/>
      <c r="S677" s="33" t="s">
        <v>278</v>
      </c>
      <c r="T677" s="125"/>
      <c r="U677" s="33" t="s">
        <v>278</v>
      </c>
      <c r="V677" s="125"/>
      <c r="W677" s="59" t="s">
        <v>548</v>
      </c>
      <c r="X677" s="33" t="str">
        <f>+VLOOKUP(OtherClients[[#This Row],[Part]],PartControl!$A$2:$E$564,5,FALSE)</f>
        <v>Infasco</v>
      </c>
      <c r="Y677" s="125">
        <v>106.94</v>
      </c>
      <c r="Z677" s="108">
        <f>IF(OtherClients[[#This Row],[Re-certified or New]]&lt;&gt;"Re-certified",IF(OtherClients[[#This Row],[Client]]="infasco",VLOOKUP(OtherClients[[#This Row],[Part]],PartControl!$A$2:$E$564,2,FALSE),OtherClients[[#This Row],[Total Quantity]]*VLOOKUP(OtherClients[[#This Row],[Part]],PartControl!$A$2:$E$564,2,FALSE)),0)</f>
        <v>106.94</v>
      </c>
    </row>
    <row r="678" spans="1:26" ht="25.15" hidden="1" customHeight="1" x14ac:dyDescent="0.25">
      <c r="A678" s="112">
        <v>46246.697256944448</v>
      </c>
      <c r="B678" s="5" t="s">
        <v>252</v>
      </c>
      <c r="C678" s="5" t="s">
        <v>814</v>
      </c>
      <c r="D678" s="5">
        <v>714169</v>
      </c>
      <c r="E678" s="33">
        <v>13</v>
      </c>
      <c r="F678" s="60">
        <v>2500</v>
      </c>
      <c r="G678" s="60">
        <f>+OtherClients[[#This Row],[Boxes / Pieces]]*OtherClients[[#This Row],[Unit Quantity]]</f>
        <v>32500</v>
      </c>
      <c r="H678" s="60">
        <v>275</v>
      </c>
      <c r="I678" s="126" t="s">
        <v>278</v>
      </c>
      <c r="J678" s="127"/>
      <c r="K678" s="33" t="s">
        <v>278</v>
      </c>
      <c r="L678" s="125"/>
      <c r="M678" s="33" t="s">
        <v>278</v>
      </c>
      <c r="N678" s="125"/>
      <c r="O678" s="33" t="s">
        <v>278</v>
      </c>
      <c r="P678" s="125"/>
      <c r="Q678" s="33" t="s">
        <v>587</v>
      </c>
      <c r="R678" s="125"/>
      <c r="S678" s="33" t="s">
        <v>278</v>
      </c>
      <c r="T678" s="125"/>
      <c r="U678" s="33" t="s">
        <v>278</v>
      </c>
      <c r="V678" s="125"/>
      <c r="W678" s="59" t="s">
        <v>633</v>
      </c>
      <c r="X678" s="33" t="str">
        <f>+VLOOKUP(OtherClients[[#This Row],[Part]],PartControl!$A$2:$E$564,5,FALSE)</f>
        <v>Infasco</v>
      </c>
      <c r="Y678" s="125">
        <v>106.94</v>
      </c>
      <c r="Z678" s="108">
        <f>IF(OtherClients[[#This Row],[Re-certified or New]]&lt;&gt;"Re-certified",IF(OtherClients[[#This Row],[Client]]="infasco",VLOOKUP(OtherClients[[#This Row],[Part]],PartControl!$A$2:$E$564,2,FALSE),OtherClients[[#This Row],[Total Quantity]]*VLOOKUP(OtherClients[[#This Row],[Part]],PartControl!$A$2:$E$564,2,FALSE)),0)</f>
        <v>0</v>
      </c>
    </row>
    <row r="679" spans="1:26" ht="25.15" hidden="1" customHeight="1" x14ac:dyDescent="0.25">
      <c r="A679" s="112">
        <v>46246.697256944448</v>
      </c>
      <c r="B679" s="5" t="s">
        <v>232</v>
      </c>
      <c r="C679" s="5" t="s">
        <v>728</v>
      </c>
      <c r="D679" s="5">
        <v>716156</v>
      </c>
      <c r="E679" s="33">
        <f>72-12</f>
        <v>60</v>
      </c>
      <c r="F679" s="60">
        <v>1500</v>
      </c>
      <c r="G679" s="60">
        <f>+OtherClients[[#This Row],[Boxes / Pieces]]*OtherClients[[#This Row],[Unit Quantity]]</f>
        <v>90000</v>
      </c>
      <c r="H679" s="60">
        <v>275</v>
      </c>
      <c r="I679" s="126" t="s">
        <v>278</v>
      </c>
      <c r="J679" s="127"/>
      <c r="K679" s="33" t="s">
        <v>278</v>
      </c>
      <c r="L679" s="125"/>
      <c r="M679" s="33" t="s">
        <v>278</v>
      </c>
      <c r="N679" s="125"/>
      <c r="O679" s="33" t="s">
        <v>278</v>
      </c>
      <c r="P679" s="125"/>
      <c r="Q679" s="33" t="s">
        <v>587</v>
      </c>
      <c r="R679" s="125"/>
      <c r="S679" s="33" t="s">
        <v>278</v>
      </c>
      <c r="T679" s="125"/>
      <c r="U679" s="33" t="s">
        <v>278</v>
      </c>
      <c r="V679" s="125"/>
      <c r="W679" s="59" t="s">
        <v>548</v>
      </c>
      <c r="X679" s="33" t="str">
        <f>+VLOOKUP(OtherClients[[#This Row],[Part]],PartControl!$A$2:$E$564,5,FALSE)</f>
        <v>infasco</v>
      </c>
      <c r="Y679" s="125">
        <v>106.94</v>
      </c>
      <c r="Z679" s="108">
        <f>IF(OtherClients[[#This Row],[Re-certified or New]]&lt;&gt;"Re-certified",IF(OtherClients[[#This Row],[Client]]="infasco",VLOOKUP(OtherClients[[#This Row],[Part]],PartControl!$A$2:$E$564,2,FALSE),OtherClients[[#This Row],[Total Quantity]]*VLOOKUP(OtherClients[[#This Row],[Part]],PartControl!$A$2:$E$564,2,FALSE)),0)</f>
        <v>106.94</v>
      </c>
    </row>
    <row r="680" spans="1:26" ht="25.15" hidden="1" customHeight="1" x14ac:dyDescent="0.25">
      <c r="A680" s="112">
        <v>46246.697256944448</v>
      </c>
      <c r="B680" s="5" t="s">
        <v>249</v>
      </c>
      <c r="C680" s="5">
        <v>11612078</v>
      </c>
      <c r="D680" s="5">
        <v>709056</v>
      </c>
      <c r="E680" s="33">
        <v>21</v>
      </c>
      <c r="F680" s="60">
        <v>1850</v>
      </c>
      <c r="G680" s="60">
        <f>+OtherClients[[#This Row],[Boxes / Pieces]]*OtherClients[[#This Row],[Unit Quantity]]</f>
        <v>38850</v>
      </c>
      <c r="H680" s="60">
        <v>4</v>
      </c>
      <c r="I680" s="126" t="s">
        <v>278</v>
      </c>
      <c r="J680" s="127"/>
      <c r="K680" s="33" t="s">
        <v>278</v>
      </c>
      <c r="L680" s="125"/>
      <c r="M680" s="33" t="s">
        <v>278</v>
      </c>
      <c r="N680" s="125"/>
      <c r="O680" s="33" t="s">
        <v>278</v>
      </c>
      <c r="P680" s="125"/>
      <c r="Q680" s="33" t="s">
        <v>587</v>
      </c>
      <c r="R680" s="125"/>
      <c r="S680" s="33" t="s">
        <v>278</v>
      </c>
      <c r="T680" s="125"/>
      <c r="U680" s="33" t="s">
        <v>278</v>
      </c>
      <c r="V680" s="125"/>
      <c r="W680" s="59" t="s">
        <v>548</v>
      </c>
      <c r="X680" s="33" t="str">
        <f>+VLOOKUP(OtherClients[[#This Row],[Part]],PartControl!$A$2:$E$564,5,FALSE)</f>
        <v>infasco</v>
      </c>
      <c r="Y680" s="125">
        <v>106.94</v>
      </c>
      <c r="Z680" s="108">
        <f>IF(OtherClients[[#This Row],[Re-certified or New]]&lt;&gt;"Re-certified",IF(OtherClients[[#This Row],[Client]]="infasco",VLOOKUP(OtherClients[[#This Row],[Part]],PartControl!$A$2:$E$564,2,FALSE),OtherClients[[#This Row],[Total Quantity]]*VLOOKUP(OtherClients[[#This Row],[Part]],PartControl!$A$2:$E$564,2,FALSE)),0)</f>
        <v>247.64</v>
      </c>
    </row>
    <row r="681" spans="1:26" ht="25.15" hidden="1" customHeight="1" x14ac:dyDescent="0.25">
      <c r="A681" s="112">
        <v>46246.697256944448</v>
      </c>
      <c r="B681" s="5" t="s">
        <v>250</v>
      </c>
      <c r="C681" s="5">
        <v>11549170</v>
      </c>
      <c r="D681" s="5">
        <v>714622</v>
      </c>
      <c r="E681" s="33">
        <f>36+4</f>
        <v>40</v>
      </c>
      <c r="F681" s="60">
        <v>400</v>
      </c>
      <c r="G681" s="60">
        <f>+OtherClients[[#This Row],[Boxes / Pieces]]*OtherClients[[#This Row],[Unit Quantity]]</f>
        <v>16000</v>
      </c>
      <c r="H681" s="60">
        <v>290</v>
      </c>
      <c r="I681" s="126" t="s">
        <v>278</v>
      </c>
      <c r="J681" s="127"/>
      <c r="K681" s="33" t="s">
        <v>278</v>
      </c>
      <c r="L681" s="125"/>
      <c r="M681" s="33" t="s">
        <v>278</v>
      </c>
      <c r="N681" s="125"/>
      <c r="O681" s="33" t="s">
        <v>278</v>
      </c>
      <c r="P681" s="125"/>
      <c r="Q681" s="33" t="s">
        <v>587</v>
      </c>
      <c r="R681" s="125"/>
      <c r="S681" s="33" t="s">
        <v>278</v>
      </c>
      <c r="T681" s="125"/>
      <c r="U681" s="33" t="s">
        <v>278</v>
      </c>
      <c r="V681" s="125"/>
      <c r="W681" s="59" t="s">
        <v>548</v>
      </c>
      <c r="X681" s="33" t="str">
        <f>+VLOOKUP(OtherClients[[#This Row],[Part]],PartControl!$A$2:$E$564,5,FALSE)</f>
        <v>INFASCO</v>
      </c>
      <c r="Y681" s="108">
        <f>IF(OtherClients[[#This Row],[Re-certified or New]]&lt;&gt;"Re-certified",IF(OtherClients[[#This Row],[Client]]="infasco",VLOOKUP(OtherClients[[#This Row],[Part]],PartControl!$A$2:$E$564,2,FALSE),OtherClients[[#This Row],[Total Quantity]]*VLOOKUP(OtherClients[[#This Row],[Part]],PartControl!$A$2:$E$564,2,FALSE)),0)</f>
        <v>106.94</v>
      </c>
      <c r="Z681" s="108">
        <f>IF(OtherClients[[#This Row],[Re-certified or New]]&lt;&gt;"Re-certified",IF(OtherClients[[#This Row],[Client]]="infasco",VLOOKUP(OtherClients[[#This Row],[Part]],PartControl!$A$2:$E$564,2,FALSE),OtherClients[[#This Row],[Total Quantity]]*VLOOKUP(OtherClients[[#This Row],[Part]],PartControl!$A$2:$E$564,2,FALSE)),0)</f>
        <v>106.94</v>
      </c>
    </row>
    <row r="682" spans="1:26" ht="25.15" hidden="1" customHeight="1" x14ac:dyDescent="0.25">
      <c r="A682" s="112">
        <v>46246.697256944448</v>
      </c>
      <c r="B682" s="5" t="s">
        <v>250</v>
      </c>
      <c r="C682" s="5">
        <v>11549170</v>
      </c>
      <c r="D682" s="5">
        <v>714368</v>
      </c>
      <c r="E682" s="33">
        <v>2</v>
      </c>
      <c r="F682" s="60">
        <v>400</v>
      </c>
      <c r="G682" s="60">
        <f>+OtherClients[[#This Row],[Boxes / Pieces]]*OtherClients[[#This Row],[Unit Quantity]]</f>
        <v>800</v>
      </c>
      <c r="H682" s="60">
        <v>290</v>
      </c>
      <c r="I682" s="126" t="s">
        <v>278</v>
      </c>
      <c r="J682" s="127"/>
      <c r="K682" s="33" t="s">
        <v>278</v>
      </c>
      <c r="L682" s="125"/>
      <c r="M682" s="33" t="s">
        <v>278</v>
      </c>
      <c r="N682" s="125"/>
      <c r="O682" s="33" t="s">
        <v>278</v>
      </c>
      <c r="P682" s="125"/>
      <c r="Q682" s="33" t="s">
        <v>587</v>
      </c>
      <c r="R682" s="125"/>
      <c r="S682" s="33" t="s">
        <v>278</v>
      </c>
      <c r="T682" s="125"/>
      <c r="U682" s="33" t="s">
        <v>278</v>
      </c>
      <c r="V682" s="125"/>
      <c r="W682" s="59" t="s">
        <v>633</v>
      </c>
      <c r="X682" s="33" t="str">
        <f>+VLOOKUP(OtherClients[[#This Row],[Part]],PartControl!$A$2:$E$564,5,FALSE)</f>
        <v>INFASCO</v>
      </c>
      <c r="Y682" s="108">
        <f>IF(OtherClients[[#This Row],[Re-certified or New]]&lt;&gt;"Re-certified",IF(OtherClients[[#This Row],[Client]]="infasco",VLOOKUP(OtherClients[[#This Row],[Part]],PartControl!$A$2:$E$564,2,FALSE),OtherClients[[#This Row],[Total Quantity]]*VLOOKUP(OtherClients[[#This Row],[Part]],PartControl!$A$2:$E$564,2,FALSE)),0)</f>
        <v>0</v>
      </c>
      <c r="Z682" s="108">
        <f>IF(OtherClients[[#This Row],[Re-certified or New]]&lt;&gt;"Re-certified",IF(OtherClients[[#This Row],[Client]]="infasco",VLOOKUP(OtherClients[[#This Row],[Part]],PartControl!$A$2:$E$564,2,FALSE),OtherClients[[#This Row],[Total Quantity]]*VLOOKUP(OtherClients[[#This Row],[Part]],PartControl!$A$2:$E$564,2,FALSE)),0)</f>
        <v>0</v>
      </c>
    </row>
    <row r="683" spans="1:26" ht="25.15" hidden="1" customHeight="1" x14ac:dyDescent="0.25">
      <c r="A683" s="112">
        <v>46246.697256944448</v>
      </c>
      <c r="B683" s="5" t="s">
        <v>237</v>
      </c>
      <c r="C683" s="5">
        <v>11549170</v>
      </c>
      <c r="D683" s="5">
        <v>714380</v>
      </c>
      <c r="E683" s="33">
        <f>36-12</f>
        <v>24</v>
      </c>
      <c r="F683" s="60">
        <v>400</v>
      </c>
      <c r="G683" s="60">
        <f>+OtherClients[[#This Row],[Boxes / Pieces]]*OtherClients[[#This Row],[Unit Quantity]]</f>
        <v>9600</v>
      </c>
      <c r="H683" s="60">
        <v>290</v>
      </c>
      <c r="I683" s="126" t="s">
        <v>278</v>
      </c>
      <c r="J683" s="127"/>
      <c r="K683" s="33" t="s">
        <v>278</v>
      </c>
      <c r="L683" s="125"/>
      <c r="M683" s="33" t="s">
        <v>278</v>
      </c>
      <c r="N683" s="125"/>
      <c r="O683" s="33" t="s">
        <v>278</v>
      </c>
      <c r="P683" s="125"/>
      <c r="Q683" s="33" t="s">
        <v>587</v>
      </c>
      <c r="R683" s="125"/>
      <c r="S683" s="33" t="s">
        <v>278</v>
      </c>
      <c r="T683" s="125"/>
      <c r="U683" s="33" t="s">
        <v>278</v>
      </c>
      <c r="V683" s="125"/>
      <c r="W683" s="59" t="s">
        <v>548</v>
      </c>
      <c r="X683" s="33" t="str">
        <f>+VLOOKUP(OtherClients[[#This Row],[Part]],PartControl!$A$2:$E$564,5,FALSE)</f>
        <v>INFASCO</v>
      </c>
      <c r="Y683" s="108">
        <f>IF(OtherClients[[#This Row],[Re-certified or New]]&lt;&gt;"Re-certified",IF(OtherClients[[#This Row],[Client]]="infasco",VLOOKUP(OtherClients[[#This Row],[Part]],PartControl!$A$2:$E$564,2,FALSE),OtherClients[[#This Row],[Total Quantity]]*VLOOKUP(OtherClients[[#This Row],[Part]],PartControl!$A$2:$E$564,2,FALSE)),0)</f>
        <v>106.94</v>
      </c>
      <c r="Z683" s="108">
        <f>IF(OtherClients[[#This Row],[Re-certified or New]]&lt;&gt;"Re-certified",IF(OtherClients[[#This Row],[Client]]="infasco",VLOOKUP(OtherClients[[#This Row],[Part]],PartControl!$A$2:$E$564,2,FALSE),OtherClients[[#This Row],[Total Quantity]]*VLOOKUP(OtherClients[[#This Row],[Part]],PartControl!$A$2:$E$564,2,FALSE)),0)</f>
        <v>106.94</v>
      </c>
    </row>
    <row r="684" spans="1:26" ht="25.15" hidden="1" customHeight="1" x14ac:dyDescent="0.25">
      <c r="A684" s="112">
        <v>46246.697256944448</v>
      </c>
      <c r="B684" s="5" t="s">
        <v>237</v>
      </c>
      <c r="C684" s="5">
        <v>11549170</v>
      </c>
      <c r="D684" s="5">
        <v>714623</v>
      </c>
      <c r="E684" s="33">
        <f>36+4</f>
        <v>40</v>
      </c>
      <c r="F684" s="60">
        <v>400</v>
      </c>
      <c r="G684" s="60">
        <f>+OtherClients[[#This Row],[Boxes / Pieces]]*OtherClients[[#This Row],[Unit Quantity]]</f>
        <v>16000</v>
      </c>
      <c r="H684" s="60">
        <v>290</v>
      </c>
      <c r="I684" s="126" t="s">
        <v>278</v>
      </c>
      <c r="J684" s="127"/>
      <c r="K684" s="33" t="s">
        <v>278</v>
      </c>
      <c r="L684" s="125"/>
      <c r="M684" s="33" t="s">
        <v>278</v>
      </c>
      <c r="N684" s="125"/>
      <c r="O684" s="33" t="s">
        <v>278</v>
      </c>
      <c r="P684" s="125"/>
      <c r="Q684" s="33" t="s">
        <v>587</v>
      </c>
      <c r="R684" s="125"/>
      <c r="S684" s="33" t="s">
        <v>278</v>
      </c>
      <c r="T684" s="125"/>
      <c r="U684" s="33" t="s">
        <v>278</v>
      </c>
      <c r="V684" s="125"/>
      <c r="W684" s="59" t="s">
        <v>548</v>
      </c>
      <c r="X684" s="33" t="str">
        <f>+VLOOKUP(OtherClients[[#This Row],[Part]],PartControl!$A$2:$E$564,5,FALSE)</f>
        <v>INFASCO</v>
      </c>
      <c r="Y684" s="108">
        <f>IF(OtherClients[[#This Row],[Re-certified or New]]&lt;&gt;"Re-certified",IF(OtherClients[[#This Row],[Client]]="infasco",VLOOKUP(OtherClients[[#This Row],[Part]],PartControl!$A$2:$E$564,2,FALSE),OtherClients[[#This Row],[Total Quantity]]*VLOOKUP(OtherClients[[#This Row],[Part]],PartControl!$A$2:$E$564,2,FALSE)),0)</f>
        <v>106.94</v>
      </c>
      <c r="Z684" s="108">
        <f>IF(OtherClients[[#This Row],[Re-certified or New]]&lt;&gt;"Re-certified",IF(OtherClients[[#This Row],[Client]]="infasco",VLOOKUP(OtherClients[[#This Row],[Part]],PartControl!$A$2:$E$564,2,FALSE),OtherClients[[#This Row],[Total Quantity]]*VLOOKUP(OtherClients[[#This Row],[Part]],PartControl!$A$2:$E$564,2,FALSE)),0)</f>
        <v>106.94</v>
      </c>
    </row>
    <row r="685" spans="1:26" ht="25.15" hidden="1" customHeight="1" x14ac:dyDescent="0.25">
      <c r="A685" s="112">
        <v>46246.697256944448</v>
      </c>
      <c r="B685" s="5" t="s">
        <v>237</v>
      </c>
      <c r="C685" s="5">
        <v>11549170</v>
      </c>
      <c r="D685" s="5">
        <v>714621</v>
      </c>
      <c r="E685" s="33">
        <v>36</v>
      </c>
      <c r="F685" s="60">
        <v>400</v>
      </c>
      <c r="G685" s="60">
        <f>+OtherClients[[#This Row],[Boxes / Pieces]]*OtherClients[[#This Row],[Unit Quantity]]</f>
        <v>14400</v>
      </c>
      <c r="H685" s="60">
        <v>290</v>
      </c>
      <c r="I685" s="126" t="s">
        <v>278</v>
      </c>
      <c r="J685" s="127"/>
      <c r="K685" s="33" t="s">
        <v>278</v>
      </c>
      <c r="L685" s="125"/>
      <c r="M685" s="33" t="s">
        <v>278</v>
      </c>
      <c r="N685" s="125"/>
      <c r="O685" s="33" t="s">
        <v>278</v>
      </c>
      <c r="P685" s="125"/>
      <c r="Q685" s="33" t="s">
        <v>587</v>
      </c>
      <c r="R685" s="125"/>
      <c r="S685" s="33" t="s">
        <v>278</v>
      </c>
      <c r="T685" s="125"/>
      <c r="U685" s="33" t="s">
        <v>278</v>
      </c>
      <c r="V685" s="125"/>
      <c r="W685" s="59" t="s">
        <v>548</v>
      </c>
      <c r="X685" s="33" t="str">
        <f>+VLOOKUP(OtherClients[[#This Row],[Part]],PartControl!$A$2:$E$564,5,FALSE)</f>
        <v>INFASCO</v>
      </c>
      <c r="Y685" s="108">
        <f>IF(OtherClients[[#This Row],[Re-certified or New]]&lt;&gt;"Re-certified",IF(OtherClients[[#This Row],[Client]]="infasco",VLOOKUP(OtherClients[[#This Row],[Part]],PartControl!$A$2:$E$564,2,FALSE),OtherClients[[#This Row],[Total Quantity]]*VLOOKUP(OtherClients[[#This Row],[Part]],PartControl!$A$2:$E$564,2,FALSE)),0)</f>
        <v>106.94</v>
      </c>
      <c r="Z685" s="108">
        <f>IF(OtherClients[[#This Row],[Re-certified or New]]&lt;&gt;"Re-certified",IF(OtherClients[[#This Row],[Client]]="infasco",VLOOKUP(OtherClients[[#This Row],[Part]],PartControl!$A$2:$E$564,2,FALSE),OtherClients[[#This Row],[Total Quantity]]*VLOOKUP(OtherClients[[#This Row],[Part]],PartControl!$A$2:$E$564,2,FALSE)),0)</f>
        <v>106.94</v>
      </c>
    </row>
    <row r="686" spans="1:26" ht="25.15" hidden="1" customHeight="1" x14ac:dyDescent="0.25">
      <c r="A686" s="112">
        <v>46246.697256944448</v>
      </c>
      <c r="B686" s="5" t="s">
        <v>237</v>
      </c>
      <c r="C686" s="5">
        <v>11549170</v>
      </c>
      <c r="D686" s="5">
        <v>714619</v>
      </c>
      <c r="E686" s="33">
        <v>36</v>
      </c>
      <c r="F686" s="60">
        <v>400</v>
      </c>
      <c r="G686" s="60">
        <f>+OtherClients[[#This Row],[Boxes / Pieces]]*OtherClients[[#This Row],[Unit Quantity]]</f>
        <v>14400</v>
      </c>
      <c r="H686" s="60">
        <v>290</v>
      </c>
      <c r="I686" s="126" t="s">
        <v>278</v>
      </c>
      <c r="J686" s="127"/>
      <c r="K686" s="33" t="s">
        <v>278</v>
      </c>
      <c r="L686" s="125"/>
      <c r="M686" s="33" t="s">
        <v>278</v>
      </c>
      <c r="N686" s="125"/>
      <c r="O686" s="33" t="s">
        <v>278</v>
      </c>
      <c r="P686" s="125"/>
      <c r="Q686" s="33" t="s">
        <v>587</v>
      </c>
      <c r="R686" s="125"/>
      <c r="S686" s="33" t="s">
        <v>278</v>
      </c>
      <c r="T686" s="125"/>
      <c r="U686" s="33" t="s">
        <v>278</v>
      </c>
      <c r="V686" s="125"/>
      <c r="W686" s="59" t="s">
        <v>548</v>
      </c>
      <c r="X686" s="33" t="str">
        <f>+VLOOKUP(OtherClients[[#This Row],[Part]],PartControl!$A$2:$E$564,5,FALSE)</f>
        <v>INFASCO</v>
      </c>
      <c r="Y686" s="108">
        <f>IF(OtherClients[[#This Row],[Re-certified or New]]&lt;&gt;"Re-certified",IF(OtherClients[[#This Row],[Client]]="infasco",VLOOKUP(OtherClients[[#This Row],[Part]],PartControl!$A$2:$E$564,2,FALSE),OtherClients[[#This Row],[Total Quantity]]*VLOOKUP(OtherClients[[#This Row],[Part]],PartControl!$A$2:$E$564,2,FALSE)),0)</f>
        <v>106.94</v>
      </c>
      <c r="Z686" s="108">
        <f>IF(OtherClients[[#This Row],[Re-certified or New]]&lt;&gt;"Re-certified",IF(OtherClients[[#This Row],[Client]]="infasco",VLOOKUP(OtherClients[[#This Row],[Part]],PartControl!$A$2:$E$564,2,FALSE),OtherClients[[#This Row],[Total Quantity]]*VLOOKUP(OtherClients[[#This Row],[Part]],PartControl!$A$2:$E$564,2,FALSE)),0)</f>
        <v>106.94</v>
      </c>
    </row>
    <row r="687" spans="1:26" ht="25.15" hidden="1" customHeight="1" x14ac:dyDescent="0.25">
      <c r="A687" s="112">
        <v>46246.697256944448</v>
      </c>
      <c r="B687" s="5" t="s">
        <v>240</v>
      </c>
      <c r="C687" s="5" t="s">
        <v>645</v>
      </c>
      <c r="D687" s="5">
        <v>715855</v>
      </c>
      <c r="E687" s="33">
        <v>36</v>
      </c>
      <c r="F687" s="60">
        <v>1000</v>
      </c>
      <c r="G687" s="60">
        <f>+OtherClients[[#This Row],[Boxes / Pieces]]*OtherClients[[#This Row],[Unit Quantity]]</f>
        <v>36000</v>
      </c>
      <c r="H687" s="60">
        <v>290</v>
      </c>
      <c r="I687" s="126" t="s">
        <v>278</v>
      </c>
      <c r="J687" s="127"/>
      <c r="K687" s="33" t="s">
        <v>278</v>
      </c>
      <c r="L687" s="125"/>
      <c r="M687" s="33" t="s">
        <v>278</v>
      </c>
      <c r="N687" s="125"/>
      <c r="O687" s="33" t="s">
        <v>278</v>
      </c>
      <c r="P687" s="125"/>
      <c r="Q687" s="33" t="s">
        <v>587</v>
      </c>
      <c r="R687" s="125"/>
      <c r="S687" s="33" t="s">
        <v>278</v>
      </c>
      <c r="T687" s="125"/>
      <c r="U687" s="33" t="s">
        <v>278</v>
      </c>
      <c r="V687" s="125"/>
      <c r="W687" s="59" t="s">
        <v>548</v>
      </c>
      <c r="X687" s="33" t="str">
        <f>+VLOOKUP(OtherClients[[#This Row],[Part]],PartControl!$A$2:$E$564,5,FALSE)</f>
        <v>infasco</v>
      </c>
      <c r="Y687" s="108">
        <f>IF(OtherClients[[#This Row],[Re-certified or New]]&lt;&gt;"Re-certified",IF(OtherClients[[#This Row],[Client]]="infasco",VLOOKUP(OtherClients[[#This Row],[Part]],PartControl!$A$2:$E$564,2,FALSE),OtherClients[[#This Row],[Total Quantity]]*VLOOKUP(OtherClients[[#This Row],[Part]],PartControl!$A$2:$E$564,2,FALSE)),0)</f>
        <v>106.94</v>
      </c>
      <c r="Z687" s="108">
        <f>IF(OtherClients[[#This Row],[Re-certified or New]]&lt;&gt;"Re-certified",IF(OtherClients[[#This Row],[Client]]="infasco",VLOOKUP(OtherClients[[#This Row],[Part]],PartControl!$A$2:$E$564,2,FALSE),OtherClients[[#This Row],[Total Quantity]]*VLOOKUP(OtherClients[[#This Row],[Part]],PartControl!$A$2:$E$564,2,FALSE)),0)</f>
        <v>106.94</v>
      </c>
    </row>
    <row r="688" spans="1:26" ht="25.15" hidden="1" customHeight="1" x14ac:dyDescent="0.25">
      <c r="A688" s="112">
        <v>46246.697256944448</v>
      </c>
      <c r="B688" s="5" t="s">
        <v>240</v>
      </c>
      <c r="C688" s="5" t="s">
        <v>645</v>
      </c>
      <c r="D688" s="5">
        <v>715857</v>
      </c>
      <c r="E688" s="33">
        <v>40</v>
      </c>
      <c r="F688" s="60">
        <v>1000</v>
      </c>
      <c r="G688" s="60">
        <f>+OtherClients[[#This Row],[Boxes / Pieces]]*OtherClients[[#This Row],[Unit Quantity]]</f>
        <v>40000</v>
      </c>
      <c r="H688" s="60">
        <v>290</v>
      </c>
      <c r="I688" s="126" t="s">
        <v>278</v>
      </c>
      <c r="J688" s="127"/>
      <c r="K688" s="33" t="s">
        <v>278</v>
      </c>
      <c r="L688" s="125"/>
      <c r="M688" s="33" t="s">
        <v>278</v>
      </c>
      <c r="N688" s="125"/>
      <c r="O688" s="33" t="s">
        <v>278</v>
      </c>
      <c r="P688" s="125"/>
      <c r="Q688" s="33" t="s">
        <v>587</v>
      </c>
      <c r="R688" s="125"/>
      <c r="S688" s="33" t="s">
        <v>278</v>
      </c>
      <c r="T688" s="125"/>
      <c r="U688" s="33" t="s">
        <v>278</v>
      </c>
      <c r="V688" s="125"/>
      <c r="W688" s="59" t="s">
        <v>548</v>
      </c>
      <c r="X688" s="33" t="str">
        <f>+VLOOKUP(OtherClients[[#This Row],[Part]],PartControl!$A$2:$E$564,5,FALSE)</f>
        <v>infasco</v>
      </c>
      <c r="Y688" s="108">
        <f>IF(OtherClients[[#This Row],[Re-certified or New]]&lt;&gt;"Re-certified",IF(OtherClients[[#This Row],[Client]]="infasco",VLOOKUP(OtherClients[[#This Row],[Part]],PartControl!$A$2:$E$564,2,FALSE),OtherClients[[#This Row],[Total Quantity]]*VLOOKUP(OtherClients[[#This Row],[Part]],PartControl!$A$2:$E$564,2,FALSE)),0)</f>
        <v>106.94</v>
      </c>
      <c r="Z688" s="108">
        <f>IF(OtherClients[[#This Row],[Re-certified or New]]&lt;&gt;"Re-certified",IF(OtherClients[[#This Row],[Client]]="infasco",VLOOKUP(OtherClients[[#This Row],[Part]],PartControl!$A$2:$E$564,2,FALSE),OtherClients[[#This Row],[Total Quantity]]*VLOOKUP(OtherClients[[#This Row],[Part]],PartControl!$A$2:$E$564,2,FALSE)),0)</f>
        <v>106.94</v>
      </c>
    </row>
    <row r="689" spans="1:26" ht="25.15" hidden="1" customHeight="1" x14ac:dyDescent="0.25">
      <c r="A689" s="112">
        <v>46246.697256944448</v>
      </c>
      <c r="B689" s="5" t="s">
        <v>240</v>
      </c>
      <c r="C689" s="5" t="s">
        <v>645</v>
      </c>
      <c r="D689" s="5">
        <v>715853</v>
      </c>
      <c r="E689" s="33">
        <v>36</v>
      </c>
      <c r="F689" s="60">
        <v>1000</v>
      </c>
      <c r="G689" s="60">
        <f>+OtherClients[[#This Row],[Boxes / Pieces]]*OtherClients[[#This Row],[Unit Quantity]]</f>
        <v>36000</v>
      </c>
      <c r="H689" s="60">
        <v>290</v>
      </c>
      <c r="I689" s="126" t="s">
        <v>278</v>
      </c>
      <c r="J689" s="127"/>
      <c r="K689" s="33" t="s">
        <v>278</v>
      </c>
      <c r="L689" s="125"/>
      <c r="M689" s="33" t="s">
        <v>278</v>
      </c>
      <c r="N689" s="125"/>
      <c r="O689" s="33" t="s">
        <v>278</v>
      </c>
      <c r="P689" s="125"/>
      <c r="Q689" s="33" t="s">
        <v>587</v>
      </c>
      <c r="R689" s="125"/>
      <c r="S689" s="33" t="s">
        <v>278</v>
      </c>
      <c r="T689" s="125"/>
      <c r="U689" s="33" t="s">
        <v>278</v>
      </c>
      <c r="V689" s="125"/>
      <c r="W689" s="59" t="s">
        <v>633</v>
      </c>
      <c r="X689" s="33" t="str">
        <f>+VLOOKUP(OtherClients[[#This Row],[Part]],PartControl!$A$2:$E$564,5,FALSE)</f>
        <v>infasco</v>
      </c>
      <c r="Y689" s="108">
        <f>IF(OtherClients[[#This Row],[Re-certified or New]]&lt;&gt;"Re-certified",IF(OtherClients[[#This Row],[Client]]="infasco",VLOOKUP(OtherClients[[#This Row],[Part]],PartControl!$A$2:$E$564,2,FALSE),OtherClients[[#This Row],[Total Quantity]]*VLOOKUP(OtherClients[[#This Row],[Part]],PartControl!$A$2:$E$564,2,FALSE)),0)</f>
        <v>0</v>
      </c>
      <c r="Z689" s="108">
        <f>IF(OtherClients[[#This Row],[Re-certified or New]]&lt;&gt;"Re-certified",IF(OtherClients[[#This Row],[Client]]="infasco",VLOOKUP(OtherClients[[#This Row],[Part]],PartControl!$A$2:$E$564,2,FALSE),OtherClients[[#This Row],[Total Quantity]]*VLOOKUP(OtherClients[[#This Row],[Part]],PartControl!$A$2:$E$564,2,FALSE)),0)</f>
        <v>0</v>
      </c>
    </row>
    <row r="690" spans="1:26" ht="25.15" hidden="1" customHeight="1" x14ac:dyDescent="0.25">
      <c r="A690" s="112">
        <v>46246.697256944448</v>
      </c>
      <c r="B690" s="5" t="s">
        <v>236</v>
      </c>
      <c r="C690" s="5" t="s">
        <v>728</v>
      </c>
      <c r="D690" s="5">
        <v>716158</v>
      </c>
      <c r="E690" s="33">
        <f>36+24-15</f>
        <v>45</v>
      </c>
      <c r="F690" s="60">
        <v>1500</v>
      </c>
      <c r="G690" s="60">
        <f>+OtherClients[[#This Row],[Boxes / Pieces]]*OtherClients[[#This Row],[Unit Quantity]]</f>
        <v>67500</v>
      </c>
      <c r="H690" s="60">
        <v>290</v>
      </c>
      <c r="I690" s="126" t="s">
        <v>278</v>
      </c>
      <c r="J690" s="127"/>
      <c r="K690" s="33" t="s">
        <v>278</v>
      </c>
      <c r="L690" s="125"/>
      <c r="M690" s="33" t="s">
        <v>278</v>
      </c>
      <c r="N690" s="125"/>
      <c r="O690" s="33" t="s">
        <v>278</v>
      </c>
      <c r="P690" s="125"/>
      <c r="Q690" s="33" t="s">
        <v>587</v>
      </c>
      <c r="R690" s="125"/>
      <c r="S690" s="33" t="s">
        <v>278</v>
      </c>
      <c r="T690" s="125"/>
      <c r="U690" s="33" t="s">
        <v>278</v>
      </c>
      <c r="V690" s="125"/>
      <c r="W690" s="59" t="s">
        <v>548</v>
      </c>
      <c r="X690" s="33" t="str">
        <f>+VLOOKUP(OtherClients[[#This Row],[Part]],PartControl!$A$2:$E$564,5,FALSE)</f>
        <v>infasco</v>
      </c>
      <c r="Y690" s="108">
        <f>IF(OtherClients[[#This Row],[Re-certified or New]]&lt;&gt;"Re-certified",IF(OtherClients[[#This Row],[Client]]="infasco",VLOOKUP(OtherClients[[#This Row],[Part]],PartControl!$A$2:$E$564,2,FALSE),OtherClients[[#This Row],[Total Quantity]]*VLOOKUP(OtherClients[[#This Row],[Part]],PartControl!$A$2:$E$564,2,FALSE)),0)</f>
        <v>106.94</v>
      </c>
      <c r="Z690" s="108">
        <f>IF(OtherClients[[#This Row],[Re-certified or New]]&lt;&gt;"Re-certified",IF(OtherClients[[#This Row],[Client]]="infasco",VLOOKUP(OtherClients[[#This Row],[Part]],PartControl!$A$2:$E$564,2,FALSE),OtherClients[[#This Row],[Total Quantity]]*VLOOKUP(OtherClients[[#This Row],[Part]],PartControl!$A$2:$E$564,2,FALSE)),0)</f>
        <v>106.94</v>
      </c>
    </row>
    <row r="691" spans="1:26" ht="25.15" hidden="1" customHeight="1" x14ac:dyDescent="0.25">
      <c r="A691" s="112">
        <v>46246.697256944448</v>
      </c>
      <c r="B691" s="5" t="s">
        <v>236</v>
      </c>
      <c r="C691" s="5">
        <v>11546545</v>
      </c>
      <c r="D691" s="5">
        <v>716267</v>
      </c>
      <c r="E691" s="33">
        <v>10</v>
      </c>
      <c r="F691" s="60">
        <v>2500</v>
      </c>
      <c r="G691" s="60">
        <f>+OtherClients[[#This Row],[Boxes / Pieces]]*OtherClients[[#This Row],[Unit Quantity]]</f>
        <v>25000</v>
      </c>
      <c r="H691" s="60">
        <v>290</v>
      </c>
      <c r="I691" s="126" t="s">
        <v>278</v>
      </c>
      <c r="J691" s="127"/>
      <c r="K691" s="33" t="s">
        <v>278</v>
      </c>
      <c r="L691" s="125"/>
      <c r="M691" s="33" t="s">
        <v>278</v>
      </c>
      <c r="N691" s="125"/>
      <c r="O691" s="33" t="s">
        <v>278</v>
      </c>
      <c r="P691" s="125"/>
      <c r="Q691" s="33" t="s">
        <v>587</v>
      </c>
      <c r="R691" s="125"/>
      <c r="S691" s="33" t="s">
        <v>278</v>
      </c>
      <c r="T691" s="125"/>
      <c r="U691" s="33" t="s">
        <v>278</v>
      </c>
      <c r="V691" s="125"/>
      <c r="W691" s="59" t="s">
        <v>633</v>
      </c>
      <c r="X691" s="33" t="str">
        <f>+VLOOKUP(OtherClients[[#This Row],[Part]],PartControl!$A$2:$E$564,5,FALSE)</f>
        <v>infasco</v>
      </c>
      <c r="Y691" s="108">
        <f>IF(OtherClients[[#This Row],[Re-certified or New]]&lt;&gt;"Re-certified",IF(OtherClients[[#This Row],[Client]]="infasco",VLOOKUP(OtherClients[[#This Row],[Part]],PartControl!$A$2:$E$564,2,FALSE),OtherClients[[#This Row],[Total Quantity]]*VLOOKUP(OtherClients[[#This Row],[Part]],PartControl!$A$2:$E$564,2,FALSE)),0)</f>
        <v>0</v>
      </c>
      <c r="Z691" s="108">
        <f>IF(OtherClients[[#This Row],[Re-certified or New]]&lt;&gt;"Re-certified",IF(OtherClients[[#This Row],[Client]]="infasco",VLOOKUP(OtherClients[[#This Row],[Part]],PartControl!$A$2:$E$564,2,FALSE),OtherClients[[#This Row],[Total Quantity]]*VLOOKUP(OtherClients[[#This Row],[Part]],PartControl!$A$2:$E$564,2,FALSE)),0)</f>
        <v>0</v>
      </c>
    </row>
    <row r="692" spans="1:26" ht="25.15" hidden="1" customHeight="1" x14ac:dyDescent="0.25">
      <c r="A692" s="112">
        <v>46246.697256944448</v>
      </c>
      <c r="B692" s="5" t="s">
        <v>239</v>
      </c>
      <c r="C692" s="5">
        <v>11549170</v>
      </c>
      <c r="D692" s="5">
        <v>714386</v>
      </c>
      <c r="E692" s="33">
        <f>39-15</f>
        <v>24</v>
      </c>
      <c r="F692" s="60">
        <v>400</v>
      </c>
      <c r="G692" s="60">
        <f>+OtherClients[[#This Row],[Boxes / Pieces]]*OtherClients[[#This Row],[Unit Quantity]]</f>
        <v>9600</v>
      </c>
      <c r="H692" s="60">
        <v>290</v>
      </c>
      <c r="I692" s="126" t="s">
        <v>278</v>
      </c>
      <c r="J692" s="127"/>
      <c r="K692" s="33" t="s">
        <v>278</v>
      </c>
      <c r="L692" s="125"/>
      <c r="M692" s="33" t="s">
        <v>278</v>
      </c>
      <c r="N692" s="125"/>
      <c r="O692" s="33" t="s">
        <v>278</v>
      </c>
      <c r="P692" s="125"/>
      <c r="Q692" s="33" t="s">
        <v>587</v>
      </c>
      <c r="R692" s="125"/>
      <c r="S692" s="33" t="s">
        <v>278</v>
      </c>
      <c r="T692" s="125"/>
      <c r="U692" s="33" t="s">
        <v>278</v>
      </c>
      <c r="V692" s="125"/>
      <c r="W692" s="59" t="s">
        <v>548</v>
      </c>
      <c r="X692" s="33" t="str">
        <f>+VLOOKUP(OtherClients[[#This Row],[Part]],PartControl!$A$2:$E$564,5,FALSE)</f>
        <v>INFASCO</v>
      </c>
      <c r="Y692" s="108">
        <f>IF(OtherClients[[#This Row],[Re-certified or New]]&lt;&gt;"Re-certified",IF(OtherClients[[#This Row],[Client]]="infasco",VLOOKUP(OtherClients[[#This Row],[Part]],PartControl!$A$2:$E$564,2,FALSE),OtherClients[[#This Row],[Total Quantity]]*VLOOKUP(OtherClients[[#This Row],[Part]],PartControl!$A$2:$E$564,2,FALSE)),0)</f>
        <v>106.94</v>
      </c>
      <c r="Z692" s="108">
        <f>IF(OtherClients[[#This Row],[Re-certified or New]]&lt;&gt;"Re-certified",IF(OtherClients[[#This Row],[Client]]="infasco",VLOOKUP(OtherClients[[#This Row],[Part]],PartControl!$A$2:$E$564,2,FALSE),OtherClients[[#This Row],[Total Quantity]]*VLOOKUP(OtherClients[[#This Row],[Part]],PartControl!$A$2:$E$564,2,FALSE)),0)</f>
        <v>106.94</v>
      </c>
    </row>
    <row r="693" spans="1:26" ht="25.15" hidden="1" customHeight="1" x14ac:dyDescent="0.25">
      <c r="A693" s="112">
        <v>46246.697256944448</v>
      </c>
      <c r="B693" s="5" t="s">
        <v>239</v>
      </c>
      <c r="C693" s="5">
        <v>11549170</v>
      </c>
      <c r="D693" s="5">
        <v>714624</v>
      </c>
      <c r="E693" s="33">
        <v>39</v>
      </c>
      <c r="F693" s="60">
        <v>400</v>
      </c>
      <c r="G693" s="60">
        <f>+OtherClients[[#This Row],[Boxes / Pieces]]*OtherClients[[#This Row],[Unit Quantity]]</f>
        <v>15600</v>
      </c>
      <c r="H693" s="60">
        <v>290</v>
      </c>
      <c r="I693" s="126" t="s">
        <v>278</v>
      </c>
      <c r="J693" s="127"/>
      <c r="K693" s="33" t="s">
        <v>278</v>
      </c>
      <c r="L693" s="125"/>
      <c r="M693" s="33" t="s">
        <v>278</v>
      </c>
      <c r="N693" s="125"/>
      <c r="O693" s="33" t="s">
        <v>278</v>
      </c>
      <c r="P693" s="125"/>
      <c r="Q693" s="33" t="s">
        <v>587</v>
      </c>
      <c r="R693" s="125"/>
      <c r="S693" s="33" t="s">
        <v>278</v>
      </c>
      <c r="T693" s="125"/>
      <c r="U693" s="33" t="s">
        <v>278</v>
      </c>
      <c r="V693" s="125"/>
      <c r="W693" s="59" t="s">
        <v>548</v>
      </c>
      <c r="X693" s="33" t="str">
        <f>+VLOOKUP(OtherClients[[#This Row],[Part]],PartControl!$A$2:$E$564,5,FALSE)</f>
        <v>INFASCO</v>
      </c>
      <c r="Y693" s="108">
        <f>IF(OtherClients[[#This Row],[Re-certified or New]]&lt;&gt;"Re-certified",IF(OtherClients[[#This Row],[Client]]="infasco",VLOOKUP(OtherClients[[#This Row],[Part]],PartControl!$A$2:$E$564,2,FALSE),OtherClients[[#This Row],[Total Quantity]]*VLOOKUP(OtherClients[[#This Row],[Part]],PartControl!$A$2:$E$564,2,FALSE)),0)</f>
        <v>106.94</v>
      </c>
      <c r="Z693" s="108">
        <f>IF(OtherClients[[#This Row],[Re-certified or New]]&lt;&gt;"Re-certified",IF(OtherClients[[#This Row],[Client]]="infasco",VLOOKUP(OtherClients[[#This Row],[Part]],PartControl!$A$2:$E$564,2,FALSE),OtherClients[[#This Row],[Total Quantity]]*VLOOKUP(OtherClients[[#This Row],[Part]],PartControl!$A$2:$E$564,2,FALSE)),0)</f>
        <v>106.94</v>
      </c>
    </row>
    <row r="694" spans="1:26" ht="25.15" hidden="1" customHeight="1" x14ac:dyDescent="0.25">
      <c r="A694" s="112">
        <v>46246.697256944448</v>
      </c>
      <c r="B694" s="5" t="s">
        <v>239</v>
      </c>
      <c r="C694" s="5">
        <v>11549170</v>
      </c>
      <c r="D694" s="5">
        <v>714645</v>
      </c>
      <c r="E694" s="33">
        <v>34</v>
      </c>
      <c r="F694" s="60">
        <v>400</v>
      </c>
      <c r="G694" s="60">
        <f>+OtherClients[[#This Row],[Boxes / Pieces]]*OtherClients[[#This Row],[Unit Quantity]]</f>
        <v>13600</v>
      </c>
      <c r="H694" s="60">
        <v>290</v>
      </c>
      <c r="I694" s="126" t="s">
        <v>278</v>
      </c>
      <c r="J694" s="127"/>
      <c r="K694" s="33" t="s">
        <v>278</v>
      </c>
      <c r="L694" s="125"/>
      <c r="M694" s="33" t="s">
        <v>278</v>
      </c>
      <c r="N694" s="125"/>
      <c r="O694" s="33" t="s">
        <v>278</v>
      </c>
      <c r="P694" s="125"/>
      <c r="Q694" s="33" t="s">
        <v>587</v>
      </c>
      <c r="R694" s="125"/>
      <c r="S694" s="33" t="s">
        <v>278</v>
      </c>
      <c r="T694" s="125"/>
      <c r="U694" s="33" t="s">
        <v>278</v>
      </c>
      <c r="V694" s="125"/>
      <c r="W694" s="59" t="s">
        <v>548</v>
      </c>
      <c r="X694" s="33" t="str">
        <f>+VLOOKUP(OtherClients[[#This Row],[Part]],PartControl!$A$2:$E$564,5,FALSE)</f>
        <v>INFASCO</v>
      </c>
      <c r="Y694" s="108">
        <f>IF(OtherClients[[#This Row],[Re-certified or New]]&lt;&gt;"Re-certified",IF(OtherClients[[#This Row],[Client]]="infasco",VLOOKUP(OtherClients[[#This Row],[Part]],PartControl!$A$2:$E$564,2,FALSE),OtherClients[[#This Row],[Total Quantity]]*VLOOKUP(OtherClients[[#This Row],[Part]],PartControl!$A$2:$E$564,2,FALSE)),0)</f>
        <v>106.94</v>
      </c>
      <c r="Z694" s="108">
        <f>IF(OtherClients[[#This Row],[Re-certified or New]]&lt;&gt;"Re-certified",IF(OtherClients[[#This Row],[Client]]="infasco",VLOOKUP(OtherClients[[#This Row],[Part]],PartControl!$A$2:$E$564,2,FALSE),OtherClients[[#This Row],[Total Quantity]]*VLOOKUP(OtherClients[[#This Row],[Part]],PartControl!$A$2:$E$564,2,FALSE)),0)</f>
        <v>106.94</v>
      </c>
    </row>
    <row r="695" spans="1:26" ht="25.15" hidden="1" customHeight="1" x14ac:dyDescent="0.25">
      <c r="A695" s="112">
        <v>46246.697256944448</v>
      </c>
      <c r="B695" s="5" t="s">
        <v>239</v>
      </c>
      <c r="C695" s="5">
        <v>11549170</v>
      </c>
      <c r="D695" s="5">
        <v>714625</v>
      </c>
      <c r="E695" s="33">
        <v>22</v>
      </c>
      <c r="F695" s="60">
        <v>400</v>
      </c>
      <c r="G695" s="60">
        <f>+OtherClients[[#This Row],[Boxes / Pieces]]*OtherClients[[#This Row],[Unit Quantity]]</f>
        <v>8800</v>
      </c>
      <c r="H695" s="60">
        <v>290</v>
      </c>
      <c r="I695" s="126" t="s">
        <v>278</v>
      </c>
      <c r="J695" s="127"/>
      <c r="K695" s="33" t="s">
        <v>278</v>
      </c>
      <c r="L695" s="125"/>
      <c r="M695" s="33" t="s">
        <v>278</v>
      </c>
      <c r="N695" s="125"/>
      <c r="O695" s="33" t="s">
        <v>278</v>
      </c>
      <c r="P695" s="125"/>
      <c r="Q695" s="33" t="s">
        <v>587</v>
      </c>
      <c r="R695" s="125"/>
      <c r="S695" s="33" t="s">
        <v>278</v>
      </c>
      <c r="T695" s="125"/>
      <c r="U695" s="33" t="s">
        <v>278</v>
      </c>
      <c r="V695" s="125"/>
      <c r="W695" s="59" t="s">
        <v>633</v>
      </c>
      <c r="X695" s="33" t="str">
        <f>+VLOOKUP(OtherClients[[#This Row],[Part]],PartControl!$A$2:$E$564,5,FALSE)</f>
        <v>INFASCO</v>
      </c>
      <c r="Y695" s="108">
        <f>IF(OtherClients[[#This Row],[Re-certified or New]]&lt;&gt;"Re-certified",IF(OtherClients[[#This Row],[Client]]="infasco",VLOOKUP(OtherClients[[#This Row],[Part]],PartControl!$A$2:$E$564,2,FALSE),OtherClients[[#This Row],[Total Quantity]]*VLOOKUP(OtherClients[[#This Row],[Part]],PartControl!$A$2:$E$564,2,FALSE)),0)</f>
        <v>0</v>
      </c>
      <c r="Z695" s="108">
        <f>IF(OtherClients[[#This Row],[Re-certified or New]]&lt;&gt;"Re-certified",IF(OtherClients[[#This Row],[Client]]="infasco",VLOOKUP(OtherClients[[#This Row],[Part]],PartControl!$A$2:$E$564,2,FALSE),OtherClients[[#This Row],[Total Quantity]]*VLOOKUP(OtherClients[[#This Row],[Part]],PartControl!$A$2:$E$564,2,FALSE)),0)</f>
        <v>0</v>
      </c>
    </row>
    <row r="696" spans="1:26" ht="25.15" hidden="1" customHeight="1" x14ac:dyDescent="0.25">
      <c r="A696" s="112">
        <v>46246.697256944448</v>
      </c>
      <c r="B696" s="5" t="s">
        <v>235</v>
      </c>
      <c r="C696" s="5" t="s">
        <v>656</v>
      </c>
      <c r="D696" s="5">
        <v>715680</v>
      </c>
      <c r="E696" s="33">
        <f>20-16</f>
        <v>4</v>
      </c>
      <c r="F696" s="60">
        <v>825</v>
      </c>
      <c r="G696" s="60">
        <f>+OtherClients[[#This Row],[Boxes / Pieces]]*OtherClients[[#This Row],[Unit Quantity]]</f>
        <v>3300</v>
      </c>
      <c r="H696" s="60">
        <v>290</v>
      </c>
      <c r="I696" s="126" t="s">
        <v>278</v>
      </c>
      <c r="J696" s="127"/>
      <c r="K696" s="33" t="s">
        <v>278</v>
      </c>
      <c r="L696" s="125"/>
      <c r="M696" s="33" t="s">
        <v>278</v>
      </c>
      <c r="N696" s="125"/>
      <c r="O696" s="33" t="s">
        <v>278</v>
      </c>
      <c r="P696" s="125"/>
      <c r="Q696" s="33" t="s">
        <v>587</v>
      </c>
      <c r="R696" s="125"/>
      <c r="S696" s="33" t="s">
        <v>278</v>
      </c>
      <c r="T696" s="125"/>
      <c r="U696" s="33" t="s">
        <v>278</v>
      </c>
      <c r="V696" s="125"/>
      <c r="W696" s="59" t="s">
        <v>548</v>
      </c>
      <c r="X696" s="33" t="str">
        <f>+VLOOKUP(OtherClients[[#This Row],[Part]],PartControl!$A$2:$E$564,5,FALSE)</f>
        <v>infasco</v>
      </c>
      <c r="Y696" s="108">
        <f>IF(OtherClients[[#This Row],[Re-certified or New]]&lt;&gt;"Re-certified",IF(OtherClients[[#This Row],[Client]]="infasco",VLOOKUP(OtherClients[[#This Row],[Part]],PartControl!$A$2:$E$564,2,FALSE),OtherClients[[#This Row],[Total Quantity]]*VLOOKUP(OtherClients[[#This Row],[Part]],PartControl!$A$2:$E$564,2,FALSE)),0)</f>
        <v>280.16000000000003</v>
      </c>
      <c r="Z696" s="108">
        <f>IF(OtherClients[[#This Row],[Re-certified or New]]&lt;&gt;"Re-certified",IF(OtherClients[[#This Row],[Client]]="infasco",VLOOKUP(OtherClients[[#This Row],[Part]],PartControl!$A$2:$E$564,2,FALSE),OtherClients[[#This Row],[Total Quantity]]*VLOOKUP(OtherClients[[#This Row],[Part]],PartControl!$A$2:$E$564,2,FALSE)),0)</f>
        <v>280.16000000000003</v>
      </c>
    </row>
    <row r="697" spans="1:26" ht="25.15" hidden="1" customHeight="1" x14ac:dyDescent="0.25">
      <c r="A697" s="112">
        <v>46246.697256944448</v>
      </c>
      <c r="B697" s="5" t="s">
        <v>235</v>
      </c>
      <c r="C697" s="5" t="s">
        <v>656</v>
      </c>
      <c r="D697" s="5">
        <v>715681</v>
      </c>
      <c r="E697" s="33">
        <v>19</v>
      </c>
      <c r="F697" s="60">
        <v>825</v>
      </c>
      <c r="G697" s="60">
        <f>+OtherClients[[#This Row],[Boxes / Pieces]]*OtherClients[[#This Row],[Unit Quantity]]</f>
        <v>15675</v>
      </c>
      <c r="H697" s="60">
        <v>290</v>
      </c>
      <c r="I697" s="126" t="s">
        <v>278</v>
      </c>
      <c r="J697" s="127"/>
      <c r="K697" s="33" t="s">
        <v>278</v>
      </c>
      <c r="L697" s="125"/>
      <c r="M697" s="33" t="s">
        <v>278</v>
      </c>
      <c r="N697" s="125"/>
      <c r="O697" s="33" t="s">
        <v>278</v>
      </c>
      <c r="P697" s="125"/>
      <c r="Q697" s="33" t="s">
        <v>587</v>
      </c>
      <c r="R697" s="125"/>
      <c r="S697" s="33" t="s">
        <v>278</v>
      </c>
      <c r="T697" s="125"/>
      <c r="U697" s="33" t="s">
        <v>278</v>
      </c>
      <c r="V697" s="125"/>
      <c r="W697" s="59" t="s">
        <v>548</v>
      </c>
      <c r="X697" s="33" t="str">
        <f>+VLOOKUP(OtherClients[[#This Row],[Part]],PartControl!$A$2:$E$564,5,FALSE)</f>
        <v>infasco</v>
      </c>
      <c r="Y697" s="108">
        <f>IF(OtherClients[[#This Row],[Re-certified or New]]&lt;&gt;"Re-certified",IF(OtherClients[[#This Row],[Client]]="infasco",VLOOKUP(OtherClients[[#This Row],[Part]],PartControl!$A$2:$E$564,2,FALSE),OtherClients[[#This Row],[Total Quantity]]*VLOOKUP(OtherClients[[#This Row],[Part]],PartControl!$A$2:$E$564,2,FALSE)),0)</f>
        <v>280.16000000000003</v>
      </c>
      <c r="Z697" s="108">
        <f>IF(OtherClients[[#This Row],[Re-certified or New]]&lt;&gt;"Re-certified",IF(OtherClients[[#This Row],[Client]]="infasco",VLOOKUP(OtherClients[[#This Row],[Part]],PartControl!$A$2:$E$564,2,FALSE),OtherClients[[#This Row],[Total Quantity]]*VLOOKUP(OtherClients[[#This Row],[Part]],PartControl!$A$2:$E$564,2,FALSE)),0)</f>
        <v>280.16000000000003</v>
      </c>
    </row>
    <row r="698" spans="1:26" ht="25.15" hidden="1" customHeight="1" x14ac:dyDescent="0.25">
      <c r="A698" s="112">
        <v>46246.697256944448</v>
      </c>
      <c r="B698" s="5" t="s">
        <v>246</v>
      </c>
      <c r="C698" s="5" t="s">
        <v>732</v>
      </c>
      <c r="D698" s="5">
        <v>712287</v>
      </c>
      <c r="E698" s="33">
        <v>36</v>
      </c>
      <c r="F698" s="60">
        <v>1000</v>
      </c>
      <c r="G698" s="60">
        <f>+OtherClients[[#This Row],[Boxes / Pieces]]*OtherClients[[#This Row],[Unit Quantity]]</f>
        <v>36000</v>
      </c>
      <c r="H698" s="60">
        <v>272</v>
      </c>
      <c r="I698" s="126" t="s">
        <v>278</v>
      </c>
      <c r="J698" s="127"/>
      <c r="K698" s="33" t="s">
        <v>278</v>
      </c>
      <c r="L698" s="125"/>
      <c r="M698" s="33" t="s">
        <v>278</v>
      </c>
      <c r="N698" s="125"/>
      <c r="O698" s="33" t="s">
        <v>278</v>
      </c>
      <c r="P698" s="125"/>
      <c r="Q698" s="33" t="s">
        <v>587</v>
      </c>
      <c r="R698" s="125"/>
      <c r="S698" s="33" t="s">
        <v>278</v>
      </c>
      <c r="T698" s="125"/>
      <c r="U698" s="33" t="s">
        <v>278</v>
      </c>
      <c r="V698" s="125"/>
      <c r="W698" s="59" t="s">
        <v>548</v>
      </c>
      <c r="X698" s="33" t="str">
        <f>+VLOOKUP(OtherClients[[#This Row],[Part]],PartControl!$A$2:$E$564,5,FALSE)</f>
        <v>infasco</v>
      </c>
      <c r="Y698" s="108">
        <f>IF(OtherClients[[#This Row],[Re-certified or New]]&lt;&gt;"Re-certified",IF(OtherClients[[#This Row],[Client]]="infasco",VLOOKUP(OtherClients[[#This Row],[Part]],PartControl!$A$2:$E$564,2,FALSE),OtherClients[[#This Row],[Total Quantity]]*VLOOKUP(OtherClients[[#This Row],[Part]],PartControl!$A$2:$E$564,2,FALSE)),0)</f>
        <v>213.88</v>
      </c>
      <c r="Z698" s="108">
        <f>IF(OtherClients[[#This Row],[Re-certified or New]]&lt;&gt;"Re-certified",IF(OtherClients[[#This Row],[Client]]="infasco",VLOOKUP(OtherClients[[#This Row],[Part]],PartControl!$A$2:$E$564,2,FALSE),OtherClients[[#This Row],[Total Quantity]]*VLOOKUP(OtherClients[[#This Row],[Part]],PartControl!$A$2:$E$564,2,FALSE)),0)</f>
        <v>213.88</v>
      </c>
    </row>
    <row r="699" spans="1:26" ht="25.15" hidden="1" customHeight="1" x14ac:dyDescent="0.25">
      <c r="A699" s="112">
        <v>46246.697256944448</v>
      </c>
      <c r="B699" s="5" t="s">
        <v>246</v>
      </c>
      <c r="C699" s="5" t="s">
        <v>732</v>
      </c>
      <c r="D699" s="5">
        <v>710830</v>
      </c>
      <c r="E699" s="33">
        <v>36</v>
      </c>
      <c r="F699" s="60">
        <v>1000</v>
      </c>
      <c r="G699" s="60">
        <f>+OtherClients[[#This Row],[Boxes / Pieces]]*OtherClients[[#This Row],[Unit Quantity]]</f>
        <v>36000</v>
      </c>
      <c r="H699" s="60">
        <v>272</v>
      </c>
      <c r="I699" s="126" t="s">
        <v>278</v>
      </c>
      <c r="J699" s="127"/>
      <c r="K699" s="33" t="s">
        <v>278</v>
      </c>
      <c r="L699" s="125"/>
      <c r="M699" s="33" t="s">
        <v>278</v>
      </c>
      <c r="N699" s="125"/>
      <c r="O699" s="33" t="s">
        <v>278</v>
      </c>
      <c r="P699" s="125"/>
      <c r="Q699" s="33" t="s">
        <v>587</v>
      </c>
      <c r="R699" s="125"/>
      <c r="S699" s="33" t="s">
        <v>278</v>
      </c>
      <c r="T699" s="125"/>
      <c r="U699" s="33" t="s">
        <v>278</v>
      </c>
      <c r="V699" s="125"/>
      <c r="W699" s="59" t="s">
        <v>633</v>
      </c>
      <c r="X699" s="33" t="str">
        <f>+VLOOKUP(OtherClients[[#This Row],[Part]],PartControl!$A$2:$E$564,5,FALSE)</f>
        <v>infasco</v>
      </c>
      <c r="Y699" s="108">
        <f>IF(OtherClients[[#This Row],[Re-certified or New]]&lt;&gt;"Re-certified",IF(OtherClients[[#This Row],[Client]]="infasco",VLOOKUP(OtherClients[[#This Row],[Part]],PartControl!$A$2:$E$564,2,FALSE),OtherClients[[#This Row],[Total Quantity]]*VLOOKUP(OtherClients[[#This Row],[Part]],PartControl!$A$2:$E$564,2,FALSE)),0)</f>
        <v>0</v>
      </c>
      <c r="Z699" s="108">
        <f>IF(OtherClients[[#This Row],[Re-certified or New]]&lt;&gt;"Re-certified",IF(OtherClients[[#This Row],[Client]]="infasco",VLOOKUP(OtherClients[[#This Row],[Part]],PartControl!$A$2:$E$564,2,FALSE),OtherClients[[#This Row],[Total Quantity]]*VLOOKUP(OtherClients[[#This Row],[Part]],PartControl!$A$2:$E$564,2,FALSE)),0)</f>
        <v>0</v>
      </c>
    </row>
    <row r="700" spans="1:26" ht="25.15" hidden="1" customHeight="1" x14ac:dyDescent="0.25">
      <c r="A700" s="112">
        <v>46246.697256944448</v>
      </c>
      <c r="B700" s="5" t="s">
        <v>635</v>
      </c>
      <c r="C700" s="5" t="s">
        <v>306</v>
      </c>
      <c r="D700" s="5">
        <v>715836</v>
      </c>
      <c r="E700" s="33">
        <v>1</v>
      </c>
      <c r="F700" s="60">
        <v>21323</v>
      </c>
      <c r="G700" s="60">
        <f>+OtherClients[[#This Row],[Boxes / Pieces]]*OtherClients[[#This Row],[Unit Quantity]]</f>
        <v>21323</v>
      </c>
      <c r="H700" s="60">
        <v>280</v>
      </c>
      <c r="I700" s="126" t="s">
        <v>278</v>
      </c>
      <c r="J700" s="127"/>
      <c r="K700" s="33" t="s">
        <v>278</v>
      </c>
      <c r="L700" s="125"/>
      <c r="M700" s="33" t="s">
        <v>278</v>
      </c>
      <c r="N700" s="125"/>
      <c r="O700" s="33" t="s">
        <v>278</v>
      </c>
      <c r="P700" s="125"/>
      <c r="Q700" s="33" t="s">
        <v>587</v>
      </c>
      <c r="R700" s="125"/>
      <c r="S700" s="33" t="s">
        <v>278</v>
      </c>
      <c r="T700" s="125"/>
      <c r="U700" s="33" t="s">
        <v>278</v>
      </c>
      <c r="V700" s="125"/>
      <c r="W700" s="59" t="s">
        <v>548</v>
      </c>
      <c r="X700" s="33" t="str">
        <f>+VLOOKUP(OtherClients[[#This Row],[Part]],PartControl!$A$2:$E$564,5,FALSE)</f>
        <v>INFASCO</v>
      </c>
      <c r="Y700" s="108">
        <f>IF(OtherClients[[#This Row],[Re-certified or New]]&lt;&gt;"Re-certified",IF(OtherClients[[#This Row],[Client]]="infasco",VLOOKUP(OtherClients[[#This Row],[Part]],PartControl!$A$2:$E$564,2,FALSE),OtherClients[[#This Row],[Total Quantity]]*VLOOKUP(OtherClients[[#This Row],[Part]],PartControl!$A$2:$E$564,2,FALSE)),0)</f>
        <v>129.44999999999999</v>
      </c>
      <c r="Z700" s="108">
        <f>IF(OtherClients[[#This Row],[Re-certified or New]]&lt;&gt;"Re-certified",IF(OtherClients[[#This Row],[Client]]="infasco",VLOOKUP(OtherClients[[#This Row],[Part]],PartControl!$A$2:$E$564,2,FALSE),OtherClients[[#This Row],[Total Quantity]]*VLOOKUP(OtherClients[[#This Row],[Part]],PartControl!$A$2:$E$564,2,FALSE)),0)</f>
        <v>129.44999999999999</v>
      </c>
    </row>
    <row r="701" spans="1:26" ht="25.15" hidden="1" customHeight="1" x14ac:dyDescent="0.25">
      <c r="A701" s="112">
        <v>46246.697256944448</v>
      </c>
      <c r="B701" s="5" t="s">
        <v>635</v>
      </c>
      <c r="C701" s="5">
        <v>11546449</v>
      </c>
      <c r="D701" s="5">
        <v>715761</v>
      </c>
      <c r="E701" s="33">
        <v>8</v>
      </c>
      <c r="F701" s="60">
        <v>2500</v>
      </c>
      <c r="G701" s="60">
        <f>+OtherClients[[#This Row],[Boxes / Pieces]]*OtherClients[[#This Row],[Unit Quantity]]</f>
        <v>20000</v>
      </c>
      <c r="H701" s="60">
        <v>280</v>
      </c>
      <c r="I701" s="126" t="s">
        <v>278</v>
      </c>
      <c r="J701" s="127"/>
      <c r="K701" s="33" t="s">
        <v>278</v>
      </c>
      <c r="L701" s="125"/>
      <c r="M701" s="33" t="s">
        <v>278</v>
      </c>
      <c r="N701" s="125"/>
      <c r="O701" s="33" t="s">
        <v>278</v>
      </c>
      <c r="P701" s="125"/>
      <c r="Q701" s="33" t="s">
        <v>587</v>
      </c>
      <c r="R701" s="125"/>
      <c r="S701" s="33" t="s">
        <v>278</v>
      </c>
      <c r="T701" s="125"/>
      <c r="U701" s="33" t="s">
        <v>278</v>
      </c>
      <c r="V701" s="125"/>
      <c r="W701" s="59" t="s">
        <v>633</v>
      </c>
      <c r="X701" s="33" t="str">
        <f>+VLOOKUP(OtherClients[[#This Row],[Part]],PartControl!$A$2:$E$564,5,FALSE)</f>
        <v>INFASCO</v>
      </c>
      <c r="Y701" s="108">
        <f>IF(OtherClients[[#This Row],[Re-certified or New]]&lt;&gt;"Re-certified",IF(OtherClients[[#This Row],[Client]]="infasco",VLOOKUP(OtherClients[[#This Row],[Part]],PartControl!$A$2:$E$564,2,FALSE),OtherClients[[#This Row],[Total Quantity]]*VLOOKUP(OtherClients[[#This Row],[Part]],PartControl!$A$2:$E$564,2,FALSE)),0)</f>
        <v>0</v>
      </c>
      <c r="Z701" s="108">
        <f>IF(OtherClients[[#This Row],[Re-certified or New]]&lt;&gt;"Re-certified",IF(OtherClients[[#This Row],[Client]]="infasco",VLOOKUP(OtherClients[[#This Row],[Part]],PartControl!$A$2:$E$564,2,FALSE),OtherClients[[#This Row],[Total Quantity]]*VLOOKUP(OtherClients[[#This Row],[Part]],PartControl!$A$2:$E$564,2,FALSE)),0)</f>
        <v>0</v>
      </c>
    </row>
    <row r="702" spans="1:26" ht="25.15" hidden="1" customHeight="1" x14ac:dyDescent="0.25">
      <c r="A702" s="112">
        <v>46246.697256944448</v>
      </c>
      <c r="B702" s="5" t="s">
        <v>634</v>
      </c>
      <c r="C702" s="5" t="s">
        <v>306</v>
      </c>
      <c r="D702" s="5">
        <v>715837</v>
      </c>
      <c r="E702" s="33">
        <v>1</v>
      </c>
      <c r="F702" s="60">
        <v>14380</v>
      </c>
      <c r="G702" s="60">
        <f>+OtherClients[[#This Row],[Boxes / Pieces]]*OtherClients[[#This Row],[Unit Quantity]]</f>
        <v>14380</v>
      </c>
      <c r="H702" s="60">
        <v>280</v>
      </c>
      <c r="I702" s="126" t="s">
        <v>278</v>
      </c>
      <c r="J702" s="127"/>
      <c r="K702" s="33" t="s">
        <v>278</v>
      </c>
      <c r="L702" s="125"/>
      <c r="M702" s="33" t="s">
        <v>278</v>
      </c>
      <c r="N702" s="125"/>
      <c r="O702" s="33" t="s">
        <v>278</v>
      </c>
      <c r="P702" s="125"/>
      <c r="Q702" s="33" t="s">
        <v>587</v>
      </c>
      <c r="R702" s="125"/>
      <c r="S702" s="33" t="s">
        <v>278</v>
      </c>
      <c r="T702" s="125"/>
      <c r="U702" s="33" t="s">
        <v>278</v>
      </c>
      <c r="V702" s="125"/>
      <c r="W702" s="59" t="s">
        <v>548</v>
      </c>
      <c r="X702" s="33" t="str">
        <f>+VLOOKUP(OtherClients[[#This Row],[Part]],PartControl!$A$2:$E$564,5,FALSE)</f>
        <v>INFASCO</v>
      </c>
      <c r="Y702" s="108">
        <f>IF(OtherClients[[#This Row],[Re-certified or New]]&lt;&gt;"Re-certified",IF(OtherClients[[#This Row],[Client]]="infasco",VLOOKUP(OtherClients[[#This Row],[Part]],PartControl!$A$2:$E$564,2,FALSE),OtherClients[[#This Row],[Total Quantity]]*VLOOKUP(OtherClients[[#This Row],[Part]],PartControl!$A$2:$E$564,2,FALSE)),0)</f>
        <v>129.44999999999999</v>
      </c>
      <c r="Z702" s="108">
        <f>IF(OtherClients[[#This Row],[Re-certified or New]]&lt;&gt;"Re-certified",IF(OtherClients[[#This Row],[Client]]="infasco",VLOOKUP(OtherClients[[#This Row],[Part]],PartControl!$A$2:$E$564,2,FALSE),OtherClients[[#This Row],[Total Quantity]]*VLOOKUP(OtherClients[[#This Row],[Part]],PartControl!$A$2:$E$564,2,FALSE)),0)</f>
        <v>129.44999999999999</v>
      </c>
    </row>
    <row r="703" spans="1:26" ht="25.15" hidden="1" customHeight="1" x14ac:dyDescent="0.25">
      <c r="A703" s="112">
        <v>46246.697256944448</v>
      </c>
      <c r="B703" s="5" t="s">
        <v>634</v>
      </c>
      <c r="C703" s="5">
        <v>11546449</v>
      </c>
      <c r="D703" s="5">
        <v>715757</v>
      </c>
      <c r="E703" s="33">
        <v>6</v>
      </c>
      <c r="F703" s="60">
        <v>2500</v>
      </c>
      <c r="G703" s="60">
        <f>+OtherClients[[#This Row],[Boxes / Pieces]]*OtherClients[[#This Row],[Unit Quantity]]</f>
        <v>15000</v>
      </c>
      <c r="H703" s="60">
        <v>280</v>
      </c>
      <c r="I703" s="126" t="s">
        <v>278</v>
      </c>
      <c r="J703" s="127"/>
      <c r="K703" s="33" t="s">
        <v>278</v>
      </c>
      <c r="L703" s="125"/>
      <c r="M703" s="33" t="s">
        <v>278</v>
      </c>
      <c r="N703" s="125"/>
      <c r="O703" s="33" t="s">
        <v>278</v>
      </c>
      <c r="P703" s="125"/>
      <c r="Q703" s="33" t="s">
        <v>587</v>
      </c>
      <c r="R703" s="125"/>
      <c r="S703" s="33" t="s">
        <v>278</v>
      </c>
      <c r="T703" s="125"/>
      <c r="U703" s="33" t="s">
        <v>278</v>
      </c>
      <c r="V703" s="125"/>
      <c r="W703" s="59" t="s">
        <v>633</v>
      </c>
      <c r="X703" s="33" t="str">
        <f>+VLOOKUP(OtherClients[[#This Row],[Part]],PartControl!$A$2:$E$564,5,FALSE)</f>
        <v>INFASCO</v>
      </c>
      <c r="Y703" s="108">
        <f>IF(OtherClients[[#This Row],[Re-certified or New]]&lt;&gt;"Re-certified",IF(OtherClients[[#This Row],[Client]]="infasco",VLOOKUP(OtherClients[[#This Row],[Part]],PartControl!$A$2:$E$564,2,FALSE),OtherClients[[#This Row],[Total Quantity]]*VLOOKUP(OtherClients[[#This Row],[Part]],PartControl!$A$2:$E$564,2,FALSE)),0)</f>
        <v>0</v>
      </c>
      <c r="Z703" s="108">
        <f>IF(OtherClients[[#This Row],[Re-certified or New]]&lt;&gt;"Re-certified",IF(OtherClients[[#This Row],[Client]]="infasco",VLOOKUP(OtherClients[[#This Row],[Part]],PartControl!$A$2:$E$564,2,FALSE),OtherClients[[#This Row],[Total Quantity]]*VLOOKUP(OtherClients[[#This Row],[Part]],PartControl!$A$2:$E$564,2,FALSE)),0)</f>
        <v>0</v>
      </c>
    </row>
    <row r="704" spans="1:26" ht="25.15" hidden="1" customHeight="1" x14ac:dyDescent="0.25">
      <c r="A704" s="112">
        <v>46246.697256944448</v>
      </c>
      <c r="B704" s="5" t="s">
        <v>834</v>
      </c>
      <c r="C704" s="5" t="s">
        <v>814</v>
      </c>
      <c r="D704" s="5">
        <v>714170</v>
      </c>
      <c r="E704" s="33">
        <v>35</v>
      </c>
      <c r="F704" s="60">
        <v>2500</v>
      </c>
      <c r="G704" s="60">
        <f>+OtherClients[[#This Row],[Boxes / Pieces]]*OtherClients[[#This Row],[Unit Quantity]]</f>
        <v>87500</v>
      </c>
      <c r="H704" s="60">
        <v>280</v>
      </c>
      <c r="I704" s="126" t="s">
        <v>278</v>
      </c>
      <c r="J704" s="127"/>
      <c r="K704" s="33" t="s">
        <v>278</v>
      </c>
      <c r="L704" s="125"/>
      <c r="M704" s="33" t="s">
        <v>278</v>
      </c>
      <c r="N704" s="125"/>
      <c r="O704" s="33" t="s">
        <v>278</v>
      </c>
      <c r="P704" s="125"/>
      <c r="Q704" s="33" t="s">
        <v>587</v>
      </c>
      <c r="R704" s="125"/>
      <c r="S704" s="33" t="s">
        <v>278</v>
      </c>
      <c r="T704" s="125"/>
      <c r="U704" s="33" t="s">
        <v>278</v>
      </c>
      <c r="V704" s="125"/>
      <c r="W704" s="59" t="s">
        <v>548</v>
      </c>
      <c r="X704" s="33" t="str">
        <f>+VLOOKUP(OtherClients[[#This Row],[Part]],PartControl!$A$2:$E$564,5,FALSE)</f>
        <v>Infasco</v>
      </c>
      <c r="Y704" s="108">
        <f>IF(OtherClients[[#This Row],[Re-certified or New]]&lt;&gt;"Re-certified",IF(OtherClients[[#This Row],[Client]]="infasco",VLOOKUP(OtherClients[[#This Row],[Part]],PartControl!$A$2:$E$564,2,FALSE),OtherClients[[#This Row],[Total Quantity]]*VLOOKUP(OtherClients[[#This Row],[Part]],PartControl!$A$2:$E$564,2,FALSE)),0)</f>
        <v>106.94</v>
      </c>
      <c r="Z704" s="108">
        <f>IF(OtherClients[[#This Row],[Re-certified or New]]&lt;&gt;"Re-certified",IF(OtherClients[[#This Row],[Client]]="infasco",VLOOKUP(OtherClients[[#This Row],[Part]],PartControl!$A$2:$E$564,2,FALSE),OtherClients[[#This Row],[Total Quantity]]*VLOOKUP(OtherClients[[#This Row],[Part]],PartControl!$A$2:$E$564,2,FALSE)),0)</f>
        <v>106.94</v>
      </c>
    </row>
    <row r="705" spans="1:26" ht="25.15" hidden="1" customHeight="1" x14ac:dyDescent="0.25">
      <c r="A705" s="112">
        <v>46246.697256944448</v>
      </c>
      <c r="B705" s="5" t="s">
        <v>834</v>
      </c>
      <c r="C705" s="5" t="s">
        <v>814</v>
      </c>
      <c r="D705" s="5">
        <v>714168</v>
      </c>
      <c r="E705" s="33">
        <v>30</v>
      </c>
      <c r="F705" s="60">
        <v>2500</v>
      </c>
      <c r="G705" s="60">
        <f>+OtherClients[[#This Row],[Boxes / Pieces]]*OtherClients[[#This Row],[Unit Quantity]]</f>
        <v>75000</v>
      </c>
      <c r="H705" s="60">
        <v>280</v>
      </c>
      <c r="I705" s="126" t="s">
        <v>278</v>
      </c>
      <c r="J705" s="127"/>
      <c r="K705" s="33" t="s">
        <v>278</v>
      </c>
      <c r="L705" s="125"/>
      <c r="M705" s="33" t="s">
        <v>278</v>
      </c>
      <c r="N705" s="125"/>
      <c r="O705" s="33" t="s">
        <v>278</v>
      </c>
      <c r="P705" s="125"/>
      <c r="Q705" s="33" t="s">
        <v>587</v>
      </c>
      <c r="R705" s="125"/>
      <c r="S705" s="33" t="s">
        <v>278</v>
      </c>
      <c r="T705" s="125"/>
      <c r="U705" s="33" t="s">
        <v>278</v>
      </c>
      <c r="V705" s="125"/>
      <c r="W705" s="59" t="s">
        <v>548</v>
      </c>
      <c r="X705" s="33" t="str">
        <f>+VLOOKUP(OtherClients[[#This Row],[Part]],PartControl!$A$2:$E$564,5,FALSE)</f>
        <v>Infasco</v>
      </c>
      <c r="Y705" s="108">
        <f>IF(OtherClients[[#This Row],[Re-certified or New]]&lt;&gt;"Re-certified",IF(OtherClients[[#This Row],[Client]]="infasco",VLOOKUP(OtherClients[[#This Row],[Part]],PartControl!$A$2:$E$564,2,FALSE),OtherClients[[#This Row],[Total Quantity]]*VLOOKUP(OtherClients[[#This Row],[Part]],PartControl!$A$2:$E$564,2,FALSE)),0)</f>
        <v>106.94</v>
      </c>
      <c r="Z705" s="108">
        <f>IF(OtherClients[[#This Row],[Re-certified or New]]&lt;&gt;"Re-certified",IF(OtherClients[[#This Row],[Client]]="infasco",VLOOKUP(OtherClients[[#This Row],[Part]],PartControl!$A$2:$E$564,2,FALSE),OtherClients[[#This Row],[Total Quantity]]*VLOOKUP(OtherClients[[#This Row],[Part]],PartControl!$A$2:$E$564,2,FALSE)),0)</f>
        <v>106.94</v>
      </c>
    </row>
    <row r="706" spans="1:26" ht="25.15" hidden="1" customHeight="1" x14ac:dyDescent="0.25">
      <c r="A706" s="112">
        <v>46246.697256944448</v>
      </c>
      <c r="B706" s="5" t="s">
        <v>636</v>
      </c>
      <c r="C706" s="5">
        <v>11546462</v>
      </c>
      <c r="D706" s="5">
        <v>716183</v>
      </c>
      <c r="E706" s="33">
        <v>36</v>
      </c>
      <c r="F706" s="60">
        <v>650</v>
      </c>
      <c r="G706" s="60">
        <f>+OtherClients[[#This Row],[Boxes / Pieces]]*OtherClients[[#This Row],[Unit Quantity]]</f>
        <v>23400</v>
      </c>
      <c r="H706" s="60">
        <v>280</v>
      </c>
      <c r="I706" s="126" t="s">
        <v>278</v>
      </c>
      <c r="J706" s="127"/>
      <c r="K706" s="33" t="s">
        <v>278</v>
      </c>
      <c r="L706" s="125"/>
      <c r="M706" s="33" t="s">
        <v>278</v>
      </c>
      <c r="N706" s="125"/>
      <c r="O706" s="33" t="s">
        <v>278</v>
      </c>
      <c r="P706" s="125"/>
      <c r="Q706" s="33" t="s">
        <v>587</v>
      </c>
      <c r="R706" s="125"/>
      <c r="S706" s="33" t="s">
        <v>278</v>
      </c>
      <c r="T706" s="125"/>
      <c r="U706" s="33" t="s">
        <v>278</v>
      </c>
      <c r="V706" s="125"/>
      <c r="W706" s="59" t="s">
        <v>548</v>
      </c>
      <c r="X706" s="33" t="str">
        <f>+VLOOKUP(OtherClients[[#This Row],[Part]],PartControl!$A$2:$E$564,5,FALSE)</f>
        <v>INFASCO</v>
      </c>
      <c r="Y706" s="108">
        <f>IF(OtherClients[[#This Row],[Re-certified or New]]&lt;&gt;"Re-certified",IF(OtherClients[[#This Row],[Client]]="infasco",VLOOKUP(OtherClients[[#This Row],[Part]],PartControl!$A$2:$E$564,2,FALSE),OtherClients[[#This Row],[Total Quantity]]*VLOOKUP(OtherClients[[#This Row],[Part]],PartControl!$A$2:$E$564,2,FALSE)),0)</f>
        <v>106.94</v>
      </c>
      <c r="Z706" s="108">
        <f>IF(OtherClients[[#This Row],[Re-certified or New]]&lt;&gt;"Re-certified",IF(OtherClients[[#This Row],[Client]]="infasco",VLOOKUP(OtherClients[[#This Row],[Part]],PartControl!$A$2:$E$564,2,FALSE),OtherClients[[#This Row],[Total Quantity]]*VLOOKUP(OtherClients[[#This Row],[Part]],PartControl!$A$2:$E$564,2,FALSE)),0)</f>
        <v>106.94</v>
      </c>
    </row>
    <row r="707" spans="1:26" ht="25.15" hidden="1" customHeight="1" x14ac:dyDescent="0.25">
      <c r="A707" s="112">
        <v>46246.697256944448</v>
      </c>
      <c r="B707" s="5" t="s">
        <v>637</v>
      </c>
      <c r="C707" s="5" t="s">
        <v>571</v>
      </c>
      <c r="D707" s="5">
        <v>716153</v>
      </c>
      <c r="E707" s="33">
        <f>36-18</f>
        <v>18</v>
      </c>
      <c r="F707" s="60">
        <v>2300</v>
      </c>
      <c r="G707" s="60">
        <f>+OtherClients[[#This Row],[Boxes / Pieces]]*OtherClients[[#This Row],[Unit Quantity]]</f>
        <v>41400</v>
      </c>
      <c r="H707" s="60">
        <v>280</v>
      </c>
      <c r="I707" s="126" t="s">
        <v>278</v>
      </c>
      <c r="J707" s="127"/>
      <c r="K707" s="33" t="s">
        <v>278</v>
      </c>
      <c r="L707" s="125"/>
      <c r="M707" s="33" t="s">
        <v>278</v>
      </c>
      <c r="N707" s="125"/>
      <c r="O707" s="33" t="s">
        <v>278</v>
      </c>
      <c r="P707" s="125"/>
      <c r="Q707" s="33" t="s">
        <v>587</v>
      </c>
      <c r="R707" s="125"/>
      <c r="S707" s="33" t="s">
        <v>278</v>
      </c>
      <c r="T707" s="125"/>
      <c r="U707" s="33" t="s">
        <v>278</v>
      </c>
      <c r="V707" s="125"/>
      <c r="W707" s="59" t="s">
        <v>548</v>
      </c>
      <c r="X707" s="33" t="str">
        <f>+VLOOKUP(OtherClients[[#This Row],[Part]],PartControl!$A$2:$E$564,5,FALSE)</f>
        <v>Infasco</v>
      </c>
      <c r="Y707" s="108">
        <f>IF(OtherClients[[#This Row],[Re-certified or New]]&lt;&gt;"Re-certified",IF(OtherClients[[#This Row],[Client]]="infasco",VLOOKUP(OtherClients[[#This Row],[Part]],PartControl!$A$2:$E$564,2,FALSE),OtherClients[[#This Row],[Total Quantity]]*VLOOKUP(OtherClients[[#This Row],[Part]],PartControl!$A$2:$E$564,2,FALSE)),0)</f>
        <v>106.94</v>
      </c>
      <c r="Z707" s="108">
        <f>IF(OtherClients[[#This Row],[Re-certified or New]]&lt;&gt;"Re-certified",IF(OtherClients[[#This Row],[Client]]="infasco",VLOOKUP(OtherClients[[#This Row],[Part]],PartControl!$A$2:$E$564,2,FALSE),OtherClients[[#This Row],[Total Quantity]]*VLOOKUP(OtherClients[[#This Row],[Part]],PartControl!$A$2:$E$564,2,FALSE)),0)</f>
        <v>106.94</v>
      </c>
    </row>
    <row r="708" spans="1:26" ht="25.15" hidden="1" customHeight="1" x14ac:dyDescent="0.25">
      <c r="A708" s="112">
        <v>46246.697256944448</v>
      </c>
      <c r="B708" s="5" t="s">
        <v>637</v>
      </c>
      <c r="C708" s="5">
        <v>11546449</v>
      </c>
      <c r="D708" s="5">
        <v>715750</v>
      </c>
      <c r="E708" s="33">
        <v>36</v>
      </c>
      <c r="F708" s="60">
        <v>2500</v>
      </c>
      <c r="G708" s="60">
        <f>+OtherClients[[#This Row],[Boxes / Pieces]]*OtherClients[[#This Row],[Unit Quantity]]</f>
        <v>90000</v>
      </c>
      <c r="H708" s="60">
        <v>280</v>
      </c>
      <c r="I708" s="126" t="s">
        <v>278</v>
      </c>
      <c r="J708" s="127"/>
      <c r="K708" s="33" t="s">
        <v>278</v>
      </c>
      <c r="L708" s="125"/>
      <c r="M708" s="33" t="s">
        <v>278</v>
      </c>
      <c r="N708" s="125"/>
      <c r="O708" s="33" t="s">
        <v>278</v>
      </c>
      <c r="P708" s="125"/>
      <c r="Q708" s="33" t="s">
        <v>587</v>
      </c>
      <c r="R708" s="125"/>
      <c r="S708" s="33" t="s">
        <v>278</v>
      </c>
      <c r="T708" s="125"/>
      <c r="U708" s="33" t="s">
        <v>278</v>
      </c>
      <c r="V708" s="125"/>
      <c r="W708" s="59" t="s">
        <v>548</v>
      </c>
      <c r="X708" s="33" t="str">
        <f>+VLOOKUP(OtherClients[[#This Row],[Part]],PartControl!$A$2:$E$564,5,FALSE)</f>
        <v>INFASCO</v>
      </c>
      <c r="Y708" s="108">
        <f>IF(OtherClients[[#This Row],[Re-certified or New]]&lt;&gt;"Re-certified",IF(OtherClients[[#This Row],[Client]]="infasco",VLOOKUP(OtherClients[[#This Row],[Part]],PartControl!$A$2:$E$564,2,FALSE),OtherClients[[#This Row],[Total Quantity]]*VLOOKUP(OtherClients[[#This Row],[Part]],PartControl!$A$2:$E$564,2,FALSE)),0)</f>
        <v>106.94</v>
      </c>
      <c r="Z708" s="108">
        <f>IF(OtherClients[[#This Row],[Re-certified or New]]&lt;&gt;"Re-certified",IF(OtherClients[[#This Row],[Client]]="infasco",VLOOKUP(OtherClients[[#This Row],[Part]],PartControl!$A$2:$E$564,2,FALSE),OtherClients[[#This Row],[Total Quantity]]*VLOOKUP(OtherClients[[#This Row],[Part]],PartControl!$A$2:$E$564,2,FALSE)),0)</f>
        <v>106.94</v>
      </c>
    </row>
    <row r="709" spans="1:26" ht="25.15" hidden="1" customHeight="1" x14ac:dyDescent="0.25">
      <c r="A709" s="112">
        <v>46246.697256944448</v>
      </c>
      <c r="B709" s="5" t="s">
        <v>637</v>
      </c>
      <c r="C709" s="5">
        <v>11546449</v>
      </c>
      <c r="D709" s="5">
        <v>715759</v>
      </c>
      <c r="E709" s="33">
        <v>16</v>
      </c>
      <c r="F709" s="60">
        <v>2500</v>
      </c>
      <c r="G709" s="60">
        <f>+OtherClients[[#This Row],[Boxes / Pieces]]*OtherClients[[#This Row],[Unit Quantity]]</f>
        <v>40000</v>
      </c>
      <c r="H709" s="60">
        <v>280</v>
      </c>
      <c r="I709" s="126" t="s">
        <v>278</v>
      </c>
      <c r="J709" s="127"/>
      <c r="K709" s="33" t="s">
        <v>278</v>
      </c>
      <c r="L709" s="125"/>
      <c r="M709" s="33" t="s">
        <v>278</v>
      </c>
      <c r="N709" s="125"/>
      <c r="O709" s="33" t="s">
        <v>278</v>
      </c>
      <c r="P709" s="125"/>
      <c r="Q709" s="33" t="s">
        <v>587</v>
      </c>
      <c r="R709" s="125"/>
      <c r="S709" s="33" t="s">
        <v>278</v>
      </c>
      <c r="T709" s="125"/>
      <c r="U709" s="33" t="s">
        <v>278</v>
      </c>
      <c r="V709" s="125"/>
      <c r="W709" s="59" t="s">
        <v>633</v>
      </c>
      <c r="X709" s="33" t="str">
        <f>+VLOOKUP(OtherClients[[#This Row],[Part]],PartControl!$A$2:$E$564,5,FALSE)</f>
        <v>INFASCO</v>
      </c>
      <c r="Y709" s="108">
        <f>IF(OtherClients[[#This Row],[Re-certified or New]]&lt;&gt;"Re-certified",IF(OtherClients[[#This Row],[Client]]="infasco",VLOOKUP(OtherClients[[#This Row],[Part]],PartControl!$A$2:$E$564,2,FALSE),OtherClients[[#This Row],[Total Quantity]]*VLOOKUP(OtherClients[[#This Row],[Part]],PartControl!$A$2:$E$564,2,FALSE)),0)</f>
        <v>0</v>
      </c>
      <c r="Z709" s="108">
        <f>IF(OtherClients[[#This Row],[Re-certified or New]]&lt;&gt;"Re-certified",IF(OtherClients[[#This Row],[Client]]="infasco",VLOOKUP(OtherClients[[#This Row],[Part]],PartControl!$A$2:$E$564,2,FALSE),OtherClients[[#This Row],[Total Quantity]]*VLOOKUP(OtherClients[[#This Row],[Part]],PartControl!$A$2:$E$564,2,FALSE)),0)</f>
        <v>0</v>
      </c>
    </row>
    <row r="710" spans="1:26" ht="25.15" hidden="1" customHeight="1" x14ac:dyDescent="0.25">
      <c r="A710" s="112">
        <v>46246.697256944448</v>
      </c>
      <c r="B710" s="5" t="s">
        <v>357</v>
      </c>
      <c r="C710" s="5" t="s">
        <v>728</v>
      </c>
      <c r="D710" s="5">
        <v>716161</v>
      </c>
      <c r="E710" s="33">
        <f>36+16-32</f>
        <v>20</v>
      </c>
      <c r="F710" s="60">
        <v>1500</v>
      </c>
      <c r="G710" s="60">
        <f>+OtherClients[[#This Row],[Boxes / Pieces]]*OtherClients[[#This Row],[Unit Quantity]]</f>
        <v>30000</v>
      </c>
      <c r="H710" s="60">
        <v>280</v>
      </c>
      <c r="I710" s="126" t="s">
        <v>278</v>
      </c>
      <c r="J710" s="127"/>
      <c r="K710" s="33" t="s">
        <v>278</v>
      </c>
      <c r="L710" s="125"/>
      <c r="M710" s="33" t="s">
        <v>278</v>
      </c>
      <c r="N710" s="125"/>
      <c r="O710" s="33" t="s">
        <v>278</v>
      </c>
      <c r="P710" s="125"/>
      <c r="Q710" s="33" t="s">
        <v>587</v>
      </c>
      <c r="R710" s="125"/>
      <c r="S710" s="33" t="s">
        <v>278</v>
      </c>
      <c r="T710" s="125"/>
      <c r="U710" s="33" t="s">
        <v>278</v>
      </c>
      <c r="V710" s="125"/>
      <c r="W710" s="59" t="s">
        <v>548</v>
      </c>
      <c r="X710" s="33" t="str">
        <f>+VLOOKUP(OtherClients[[#This Row],[Part]],PartControl!$A$2:$E$564,5,FALSE)</f>
        <v>infasco</v>
      </c>
      <c r="Y710" s="108">
        <f>IF(OtherClients[[#This Row],[Re-certified or New]]&lt;&gt;"Re-certified",IF(OtherClients[[#This Row],[Client]]="infasco",VLOOKUP(OtherClients[[#This Row],[Part]],PartControl!$A$2:$E$564,2,FALSE),OtherClients[[#This Row],[Total Quantity]]*VLOOKUP(OtherClients[[#This Row],[Part]],PartControl!$A$2:$E$564,2,FALSE)),0)</f>
        <v>106.94</v>
      </c>
      <c r="Z710" s="108">
        <f>IF(OtherClients[[#This Row],[Re-certified or New]]&lt;&gt;"Re-certified",IF(OtherClients[[#This Row],[Client]]="infasco",VLOOKUP(OtherClients[[#This Row],[Part]],PartControl!$A$2:$E$564,2,FALSE),OtherClients[[#This Row],[Total Quantity]]*VLOOKUP(OtherClients[[#This Row],[Part]],PartControl!$A$2:$E$564,2,FALSE)),0)</f>
        <v>106.94</v>
      </c>
    </row>
    <row r="711" spans="1:26" ht="25.15" hidden="1" customHeight="1" x14ac:dyDescent="0.25">
      <c r="A711" s="112">
        <v>46246.697256944448</v>
      </c>
      <c r="B711" s="5" t="s">
        <v>357</v>
      </c>
      <c r="C711" s="5" t="s">
        <v>728</v>
      </c>
      <c r="D711" s="5">
        <v>716074</v>
      </c>
      <c r="E711" s="33">
        <v>12</v>
      </c>
      <c r="F711" s="60">
        <v>1500</v>
      </c>
      <c r="G711" s="60">
        <f>+OtherClients[[#This Row],[Boxes / Pieces]]*OtherClients[[#This Row],[Unit Quantity]]</f>
        <v>18000</v>
      </c>
      <c r="H711" s="60">
        <v>280</v>
      </c>
      <c r="I711" s="126" t="s">
        <v>278</v>
      </c>
      <c r="J711" s="127"/>
      <c r="K711" s="33" t="s">
        <v>278</v>
      </c>
      <c r="L711" s="125"/>
      <c r="M711" s="33" t="s">
        <v>278</v>
      </c>
      <c r="N711" s="125"/>
      <c r="O711" s="33" t="s">
        <v>278</v>
      </c>
      <c r="P711" s="125"/>
      <c r="Q711" s="33" t="s">
        <v>587</v>
      </c>
      <c r="R711" s="125"/>
      <c r="S711" s="33" t="s">
        <v>278</v>
      </c>
      <c r="T711" s="125"/>
      <c r="U711" s="33" t="s">
        <v>278</v>
      </c>
      <c r="V711" s="125"/>
      <c r="W711" s="59" t="s">
        <v>548</v>
      </c>
      <c r="X711" s="33" t="str">
        <f>+VLOOKUP(OtherClients[[#This Row],[Part]],PartControl!$A$2:$E$564,5,FALSE)</f>
        <v>infasco</v>
      </c>
      <c r="Y711" s="108">
        <f>IF(OtherClients[[#This Row],[Re-certified or New]]&lt;&gt;"Re-certified",IF(OtherClients[[#This Row],[Client]]="infasco",VLOOKUP(OtherClients[[#This Row],[Part]],PartControl!$A$2:$E$564,2,FALSE),OtherClients[[#This Row],[Total Quantity]]*VLOOKUP(OtherClients[[#This Row],[Part]],PartControl!$A$2:$E$564,2,FALSE)),0)</f>
        <v>106.94</v>
      </c>
      <c r="Z711" s="108">
        <f>IF(OtherClients[[#This Row],[Re-certified or New]]&lt;&gt;"Re-certified",IF(OtherClients[[#This Row],[Client]]="infasco",VLOOKUP(OtherClients[[#This Row],[Part]],PartControl!$A$2:$E$564,2,FALSE),OtherClients[[#This Row],[Total Quantity]]*VLOOKUP(OtherClients[[#This Row],[Part]],PartControl!$A$2:$E$564,2,FALSE)),0)</f>
        <v>106.94</v>
      </c>
    </row>
    <row r="712" spans="1:26" ht="25.15" hidden="1" customHeight="1" x14ac:dyDescent="0.25">
      <c r="A712" s="112">
        <v>46246.697256944448</v>
      </c>
      <c r="B712" s="5" t="s">
        <v>244</v>
      </c>
      <c r="C712" s="5" t="s">
        <v>644</v>
      </c>
      <c r="D712" s="5">
        <v>716080</v>
      </c>
      <c r="E712" s="33">
        <f>36-12</f>
        <v>24</v>
      </c>
      <c r="F712" s="60">
        <v>2200</v>
      </c>
      <c r="G712" s="60">
        <f>+OtherClients[[#This Row],[Boxes / Pieces]]*OtherClients[[#This Row],[Unit Quantity]]</f>
        <v>52800</v>
      </c>
      <c r="H712" s="60">
        <v>292</v>
      </c>
      <c r="I712" s="126" t="s">
        <v>278</v>
      </c>
      <c r="J712" s="127"/>
      <c r="K712" s="33" t="s">
        <v>278</v>
      </c>
      <c r="L712" s="125"/>
      <c r="M712" s="33" t="s">
        <v>278</v>
      </c>
      <c r="N712" s="125"/>
      <c r="O712" s="33" t="s">
        <v>278</v>
      </c>
      <c r="P712" s="125"/>
      <c r="Q712" s="33" t="s">
        <v>587</v>
      </c>
      <c r="R712" s="125"/>
      <c r="S712" s="33" t="s">
        <v>278</v>
      </c>
      <c r="T712" s="125"/>
      <c r="U712" s="33" t="s">
        <v>278</v>
      </c>
      <c r="V712" s="125"/>
      <c r="W712" s="59" t="s">
        <v>548</v>
      </c>
      <c r="X712" s="33" t="str">
        <f>+VLOOKUP(OtherClients[[#This Row],[Part]],PartControl!$A$2:$E$564,5,FALSE)</f>
        <v>infasco</v>
      </c>
      <c r="Y712" s="108">
        <f>IF(OtherClients[[#This Row],[Re-certified or New]]&lt;&gt;"Re-certified",IF(OtherClients[[#This Row],[Client]]="infasco",VLOOKUP(OtherClients[[#This Row],[Part]],PartControl!$A$2:$E$564,2,FALSE),OtherClients[[#This Row],[Total Quantity]]*VLOOKUP(OtherClients[[#This Row],[Part]],PartControl!$A$2:$E$564,2,FALSE)),0)</f>
        <v>106.94</v>
      </c>
      <c r="Z712" s="108">
        <f>IF(OtherClients[[#This Row],[Re-certified or New]]&lt;&gt;"Re-certified",IF(OtherClients[[#This Row],[Client]]="infasco",VLOOKUP(OtherClients[[#This Row],[Part]],PartControl!$A$2:$E$564,2,FALSE),OtherClients[[#This Row],[Total Quantity]]*VLOOKUP(OtherClients[[#This Row],[Part]],PartControl!$A$2:$E$564,2,FALSE)),0)</f>
        <v>106.94</v>
      </c>
    </row>
    <row r="713" spans="1:26" ht="25.15" hidden="1" customHeight="1" x14ac:dyDescent="0.25">
      <c r="A713" s="112">
        <v>46246.697256944448</v>
      </c>
      <c r="B713" s="5" t="s">
        <v>245</v>
      </c>
      <c r="C713" s="5" t="s">
        <v>728</v>
      </c>
      <c r="D713" s="5">
        <v>716157</v>
      </c>
      <c r="E713" s="33">
        <v>44</v>
      </c>
      <c r="F713" s="60">
        <v>1500</v>
      </c>
      <c r="G713" s="60">
        <f>+OtherClients[[#This Row],[Boxes / Pieces]]*OtherClients[[#This Row],[Unit Quantity]]</f>
        <v>66000</v>
      </c>
      <c r="H713" s="60">
        <v>292</v>
      </c>
      <c r="I713" s="126" t="s">
        <v>278</v>
      </c>
      <c r="J713" s="127"/>
      <c r="K713" s="33" t="s">
        <v>278</v>
      </c>
      <c r="L713" s="125"/>
      <c r="M713" s="33" t="s">
        <v>278</v>
      </c>
      <c r="N713" s="125"/>
      <c r="O713" s="33" t="s">
        <v>278</v>
      </c>
      <c r="P713" s="125"/>
      <c r="Q713" s="33" t="s">
        <v>587</v>
      </c>
      <c r="R713" s="125"/>
      <c r="S713" s="33" t="s">
        <v>278</v>
      </c>
      <c r="T713" s="125"/>
      <c r="U713" s="33" t="s">
        <v>278</v>
      </c>
      <c r="V713" s="125"/>
      <c r="W713" s="59" t="s">
        <v>548</v>
      </c>
      <c r="X713" s="33" t="str">
        <f>+VLOOKUP(OtherClients[[#This Row],[Part]],PartControl!$A$2:$E$564,5,FALSE)</f>
        <v>infasco</v>
      </c>
      <c r="Y713" s="108">
        <f>IF(OtherClients[[#This Row],[Re-certified or New]]&lt;&gt;"Re-certified",IF(OtherClients[[#This Row],[Client]]="infasco",VLOOKUP(OtherClients[[#This Row],[Part]],PartControl!$A$2:$E$564,2,FALSE),OtherClients[[#This Row],[Total Quantity]]*VLOOKUP(OtherClients[[#This Row],[Part]],PartControl!$A$2:$E$564,2,FALSE)),0)</f>
        <v>106.94</v>
      </c>
      <c r="Z713" s="108">
        <f>IF(OtherClients[[#This Row],[Re-certified or New]]&lt;&gt;"Re-certified",IF(OtherClients[[#This Row],[Client]]="infasco",VLOOKUP(OtherClients[[#This Row],[Part]],PartControl!$A$2:$E$564,2,FALSE),OtherClients[[#This Row],[Total Quantity]]*VLOOKUP(OtherClients[[#This Row],[Part]],PartControl!$A$2:$E$564,2,FALSE)),0)</f>
        <v>106.94</v>
      </c>
    </row>
    <row r="714" spans="1:26" ht="25.15" hidden="1" customHeight="1" x14ac:dyDescent="0.25">
      <c r="A714" s="112">
        <v>46246.697256944448</v>
      </c>
      <c r="B714" s="5" t="s">
        <v>251</v>
      </c>
      <c r="C714" s="5">
        <v>11546462</v>
      </c>
      <c r="D714" s="5">
        <v>716182</v>
      </c>
      <c r="E714" s="33">
        <f>36-29</f>
        <v>7</v>
      </c>
      <c r="F714" s="60">
        <v>650</v>
      </c>
      <c r="G714" s="60">
        <f>+OtherClients[[#This Row],[Boxes / Pieces]]*OtherClients[[#This Row],[Unit Quantity]]</f>
        <v>4550</v>
      </c>
      <c r="H714" s="60">
        <v>292</v>
      </c>
      <c r="I714" s="126" t="s">
        <v>278</v>
      </c>
      <c r="J714" s="127"/>
      <c r="K714" s="33" t="s">
        <v>278</v>
      </c>
      <c r="L714" s="125"/>
      <c r="M714" s="33" t="s">
        <v>278</v>
      </c>
      <c r="N714" s="125"/>
      <c r="O714" s="33" t="s">
        <v>278</v>
      </c>
      <c r="P714" s="125"/>
      <c r="Q714" s="33" t="s">
        <v>587</v>
      </c>
      <c r="R714" s="125"/>
      <c r="S714" s="33" t="s">
        <v>278</v>
      </c>
      <c r="T714" s="125"/>
      <c r="U714" s="33" t="s">
        <v>278</v>
      </c>
      <c r="V714" s="125"/>
      <c r="W714" s="59" t="s">
        <v>548</v>
      </c>
      <c r="X714" s="33" t="str">
        <f>+VLOOKUP(OtherClients[[#This Row],[Part]],PartControl!$A$2:$E$564,5,FALSE)</f>
        <v>INFASCO</v>
      </c>
      <c r="Y714" s="108">
        <f>IF(OtherClients[[#This Row],[Re-certified or New]]&lt;&gt;"Re-certified",IF(OtherClients[[#This Row],[Client]]="infasco",VLOOKUP(OtherClients[[#This Row],[Part]],PartControl!$A$2:$E$564,2,FALSE),OtherClients[[#This Row],[Total Quantity]]*VLOOKUP(OtherClients[[#This Row],[Part]],PartControl!$A$2:$E$564,2,FALSE)),0)</f>
        <v>106.94</v>
      </c>
      <c r="Z714" s="108">
        <f>IF(OtherClients[[#This Row],[Re-certified or New]]&lt;&gt;"Re-certified",IF(OtherClients[[#This Row],[Client]]="infasco",VLOOKUP(OtherClients[[#This Row],[Part]],PartControl!$A$2:$E$564,2,FALSE),OtherClients[[#This Row],[Total Quantity]]*VLOOKUP(OtherClients[[#This Row],[Part]],PartControl!$A$2:$E$564,2,FALSE)),0)</f>
        <v>106.94</v>
      </c>
    </row>
    <row r="715" spans="1:26" ht="25.15" hidden="1" customHeight="1" x14ac:dyDescent="0.25">
      <c r="A715" s="112">
        <v>46246.697256944448</v>
      </c>
      <c r="B715" s="5" t="s">
        <v>251</v>
      </c>
      <c r="C715" s="5">
        <v>11546462</v>
      </c>
      <c r="D715" s="5">
        <v>716177</v>
      </c>
      <c r="E715" s="33">
        <v>36</v>
      </c>
      <c r="F715" s="60">
        <v>650</v>
      </c>
      <c r="G715" s="60">
        <f>+OtherClients[[#This Row],[Boxes / Pieces]]*OtherClients[[#This Row],[Unit Quantity]]</f>
        <v>23400</v>
      </c>
      <c r="H715" s="60">
        <v>292</v>
      </c>
      <c r="I715" s="126" t="s">
        <v>278</v>
      </c>
      <c r="J715" s="127"/>
      <c r="K715" s="33" t="s">
        <v>278</v>
      </c>
      <c r="L715" s="125"/>
      <c r="M715" s="33" t="s">
        <v>278</v>
      </c>
      <c r="N715" s="125"/>
      <c r="O715" s="33" t="s">
        <v>278</v>
      </c>
      <c r="P715" s="125"/>
      <c r="Q715" s="33" t="s">
        <v>587</v>
      </c>
      <c r="R715" s="125"/>
      <c r="S715" s="33" t="s">
        <v>278</v>
      </c>
      <c r="T715" s="125"/>
      <c r="U715" s="33" t="s">
        <v>278</v>
      </c>
      <c r="V715" s="125"/>
      <c r="W715" s="59" t="s">
        <v>548</v>
      </c>
      <c r="X715" s="33" t="str">
        <f>+VLOOKUP(OtherClients[[#This Row],[Part]],PartControl!$A$2:$E$564,5,FALSE)</f>
        <v>INFASCO</v>
      </c>
      <c r="Y715" s="108">
        <f>IF(OtherClients[[#This Row],[Re-certified or New]]&lt;&gt;"Re-certified",IF(OtherClients[[#This Row],[Client]]="infasco",VLOOKUP(OtherClients[[#This Row],[Part]],PartControl!$A$2:$E$564,2,FALSE),OtherClients[[#This Row],[Total Quantity]]*VLOOKUP(OtherClients[[#This Row],[Part]],PartControl!$A$2:$E$564,2,FALSE)),0)</f>
        <v>106.94</v>
      </c>
      <c r="Z715" s="108">
        <f>IF(OtherClients[[#This Row],[Re-certified or New]]&lt;&gt;"Re-certified",IF(OtherClients[[#This Row],[Client]]="infasco",VLOOKUP(OtherClients[[#This Row],[Part]],PartControl!$A$2:$E$564,2,FALSE),OtherClients[[#This Row],[Total Quantity]]*VLOOKUP(OtherClients[[#This Row],[Part]],PartControl!$A$2:$E$564,2,FALSE)),0)</f>
        <v>106.94</v>
      </c>
    </row>
    <row r="716" spans="1:26" ht="25.15" hidden="1" customHeight="1" x14ac:dyDescent="0.25">
      <c r="A716" s="112">
        <v>46246.697256944448</v>
      </c>
      <c r="B716" s="5" t="s">
        <v>251</v>
      </c>
      <c r="C716" s="5">
        <v>11546462</v>
      </c>
      <c r="D716" s="5">
        <v>716176</v>
      </c>
      <c r="E716" s="33">
        <v>25</v>
      </c>
      <c r="F716" s="60">
        <v>650</v>
      </c>
      <c r="G716" s="60">
        <f>+OtherClients[[#This Row],[Boxes / Pieces]]*OtherClients[[#This Row],[Unit Quantity]]</f>
        <v>16250</v>
      </c>
      <c r="H716" s="60">
        <v>292</v>
      </c>
      <c r="I716" s="126" t="s">
        <v>278</v>
      </c>
      <c r="J716" s="127"/>
      <c r="K716" s="33" t="s">
        <v>278</v>
      </c>
      <c r="L716" s="125"/>
      <c r="M716" s="33" t="s">
        <v>278</v>
      </c>
      <c r="N716" s="125"/>
      <c r="O716" s="33" t="s">
        <v>278</v>
      </c>
      <c r="P716" s="125"/>
      <c r="Q716" s="33" t="s">
        <v>587</v>
      </c>
      <c r="R716" s="125"/>
      <c r="S716" s="33" t="s">
        <v>278</v>
      </c>
      <c r="T716" s="125"/>
      <c r="U716" s="33" t="s">
        <v>278</v>
      </c>
      <c r="V716" s="125"/>
      <c r="W716" s="59" t="s">
        <v>633</v>
      </c>
      <c r="X716" s="33" t="str">
        <f>+VLOOKUP(OtherClients[[#This Row],[Part]],PartControl!$A$2:$E$564,5,FALSE)</f>
        <v>INFASCO</v>
      </c>
      <c r="Y716" s="108">
        <f>IF(OtherClients[[#This Row],[Re-certified or New]]&lt;&gt;"Re-certified",IF(OtherClients[[#This Row],[Client]]="infasco",VLOOKUP(OtherClients[[#This Row],[Part]],PartControl!$A$2:$E$564,2,FALSE),OtherClients[[#This Row],[Total Quantity]]*VLOOKUP(OtherClients[[#This Row],[Part]],PartControl!$A$2:$E$564,2,FALSE)),0)</f>
        <v>0</v>
      </c>
      <c r="Z716" s="108">
        <f>IF(OtherClients[[#This Row],[Re-certified or New]]&lt;&gt;"Re-certified",IF(OtherClients[[#This Row],[Client]]="infasco",VLOOKUP(OtherClients[[#This Row],[Part]],PartControl!$A$2:$E$564,2,FALSE),OtherClients[[#This Row],[Total Quantity]]*VLOOKUP(OtherClients[[#This Row],[Part]],PartControl!$A$2:$E$564,2,FALSE)),0)</f>
        <v>0</v>
      </c>
    </row>
    <row r="717" spans="1:26" ht="25.15" hidden="1" customHeight="1" x14ac:dyDescent="0.25">
      <c r="A717" s="112">
        <v>46246.697256944448</v>
      </c>
      <c r="B717" s="5" t="s">
        <v>624</v>
      </c>
      <c r="C717" s="5">
        <v>11549170</v>
      </c>
      <c r="D717" s="5">
        <v>714379</v>
      </c>
      <c r="E717" s="33">
        <f>36-10</f>
        <v>26</v>
      </c>
      <c r="F717" s="60">
        <v>400</v>
      </c>
      <c r="G717" s="60">
        <f>+OtherClients[[#This Row],[Boxes / Pieces]]*OtherClients[[#This Row],[Unit Quantity]]</f>
        <v>10400</v>
      </c>
      <c r="H717" s="60">
        <v>292</v>
      </c>
      <c r="I717" s="126" t="s">
        <v>278</v>
      </c>
      <c r="J717" s="127"/>
      <c r="K717" s="33" t="s">
        <v>278</v>
      </c>
      <c r="L717" s="125"/>
      <c r="M717" s="33" t="s">
        <v>278</v>
      </c>
      <c r="N717" s="125"/>
      <c r="O717" s="33" t="s">
        <v>278</v>
      </c>
      <c r="P717" s="125"/>
      <c r="Q717" s="33" t="s">
        <v>587</v>
      </c>
      <c r="R717" s="125"/>
      <c r="S717" s="33" t="s">
        <v>278</v>
      </c>
      <c r="T717" s="125"/>
      <c r="U717" s="33" t="s">
        <v>278</v>
      </c>
      <c r="V717" s="125"/>
      <c r="W717" s="59" t="s">
        <v>548</v>
      </c>
      <c r="X717" s="33" t="str">
        <f>+VLOOKUP(OtherClients[[#This Row],[Part]],PartControl!$A$2:$E$564,5,FALSE)</f>
        <v>INFASCO</v>
      </c>
      <c r="Y717" s="108">
        <f>IF(OtherClients[[#This Row],[Re-certified or New]]&lt;&gt;"Re-certified",IF(OtherClients[[#This Row],[Client]]="infasco",VLOOKUP(OtherClients[[#This Row],[Part]],PartControl!$A$2:$E$564,2,FALSE),OtherClients[[#This Row],[Total Quantity]]*VLOOKUP(OtherClients[[#This Row],[Part]],PartControl!$A$2:$E$564,2,FALSE)),0)</f>
        <v>106.94</v>
      </c>
      <c r="Z717" s="108">
        <f>IF(OtherClients[[#This Row],[Re-certified or New]]&lt;&gt;"Re-certified",IF(OtherClients[[#This Row],[Client]]="infasco",VLOOKUP(OtherClients[[#This Row],[Part]],PartControl!$A$2:$E$564,2,FALSE),OtherClients[[#This Row],[Total Quantity]]*VLOOKUP(OtherClients[[#This Row],[Part]],PartControl!$A$2:$E$564,2,FALSE)),0)</f>
        <v>106.94</v>
      </c>
    </row>
    <row r="718" spans="1:26" ht="25.15" hidden="1" customHeight="1" x14ac:dyDescent="0.25">
      <c r="A718" s="112">
        <v>46246.697256944448</v>
      </c>
      <c r="B718" s="5" t="s">
        <v>624</v>
      </c>
      <c r="C718" s="5">
        <v>11549170</v>
      </c>
      <c r="D718" s="5">
        <v>714636</v>
      </c>
      <c r="E718" s="33">
        <v>36</v>
      </c>
      <c r="F718" s="60">
        <v>400</v>
      </c>
      <c r="G718" s="60">
        <f>+OtherClients[[#This Row],[Boxes / Pieces]]*OtherClients[[#This Row],[Unit Quantity]]</f>
        <v>14400</v>
      </c>
      <c r="H718" s="60">
        <v>292</v>
      </c>
      <c r="I718" s="126" t="s">
        <v>278</v>
      </c>
      <c r="J718" s="127"/>
      <c r="K718" s="33" t="s">
        <v>278</v>
      </c>
      <c r="L718" s="125"/>
      <c r="M718" s="33" t="s">
        <v>278</v>
      </c>
      <c r="N718" s="125"/>
      <c r="O718" s="33" t="s">
        <v>278</v>
      </c>
      <c r="P718" s="125"/>
      <c r="Q718" s="33" t="s">
        <v>587</v>
      </c>
      <c r="R718" s="125"/>
      <c r="S718" s="33" t="s">
        <v>278</v>
      </c>
      <c r="T718" s="125"/>
      <c r="U718" s="33" t="s">
        <v>278</v>
      </c>
      <c r="V718" s="125"/>
      <c r="W718" s="59" t="s">
        <v>548</v>
      </c>
      <c r="X718" s="33" t="str">
        <f>+VLOOKUP(OtherClients[[#This Row],[Part]],PartControl!$A$2:$E$564,5,FALSE)</f>
        <v>INFASCO</v>
      </c>
      <c r="Y718" s="108">
        <f>IF(OtherClients[[#This Row],[Re-certified or New]]&lt;&gt;"Re-certified",IF(OtherClients[[#This Row],[Client]]="infasco",VLOOKUP(OtherClients[[#This Row],[Part]],PartControl!$A$2:$E$564,2,FALSE),OtherClients[[#This Row],[Total Quantity]]*VLOOKUP(OtherClients[[#This Row],[Part]],PartControl!$A$2:$E$564,2,FALSE)),0)</f>
        <v>106.94</v>
      </c>
      <c r="Z718" s="108">
        <f>IF(OtherClients[[#This Row],[Re-certified or New]]&lt;&gt;"Re-certified",IF(OtherClients[[#This Row],[Client]]="infasco",VLOOKUP(OtherClients[[#This Row],[Part]],PartControl!$A$2:$E$564,2,FALSE),OtherClients[[#This Row],[Total Quantity]]*VLOOKUP(OtherClients[[#This Row],[Part]],PartControl!$A$2:$E$564,2,FALSE)),0)</f>
        <v>106.94</v>
      </c>
    </row>
    <row r="719" spans="1:26" ht="25.15" hidden="1" customHeight="1" x14ac:dyDescent="0.25">
      <c r="A719" s="112">
        <v>46246.697256944448</v>
      </c>
      <c r="B719" s="5" t="s">
        <v>624</v>
      </c>
      <c r="C719" s="5">
        <v>11549170</v>
      </c>
      <c r="D719" s="5">
        <v>714627</v>
      </c>
      <c r="E719" s="33">
        <v>36</v>
      </c>
      <c r="F719" s="60">
        <v>400</v>
      </c>
      <c r="G719" s="60">
        <f>+OtherClients[[#This Row],[Boxes / Pieces]]*OtherClients[[#This Row],[Unit Quantity]]</f>
        <v>14400</v>
      </c>
      <c r="H719" s="60">
        <v>292</v>
      </c>
      <c r="I719" s="126" t="s">
        <v>278</v>
      </c>
      <c r="J719" s="127"/>
      <c r="K719" s="33" t="s">
        <v>278</v>
      </c>
      <c r="L719" s="125"/>
      <c r="M719" s="33" t="s">
        <v>278</v>
      </c>
      <c r="N719" s="125"/>
      <c r="O719" s="33" t="s">
        <v>278</v>
      </c>
      <c r="P719" s="125"/>
      <c r="Q719" s="33" t="s">
        <v>587</v>
      </c>
      <c r="R719" s="125"/>
      <c r="S719" s="33" t="s">
        <v>278</v>
      </c>
      <c r="T719" s="125"/>
      <c r="U719" s="33" t="s">
        <v>278</v>
      </c>
      <c r="V719" s="125"/>
      <c r="W719" s="59" t="s">
        <v>548</v>
      </c>
      <c r="X719" s="33" t="str">
        <f>+VLOOKUP(OtherClients[[#This Row],[Part]],PartControl!$A$2:$E$564,5,FALSE)</f>
        <v>INFASCO</v>
      </c>
      <c r="Y719" s="108">
        <f>IF(OtherClients[[#This Row],[Re-certified or New]]&lt;&gt;"Re-certified",IF(OtherClients[[#This Row],[Client]]="infasco",VLOOKUP(OtherClients[[#This Row],[Part]],PartControl!$A$2:$E$564,2,FALSE),OtherClients[[#This Row],[Total Quantity]]*VLOOKUP(OtherClients[[#This Row],[Part]],PartControl!$A$2:$E$564,2,FALSE)),0)</f>
        <v>106.94</v>
      </c>
      <c r="Z719" s="108">
        <f>IF(OtherClients[[#This Row],[Re-certified or New]]&lt;&gt;"Re-certified",IF(OtherClients[[#This Row],[Client]]="infasco",VLOOKUP(OtherClients[[#This Row],[Part]],PartControl!$A$2:$E$564,2,FALSE),OtherClients[[#This Row],[Total Quantity]]*VLOOKUP(OtherClients[[#This Row],[Part]],PartControl!$A$2:$E$564,2,FALSE)),0)</f>
        <v>106.94</v>
      </c>
    </row>
    <row r="720" spans="1:26" ht="25.15" hidden="1" customHeight="1" x14ac:dyDescent="0.25">
      <c r="A720" s="112">
        <v>46246.697256944448</v>
      </c>
      <c r="B720" s="5" t="s">
        <v>624</v>
      </c>
      <c r="C720" s="5">
        <v>11549170</v>
      </c>
      <c r="D720" s="5">
        <v>714618</v>
      </c>
      <c r="E720" s="33">
        <v>36</v>
      </c>
      <c r="F720" s="60">
        <v>400</v>
      </c>
      <c r="G720" s="60">
        <f>+OtherClients[[#This Row],[Boxes / Pieces]]*OtherClients[[#This Row],[Unit Quantity]]</f>
        <v>14400</v>
      </c>
      <c r="H720" s="60">
        <v>292</v>
      </c>
      <c r="I720" s="126" t="s">
        <v>278</v>
      </c>
      <c r="J720" s="127"/>
      <c r="K720" s="33" t="s">
        <v>278</v>
      </c>
      <c r="L720" s="125"/>
      <c r="M720" s="33" t="s">
        <v>278</v>
      </c>
      <c r="N720" s="125"/>
      <c r="O720" s="33" t="s">
        <v>278</v>
      </c>
      <c r="P720" s="125"/>
      <c r="Q720" s="33" t="s">
        <v>587</v>
      </c>
      <c r="R720" s="125"/>
      <c r="S720" s="33" t="s">
        <v>278</v>
      </c>
      <c r="T720" s="125"/>
      <c r="U720" s="33" t="s">
        <v>278</v>
      </c>
      <c r="V720" s="125"/>
      <c r="W720" s="59" t="s">
        <v>548</v>
      </c>
      <c r="X720" s="33" t="str">
        <f>+VLOOKUP(OtherClients[[#This Row],[Part]],PartControl!$A$2:$E$564,5,FALSE)</f>
        <v>INFASCO</v>
      </c>
      <c r="Y720" s="108">
        <f>IF(OtherClients[[#This Row],[Re-certified or New]]&lt;&gt;"Re-certified",IF(OtherClients[[#This Row],[Client]]="infasco",VLOOKUP(OtherClients[[#This Row],[Part]],PartControl!$A$2:$E$564,2,FALSE),OtherClients[[#This Row],[Total Quantity]]*VLOOKUP(OtherClients[[#This Row],[Part]],PartControl!$A$2:$E$564,2,FALSE)),0)</f>
        <v>106.94</v>
      </c>
      <c r="Z720" s="108">
        <f>IF(OtherClients[[#This Row],[Re-certified or New]]&lt;&gt;"Re-certified",IF(OtherClients[[#This Row],[Client]]="infasco",VLOOKUP(OtherClients[[#This Row],[Part]],PartControl!$A$2:$E$564,2,FALSE),OtherClients[[#This Row],[Total Quantity]]*VLOOKUP(OtherClients[[#This Row],[Part]],PartControl!$A$2:$E$564,2,FALSE)),0)</f>
        <v>106.94</v>
      </c>
    </row>
    <row r="721" spans="1:26" ht="25.15" hidden="1" customHeight="1" x14ac:dyDescent="0.25">
      <c r="A721" s="112">
        <v>46246.697256944448</v>
      </c>
      <c r="B721" s="5" t="s">
        <v>623</v>
      </c>
      <c r="C721" s="5">
        <v>11546463</v>
      </c>
      <c r="D721" s="5">
        <v>716178</v>
      </c>
      <c r="E721" s="33">
        <v>36</v>
      </c>
      <c r="F721" s="60">
        <v>450</v>
      </c>
      <c r="G721" s="60">
        <f>+OtherClients[[#This Row],[Boxes / Pieces]]*OtherClients[[#This Row],[Unit Quantity]]</f>
        <v>16200</v>
      </c>
      <c r="H721" s="60">
        <v>292</v>
      </c>
      <c r="I721" s="126" t="s">
        <v>278</v>
      </c>
      <c r="J721" s="127"/>
      <c r="K721" s="33" t="s">
        <v>278</v>
      </c>
      <c r="L721" s="125"/>
      <c r="M721" s="33" t="s">
        <v>278</v>
      </c>
      <c r="N721" s="125"/>
      <c r="O721" s="33" t="s">
        <v>278</v>
      </c>
      <c r="P721" s="125"/>
      <c r="Q721" s="33" t="s">
        <v>587</v>
      </c>
      <c r="R721" s="125"/>
      <c r="S721" s="33" t="s">
        <v>278</v>
      </c>
      <c r="T721" s="125"/>
      <c r="U721" s="33" t="s">
        <v>278</v>
      </c>
      <c r="V721" s="125"/>
      <c r="W721" s="59" t="s">
        <v>548</v>
      </c>
      <c r="X721" s="33" t="str">
        <f>+VLOOKUP(OtherClients[[#This Row],[Part]],PartControl!$A$2:$E$564,5,FALSE)</f>
        <v>infasco</v>
      </c>
      <c r="Y721" s="108">
        <f>IF(OtherClients[[#This Row],[Re-certified or New]]&lt;&gt;"Re-certified",IF(OtherClients[[#This Row],[Client]]="infasco",VLOOKUP(OtherClients[[#This Row],[Part]],PartControl!$A$2:$E$564,2,FALSE),OtherClients[[#This Row],[Total Quantity]]*VLOOKUP(OtherClients[[#This Row],[Part]],PartControl!$A$2:$E$564,2,FALSE)),0)</f>
        <v>106.94</v>
      </c>
      <c r="Z721" s="108">
        <f>IF(OtherClients[[#This Row],[Re-certified or New]]&lt;&gt;"Re-certified",IF(OtherClients[[#This Row],[Client]]="infasco",VLOOKUP(OtherClients[[#This Row],[Part]],PartControl!$A$2:$E$564,2,FALSE),OtherClients[[#This Row],[Total Quantity]]*VLOOKUP(OtherClients[[#This Row],[Part]],PartControl!$A$2:$E$564,2,FALSE)),0)</f>
        <v>106.94</v>
      </c>
    </row>
    <row r="722" spans="1:26" ht="25.15" hidden="1" customHeight="1" x14ac:dyDescent="0.25">
      <c r="A722" s="112">
        <v>46246.697256944448</v>
      </c>
      <c r="B722" s="5" t="s">
        <v>623</v>
      </c>
      <c r="C722" s="5">
        <v>11546463</v>
      </c>
      <c r="D722" s="5">
        <v>716179</v>
      </c>
      <c r="E722" s="33">
        <v>22</v>
      </c>
      <c r="F722" s="60">
        <v>450</v>
      </c>
      <c r="G722" s="60">
        <f>+OtherClients[[#This Row],[Boxes / Pieces]]*OtherClients[[#This Row],[Unit Quantity]]</f>
        <v>9900</v>
      </c>
      <c r="H722" s="60">
        <v>292</v>
      </c>
      <c r="I722" s="126" t="s">
        <v>278</v>
      </c>
      <c r="J722" s="127"/>
      <c r="K722" s="33" t="s">
        <v>278</v>
      </c>
      <c r="L722" s="125"/>
      <c r="M722" s="33" t="s">
        <v>278</v>
      </c>
      <c r="N722" s="125"/>
      <c r="O722" s="33" t="s">
        <v>278</v>
      </c>
      <c r="P722" s="125"/>
      <c r="Q722" s="33" t="s">
        <v>587</v>
      </c>
      <c r="R722" s="125"/>
      <c r="S722" s="33" t="s">
        <v>278</v>
      </c>
      <c r="T722" s="125"/>
      <c r="U722" s="33" t="s">
        <v>278</v>
      </c>
      <c r="V722" s="125"/>
      <c r="W722" s="59" t="s">
        <v>548</v>
      </c>
      <c r="X722" s="33" t="str">
        <f>+VLOOKUP(OtherClients[[#This Row],[Part]],PartControl!$A$2:$E$564,5,FALSE)</f>
        <v>infasco</v>
      </c>
      <c r="Y722" s="108">
        <f>IF(OtherClients[[#This Row],[Re-certified or New]]&lt;&gt;"Re-certified",IF(OtherClients[[#This Row],[Client]]="infasco",VLOOKUP(OtherClients[[#This Row],[Part]],PartControl!$A$2:$E$564,2,FALSE),OtherClients[[#This Row],[Total Quantity]]*VLOOKUP(OtherClients[[#This Row],[Part]],PartControl!$A$2:$E$564,2,FALSE)),0)</f>
        <v>106.94</v>
      </c>
      <c r="Z722" s="108">
        <f>IF(OtherClients[[#This Row],[Re-certified or New]]&lt;&gt;"Re-certified",IF(OtherClients[[#This Row],[Client]]="infasco",VLOOKUP(OtherClients[[#This Row],[Part]],PartControl!$A$2:$E$564,2,FALSE),OtherClients[[#This Row],[Total Quantity]]*VLOOKUP(OtherClients[[#This Row],[Part]],PartControl!$A$2:$E$564,2,FALSE)),0)</f>
        <v>106.94</v>
      </c>
    </row>
    <row r="723" spans="1:26" ht="25.15" hidden="1" customHeight="1" x14ac:dyDescent="0.25">
      <c r="A723" s="112">
        <v>46246.697256944448</v>
      </c>
      <c r="B723" s="5" t="s">
        <v>623</v>
      </c>
      <c r="C723" s="5" t="s">
        <v>810</v>
      </c>
      <c r="D723" s="5">
        <v>715957</v>
      </c>
      <c r="E723" s="33">
        <v>36</v>
      </c>
      <c r="F723" s="60">
        <v>660</v>
      </c>
      <c r="G723" s="60">
        <f>+OtherClients[[#This Row],[Boxes / Pieces]]*OtherClients[[#This Row],[Unit Quantity]]</f>
        <v>23760</v>
      </c>
      <c r="H723" s="60">
        <v>292</v>
      </c>
      <c r="I723" s="126" t="s">
        <v>278</v>
      </c>
      <c r="J723" s="127"/>
      <c r="K723" s="33" t="s">
        <v>278</v>
      </c>
      <c r="L723" s="125"/>
      <c r="M723" s="33" t="s">
        <v>278</v>
      </c>
      <c r="N723" s="125"/>
      <c r="O723" s="33" t="s">
        <v>278</v>
      </c>
      <c r="P723" s="125"/>
      <c r="Q723" s="33" t="s">
        <v>587</v>
      </c>
      <c r="R723" s="125"/>
      <c r="S723" s="33" t="s">
        <v>278</v>
      </c>
      <c r="T723" s="125"/>
      <c r="U723" s="33" t="s">
        <v>278</v>
      </c>
      <c r="V723" s="125"/>
      <c r="W723" s="59" t="s">
        <v>548</v>
      </c>
      <c r="X723" s="33" t="str">
        <f>+VLOOKUP(OtherClients[[#This Row],[Part]],PartControl!$A$2:$E$564,5,FALSE)</f>
        <v>INFASCO</v>
      </c>
      <c r="Y723" s="108">
        <f>IF(OtherClients[[#This Row],[Re-certified or New]]&lt;&gt;"Re-certified",IF(OtherClients[[#This Row],[Client]]="infasco",VLOOKUP(OtherClients[[#This Row],[Part]],PartControl!$A$2:$E$564,2,FALSE),OtherClients[[#This Row],[Total Quantity]]*VLOOKUP(OtherClients[[#This Row],[Part]],PartControl!$A$2:$E$564,2,FALSE)),0)</f>
        <v>106.94</v>
      </c>
      <c r="Z723" s="108">
        <f>IF(OtherClients[[#This Row],[Re-certified or New]]&lt;&gt;"Re-certified",IF(OtherClients[[#This Row],[Client]]="infasco",VLOOKUP(OtherClients[[#This Row],[Part]],PartControl!$A$2:$E$564,2,FALSE),OtherClients[[#This Row],[Total Quantity]]*VLOOKUP(OtherClients[[#This Row],[Part]],PartControl!$A$2:$E$564,2,FALSE)),0)</f>
        <v>106.94</v>
      </c>
    </row>
    <row r="724" spans="1:26" ht="25.15" hidden="1" customHeight="1" x14ac:dyDescent="0.25">
      <c r="A724" s="112">
        <v>46246.697256944448</v>
      </c>
      <c r="B724" s="5" t="s">
        <v>243</v>
      </c>
      <c r="C724" s="5" t="s">
        <v>657</v>
      </c>
      <c r="D724" s="5">
        <v>716151</v>
      </c>
      <c r="E724" s="33">
        <v>1</v>
      </c>
      <c r="F724" s="60">
        <f>5*2500</f>
        <v>12500</v>
      </c>
      <c r="G724" s="60">
        <f>+OtherClients[[#This Row],[Boxes / Pieces]]*OtherClients[[#This Row],[Unit Quantity]]</f>
        <v>12500</v>
      </c>
      <c r="H724" s="60">
        <v>292</v>
      </c>
      <c r="I724" s="126" t="s">
        <v>278</v>
      </c>
      <c r="J724" s="127"/>
      <c r="K724" s="33" t="s">
        <v>278</v>
      </c>
      <c r="L724" s="125"/>
      <c r="M724" s="33" t="s">
        <v>278</v>
      </c>
      <c r="N724" s="125"/>
      <c r="O724" s="33" t="s">
        <v>278</v>
      </c>
      <c r="P724" s="125"/>
      <c r="Q724" s="33" t="s">
        <v>587</v>
      </c>
      <c r="R724" s="125"/>
      <c r="S724" s="33" t="s">
        <v>278</v>
      </c>
      <c r="T724" s="125"/>
      <c r="U724" s="33" t="s">
        <v>278</v>
      </c>
      <c r="V724" s="125"/>
      <c r="W724" s="59" t="s">
        <v>548</v>
      </c>
      <c r="X724" s="33" t="str">
        <f>+VLOOKUP(OtherClients[[#This Row],[Part]],PartControl!$A$2:$E$564,5,FALSE)</f>
        <v>infasco</v>
      </c>
      <c r="Y724" s="108">
        <f>IF(OtherClients[[#This Row],[Re-certified or New]]&lt;&gt;"Re-certified",IF(OtherClients[[#This Row],[Client]]="infasco",VLOOKUP(OtherClients[[#This Row],[Part]],PartControl!$A$2:$E$564,2,FALSE),OtherClients[[#This Row],[Total Quantity]]*VLOOKUP(OtherClients[[#This Row],[Part]],PartControl!$A$2:$E$564,2,FALSE)),0)</f>
        <v>129.44999999999999</v>
      </c>
      <c r="Z724" s="108">
        <f>IF(OtherClients[[#This Row],[Re-certified or New]]&lt;&gt;"Re-certified",IF(OtherClients[[#This Row],[Client]]="infasco",VLOOKUP(OtherClients[[#This Row],[Part]],PartControl!$A$2:$E$564,2,FALSE),OtherClients[[#This Row],[Total Quantity]]*VLOOKUP(OtherClients[[#This Row],[Part]],PartControl!$A$2:$E$564,2,FALSE)),0)</f>
        <v>129.44999999999999</v>
      </c>
    </row>
    <row r="725" spans="1:26" ht="25.15" hidden="1" customHeight="1" x14ac:dyDescent="0.25">
      <c r="A725" s="112">
        <v>46246.697256944448</v>
      </c>
      <c r="B725" s="5" t="s">
        <v>243</v>
      </c>
      <c r="C725" s="5" t="s">
        <v>657</v>
      </c>
      <c r="D725" s="5">
        <v>716150</v>
      </c>
      <c r="E725" s="33">
        <v>1</v>
      </c>
      <c r="F725" s="60">
        <f>25*2500</f>
        <v>62500</v>
      </c>
      <c r="G725" s="60">
        <f>+OtherClients[[#This Row],[Boxes / Pieces]]*OtherClients[[#This Row],[Unit Quantity]]</f>
        <v>62500</v>
      </c>
      <c r="H725" s="60">
        <v>292</v>
      </c>
      <c r="I725" s="126" t="s">
        <v>278</v>
      </c>
      <c r="J725" s="127"/>
      <c r="K725" s="33" t="s">
        <v>278</v>
      </c>
      <c r="L725" s="125"/>
      <c r="M725" s="33" t="s">
        <v>278</v>
      </c>
      <c r="N725" s="125"/>
      <c r="O725" s="33" t="s">
        <v>278</v>
      </c>
      <c r="P725" s="125"/>
      <c r="Q725" s="33" t="s">
        <v>587</v>
      </c>
      <c r="R725" s="125"/>
      <c r="S725" s="33" t="s">
        <v>278</v>
      </c>
      <c r="T725" s="125"/>
      <c r="U725" s="33" t="s">
        <v>278</v>
      </c>
      <c r="V725" s="125"/>
      <c r="W725" s="59" t="s">
        <v>633</v>
      </c>
      <c r="X725" s="33" t="str">
        <f>+VLOOKUP(OtherClients[[#This Row],[Part]],PartControl!$A$2:$E$564,5,FALSE)</f>
        <v>infasco</v>
      </c>
      <c r="Y725" s="108">
        <f>IF(OtherClients[[#This Row],[Re-certified or New]]&lt;&gt;"Re-certified",IF(OtherClients[[#This Row],[Client]]="infasco",VLOOKUP(OtherClients[[#This Row],[Part]],PartControl!$A$2:$E$564,2,FALSE),OtherClients[[#This Row],[Total Quantity]]*VLOOKUP(OtherClients[[#This Row],[Part]],PartControl!$A$2:$E$564,2,FALSE)),0)</f>
        <v>0</v>
      </c>
      <c r="Z725" s="108">
        <f>IF(OtherClients[[#This Row],[Re-certified or New]]&lt;&gt;"Re-certified",IF(OtherClients[[#This Row],[Client]]="infasco",VLOOKUP(OtherClients[[#This Row],[Part]],PartControl!$A$2:$E$564,2,FALSE),OtherClients[[#This Row],[Total Quantity]]*VLOOKUP(OtherClients[[#This Row],[Part]],PartControl!$A$2:$E$564,2,FALSE)),0)</f>
        <v>0</v>
      </c>
    </row>
    <row r="726" spans="1:26" ht="25.15" hidden="1" customHeight="1" x14ac:dyDescent="0.25">
      <c r="A726" s="112">
        <v>46246.697256944448</v>
      </c>
      <c r="B726" s="5" t="s">
        <v>342</v>
      </c>
      <c r="C726" s="5">
        <v>11546703</v>
      </c>
      <c r="D726" s="5">
        <v>713205</v>
      </c>
      <c r="E726" s="33">
        <v>30</v>
      </c>
      <c r="F726" s="60">
        <v>4000</v>
      </c>
      <c r="G726" s="60">
        <f>+OtherClients[[#This Row],[Boxes / Pieces]]*OtherClients[[#This Row],[Unit Quantity]]</f>
        <v>120000</v>
      </c>
      <c r="H726" s="60" t="s">
        <v>811</v>
      </c>
      <c r="I726" s="126" t="s">
        <v>278</v>
      </c>
      <c r="J726" s="127"/>
      <c r="K726" s="33" t="s">
        <v>278</v>
      </c>
      <c r="L726" s="125"/>
      <c r="M726" s="33" t="s">
        <v>278</v>
      </c>
      <c r="N726" s="125"/>
      <c r="O726" s="33" t="s">
        <v>278</v>
      </c>
      <c r="P726" s="125"/>
      <c r="Q726" s="33" t="s">
        <v>587</v>
      </c>
      <c r="R726" s="125"/>
      <c r="S726" s="33" t="s">
        <v>278</v>
      </c>
      <c r="T726" s="125"/>
      <c r="U726" s="33" t="s">
        <v>278</v>
      </c>
      <c r="V726" s="125"/>
      <c r="W726" s="59" t="s">
        <v>548</v>
      </c>
      <c r="X726" s="33" t="str">
        <f>+VLOOKUP(OtherClients[[#This Row],[Part]],PartControl!$A$2:$E$564,5,FALSE)</f>
        <v>infasco</v>
      </c>
      <c r="Y726" s="108">
        <f>IF(OtherClients[[#This Row],[Re-certified or New]]&lt;&gt;"Re-certified",IF(OtherClients[[#This Row],[Client]]="infasco",VLOOKUP(OtherClients[[#This Row],[Part]],PartControl!$A$2:$E$564,2,FALSE),OtherClients[[#This Row],[Total Quantity]]*VLOOKUP(OtherClients[[#This Row],[Part]],PartControl!$A$2:$E$564,2,FALSE)),0)</f>
        <v>135.07999999999998</v>
      </c>
      <c r="Z726" s="108">
        <f>IF(OtherClients[[#This Row],[Re-certified or New]]&lt;&gt;"Re-certified",IF(OtherClients[[#This Row],[Client]]="infasco",VLOOKUP(OtherClients[[#This Row],[Part]],PartControl!$A$2:$E$564,2,FALSE),OtherClients[[#This Row],[Total Quantity]]*VLOOKUP(OtherClients[[#This Row],[Part]],PartControl!$A$2:$E$564,2,FALSE)),0)</f>
        <v>135.07999999999998</v>
      </c>
    </row>
    <row r="727" spans="1:26" ht="25.15" hidden="1" customHeight="1" x14ac:dyDescent="0.25">
      <c r="A727" s="112">
        <v>46246.697256944448</v>
      </c>
      <c r="B727" s="5" t="s">
        <v>342</v>
      </c>
      <c r="C727" s="5" t="s">
        <v>824</v>
      </c>
      <c r="D727" s="5">
        <v>715981</v>
      </c>
      <c r="E727" s="33">
        <v>1</v>
      </c>
      <c r="F727" s="60">
        <v>4700</v>
      </c>
      <c r="G727" s="60">
        <f>+OtherClients[[#This Row],[Boxes / Pieces]]*OtherClients[[#This Row],[Unit Quantity]]</f>
        <v>4700</v>
      </c>
      <c r="H727" s="60" t="s">
        <v>811</v>
      </c>
      <c r="I727" s="126" t="s">
        <v>278</v>
      </c>
      <c r="J727" s="127"/>
      <c r="K727" s="33" t="s">
        <v>278</v>
      </c>
      <c r="L727" s="125"/>
      <c r="M727" s="33" t="s">
        <v>278</v>
      </c>
      <c r="N727" s="125"/>
      <c r="O727" s="33" t="s">
        <v>278</v>
      </c>
      <c r="P727" s="125"/>
      <c r="Q727" s="33" t="s">
        <v>587</v>
      </c>
      <c r="R727" s="125"/>
      <c r="S727" s="33" t="s">
        <v>278</v>
      </c>
      <c r="T727" s="125"/>
      <c r="U727" s="33" t="s">
        <v>278</v>
      </c>
      <c r="V727" s="125"/>
      <c r="W727" s="59" t="s">
        <v>548</v>
      </c>
      <c r="X727" s="33" t="str">
        <f>+VLOOKUP(OtherClients[[#This Row],[Part]],PartControl!$A$2:$E$564,5,FALSE)</f>
        <v>Infasco</v>
      </c>
      <c r="Y727" s="108">
        <f>IF(OtherClients[[#This Row],[Re-certified or New]]&lt;&gt;"Re-certified",IF(OtherClients[[#This Row],[Client]]="infasco",VLOOKUP(OtherClients[[#This Row],[Part]],PartControl!$A$2:$E$564,2,FALSE),OtherClients[[#This Row],[Total Quantity]]*VLOOKUP(OtherClients[[#This Row],[Part]],PartControl!$A$2:$E$564,2,FALSE)),0)</f>
        <v>129.44999999999999</v>
      </c>
      <c r="Z727" s="108">
        <f>IF(OtherClients[[#This Row],[Re-certified or New]]&lt;&gt;"Re-certified",IF(OtherClients[[#This Row],[Client]]="infasco",VLOOKUP(OtherClients[[#This Row],[Part]],PartControl!$A$2:$E$564,2,FALSE),OtherClients[[#This Row],[Total Quantity]]*VLOOKUP(OtherClients[[#This Row],[Part]],PartControl!$A$2:$E$564,2,FALSE)),0)</f>
        <v>129.44999999999999</v>
      </c>
    </row>
    <row r="728" spans="1:26" ht="25.15" hidden="1" customHeight="1" x14ac:dyDescent="0.25">
      <c r="A728" s="112">
        <v>46246.697256944448</v>
      </c>
      <c r="B728" s="5" t="s">
        <v>342</v>
      </c>
      <c r="C728" s="5" t="s">
        <v>824</v>
      </c>
      <c r="D728" s="5">
        <v>715974</v>
      </c>
      <c r="E728" s="33">
        <v>1</v>
      </c>
      <c r="F728" s="60">
        <v>4700</v>
      </c>
      <c r="G728" s="60">
        <f>+OtherClients[[#This Row],[Boxes / Pieces]]*OtherClients[[#This Row],[Unit Quantity]]</f>
        <v>4700</v>
      </c>
      <c r="H728" s="60" t="s">
        <v>811</v>
      </c>
      <c r="I728" s="126" t="s">
        <v>278</v>
      </c>
      <c r="J728" s="127"/>
      <c r="K728" s="33" t="s">
        <v>278</v>
      </c>
      <c r="L728" s="125"/>
      <c r="M728" s="33" t="s">
        <v>278</v>
      </c>
      <c r="N728" s="125"/>
      <c r="O728" s="33" t="s">
        <v>278</v>
      </c>
      <c r="P728" s="125"/>
      <c r="Q728" s="33" t="s">
        <v>587</v>
      </c>
      <c r="R728" s="125"/>
      <c r="S728" s="33" t="s">
        <v>278</v>
      </c>
      <c r="T728" s="125"/>
      <c r="U728" s="33" t="s">
        <v>278</v>
      </c>
      <c r="V728" s="125"/>
      <c r="W728" s="59" t="s">
        <v>548</v>
      </c>
      <c r="X728" s="33" t="str">
        <f>+VLOOKUP(OtherClients[[#This Row],[Part]],PartControl!$A$2:$E$564,5,FALSE)</f>
        <v>Infasco</v>
      </c>
      <c r="Y728" s="108">
        <f>IF(OtherClients[[#This Row],[Re-certified or New]]&lt;&gt;"Re-certified",IF(OtherClients[[#This Row],[Client]]="infasco",VLOOKUP(OtherClients[[#This Row],[Part]],PartControl!$A$2:$E$564,2,FALSE),OtherClients[[#This Row],[Total Quantity]]*VLOOKUP(OtherClients[[#This Row],[Part]],PartControl!$A$2:$E$564,2,FALSE)),0)</f>
        <v>129.44999999999999</v>
      </c>
      <c r="Z728" s="108">
        <f>IF(OtherClients[[#This Row],[Re-certified or New]]&lt;&gt;"Re-certified",IF(OtherClients[[#This Row],[Client]]="infasco",VLOOKUP(OtherClients[[#This Row],[Part]],PartControl!$A$2:$E$564,2,FALSE),OtherClients[[#This Row],[Total Quantity]]*VLOOKUP(OtherClients[[#This Row],[Part]],PartControl!$A$2:$E$564,2,FALSE)),0)</f>
        <v>129.44999999999999</v>
      </c>
    </row>
    <row r="729" spans="1:26" ht="25.15" hidden="1" customHeight="1" x14ac:dyDescent="0.25">
      <c r="A729" s="112">
        <v>46246.697256944448</v>
      </c>
      <c r="B729" s="5" t="s">
        <v>342</v>
      </c>
      <c r="C729" s="5" t="s">
        <v>824</v>
      </c>
      <c r="D729" s="5">
        <v>715970</v>
      </c>
      <c r="E729" s="33">
        <v>1</v>
      </c>
      <c r="F729" s="60">
        <v>5883</v>
      </c>
      <c r="G729" s="60">
        <f>+OtherClients[[#This Row],[Boxes / Pieces]]*OtherClients[[#This Row],[Unit Quantity]]</f>
        <v>5883</v>
      </c>
      <c r="H729" s="60" t="s">
        <v>811</v>
      </c>
      <c r="I729" s="126" t="s">
        <v>278</v>
      </c>
      <c r="J729" s="127"/>
      <c r="K729" s="33" t="s">
        <v>278</v>
      </c>
      <c r="L729" s="125"/>
      <c r="M729" s="33" t="s">
        <v>278</v>
      </c>
      <c r="N729" s="125"/>
      <c r="O729" s="33" t="s">
        <v>278</v>
      </c>
      <c r="P729" s="125"/>
      <c r="Q729" s="33" t="s">
        <v>587</v>
      </c>
      <c r="R729" s="125"/>
      <c r="S729" s="33" t="s">
        <v>278</v>
      </c>
      <c r="T729" s="125"/>
      <c r="U729" s="33" t="s">
        <v>278</v>
      </c>
      <c r="V729" s="125"/>
      <c r="W729" s="59" t="s">
        <v>548</v>
      </c>
      <c r="X729" s="33" t="str">
        <f>+VLOOKUP(OtherClients[[#This Row],[Part]],PartControl!$A$2:$E$564,5,FALSE)</f>
        <v>Infasco</v>
      </c>
      <c r="Y729" s="108">
        <f>IF(OtherClients[[#This Row],[Re-certified or New]]&lt;&gt;"Re-certified",IF(OtherClients[[#This Row],[Client]]="infasco",VLOOKUP(OtherClients[[#This Row],[Part]],PartControl!$A$2:$E$564,2,FALSE),OtherClients[[#This Row],[Total Quantity]]*VLOOKUP(OtherClients[[#This Row],[Part]],PartControl!$A$2:$E$564,2,FALSE)),0)</f>
        <v>129.44999999999999</v>
      </c>
      <c r="Z729" s="108">
        <f>IF(OtherClients[[#This Row],[Re-certified or New]]&lt;&gt;"Re-certified",IF(OtherClients[[#This Row],[Client]]="infasco",VLOOKUP(OtherClients[[#This Row],[Part]],PartControl!$A$2:$E$564,2,FALSE),OtherClients[[#This Row],[Total Quantity]]*VLOOKUP(OtherClients[[#This Row],[Part]],PartControl!$A$2:$E$564,2,FALSE)),0)</f>
        <v>129.44999999999999</v>
      </c>
    </row>
    <row r="730" spans="1:26" ht="25.15" hidden="1" customHeight="1" x14ac:dyDescent="0.25">
      <c r="A730" s="112">
        <v>46246.697256944448</v>
      </c>
      <c r="B730" s="5" t="s">
        <v>342</v>
      </c>
      <c r="C730" s="5">
        <v>11547369</v>
      </c>
      <c r="D730" s="5">
        <v>714486</v>
      </c>
      <c r="E730" s="33">
        <v>40</v>
      </c>
      <c r="F730" s="60">
        <v>250</v>
      </c>
      <c r="G730" s="60">
        <f>+OtherClients[[#This Row],[Boxes / Pieces]]*OtherClients[[#This Row],[Unit Quantity]]</f>
        <v>10000</v>
      </c>
      <c r="H730" s="60" t="s">
        <v>811</v>
      </c>
      <c r="I730" s="126" t="s">
        <v>278</v>
      </c>
      <c r="J730" s="127"/>
      <c r="K730" s="33" t="s">
        <v>278</v>
      </c>
      <c r="L730" s="125"/>
      <c r="M730" s="33" t="s">
        <v>278</v>
      </c>
      <c r="N730" s="125"/>
      <c r="O730" s="33" t="s">
        <v>278</v>
      </c>
      <c r="P730" s="125"/>
      <c r="Q730" s="33" t="s">
        <v>587</v>
      </c>
      <c r="R730" s="125"/>
      <c r="S730" s="33" t="s">
        <v>278</v>
      </c>
      <c r="T730" s="125"/>
      <c r="U730" s="33" t="s">
        <v>278</v>
      </c>
      <c r="V730" s="125"/>
      <c r="W730" s="59" t="s">
        <v>548</v>
      </c>
      <c r="X730" s="33" t="str">
        <f>+VLOOKUP(OtherClients[[#This Row],[Part]],PartControl!$A$2:$E$564,5,FALSE)</f>
        <v>Infasco</v>
      </c>
      <c r="Y730" s="108">
        <f>IF(OtherClients[[#This Row],[Re-certified or New]]&lt;&gt;"Re-certified",IF(OtherClients[[#This Row],[Client]]="infasco",VLOOKUP(OtherClients[[#This Row],[Part]],PartControl!$A$2:$E$564,2,FALSE),OtherClients[[#This Row],[Total Quantity]]*VLOOKUP(OtherClients[[#This Row],[Part]],PartControl!$A$2:$E$564,2,FALSE)),0)</f>
        <v>106.94</v>
      </c>
      <c r="Z730" s="108">
        <f>IF(OtherClients[[#This Row],[Re-certified or New]]&lt;&gt;"Re-certified",IF(OtherClients[[#This Row],[Client]]="infasco",VLOOKUP(OtherClients[[#This Row],[Part]],PartControl!$A$2:$E$564,2,FALSE),OtherClients[[#This Row],[Total Quantity]]*VLOOKUP(OtherClients[[#This Row],[Part]],PartControl!$A$2:$E$564,2,FALSE)),0)</f>
        <v>106.94</v>
      </c>
    </row>
    <row r="731" spans="1:26" ht="25.15" hidden="1" customHeight="1" x14ac:dyDescent="0.25">
      <c r="A731" s="112">
        <v>46246.697256944448</v>
      </c>
      <c r="B731" s="5" t="s">
        <v>342</v>
      </c>
      <c r="C731" s="5" t="s">
        <v>818</v>
      </c>
      <c r="D731" s="5">
        <v>716110</v>
      </c>
      <c r="E731" s="33">
        <v>39</v>
      </c>
      <c r="F731" s="60">
        <v>670</v>
      </c>
      <c r="G731" s="60">
        <f>+OtherClients[[#This Row],[Boxes / Pieces]]*OtherClients[[#This Row],[Unit Quantity]]</f>
        <v>26130</v>
      </c>
      <c r="H731" s="60" t="s">
        <v>811</v>
      </c>
      <c r="I731" s="126" t="s">
        <v>278</v>
      </c>
      <c r="J731" s="127"/>
      <c r="K731" s="33" t="s">
        <v>278</v>
      </c>
      <c r="L731" s="125"/>
      <c r="M731" s="33" t="s">
        <v>278</v>
      </c>
      <c r="N731" s="125"/>
      <c r="O731" s="33" t="s">
        <v>278</v>
      </c>
      <c r="P731" s="125"/>
      <c r="Q731" s="33" t="s">
        <v>587</v>
      </c>
      <c r="R731" s="125"/>
      <c r="S731" s="33" t="s">
        <v>278</v>
      </c>
      <c r="T731" s="125"/>
      <c r="U731" s="33" t="s">
        <v>278</v>
      </c>
      <c r="V731" s="125"/>
      <c r="W731" s="59" t="s">
        <v>548</v>
      </c>
      <c r="X731" s="33" t="str">
        <f>+VLOOKUP(OtherClients[[#This Row],[Part]],PartControl!$A$2:$E$564,5,FALSE)</f>
        <v>infasco</v>
      </c>
      <c r="Y731" s="108">
        <f>IF(OtherClients[[#This Row],[Re-certified or New]]&lt;&gt;"Re-certified",IF(OtherClients[[#This Row],[Client]]="infasco",VLOOKUP(OtherClients[[#This Row],[Part]],PartControl!$A$2:$E$564,2,FALSE),OtherClients[[#This Row],[Total Quantity]]*VLOOKUP(OtherClients[[#This Row],[Part]],PartControl!$A$2:$E$564,2,FALSE)),0)</f>
        <v>280.16000000000003</v>
      </c>
      <c r="Z731" s="108">
        <f>IF(OtherClients[[#This Row],[Re-certified or New]]&lt;&gt;"Re-certified",IF(OtherClients[[#This Row],[Client]]="infasco",VLOOKUP(OtherClients[[#This Row],[Part]],PartControl!$A$2:$E$564,2,FALSE),OtherClients[[#This Row],[Total Quantity]]*VLOOKUP(OtherClients[[#This Row],[Part]],PartControl!$A$2:$E$564,2,FALSE)),0)</f>
        <v>280.16000000000003</v>
      </c>
    </row>
    <row r="732" spans="1:26" ht="25.15" hidden="1" customHeight="1" x14ac:dyDescent="0.25">
      <c r="A732" s="112">
        <v>46246.697256944448</v>
      </c>
      <c r="B732" s="5" t="s">
        <v>342</v>
      </c>
      <c r="C732" s="5" t="s">
        <v>565</v>
      </c>
      <c r="D732" s="5">
        <v>711251</v>
      </c>
      <c r="E732" s="33">
        <v>1</v>
      </c>
      <c r="F732" s="60">
        <f>20000+20000</f>
        <v>40000</v>
      </c>
      <c r="G732" s="60">
        <f>+OtherClients[[#This Row],[Boxes / Pieces]]*OtherClients[[#This Row],[Unit Quantity]]</f>
        <v>40000</v>
      </c>
      <c r="H732" s="60" t="s">
        <v>811</v>
      </c>
      <c r="I732" s="126" t="s">
        <v>278</v>
      </c>
      <c r="J732" s="127"/>
      <c r="K732" s="33" t="s">
        <v>278</v>
      </c>
      <c r="L732" s="125"/>
      <c r="M732" s="33" t="s">
        <v>278</v>
      </c>
      <c r="N732" s="125"/>
      <c r="O732" s="33" t="s">
        <v>278</v>
      </c>
      <c r="P732" s="125"/>
      <c r="Q732" s="33" t="s">
        <v>587</v>
      </c>
      <c r="R732" s="125"/>
      <c r="S732" s="33" t="s">
        <v>278</v>
      </c>
      <c r="T732" s="125"/>
      <c r="U732" s="33" t="s">
        <v>278</v>
      </c>
      <c r="V732" s="125"/>
      <c r="W732" s="59" t="s">
        <v>548</v>
      </c>
      <c r="X732" s="33" t="str">
        <f>+VLOOKUP(OtherClients[[#This Row],[Part]],PartControl!$A$2:$E$564,5,FALSE)</f>
        <v>Infasco</v>
      </c>
      <c r="Y732" s="108">
        <f>IF(OtherClients[[#This Row],[Re-certified or New]]&lt;&gt;"Re-certified",IF(OtherClients[[#This Row],[Client]]="infasco",VLOOKUP(OtherClients[[#This Row],[Part]],PartControl!$A$2:$E$564,2,FALSE),OtherClients[[#This Row],[Total Quantity]]*VLOOKUP(OtherClients[[#This Row],[Part]],PartControl!$A$2:$E$564,2,FALSE)),0)</f>
        <v>106.94</v>
      </c>
      <c r="Z732" s="108">
        <f>IF(OtherClients[[#This Row],[Re-certified or New]]&lt;&gt;"Re-certified",IF(OtherClients[[#This Row],[Client]]="infasco",VLOOKUP(OtherClients[[#This Row],[Part]],PartControl!$A$2:$E$564,2,FALSE),OtherClients[[#This Row],[Total Quantity]]*VLOOKUP(OtherClients[[#This Row],[Part]],PartControl!$A$2:$E$564,2,FALSE)),0)</f>
        <v>106.94</v>
      </c>
    </row>
    <row r="733" spans="1:26" ht="25.15" hidden="1" customHeight="1" x14ac:dyDescent="0.25">
      <c r="A733" s="112">
        <v>46246.697256944448</v>
      </c>
      <c r="B733" s="5" t="s">
        <v>342</v>
      </c>
      <c r="C733" s="5" t="s">
        <v>565</v>
      </c>
      <c r="D733" s="5">
        <v>711243</v>
      </c>
      <c r="E733" s="33">
        <v>1</v>
      </c>
      <c r="F733" s="60">
        <v>24675</v>
      </c>
      <c r="G733" s="60">
        <f>+OtherClients[[#This Row],[Boxes / Pieces]]*OtherClients[[#This Row],[Unit Quantity]]</f>
        <v>24675</v>
      </c>
      <c r="H733" s="60" t="s">
        <v>811</v>
      </c>
      <c r="I733" s="126" t="s">
        <v>278</v>
      </c>
      <c r="J733" s="127"/>
      <c r="K733" s="33" t="s">
        <v>278</v>
      </c>
      <c r="L733" s="125"/>
      <c r="M733" s="33" t="s">
        <v>278</v>
      </c>
      <c r="N733" s="125"/>
      <c r="O733" s="33" t="s">
        <v>278</v>
      </c>
      <c r="P733" s="125"/>
      <c r="Q733" s="33" t="s">
        <v>587</v>
      </c>
      <c r="R733" s="125"/>
      <c r="S733" s="33" t="s">
        <v>278</v>
      </c>
      <c r="T733" s="125"/>
      <c r="U733" s="33" t="s">
        <v>278</v>
      </c>
      <c r="V733" s="125"/>
      <c r="W733" s="59" t="s">
        <v>548</v>
      </c>
      <c r="X733" s="33" t="str">
        <f>+VLOOKUP(OtherClients[[#This Row],[Part]],PartControl!$A$2:$E$564,5,FALSE)</f>
        <v>Infasco</v>
      </c>
      <c r="Y733" s="108">
        <f>IF(OtherClients[[#This Row],[Re-certified or New]]&lt;&gt;"Re-certified",IF(OtherClients[[#This Row],[Client]]="infasco",VLOOKUP(OtherClients[[#This Row],[Part]],PartControl!$A$2:$E$564,2,FALSE),OtherClients[[#This Row],[Total Quantity]]*VLOOKUP(OtherClients[[#This Row],[Part]],PartControl!$A$2:$E$564,2,FALSE)),0)</f>
        <v>106.94</v>
      </c>
      <c r="Z733" s="108">
        <f>IF(OtherClients[[#This Row],[Re-certified or New]]&lt;&gt;"Re-certified",IF(OtherClients[[#This Row],[Client]]="infasco",VLOOKUP(OtherClients[[#This Row],[Part]],PartControl!$A$2:$E$564,2,FALSE),OtherClients[[#This Row],[Total Quantity]]*VLOOKUP(OtherClients[[#This Row],[Part]],PartControl!$A$2:$E$564,2,FALSE)),0)</f>
        <v>106.94</v>
      </c>
    </row>
    <row r="734" spans="1:26" ht="25.15" hidden="1" customHeight="1" x14ac:dyDescent="0.25">
      <c r="A734" s="112">
        <v>46246.697256944448</v>
      </c>
      <c r="B734" s="5" t="s">
        <v>342</v>
      </c>
      <c r="C734" s="5" t="s">
        <v>16</v>
      </c>
      <c r="D734" s="5">
        <v>710142</v>
      </c>
      <c r="E734" s="33">
        <v>29</v>
      </c>
      <c r="F734" s="60">
        <v>1400</v>
      </c>
      <c r="G734" s="60">
        <f>+OtherClients[[#This Row],[Boxes / Pieces]]*OtherClients[[#This Row],[Unit Quantity]]</f>
        <v>40600</v>
      </c>
      <c r="H734" s="60" t="s">
        <v>811</v>
      </c>
      <c r="I734" s="126" t="s">
        <v>278</v>
      </c>
      <c r="J734" s="127"/>
      <c r="K734" s="33" t="s">
        <v>278</v>
      </c>
      <c r="L734" s="125"/>
      <c r="M734" s="33" t="s">
        <v>278</v>
      </c>
      <c r="N734" s="125"/>
      <c r="O734" s="33" t="s">
        <v>278</v>
      </c>
      <c r="P734" s="125"/>
      <c r="Q734" s="33" t="s">
        <v>587</v>
      </c>
      <c r="R734" s="125"/>
      <c r="S734" s="33" t="s">
        <v>278</v>
      </c>
      <c r="T734" s="125"/>
      <c r="U734" s="33" t="s">
        <v>278</v>
      </c>
      <c r="V734" s="125"/>
      <c r="W734" s="59" t="s">
        <v>548</v>
      </c>
      <c r="X734" s="33" t="str">
        <f>+VLOOKUP(OtherClients[[#This Row],[Part]],PartControl!$A$2:$E$564,5,FALSE)</f>
        <v>infasco</v>
      </c>
      <c r="Y734" s="108">
        <f>IF(OtherClients[[#This Row],[Re-certified or New]]&lt;&gt;"Re-certified",IF(OtherClients[[#This Row],[Client]]="infasco",VLOOKUP(OtherClients[[#This Row],[Part]],PartControl!$A$2:$E$564,2,FALSE),OtherClients[[#This Row],[Total Quantity]]*VLOOKUP(OtherClients[[#This Row],[Part]],PartControl!$A$2:$E$564,2,FALSE)),0)</f>
        <v>106.94</v>
      </c>
      <c r="Z734" s="108">
        <f>IF(OtherClients[[#This Row],[Re-certified or New]]&lt;&gt;"Re-certified",IF(OtherClients[[#This Row],[Client]]="infasco",VLOOKUP(OtherClients[[#This Row],[Part]],PartControl!$A$2:$E$564,2,FALSE),OtherClients[[#This Row],[Total Quantity]]*VLOOKUP(OtherClients[[#This Row],[Part]],PartControl!$A$2:$E$564,2,FALSE)),0)</f>
        <v>106.94</v>
      </c>
    </row>
    <row r="735" spans="1:26" ht="25.15" hidden="1" customHeight="1" x14ac:dyDescent="0.25">
      <c r="A735" s="112">
        <v>46246.697256944448</v>
      </c>
      <c r="B735" s="5" t="s">
        <v>343</v>
      </c>
      <c r="C735" s="5">
        <v>11549168</v>
      </c>
      <c r="D735" s="5">
        <v>712003</v>
      </c>
      <c r="E735" s="33">
        <v>5</v>
      </c>
      <c r="F735" s="60">
        <v>1000</v>
      </c>
      <c r="G735" s="60">
        <f>+OtherClients[[#This Row],[Boxes / Pieces]]*OtherClients[[#This Row],[Unit Quantity]]</f>
        <v>5000</v>
      </c>
      <c r="H735" s="60" t="s">
        <v>757</v>
      </c>
      <c r="I735" s="126" t="s">
        <v>278</v>
      </c>
      <c r="J735" s="127"/>
      <c r="K735" s="33" t="s">
        <v>278</v>
      </c>
      <c r="L735" s="125"/>
      <c r="M735" s="33" t="s">
        <v>278</v>
      </c>
      <c r="N735" s="125"/>
      <c r="O735" s="33" t="s">
        <v>278</v>
      </c>
      <c r="P735" s="125"/>
      <c r="Q735" s="33" t="s">
        <v>587</v>
      </c>
      <c r="R735" s="125"/>
      <c r="S735" s="33" t="s">
        <v>278</v>
      </c>
      <c r="T735" s="125"/>
      <c r="U735" s="33" t="s">
        <v>278</v>
      </c>
      <c r="V735" s="125"/>
      <c r="W735" s="59" t="s">
        <v>548</v>
      </c>
      <c r="X735" s="33" t="str">
        <f>+VLOOKUP(OtherClients[[#This Row],[Part]],PartControl!$A$2:$E$564,5,FALSE)</f>
        <v>INFASCO</v>
      </c>
      <c r="Y735" s="108">
        <f>IF(OtherClients[[#This Row],[Re-certified or New]]&lt;&gt;"Re-certified",IF(OtherClients[[#This Row],[Client]]="infasco",VLOOKUP(OtherClients[[#This Row],[Part]],PartControl!$A$2:$E$564,2,FALSE),OtherClients[[#This Row],[Total Quantity]]*VLOOKUP(OtherClients[[#This Row],[Part]],PartControl!$A$2:$E$564,2,FALSE)),0)</f>
        <v>106.94</v>
      </c>
      <c r="Z735" s="108">
        <f>IF(OtherClients[[#This Row],[Re-certified or New]]&lt;&gt;"Re-certified",IF(OtherClients[[#This Row],[Client]]="infasco",VLOOKUP(OtherClients[[#This Row],[Part]],PartControl!$A$2:$E$564,2,FALSE),OtherClients[[#This Row],[Total Quantity]]*VLOOKUP(OtherClients[[#This Row],[Part]],PartControl!$A$2:$E$564,2,FALSE)),0)</f>
        <v>106.94</v>
      </c>
    </row>
    <row r="736" spans="1:26" ht="25.15" hidden="1" customHeight="1" x14ac:dyDescent="0.25">
      <c r="A736" s="112">
        <v>46246.697256944448</v>
      </c>
      <c r="B736" s="5" t="s">
        <v>343</v>
      </c>
      <c r="C736" s="5" t="s">
        <v>565</v>
      </c>
      <c r="D736" s="5">
        <v>711242</v>
      </c>
      <c r="E736" s="33">
        <v>1</v>
      </c>
      <c r="F736" s="60">
        <v>20000</v>
      </c>
      <c r="G736" s="60">
        <f>+OtherClients[[#This Row],[Boxes / Pieces]]*OtherClients[[#This Row],[Unit Quantity]]</f>
        <v>20000</v>
      </c>
      <c r="H736" s="60" t="s">
        <v>757</v>
      </c>
      <c r="I736" s="126" t="s">
        <v>278</v>
      </c>
      <c r="J736" s="127"/>
      <c r="K736" s="33" t="s">
        <v>278</v>
      </c>
      <c r="L736" s="125"/>
      <c r="M736" s="33" t="s">
        <v>278</v>
      </c>
      <c r="N736" s="125"/>
      <c r="O736" s="33" t="s">
        <v>278</v>
      </c>
      <c r="P736" s="125"/>
      <c r="Q736" s="33" t="s">
        <v>587</v>
      </c>
      <c r="R736" s="125"/>
      <c r="S736" s="33" t="s">
        <v>278</v>
      </c>
      <c r="T736" s="125"/>
      <c r="U736" s="33" t="s">
        <v>278</v>
      </c>
      <c r="V736" s="125"/>
      <c r="W736" s="59" t="s">
        <v>548</v>
      </c>
      <c r="X736" s="33" t="str">
        <f>+VLOOKUP(OtherClients[[#This Row],[Part]],PartControl!$A$2:$E$564,5,FALSE)</f>
        <v>Infasco</v>
      </c>
      <c r="Y736" s="108">
        <f>IF(OtherClients[[#This Row],[Re-certified or New]]&lt;&gt;"Re-certified",IF(OtherClients[[#This Row],[Client]]="infasco",VLOOKUP(OtherClients[[#This Row],[Part]],PartControl!$A$2:$E$564,2,FALSE),OtherClients[[#This Row],[Total Quantity]]*VLOOKUP(OtherClients[[#This Row],[Part]],PartControl!$A$2:$E$564,2,FALSE)),0)</f>
        <v>106.94</v>
      </c>
      <c r="Z736" s="108">
        <f>IF(OtherClients[[#This Row],[Re-certified or New]]&lt;&gt;"Re-certified",IF(OtherClients[[#This Row],[Client]]="infasco",VLOOKUP(OtherClients[[#This Row],[Part]],PartControl!$A$2:$E$564,2,FALSE),OtherClients[[#This Row],[Total Quantity]]*VLOOKUP(OtherClients[[#This Row],[Part]],PartControl!$A$2:$E$564,2,FALSE)),0)</f>
        <v>106.94</v>
      </c>
    </row>
    <row r="737" spans="1:26" ht="25.15" hidden="1" customHeight="1" x14ac:dyDescent="0.25">
      <c r="A737" s="112">
        <v>46246.697256944448</v>
      </c>
      <c r="B737" s="5" t="s">
        <v>343</v>
      </c>
      <c r="C737" s="5" t="s">
        <v>565</v>
      </c>
      <c r="D737" s="5">
        <v>713552</v>
      </c>
      <c r="E737" s="33">
        <v>1</v>
      </c>
      <c r="F737" s="60">
        <f>20000+18900</f>
        <v>38900</v>
      </c>
      <c r="G737" s="60">
        <f>+OtherClients[[#This Row],[Boxes / Pieces]]*OtherClients[[#This Row],[Unit Quantity]]</f>
        <v>38900</v>
      </c>
      <c r="H737" s="60" t="s">
        <v>757</v>
      </c>
      <c r="I737" s="126" t="s">
        <v>278</v>
      </c>
      <c r="J737" s="127"/>
      <c r="K737" s="33" t="s">
        <v>278</v>
      </c>
      <c r="L737" s="125"/>
      <c r="M737" s="33" t="s">
        <v>278</v>
      </c>
      <c r="N737" s="125"/>
      <c r="O737" s="33" t="s">
        <v>278</v>
      </c>
      <c r="P737" s="125"/>
      <c r="Q737" s="33" t="s">
        <v>587</v>
      </c>
      <c r="R737" s="125"/>
      <c r="S737" s="33" t="s">
        <v>278</v>
      </c>
      <c r="T737" s="125"/>
      <c r="U737" s="33" t="s">
        <v>278</v>
      </c>
      <c r="V737" s="125"/>
      <c r="W737" s="59" t="s">
        <v>548</v>
      </c>
      <c r="X737" s="33" t="str">
        <f>+VLOOKUP(OtherClients[[#This Row],[Part]],PartControl!$A$2:$E$564,5,FALSE)</f>
        <v>Infasco</v>
      </c>
      <c r="Y737" s="108">
        <f>IF(OtherClients[[#This Row],[Re-certified or New]]&lt;&gt;"Re-certified",IF(OtherClients[[#This Row],[Client]]="infasco",VLOOKUP(OtherClients[[#This Row],[Part]],PartControl!$A$2:$E$564,2,FALSE),OtherClients[[#This Row],[Total Quantity]]*VLOOKUP(OtherClients[[#This Row],[Part]],PartControl!$A$2:$E$564,2,FALSE)),0)</f>
        <v>106.94</v>
      </c>
      <c r="Z737" s="108">
        <f>IF(OtherClients[[#This Row],[Re-certified or New]]&lt;&gt;"Re-certified",IF(OtherClients[[#This Row],[Client]]="infasco",VLOOKUP(OtherClients[[#This Row],[Part]],PartControl!$A$2:$E$564,2,FALSE),OtherClients[[#This Row],[Total Quantity]]*VLOOKUP(OtherClients[[#This Row],[Part]],PartControl!$A$2:$E$564,2,FALSE)),0)</f>
        <v>106.94</v>
      </c>
    </row>
    <row r="738" spans="1:26" ht="25.15" hidden="1" customHeight="1" x14ac:dyDescent="0.25">
      <c r="A738" s="112">
        <v>46246.697256944448</v>
      </c>
      <c r="B738" s="5" t="s">
        <v>343</v>
      </c>
      <c r="C738" s="5">
        <v>11549168</v>
      </c>
      <c r="D738" s="5">
        <v>712002</v>
      </c>
      <c r="E738" s="33">
        <v>36</v>
      </c>
      <c r="F738" s="60">
        <v>1000</v>
      </c>
      <c r="G738" s="60">
        <f>+OtherClients[[#This Row],[Boxes / Pieces]]*OtherClients[[#This Row],[Unit Quantity]]</f>
        <v>36000</v>
      </c>
      <c r="H738" s="60" t="s">
        <v>757</v>
      </c>
      <c r="I738" s="126" t="s">
        <v>278</v>
      </c>
      <c r="J738" s="127"/>
      <c r="K738" s="33" t="s">
        <v>278</v>
      </c>
      <c r="L738" s="125"/>
      <c r="M738" s="33" t="s">
        <v>278</v>
      </c>
      <c r="N738" s="125"/>
      <c r="O738" s="33" t="s">
        <v>278</v>
      </c>
      <c r="P738" s="125"/>
      <c r="Q738" s="33" t="s">
        <v>587</v>
      </c>
      <c r="R738" s="125"/>
      <c r="S738" s="33" t="s">
        <v>278</v>
      </c>
      <c r="T738" s="125"/>
      <c r="U738" s="33" t="s">
        <v>278</v>
      </c>
      <c r="V738" s="125"/>
      <c r="W738" s="59" t="s">
        <v>548</v>
      </c>
      <c r="X738" s="33" t="str">
        <f>+VLOOKUP(OtherClients[[#This Row],[Part]],PartControl!$A$2:$E$564,5,FALSE)</f>
        <v>INFASCO</v>
      </c>
      <c r="Y738" s="108">
        <f>IF(OtherClients[[#This Row],[Re-certified or New]]&lt;&gt;"Re-certified",IF(OtherClients[[#This Row],[Client]]="infasco",VLOOKUP(OtherClients[[#This Row],[Part]],PartControl!$A$2:$E$564,2,FALSE),OtherClients[[#This Row],[Total Quantity]]*VLOOKUP(OtherClients[[#This Row],[Part]],PartControl!$A$2:$E$564,2,FALSE)),0)</f>
        <v>106.94</v>
      </c>
      <c r="Z738" s="108">
        <f>IF(OtherClients[[#This Row],[Re-certified or New]]&lt;&gt;"Re-certified",IF(OtherClients[[#This Row],[Client]]="infasco",VLOOKUP(OtherClients[[#This Row],[Part]],PartControl!$A$2:$E$564,2,FALSE),OtherClients[[#This Row],[Total Quantity]]*VLOOKUP(OtherClients[[#This Row],[Part]],PartControl!$A$2:$E$564,2,FALSE)),0)</f>
        <v>106.94</v>
      </c>
    </row>
    <row r="739" spans="1:26" ht="25.15" hidden="1" customHeight="1" x14ac:dyDescent="0.25">
      <c r="A739" s="112">
        <v>46246.697256944448</v>
      </c>
      <c r="B739" s="5" t="s">
        <v>344</v>
      </c>
      <c r="C739" s="5">
        <v>11549170</v>
      </c>
      <c r="D739" s="5">
        <v>714643</v>
      </c>
      <c r="E739" s="33">
        <v>30</v>
      </c>
      <c r="F739" s="60">
        <v>400</v>
      </c>
      <c r="G739" s="60">
        <f>+OtherClients[[#This Row],[Boxes / Pieces]]*OtherClients[[#This Row],[Unit Quantity]]</f>
        <v>12000</v>
      </c>
      <c r="H739" s="60" t="s">
        <v>816</v>
      </c>
      <c r="I739" s="126" t="s">
        <v>278</v>
      </c>
      <c r="J739" s="127"/>
      <c r="K739" s="33" t="s">
        <v>278</v>
      </c>
      <c r="L739" s="125"/>
      <c r="M739" s="33" t="s">
        <v>278</v>
      </c>
      <c r="N739" s="125"/>
      <c r="O739" s="33" t="s">
        <v>278</v>
      </c>
      <c r="P739" s="125"/>
      <c r="Q739" s="33" t="s">
        <v>587</v>
      </c>
      <c r="R739" s="125"/>
      <c r="S739" s="33" t="s">
        <v>278</v>
      </c>
      <c r="T739" s="125"/>
      <c r="U739" s="33" t="s">
        <v>278</v>
      </c>
      <c r="V739" s="125"/>
      <c r="W739" s="59" t="s">
        <v>548</v>
      </c>
      <c r="X739" s="33" t="str">
        <f>+VLOOKUP(OtherClients[[#This Row],[Part]],PartControl!$A$2:$E$564,5,FALSE)</f>
        <v>INFASCO</v>
      </c>
      <c r="Y739" s="108">
        <f>IF(OtherClients[[#This Row],[Re-certified or New]]&lt;&gt;"Re-certified",IF(OtherClients[[#This Row],[Client]]="infasco",VLOOKUP(OtherClients[[#This Row],[Part]],PartControl!$A$2:$E$564,2,FALSE),OtherClients[[#This Row],[Total Quantity]]*VLOOKUP(OtherClients[[#This Row],[Part]],PartControl!$A$2:$E$564,2,FALSE)),0)</f>
        <v>106.94</v>
      </c>
      <c r="Z739" s="108">
        <f>IF(OtherClients[[#This Row],[Re-certified or New]]&lt;&gt;"Re-certified",IF(OtherClients[[#This Row],[Client]]="infasco",VLOOKUP(OtherClients[[#This Row],[Part]],PartControl!$A$2:$E$564,2,FALSE),OtherClients[[#This Row],[Total Quantity]]*VLOOKUP(OtherClients[[#This Row],[Part]],PartControl!$A$2:$E$564,2,FALSE)),0)</f>
        <v>106.94</v>
      </c>
    </row>
    <row r="740" spans="1:26" ht="25.15" hidden="1" customHeight="1" x14ac:dyDescent="0.25">
      <c r="A740" s="112">
        <v>46246.697256944448</v>
      </c>
      <c r="B740" s="5" t="s">
        <v>344</v>
      </c>
      <c r="C740" s="5">
        <v>11546703</v>
      </c>
      <c r="D740" s="5">
        <v>713200</v>
      </c>
      <c r="E740" s="33">
        <v>30</v>
      </c>
      <c r="F740" s="60">
        <v>4000</v>
      </c>
      <c r="G740" s="60">
        <f>+OtherClients[[#This Row],[Boxes / Pieces]]*OtherClients[[#This Row],[Unit Quantity]]</f>
        <v>120000</v>
      </c>
      <c r="H740" s="60" t="s">
        <v>816</v>
      </c>
      <c r="I740" s="126" t="s">
        <v>278</v>
      </c>
      <c r="J740" s="127"/>
      <c r="K740" s="33" t="s">
        <v>278</v>
      </c>
      <c r="L740" s="125"/>
      <c r="M740" s="33" t="s">
        <v>278</v>
      </c>
      <c r="N740" s="125"/>
      <c r="O740" s="33" t="s">
        <v>278</v>
      </c>
      <c r="P740" s="125"/>
      <c r="Q740" s="33" t="s">
        <v>587</v>
      </c>
      <c r="R740" s="125"/>
      <c r="S740" s="33" t="s">
        <v>278</v>
      </c>
      <c r="T740" s="125"/>
      <c r="U740" s="33" t="s">
        <v>278</v>
      </c>
      <c r="V740" s="125"/>
      <c r="W740" s="59" t="s">
        <v>548</v>
      </c>
      <c r="X740" s="33" t="str">
        <f>+VLOOKUP(OtherClients[[#This Row],[Part]],PartControl!$A$2:$E$564,5,FALSE)</f>
        <v>infasco</v>
      </c>
      <c r="Y740" s="108">
        <f>IF(OtherClients[[#This Row],[Re-certified or New]]&lt;&gt;"Re-certified",IF(OtherClients[[#This Row],[Client]]="infasco",VLOOKUP(OtherClients[[#This Row],[Part]],PartControl!$A$2:$E$564,2,FALSE),OtherClients[[#This Row],[Total Quantity]]*VLOOKUP(OtherClients[[#This Row],[Part]],PartControl!$A$2:$E$564,2,FALSE)),0)</f>
        <v>135.07999999999998</v>
      </c>
      <c r="Z740" s="108">
        <f>IF(OtherClients[[#This Row],[Re-certified or New]]&lt;&gt;"Re-certified",IF(OtherClients[[#This Row],[Client]]="infasco",VLOOKUP(OtherClients[[#This Row],[Part]],PartControl!$A$2:$E$564,2,FALSE),OtherClients[[#This Row],[Total Quantity]]*VLOOKUP(OtherClients[[#This Row],[Part]],PartControl!$A$2:$E$564,2,FALSE)),0)</f>
        <v>135.07999999999998</v>
      </c>
    </row>
    <row r="741" spans="1:26" ht="25.15" hidden="1" customHeight="1" x14ac:dyDescent="0.25">
      <c r="A741" s="112">
        <v>46246.697256944448</v>
      </c>
      <c r="B741" s="5" t="s">
        <v>344</v>
      </c>
      <c r="C741" s="5">
        <v>11546703</v>
      </c>
      <c r="D741" s="5">
        <v>712586</v>
      </c>
      <c r="E741" s="33">
        <v>27</v>
      </c>
      <c r="F741" s="60">
        <v>4000</v>
      </c>
      <c r="G741" s="60">
        <f>+OtherClients[[#This Row],[Boxes / Pieces]]*OtherClients[[#This Row],[Unit Quantity]]</f>
        <v>108000</v>
      </c>
      <c r="H741" s="60" t="s">
        <v>816</v>
      </c>
      <c r="I741" s="126" t="s">
        <v>278</v>
      </c>
      <c r="J741" s="127"/>
      <c r="K741" s="33" t="s">
        <v>278</v>
      </c>
      <c r="L741" s="125"/>
      <c r="M741" s="33" t="s">
        <v>278</v>
      </c>
      <c r="N741" s="125"/>
      <c r="O741" s="33" t="s">
        <v>278</v>
      </c>
      <c r="P741" s="125"/>
      <c r="Q741" s="33" t="s">
        <v>587</v>
      </c>
      <c r="R741" s="125"/>
      <c r="S741" s="33" t="s">
        <v>278</v>
      </c>
      <c r="T741" s="125"/>
      <c r="U741" s="33" t="s">
        <v>278</v>
      </c>
      <c r="V741" s="125"/>
      <c r="W741" s="59" t="s">
        <v>548</v>
      </c>
      <c r="X741" s="33" t="str">
        <f>+VLOOKUP(OtherClients[[#This Row],[Part]],PartControl!$A$2:$E$564,5,FALSE)</f>
        <v>infasco</v>
      </c>
      <c r="Y741" s="108">
        <f>IF(OtherClients[[#This Row],[Re-certified or New]]&lt;&gt;"Re-certified",IF(OtherClients[[#This Row],[Client]]="infasco",VLOOKUP(OtherClients[[#This Row],[Part]],PartControl!$A$2:$E$564,2,FALSE),OtherClients[[#This Row],[Total Quantity]]*VLOOKUP(OtherClients[[#This Row],[Part]],PartControl!$A$2:$E$564,2,FALSE)),0)</f>
        <v>135.07999999999998</v>
      </c>
      <c r="Z741" s="108">
        <f>IF(OtherClients[[#This Row],[Re-certified or New]]&lt;&gt;"Re-certified",IF(OtherClients[[#This Row],[Client]]="infasco",VLOOKUP(OtherClients[[#This Row],[Part]],PartControl!$A$2:$E$564,2,FALSE),OtherClients[[#This Row],[Total Quantity]]*VLOOKUP(OtherClients[[#This Row],[Part]],PartControl!$A$2:$E$564,2,FALSE)),0)</f>
        <v>135.07999999999998</v>
      </c>
    </row>
    <row r="742" spans="1:26" ht="25.15" hidden="1" customHeight="1" x14ac:dyDescent="0.25">
      <c r="A742" s="112">
        <v>46246.697256944448</v>
      </c>
      <c r="B742" s="5" t="s">
        <v>344</v>
      </c>
      <c r="C742" s="5">
        <v>11546703</v>
      </c>
      <c r="D742" s="5">
        <v>712587</v>
      </c>
      <c r="E742" s="33">
        <v>33</v>
      </c>
      <c r="F742" s="60">
        <v>4000</v>
      </c>
      <c r="G742" s="60">
        <f>+OtherClients[[#This Row],[Boxes / Pieces]]*OtherClients[[#This Row],[Unit Quantity]]</f>
        <v>132000</v>
      </c>
      <c r="H742" s="60" t="s">
        <v>816</v>
      </c>
      <c r="I742" s="126" t="s">
        <v>278</v>
      </c>
      <c r="J742" s="127"/>
      <c r="K742" s="33" t="s">
        <v>278</v>
      </c>
      <c r="L742" s="125"/>
      <c r="M742" s="33" t="s">
        <v>278</v>
      </c>
      <c r="N742" s="125"/>
      <c r="O742" s="33" t="s">
        <v>278</v>
      </c>
      <c r="P742" s="125"/>
      <c r="Q742" s="33" t="s">
        <v>587</v>
      </c>
      <c r="R742" s="125"/>
      <c r="S742" s="33" t="s">
        <v>278</v>
      </c>
      <c r="T742" s="125"/>
      <c r="U742" s="33" t="s">
        <v>278</v>
      </c>
      <c r="V742" s="125"/>
      <c r="W742" s="59" t="s">
        <v>548</v>
      </c>
      <c r="X742" s="33" t="str">
        <f>+VLOOKUP(OtherClients[[#This Row],[Part]],PartControl!$A$2:$E$564,5,FALSE)</f>
        <v>infasco</v>
      </c>
      <c r="Y742" s="108">
        <f>IF(OtherClients[[#This Row],[Re-certified or New]]&lt;&gt;"Re-certified",IF(OtherClients[[#This Row],[Client]]="infasco",VLOOKUP(OtherClients[[#This Row],[Part]],PartControl!$A$2:$E$564,2,FALSE),OtherClients[[#This Row],[Total Quantity]]*VLOOKUP(OtherClients[[#This Row],[Part]],PartControl!$A$2:$E$564,2,FALSE)),0)</f>
        <v>135.07999999999998</v>
      </c>
      <c r="Z742" s="108">
        <f>IF(OtherClients[[#This Row],[Re-certified or New]]&lt;&gt;"Re-certified",IF(OtherClients[[#This Row],[Client]]="infasco",VLOOKUP(OtherClients[[#This Row],[Part]],PartControl!$A$2:$E$564,2,FALSE),OtherClients[[#This Row],[Total Quantity]]*VLOOKUP(OtherClients[[#This Row],[Part]],PartControl!$A$2:$E$564,2,FALSE)),0)</f>
        <v>135.07999999999998</v>
      </c>
    </row>
    <row r="743" spans="1:26" ht="25.15" hidden="1" customHeight="1" x14ac:dyDescent="0.25">
      <c r="A743" s="112">
        <v>46246.697256944448</v>
      </c>
      <c r="B743" s="5" t="s">
        <v>344</v>
      </c>
      <c r="C743" s="5">
        <v>11546703</v>
      </c>
      <c r="D743" s="5">
        <v>713204</v>
      </c>
      <c r="E743" s="33">
        <v>28</v>
      </c>
      <c r="F743" s="60">
        <v>4000</v>
      </c>
      <c r="G743" s="60">
        <f>+OtherClients[[#This Row],[Boxes / Pieces]]*OtherClients[[#This Row],[Unit Quantity]]</f>
        <v>112000</v>
      </c>
      <c r="H743" s="60" t="s">
        <v>816</v>
      </c>
      <c r="I743" s="126" t="s">
        <v>278</v>
      </c>
      <c r="J743" s="127"/>
      <c r="K743" s="33" t="s">
        <v>278</v>
      </c>
      <c r="L743" s="125"/>
      <c r="M743" s="33" t="s">
        <v>278</v>
      </c>
      <c r="N743" s="125"/>
      <c r="O743" s="33" t="s">
        <v>278</v>
      </c>
      <c r="P743" s="125"/>
      <c r="Q743" s="33" t="s">
        <v>587</v>
      </c>
      <c r="R743" s="125"/>
      <c r="S743" s="33" t="s">
        <v>278</v>
      </c>
      <c r="T743" s="125"/>
      <c r="U743" s="33" t="s">
        <v>278</v>
      </c>
      <c r="V743" s="125"/>
      <c r="W743" s="59" t="s">
        <v>548</v>
      </c>
      <c r="X743" s="33" t="str">
        <f>+VLOOKUP(OtherClients[[#This Row],[Part]],PartControl!$A$2:$E$564,5,FALSE)</f>
        <v>infasco</v>
      </c>
      <c r="Y743" s="108">
        <f>IF(OtherClients[[#This Row],[Re-certified or New]]&lt;&gt;"Re-certified",IF(OtherClients[[#This Row],[Client]]="infasco",VLOOKUP(OtherClients[[#This Row],[Part]],PartControl!$A$2:$E$564,2,FALSE),OtherClients[[#This Row],[Total Quantity]]*VLOOKUP(OtherClients[[#This Row],[Part]],PartControl!$A$2:$E$564,2,FALSE)),0)</f>
        <v>135.07999999999998</v>
      </c>
      <c r="Z743" s="108">
        <f>IF(OtherClients[[#This Row],[Re-certified or New]]&lt;&gt;"Re-certified",IF(OtherClients[[#This Row],[Client]]="infasco",VLOOKUP(OtherClients[[#This Row],[Part]],PartControl!$A$2:$E$564,2,FALSE),OtherClients[[#This Row],[Total Quantity]]*VLOOKUP(OtherClients[[#This Row],[Part]],PartControl!$A$2:$E$564,2,FALSE)),0)</f>
        <v>135.07999999999998</v>
      </c>
    </row>
    <row r="744" spans="1:26" ht="25.15" hidden="1" customHeight="1" x14ac:dyDescent="0.25">
      <c r="A744" s="112">
        <v>46246.697256944448</v>
      </c>
      <c r="B744" s="5" t="s">
        <v>344</v>
      </c>
      <c r="C744" s="5" t="s">
        <v>824</v>
      </c>
      <c r="D744" s="5">
        <v>715976</v>
      </c>
      <c r="E744" s="33">
        <v>1</v>
      </c>
      <c r="F744" s="60">
        <v>4950</v>
      </c>
      <c r="G744" s="60">
        <f>+OtherClients[[#This Row],[Boxes / Pieces]]*OtherClients[[#This Row],[Unit Quantity]]</f>
        <v>4950</v>
      </c>
      <c r="H744" s="60" t="s">
        <v>816</v>
      </c>
      <c r="I744" s="126" t="s">
        <v>278</v>
      </c>
      <c r="J744" s="127"/>
      <c r="K744" s="33" t="s">
        <v>278</v>
      </c>
      <c r="L744" s="125"/>
      <c r="M744" s="33" t="s">
        <v>278</v>
      </c>
      <c r="N744" s="125"/>
      <c r="O744" s="33" t="s">
        <v>278</v>
      </c>
      <c r="P744" s="125"/>
      <c r="Q744" s="33" t="s">
        <v>587</v>
      </c>
      <c r="R744" s="125"/>
      <c r="S744" s="33" t="s">
        <v>278</v>
      </c>
      <c r="T744" s="125"/>
      <c r="U744" s="33" t="s">
        <v>278</v>
      </c>
      <c r="V744" s="125"/>
      <c r="W744" s="59" t="s">
        <v>548</v>
      </c>
      <c r="X744" s="33" t="str">
        <f>+VLOOKUP(OtherClients[[#This Row],[Part]],PartControl!$A$2:$E$564,5,FALSE)</f>
        <v>Infasco</v>
      </c>
      <c r="Y744" s="108">
        <f>IF(OtherClients[[#This Row],[Re-certified or New]]&lt;&gt;"Re-certified",IF(OtherClients[[#This Row],[Client]]="infasco",VLOOKUP(OtherClients[[#This Row],[Part]],PartControl!$A$2:$E$564,2,FALSE),OtherClients[[#This Row],[Total Quantity]]*VLOOKUP(OtherClients[[#This Row],[Part]],PartControl!$A$2:$E$564,2,FALSE)),0)</f>
        <v>129.44999999999999</v>
      </c>
      <c r="Z744" s="108">
        <f>IF(OtherClients[[#This Row],[Re-certified or New]]&lt;&gt;"Re-certified",IF(OtherClients[[#This Row],[Client]]="infasco",VLOOKUP(OtherClients[[#This Row],[Part]],PartControl!$A$2:$E$564,2,FALSE),OtherClients[[#This Row],[Total Quantity]]*VLOOKUP(OtherClients[[#This Row],[Part]],PartControl!$A$2:$E$564,2,FALSE)),0)</f>
        <v>129.44999999999999</v>
      </c>
    </row>
    <row r="745" spans="1:26" ht="25.15" hidden="1" customHeight="1" x14ac:dyDescent="0.25">
      <c r="A745" s="112">
        <v>46246.697256944448</v>
      </c>
      <c r="B745" s="5" t="s">
        <v>344</v>
      </c>
      <c r="C745" s="5" t="s">
        <v>824</v>
      </c>
      <c r="D745" s="5">
        <v>715979</v>
      </c>
      <c r="E745" s="33">
        <v>1</v>
      </c>
      <c r="F745" s="60">
        <v>5340</v>
      </c>
      <c r="G745" s="60">
        <f>+OtherClients[[#This Row],[Boxes / Pieces]]*OtherClients[[#This Row],[Unit Quantity]]</f>
        <v>5340</v>
      </c>
      <c r="H745" s="60" t="s">
        <v>816</v>
      </c>
      <c r="I745" s="126" t="s">
        <v>278</v>
      </c>
      <c r="J745" s="127"/>
      <c r="K745" s="33" t="s">
        <v>278</v>
      </c>
      <c r="L745" s="125"/>
      <c r="M745" s="33" t="s">
        <v>278</v>
      </c>
      <c r="N745" s="125"/>
      <c r="O745" s="33" t="s">
        <v>278</v>
      </c>
      <c r="P745" s="125"/>
      <c r="Q745" s="33" t="s">
        <v>587</v>
      </c>
      <c r="R745" s="125"/>
      <c r="S745" s="33" t="s">
        <v>278</v>
      </c>
      <c r="T745" s="125"/>
      <c r="U745" s="33" t="s">
        <v>278</v>
      </c>
      <c r="V745" s="125"/>
      <c r="W745" s="59" t="s">
        <v>548</v>
      </c>
      <c r="X745" s="33" t="str">
        <f>+VLOOKUP(OtherClients[[#This Row],[Part]],PartControl!$A$2:$E$564,5,FALSE)</f>
        <v>Infasco</v>
      </c>
      <c r="Y745" s="108">
        <f>IF(OtherClients[[#This Row],[Re-certified or New]]&lt;&gt;"Re-certified",IF(OtherClients[[#This Row],[Client]]="infasco",VLOOKUP(OtherClients[[#This Row],[Part]],PartControl!$A$2:$E$564,2,FALSE),OtherClients[[#This Row],[Total Quantity]]*VLOOKUP(OtherClients[[#This Row],[Part]],PartControl!$A$2:$E$564,2,FALSE)),0)</f>
        <v>129.44999999999999</v>
      </c>
      <c r="Z745" s="108">
        <f>IF(OtherClients[[#This Row],[Re-certified or New]]&lt;&gt;"Re-certified",IF(OtherClients[[#This Row],[Client]]="infasco",VLOOKUP(OtherClients[[#This Row],[Part]],PartControl!$A$2:$E$564,2,FALSE),OtherClients[[#This Row],[Total Quantity]]*VLOOKUP(OtherClients[[#This Row],[Part]],PartControl!$A$2:$E$564,2,FALSE)),0)</f>
        <v>129.44999999999999</v>
      </c>
    </row>
    <row r="746" spans="1:26" ht="25.15" hidden="1" customHeight="1" x14ac:dyDescent="0.25">
      <c r="A746" s="112">
        <v>46246.697256944448</v>
      </c>
      <c r="B746" s="5" t="s">
        <v>344</v>
      </c>
      <c r="C746" s="5" t="s">
        <v>824</v>
      </c>
      <c r="D746" s="5">
        <v>715980</v>
      </c>
      <c r="E746" s="33">
        <v>1</v>
      </c>
      <c r="F746" s="60">
        <v>4950</v>
      </c>
      <c r="G746" s="60">
        <f>+OtherClients[[#This Row],[Boxes / Pieces]]*OtherClients[[#This Row],[Unit Quantity]]</f>
        <v>4950</v>
      </c>
      <c r="H746" s="60" t="s">
        <v>816</v>
      </c>
      <c r="I746" s="126" t="s">
        <v>278</v>
      </c>
      <c r="J746" s="127"/>
      <c r="K746" s="33" t="s">
        <v>278</v>
      </c>
      <c r="L746" s="125"/>
      <c r="M746" s="33" t="s">
        <v>278</v>
      </c>
      <c r="N746" s="125"/>
      <c r="O746" s="33" t="s">
        <v>278</v>
      </c>
      <c r="P746" s="125"/>
      <c r="Q746" s="33" t="s">
        <v>587</v>
      </c>
      <c r="R746" s="125"/>
      <c r="S746" s="33" t="s">
        <v>278</v>
      </c>
      <c r="T746" s="125"/>
      <c r="U746" s="33" t="s">
        <v>278</v>
      </c>
      <c r="V746" s="125"/>
      <c r="W746" s="59" t="s">
        <v>548</v>
      </c>
      <c r="X746" s="33" t="str">
        <f>+VLOOKUP(OtherClients[[#This Row],[Part]],PartControl!$A$2:$E$564,5,FALSE)</f>
        <v>Infasco</v>
      </c>
      <c r="Y746" s="108">
        <f>IF(OtherClients[[#This Row],[Re-certified or New]]&lt;&gt;"Re-certified",IF(OtherClients[[#This Row],[Client]]="infasco",VLOOKUP(OtherClients[[#This Row],[Part]],PartControl!$A$2:$E$564,2,FALSE),OtherClients[[#This Row],[Total Quantity]]*VLOOKUP(OtherClients[[#This Row],[Part]],PartControl!$A$2:$E$564,2,FALSE)),0)</f>
        <v>129.44999999999999</v>
      </c>
      <c r="Z746" s="108">
        <f>IF(OtherClients[[#This Row],[Re-certified or New]]&lt;&gt;"Re-certified",IF(OtherClients[[#This Row],[Client]]="infasco",VLOOKUP(OtherClients[[#This Row],[Part]],PartControl!$A$2:$E$564,2,FALSE),OtherClients[[#This Row],[Total Quantity]]*VLOOKUP(OtherClients[[#This Row],[Part]],PartControl!$A$2:$E$564,2,FALSE)),0)</f>
        <v>129.44999999999999</v>
      </c>
    </row>
    <row r="747" spans="1:26" ht="25.15" hidden="1" customHeight="1" x14ac:dyDescent="0.25">
      <c r="A747" s="112">
        <v>46246.697256944448</v>
      </c>
      <c r="B747" s="5" t="s">
        <v>344</v>
      </c>
      <c r="C747" s="5">
        <v>11547369</v>
      </c>
      <c r="D747" s="5">
        <v>714484</v>
      </c>
      <c r="E747" s="33">
        <v>36</v>
      </c>
      <c r="F747" s="60">
        <v>250</v>
      </c>
      <c r="G747" s="60">
        <f>+OtherClients[[#This Row],[Boxes / Pieces]]*OtherClients[[#This Row],[Unit Quantity]]</f>
        <v>9000</v>
      </c>
      <c r="H747" s="60" t="s">
        <v>816</v>
      </c>
      <c r="I747" s="126" t="s">
        <v>278</v>
      </c>
      <c r="J747" s="127"/>
      <c r="K747" s="33" t="s">
        <v>278</v>
      </c>
      <c r="L747" s="125"/>
      <c r="M747" s="33" t="s">
        <v>278</v>
      </c>
      <c r="N747" s="125"/>
      <c r="O747" s="33" t="s">
        <v>278</v>
      </c>
      <c r="P747" s="125"/>
      <c r="Q747" s="33" t="s">
        <v>587</v>
      </c>
      <c r="R747" s="125"/>
      <c r="S747" s="33" t="s">
        <v>278</v>
      </c>
      <c r="T747" s="125"/>
      <c r="U747" s="33" t="s">
        <v>278</v>
      </c>
      <c r="V747" s="125"/>
      <c r="W747" s="59" t="s">
        <v>548</v>
      </c>
      <c r="X747" s="33" t="str">
        <f>+VLOOKUP(OtherClients[[#This Row],[Part]],PartControl!$A$2:$E$564,5,FALSE)</f>
        <v>Infasco</v>
      </c>
      <c r="Y747" s="108">
        <f>IF(OtherClients[[#This Row],[Re-certified or New]]&lt;&gt;"Re-certified",IF(OtherClients[[#This Row],[Client]]="infasco",VLOOKUP(OtherClients[[#This Row],[Part]],PartControl!$A$2:$E$564,2,FALSE),OtherClients[[#This Row],[Total Quantity]]*VLOOKUP(OtherClients[[#This Row],[Part]],PartControl!$A$2:$E$564,2,FALSE)),0)</f>
        <v>106.94</v>
      </c>
      <c r="Z747" s="108">
        <f>IF(OtherClients[[#This Row],[Re-certified or New]]&lt;&gt;"Re-certified",IF(OtherClients[[#This Row],[Client]]="infasco",VLOOKUP(OtherClients[[#This Row],[Part]],PartControl!$A$2:$E$564,2,FALSE),OtherClients[[#This Row],[Total Quantity]]*VLOOKUP(OtherClients[[#This Row],[Part]],PartControl!$A$2:$E$564,2,FALSE)),0)</f>
        <v>106.94</v>
      </c>
    </row>
    <row r="748" spans="1:26" ht="25.15" hidden="1" customHeight="1" x14ac:dyDescent="0.25">
      <c r="A748" s="112">
        <v>46246.697256944448</v>
      </c>
      <c r="B748" s="5" t="s">
        <v>344</v>
      </c>
      <c r="C748" s="5">
        <v>11547369</v>
      </c>
      <c r="D748" s="5">
        <v>714298</v>
      </c>
      <c r="E748" s="33">
        <v>36</v>
      </c>
      <c r="F748" s="60">
        <v>250</v>
      </c>
      <c r="G748" s="60">
        <f>+OtherClients[[#This Row],[Boxes / Pieces]]*OtherClients[[#This Row],[Unit Quantity]]</f>
        <v>9000</v>
      </c>
      <c r="H748" s="60" t="s">
        <v>816</v>
      </c>
      <c r="I748" s="126" t="s">
        <v>278</v>
      </c>
      <c r="J748" s="127"/>
      <c r="K748" s="33" t="s">
        <v>278</v>
      </c>
      <c r="L748" s="125"/>
      <c r="M748" s="33" t="s">
        <v>278</v>
      </c>
      <c r="N748" s="125"/>
      <c r="O748" s="33" t="s">
        <v>278</v>
      </c>
      <c r="P748" s="125"/>
      <c r="Q748" s="33" t="s">
        <v>587</v>
      </c>
      <c r="R748" s="125"/>
      <c r="S748" s="33" t="s">
        <v>278</v>
      </c>
      <c r="T748" s="125"/>
      <c r="U748" s="33" t="s">
        <v>278</v>
      </c>
      <c r="V748" s="125"/>
      <c r="W748" s="59" t="s">
        <v>633</v>
      </c>
      <c r="X748" s="33" t="str">
        <f>+VLOOKUP(OtherClients[[#This Row],[Part]],PartControl!$A$2:$E$564,5,FALSE)</f>
        <v>Infasco</v>
      </c>
      <c r="Y748" s="108">
        <f>IF(OtherClients[[#This Row],[Re-certified or New]]&lt;&gt;"Re-certified",IF(OtherClients[[#This Row],[Client]]="infasco",VLOOKUP(OtherClients[[#This Row],[Part]],PartControl!$A$2:$E$564,2,FALSE),OtherClients[[#This Row],[Total Quantity]]*VLOOKUP(OtherClients[[#This Row],[Part]],PartControl!$A$2:$E$564,2,FALSE)),0)</f>
        <v>0</v>
      </c>
      <c r="Z748" s="108">
        <f>IF(OtherClients[[#This Row],[Re-certified or New]]&lt;&gt;"Re-certified",IF(OtherClients[[#This Row],[Client]]="infasco",VLOOKUP(OtherClients[[#This Row],[Part]],PartControl!$A$2:$E$564,2,FALSE),OtherClients[[#This Row],[Total Quantity]]*VLOOKUP(OtherClients[[#This Row],[Part]],PartControl!$A$2:$E$564,2,FALSE)),0)</f>
        <v>0</v>
      </c>
    </row>
    <row r="749" spans="1:26" ht="25.15" hidden="1" customHeight="1" x14ac:dyDescent="0.25">
      <c r="A749" s="112">
        <v>46246.697256944448</v>
      </c>
      <c r="B749" s="5" t="s">
        <v>345</v>
      </c>
      <c r="C749" s="5">
        <v>91058</v>
      </c>
      <c r="D749" s="5">
        <v>713301</v>
      </c>
      <c r="E749" s="33">
        <v>13</v>
      </c>
      <c r="F749" s="60">
        <v>1200</v>
      </c>
      <c r="G749" s="60">
        <f>+OtherClients[[#This Row],[Boxes / Pieces]]*OtherClients[[#This Row],[Unit Quantity]]</f>
        <v>15600</v>
      </c>
      <c r="H749" s="60" t="s">
        <v>849</v>
      </c>
      <c r="I749" s="126" t="s">
        <v>278</v>
      </c>
      <c r="J749" s="127"/>
      <c r="K749" s="33" t="s">
        <v>278</v>
      </c>
      <c r="L749" s="125"/>
      <c r="M749" s="33" t="s">
        <v>278</v>
      </c>
      <c r="N749" s="125"/>
      <c r="O749" s="33" t="s">
        <v>278</v>
      </c>
      <c r="P749" s="125"/>
      <c r="Q749" s="33" t="s">
        <v>587</v>
      </c>
      <c r="R749" s="125"/>
      <c r="S749" s="33" t="s">
        <v>278</v>
      </c>
      <c r="T749" s="125"/>
      <c r="U749" s="33" t="s">
        <v>278</v>
      </c>
      <c r="V749" s="125"/>
      <c r="W749" s="59" t="s">
        <v>548</v>
      </c>
      <c r="X749" s="33" t="str">
        <f>+VLOOKUP(OtherClients[[#This Row],[Part]],PartControl!$A$2:$E$564,5,FALSE)</f>
        <v>infasco</v>
      </c>
      <c r="Y749" s="108">
        <f>IF(OtherClients[[#This Row],[Re-certified or New]]&lt;&gt;"Re-certified",IF(OtherClients[[#This Row],[Client]]="infasco",VLOOKUP(OtherClients[[#This Row],[Part]],PartControl!$A$2:$E$564,2,FALSE),OtherClients[[#This Row],[Total Quantity]]*VLOOKUP(OtherClients[[#This Row],[Part]],PartControl!$A$2:$E$564,2,FALSE)),0)</f>
        <v>106.94</v>
      </c>
      <c r="Z749" s="108">
        <f>IF(OtherClients[[#This Row],[Re-certified or New]]&lt;&gt;"Re-certified",IF(OtherClients[[#This Row],[Client]]="infasco",VLOOKUP(OtherClients[[#This Row],[Part]],PartControl!$A$2:$E$564,2,FALSE),OtherClients[[#This Row],[Total Quantity]]*VLOOKUP(OtherClients[[#This Row],[Part]],PartControl!$A$2:$E$564,2,FALSE)),0)</f>
        <v>106.94</v>
      </c>
    </row>
    <row r="750" spans="1:26" ht="25.15" hidden="1" customHeight="1" x14ac:dyDescent="0.25">
      <c r="A750" s="112">
        <v>46246.697256944448</v>
      </c>
      <c r="B750" s="5" t="s">
        <v>345</v>
      </c>
      <c r="C750" s="5">
        <v>11546703</v>
      </c>
      <c r="D750" s="5">
        <v>713857</v>
      </c>
      <c r="E750" s="33">
        <v>33</v>
      </c>
      <c r="F750" s="60">
        <v>4000</v>
      </c>
      <c r="G750" s="60">
        <f>+OtherClients[[#This Row],[Boxes / Pieces]]*OtherClients[[#This Row],[Unit Quantity]]</f>
        <v>132000</v>
      </c>
      <c r="H750" s="60" t="s">
        <v>849</v>
      </c>
      <c r="I750" s="126" t="s">
        <v>278</v>
      </c>
      <c r="J750" s="127"/>
      <c r="K750" s="33" t="s">
        <v>278</v>
      </c>
      <c r="L750" s="125"/>
      <c r="M750" s="33" t="s">
        <v>278</v>
      </c>
      <c r="N750" s="125"/>
      <c r="O750" s="33" t="s">
        <v>278</v>
      </c>
      <c r="P750" s="125"/>
      <c r="Q750" s="33" t="s">
        <v>587</v>
      </c>
      <c r="R750" s="125"/>
      <c r="S750" s="33" t="s">
        <v>278</v>
      </c>
      <c r="T750" s="125"/>
      <c r="U750" s="33" t="s">
        <v>278</v>
      </c>
      <c r="V750" s="125"/>
      <c r="W750" s="59" t="s">
        <v>548</v>
      </c>
      <c r="X750" s="33" t="str">
        <f>+VLOOKUP(OtherClients[[#This Row],[Part]],PartControl!$A$2:$E$564,5,FALSE)</f>
        <v>infasco</v>
      </c>
      <c r="Y750" s="108">
        <f>IF(OtherClients[[#This Row],[Re-certified or New]]&lt;&gt;"Re-certified",IF(OtherClients[[#This Row],[Client]]="infasco",VLOOKUP(OtherClients[[#This Row],[Part]],PartControl!$A$2:$E$564,2,FALSE),OtherClients[[#This Row],[Total Quantity]]*VLOOKUP(OtherClients[[#This Row],[Part]],PartControl!$A$2:$E$564,2,FALSE)),0)</f>
        <v>135.07999999999998</v>
      </c>
      <c r="Z750" s="108">
        <f>IF(OtherClients[[#This Row],[Re-certified or New]]&lt;&gt;"Re-certified",IF(OtherClients[[#This Row],[Client]]="infasco",VLOOKUP(OtherClients[[#This Row],[Part]],PartControl!$A$2:$E$564,2,FALSE),OtherClients[[#This Row],[Total Quantity]]*VLOOKUP(OtherClients[[#This Row],[Part]],PartControl!$A$2:$E$564,2,FALSE)),0)</f>
        <v>135.07999999999998</v>
      </c>
    </row>
    <row r="751" spans="1:26" ht="25.15" hidden="1" customHeight="1" x14ac:dyDescent="0.25">
      <c r="A751" s="112">
        <v>46246.697256944448</v>
      </c>
      <c r="B751" s="5" t="s">
        <v>345</v>
      </c>
      <c r="C751" s="5">
        <v>11546703</v>
      </c>
      <c r="D751" s="5">
        <v>712579</v>
      </c>
      <c r="E751" s="33">
        <v>28</v>
      </c>
      <c r="F751" s="60">
        <v>4000</v>
      </c>
      <c r="G751" s="60">
        <f>+OtherClients[[#This Row],[Boxes / Pieces]]*OtherClients[[#This Row],[Unit Quantity]]</f>
        <v>112000</v>
      </c>
      <c r="H751" s="60" t="s">
        <v>849</v>
      </c>
      <c r="I751" s="126" t="s">
        <v>278</v>
      </c>
      <c r="J751" s="127"/>
      <c r="K751" s="33" t="s">
        <v>278</v>
      </c>
      <c r="L751" s="125"/>
      <c r="M751" s="33" t="s">
        <v>278</v>
      </c>
      <c r="N751" s="125"/>
      <c r="O751" s="33" t="s">
        <v>278</v>
      </c>
      <c r="P751" s="125"/>
      <c r="Q751" s="33" t="s">
        <v>587</v>
      </c>
      <c r="R751" s="125"/>
      <c r="S751" s="33" t="s">
        <v>278</v>
      </c>
      <c r="T751" s="125"/>
      <c r="U751" s="33" t="s">
        <v>278</v>
      </c>
      <c r="V751" s="125"/>
      <c r="W751" s="59" t="s">
        <v>548</v>
      </c>
      <c r="X751" s="33" t="str">
        <f>+VLOOKUP(OtherClients[[#This Row],[Part]],PartControl!$A$2:$E$564,5,FALSE)</f>
        <v>infasco</v>
      </c>
      <c r="Y751" s="108">
        <f>IF(OtherClients[[#This Row],[Re-certified or New]]&lt;&gt;"Re-certified",IF(OtherClients[[#This Row],[Client]]="infasco",VLOOKUP(OtherClients[[#This Row],[Part]],PartControl!$A$2:$E$564,2,FALSE),OtherClients[[#This Row],[Total Quantity]]*VLOOKUP(OtherClients[[#This Row],[Part]],PartControl!$A$2:$E$564,2,FALSE)),0)</f>
        <v>135.07999999999998</v>
      </c>
      <c r="Z751" s="108">
        <f>IF(OtherClients[[#This Row],[Re-certified or New]]&lt;&gt;"Re-certified",IF(OtherClients[[#This Row],[Client]]="infasco",VLOOKUP(OtherClients[[#This Row],[Part]],PartControl!$A$2:$E$564,2,FALSE),OtherClients[[#This Row],[Total Quantity]]*VLOOKUP(OtherClients[[#This Row],[Part]],PartControl!$A$2:$E$564,2,FALSE)),0)</f>
        <v>135.07999999999998</v>
      </c>
    </row>
    <row r="752" spans="1:26" ht="25.15" hidden="1" customHeight="1" x14ac:dyDescent="0.25">
      <c r="A752" s="112">
        <v>46246.697256944448</v>
      </c>
      <c r="B752" s="5" t="s">
        <v>345</v>
      </c>
      <c r="C752" s="5" t="s">
        <v>16</v>
      </c>
      <c r="D752" s="5">
        <v>711772</v>
      </c>
      <c r="E752" s="33">
        <v>36</v>
      </c>
      <c r="F752" s="60">
        <v>1400</v>
      </c>
      <c r="G752" s="60">
        <f>+OtherClients[[#This Row],[Boxes / Pieces]]*OtherClients[[#This Row],[Unit Quantity]]</f>
        <v>50400</v>
      </c>
      <c r="H752" s="60" t="s">
        <v>849</v>
      </c>
      <c r="I752" s="126" t="s">
        <v>278</v>
      </c>
      <c r="J752" s="127"/>
      <c r="K752" s="33" t="s">
        <v>278</v>
      </c>
      <c r="L752" s="125"/>
      <c r="M752" s="33" t="s">
        <v>278</v>
      </c>
      <c r="N752" s="125"/>
      <c r="O752" s="33" t="s">
        <v>278</v>
      </c>
      <c r="P752" s="125"/>
      <c r="Q752" s="33" t="s">
        <v>587</v>
      </c>
      <c r="R752" s="125"/>
      <c r="S752" s="33" t="s">
        <v>278</v>
      </c>
      <c r="T752" s="125"/>
      <c r="U752" s="33" t="s">
        <v>278</v>
      </c>
      <c r="V752" s="125"/>
      <c r="W752" s="59" t="s">
        <v>548</v>
      </c>
      <c r="X752" s="33" t="str">
        <f>+VLOOKUP(OtherClients[[#This Row],[Part]],PartControl!$A$2:$E$564,5,FALSE)</f>
        <v>infasco</v>
      </c>
      <c r="Y752" s="108">
        <f>IF(OtherClients[[#This Row],[Re-certified or New]]&lt;&gt;"Re-certified",IF(OtherClients[[#This Row],[Client]]="infasco",VLOOKUP(OtherClients[[#This Row],[Part]],PartControl!$A$2:$E$564,2,FALSE),OtherClients[[#This Row],[Total Quantity]]*VLOOKUP(OtherClients[[#This Row],[Part]],PartControl!$A$2:$E$564,2,FALSE)),0)</f>
        <v>106.94</v>
      </c>
      <c r="Z752" s="108">
        <f>IF(OtherClients[[#This Row],[Re-certified or New]]&lt;&gt;"Re-certified",IF(OtherClients[[#This Row],[Client]]="infasco",VLOOKUP(OtherClients[[#This Row],[Part]],PartControl!$A$2:$E$564,2,FALSE),OtherClients[[#This Row],[Total Quantity]]*VLOOKUP(OtherClients[[#This Row],[Part]],PartControl!$A$2:$E$564,2,FALSE)),0)</f>
        <v>106.94</v>
      </c>
    </row>
    <row r="753" spans="1:26" ht="25.15" hidden="1" customHeight="1" x14ac:dyDescent="0.25">
      <c r="A753" s="112">
        <v>46246.697256944448</v>
      </c>
      <c r="B753" s="5" t="s">
        <v>345</v>
      </c>
      <c r="C753" s="5" t="s">
        <v>16</v>
      </c>
      <c r="D753" s="5">
        <v>713866</v>
      </c>
      <c r="E753" s="33">
        <v>26</v>
      </c>
      <c r="F753" s="60">
        <v>1400</v>
      </c>
      <c r="G753" s="60">
        <f>+OtherClients[[#This Row],[Boxes / Pieces]]*OtherClients[[#This Row],[Unit Quantity]]</f>
        <v>36400</v>
      </c>
      <c r="H753" s="60" t="s">
        <v>849</v>
      </c>
      <c r="I753" s="126" t="s">
        <v>278</v>
      </c>
      <c r="J753" s="127"/>
      <c r="K753" s="33" t="s">
        <v>278</v>
      </c>
      <c r="L753" s="125"/>
      <c r="M753" s="33" t="s">
        <v>278</v>
      </c>
      <c r="N753" s="125"/>
      <c r="O753" s="33" t="s">
        <v>278</v>
      </c>
      <c r="P753" s="125"/>
      <c r="Q753" s="33" t="s">
        <v>587</v>
      </c>
      <c r="R753" s="125"/>
      <c r="S753" s="33" t="s">
        <v>278</v>
      </c>
      <c r="T753" s="125"/>
      <c r="U753" s="33" t="s">
        <v>278</v>
      </c>
      <c r="V753" s="125"/>
      <c r="W753" s="59" t="s">
        <v>548</v>
      </c>
      <c r="X753" s="33" t="str">
        <f>+VLOOKUP(OtherClients[[#This Row],[Part]],PartControl!$A$2:$E$564,5,FALSE)</f>
        <v>infasco</v>
      </c>
      <c r="Y753" s="108">
        <f>IF(OtherClients[[#This Row],[Re-certified or New]]&lt;&gt;"Re-certified",IF(OtherClients[[#This Row],[Client]]="infasco",VLOOKUP(OtherClients[[#This Row],[Part]],PartControl!$A$2:$E$564,2,FALSE),OtherClients[[#This Row],[Total Quantity]]*VLOOKUP(OtherClients[[#This Row],[Part]],PartControl!$A$2:$E$564,2,FALSE)),0)</f>
        <v>106.94</v>
      </c>
      <c r="Z753" s="108">
        <f>IF(OtherClients[[#This Row],[Re-certified or New]]&lt;&gt;"Re-certified",IF(OtherClients[[#This Row],[Client]]="infasco",VLOOKUP(OtherClients[[#This Row],[Part]],PartControl!$A$2:$E$564,2,FALSE),OtherClients[[#This Row],[Total Quantity]]*VLOOKUP(OtherClients[[#This Row],[Part]],PartControl!$A$2:$E$564,2,FALSE)),0)</f>
        <v>106.94</v>
      </c>
    </row>
    <row r="754" spans="1:26" ht="25.15" hidden="1" customHeight="1" x14ac:dyDescent="0.25">
      <c r="A754" s="112">
        <v>46246.697256944448</v>
      </c>
      <c r="B754" s="5" t="s">
        <v>345</v>
      </c>
      <c r="C754" s="5">
        <v>94012078</v>
      </c>
      <c r="D754" s="5">
        <v>714723</v>
      </c>
      <c r="E754" s="33">
        <v>25</v>
      </c>
      <c r="F754" s="60">
        <v>100</v>
      </c>
      <c r="G754" s="60">
        <f>+OtherClients[[#This Row],[Boxes / Pieces]]*OtherClients[[#This Row],[Unit Quantity]]</f>
        <v>2500</v>
      </c>
      <c r="H754" s="60" t="s">
        <v>849</v>
      </c>
      <c r="I754" s="126" t="s">
        <v>278</v>
      </c>
      <c r="J754" s="127"/>
      <c r="K754" s="33" t="s">
        <v>278</v>
      </c>
      <c r="L754" s="125"/>
      <c r="M754" s="33" t="s">
        <v>278</v>
      </c>
      <c r="N754" s="125"/>
      <c r="O754" s="33" t="s">
        <v>278</v>
      </c>
      <c r="P754" s="125"/>
      <c r="Q754" s="33" t="s">
        <v>587</v>
      </c>
      <c r="R754" s="125"/>
      <c r="S754" s="33" t="s">
        <v>278</v>
      </c>
      <c r="T754" s="125"/>
      <c r="U754" s="33" t="s">
        <v>278</v>
      </c>
      <c r="V754" s="125"/>
      <c r="W754" s="59" t="s">
        <v>548</v>
      </c>
      <c r="X754" s="33" t="str">
        <f>+VLOOKUP(OtherClients[[#This Row],[Part]],PartControl!$A$2:$E$564,5,FALSE)</f>
        <v>infasco</v>
      </c>
      <c r="Y754" s="108">
        <f>IF(OtherClients[[#This Row],[Re-certified or New]]&lt;&gt;"Re-certified",IF(OtherClients[[#This Row],[Client]]="infasco",VLOOKUP(OtherClients[[#This Row],[Part]],PartControl!$A$2:$E$564,2,FALSE),OtherClients[[#This Row],[Total Quantity]]*VLOOKUP(OtherClients[[#This Row],[Part]],PartControl!$A$2:$E$564,2,FALSE)),0)</f>
        <v>55.73</v>
      </c>
      <c r="Z754" s="108">
        <f>IF(OtherClients[[#This Row],[Re-certified or New]]&lt;&gt;"Re-certified",IF(OtherClients[[#This Row],[Client]]="infasco",VLOOKUP(OtherClients[[#This Row],[Part]],PartControl!$A$2:$E$564,2,FALSE),OtherClients[[#This Row],[Total Quantity]]*VLOOKUP(OtherClients[[#This Row],[Part]],PartControl!$A$2:$E$564,2,FALSE)),0)</f>
        <v>55.73</v>
      </c>
    </row>
    <row r="755" spans="1:26" ht="25.15" hidden="1" customHeight="1" x14ac:dyDescent="0.25">
      <c r="A755" s="112">
        <v>46246.697256944448</v>
      </c>
      <c r="B755" s="5" t="s">
        <v>345</v>
      </c>
      <c r="C755" s="5" t="s">
        <v>824</v>
      </c>
      <c r="D755" s="5">
        <v>715978</v>
      </c>
      <c r="E755" s="33">
        <v>1</v>
      </c>
      <c r="F755" s="60">
        <v>4700</v>
      </c>
      <c r="G755" s="60">
        <f>+OtherClients[[#This Row],[Boxes / Pieces]]*OtherClients[[#This Row],[Unit Quantity]]</f>
        <v>4700</v>
      </c>
      <c r="H755" s="60" t="s">
        <v>849</v>
      </c>
      <c r="I755" s="126" t="s">
        <v>278</v>
      </c>
      <c r="J755" s="127"/>
      <c r="K755" s="33" t="s">
        <v>278</v>
      </c>
      <c r="L755" s="125"/>
      <c r="M755" s="33" t="s">
        <v>278</v>
      </c>
      <c r="N755" s="125"/>
      <c r="O755" s="33" t="s">
        <v>278</v>
      </c>
      <c r="P755" s="125"/>
      <c r="Q755" s="33" t="s">
        <v>587</v>
      </c>
      <c r="R755" s="125"/>
      <c r="S755" s="33" t="s">
        <v>278</v>
      </c>
      <c r="T755" s="125"/>
      <c r="U755" s="33" t="s">
        <v>278</v>
      </c>
      <c r="V755" s="125"/>
      <c r="W755" s="59" t="s">
        <v>548</v>
      </c>
      <c r="X755" s="33" t="str">
        <f>+VLOOKUP(OtherClients[[#This Row],[Part]],PartControl!$A$2:$E$564,5,FALSE)</f>
        <v>Infasco</v>
      </c>
      <c r="Y755" s="108">
        <f>IF(OtherClients[[#This Row],[Re-certified or New]]&lt;&gt;"Re-certified",IF(OtherClients[[#This Row],[Client]]="infasco",VLOOKUP(OtherClients[[#This Row],[Part]],PartControl!$A$2:$E$564,2,FALSE),OtherClients[[#This Row],[Total Quantity]]*VLOOKUP(OtherClients[[#This Row],[Part]],PartControl!$A$2:$E$564,2,FALSE)),0)</f>
        <v>129.44999999999999</v>
      </c>
      <c r="Z755" s="108">
        <f>IF(OtherClients[[#This Row],[Re-certified or New]]&lt;&gt;"Re-certified",IF(OtherClients[[#This Row],[Client]]="infasco",VLOOKUP(OtherClients[[#This Row],[Part]],PartControl!$A$2:$E$564,2,FALSE),OtherClients[[#This Row],[Total Quantity]]*VLOOKUP(OtherClients[[#This Row],[Part]],PartControl!$A$2:$E$564,2,FALSE)),0)</f>
        <v>129.44999999999999</v>
      </c>
    </row>
    <row r="756" spans="1:26" ht="25.15" hidden="1" customHeight="1" x14ac:dyDescent="0.25">
      <c r="A756" s="112">
        <v>46246.697256944448</v>
      </c>
      <c r="B756" s="5" t="s">
        <v>345</v>
      </c>
      <c r="C756" s="5" t="s">
        <v>824</v>
      </c>
      <c r="D756" s="5">
        <v>715977</v>
      </c>
      <c r="E756" s="33">
        <v>1</v>
      </c>
      <c r="F756" s="60">
        <v>4990</v>
      </c>
      <c r="G756" s="60">
        <f>+OtherClients[[#This Row],[Boxes / Pieces]]*OtherClients[[#This Row],[Unit Quantity]]</f>
        <v>4990</v>
      </c>
      <c r="H756" s="60" t="s">
        <v>849</v>
      </c>
      <c r="I756" s="126" t="s">
        <v>278</v>
      </c>
      <c r="J756" s="127"/>
      <c r="K756" s="33" t="s">
        <v>278</v>
      </c>
      <c r="L756" s="125"/>
      <c r="M756" s="33" t="s">
        <v>278</v>
      </c>
      <c r="N756" s="125"/>
      <c r="O756" s="33" t="s">
        <v>278</v>
      </c>
      <c r="P756" s="125"/>
      <c r="Q756" s="33" t="s">
        <v>587</v>
      </c>
      <c r="R756" s="125"/>
      <c r="S756" s="33" t="s">
        <v>278</v>
      </c>
      <c r="T756" s="125"/>
      <c r="U756" s="33" t="s">
        <v>278</v>
      </c>
      <c r="V756" s="125"/>
      <c r="W756" s="59" t="s">
        <v>548</v>
      </c>
      <c r="X756" s="33" t="str">
        <f>+VLOOKUP(OtherClients[[#This Row],[Part]],PartControl!$A$2:$E$564,5,FALSE)</f>
        <v>Infasco</v>
      </c>
      <c r="Y756" s="108">
        <f>IF(OtherClients[[#This Row],[Re-certified or New]]&lt;&gt;"Re-certified",IF(OtherClients[[#This Row],[Client]]="infasco",VLOOKUP(OtherClients[[#This Row],[Part]],PartControl!$A$2:$E$564,2,FALSE),OtherClients[[#This Row],[Total Quantity]]*VLOOKUP(OtherClients[[#This Row],[Part]],PartControl!$A$2:$E$564,2,FALSE)),0)</f>
        <v>129.44999999999999</v>
      </c>
      <c r="Z756" s="108">
        <f>IF(OtherClients[[#This Row],[Re-certified or New]]&lt;&gt;"Re-certified",IF(OtherClients[[#This Row],[Client]]="infasco",VLOOKUP(OtherClients[[#This Row],[Part]],PartControl!$A$2:$E$564,2,FALSE),OtherClients[[#This Row],[Total Quantity]]*VLOOKUP(OtherClients[[#This Row],[Part]],PartControl!$A$2:$E$564,2,FALSE)),0)</f>
        <v>129.44999999999999</v>
      </c>
    </row>
    <row r="757" spans="1:26" ht="25.15" hidden="1" customHeight="1" x14ac:dyDescent="0.25">
      <c r="A757" s="112">
        <v>46246.697256944448</v>
      </c>
      <c r="B757" s="5" t="s">
        <v>345</v>
      </c>
      <c r="C757" s="5" t="s">
        <v>824</v>
      </c>
      <c r="D757" s="5">
        <v>715971</v>
      </c>
      <c r="E757" s="33">
        <v>1</v>
      </c>
      <c r="F757" s="60">
        <v>4990</v>
      </c>
      <c r="G757" s="60">
        <f>+OtherClients[[#This Row],[Boxes / Pieces]]*OtherClients[[#This Row],[Unit Quantity]]</f>
        <v>4990</v>
      </c>
      <c r="H757" s="60" t="s">
        <v>849</v>
      </c>
      <c r="I757" s="126" t="s">
        <v>278</v>
      </c>
      <c r="J757" s="127"/>
      <c r="K757" s="33" t="s">
        <v>278</v>
      </c>
      <c r="L757" s="125"/>
      <c r="M757" s="33" t="s">
        <v>278</v>
      </c>
      <c r="N757" s="125"/>
      <c r="O757" s="33" t="s">
        <v>278</v>
      </c>
      <c r="P757" s="125"/>
      <c r="Q757" s="33" t="s">
        <v>587</v>
      </c>
      <c r="R757" s="125"/>
      <c r="S757" s="33" t="s">
        <v>278</v>
      </c>
      <c r="T757" s="125"/>
      <c r="U757" s="33" t="s">
        <v>278</v>
      </c>
      <c r="V757" s="125"/>
      <c r="W757" s="59" t="s">
        <v>548</v>
      </c>
      <c r="X757" s="33" t="str">
        <f>+VLOOKUP(OtherClients[[#This Row],[Part]],PartControl!$A$2:$E$564,5,FALSE)</f>
        <v>Infasco</v>
      </c>
      <c r="Y757" s="108">
        <f>IF(OtherClients[[#This Row],[Re-certified or New]]&lt;&gt;"Re-certified",IF(OtherClients[[#This Row],[Client]]="infasco",VLOOKUP(OtherClients[[#This Row],[Part]],PartControl!$A$2:$E$564,2,FALSE),OtherClients[[#This Row],[Total Quantity]]*VLOOKUP(OtherClients[[#This Row],[Part]],PartControl!$A$2:$E$564,2,FALSE)),0)</f>
        <v>129.44999999999999</v>
      </c>
      <c r="Z757" s="108">
        <f>IF(OtherClients[[#This Row],[Re-certified or New]]&lt;&gt;"Re-certified",IF(OtherClients[[#This Row],[Client]]="infasco",VLOOKUP(OtherClients[[#This Row],[Part]],PartControl!$A$2:$E$564,2,FALSE),OtherClients[[#This Row],[Total Quantity]]*VLOOKUP(OtherClients[[#This Row],[Part]],PartControl!$A$2:$E$564,2,FALSE)),0)</f>
        <v>129.44999999999999</v>
      </c>
    </row>
    <row r="758" spans="1:26" ht="25.15" hidden="1" customHeight="1" x14ac:dyDescent="0.25">
      <c r="A758" s="112">
        <v>46246.697256944448</v>
      </c>
      <c r="B758" s="5" t="s">
        <v>345</v>
      </c>
      <c r="C758" s="5">
        <v>11546703</v>
      </c>
      <c r="D758" s="5">
        <v>713202</v>
      </c>
      <c r="E758" s="33">
        <v>30</v>
      </c>
      <c r="F758" s="60">
        <v>4000</v>
      </c>
      <c r="G758" s="60">
        <f>+OtherClients[[#This Row],[Boxes / Pieces]]*OtherClients[[#This Row],[Unit Quantity]]</f>
        <v>120000</v>
      </c>
      <c r="H758" s="60" t="s">
        <v>849</v>
      </c>
      <c r="I758" s="126" t="s">
        <v>278</v>
      </c>
      <c r="J758" s="127"/>
      <c r="K758" s="33" t="s">
        <v>278</v>
      </c>
      <c r="L758" s="125"/>
      <c r="M758" s="33" t="s">
        <v>278</v>
      </c>
      <c r="N758" s="125"/>
      <c r="O758" s="33" t="s">
        <v>278</v>
      </c>
      <c r="P758" s="125"/>
      <c r="Q758" s="33" t="s">
        <v>587</v>
      </c>
      <c r="R758" s="125"/>
      <c r="S758" s="33" t="s">
        <v>278</v>
      </c>
      <c r="T758" s="125"/>
      <c r="U758" s="33" t="s">
        <v>278</v>
      </c>
      <c r="V758" s="125"/>
      <c r="W758" s="59" t="s">
        <v>548</v>
      </c>
      <c r="X758" s="33" t="str">
        <f>+VLOOKUP(OtherClients[[#This Row],[Part]],PartControl!$A$2:$E$564,5,FALSE)</f>
        <v>infasco</v>
      </c>
      <c r="Y758" s="108">
        <f>IF(OtherClients[[#This Row],[Re-certified or New]]&lt;&gt;"Re-certified",IF(OtherClients[[#This Row],[Client]]="infasco",VLOOKUP(OtherClients[[#This Row],[Part]],PartControl!$A$2:$E$564,2,FALSE),OtherClients[[#This Row],[Total Quantity]]*VLOOKUP(OtherClients[[#This Row],[Part]],PartControl!$A$2:$E$564,2,FALSE)),0)</f>
        <v>135.07999999999998</v>
      </c>
      <c r="Z758" s="108">
        <f>IF(OtherClients[[#This Row],[Re-certified or New]]&lt;&gt;"Re-certified",IF(OtherClients[[#This Row],[Client]]="infasco",VLOOKUP(OtherClients[[#This Row],[Part]],PartControl!$A$2:$E$564,2,FALSE),OtherClients[[#This Row],[Total Quantity]]*VLOOKUP(OtherClients[[#This Row],[Part]],PartControl!$A$2:$E$564,2,FALSE)),0)</f>
        <v>135.07999999999998</v>
      </c>
    </row>
    <row r="759" spans="1:26" ht="25.15" hidden="1" customHeight="1" x14ac:dyDescent="0.25">
      <c r="A759" s="112">
        <v>46246.697256944448</v>
      </c>
      <c r="B759" s="5" t="s">
        <v>346</v>
      </c>
      <c r="C759" s="5" t="s">
        <v>691</v>
      </c>
      <c r="D759" s="5">
        <v>712204</v>
      </c>
      <c r="E759" s="33">
        <f>33-13</f>
        <v>20</v>
      </c>
      <c r="F759" s="60">
        <v>1800</v>
      </c>
      <c r="G759" s="60">
        <f>+OtherClients[[#This Row],[Boxes / Pieces]]*OtherClients[[#This Row],[Unit Quantity]]</f>
        <v>36000</v>
      </c>
      <c r="H759" s="60" t="s">
        <v>871</v>
      </c>
      <c r="I759" s="126" t="s">
        <v>278</v>
      </c>
      <c r="J759" s="127"/>
      <c r="K759" s="33" t="s">
        <v>278</v>
      </c>
      <c r="L759" s="125"/>
      <c r="M759" s="33" t="s">
        <v>278</v>
      </c>
      <c r="N759" s="125"/>
      <c r="O759" s="33" t="s">
        <v>278</v>
      </c>
      <c r="P759" s="125"/>
      <c r="Q759" s="33" t="s">
        <v>587</v>
      </c>
      <c r="R759" s="125"/>
      <c r="S759" s="33" t="s">
        <v>278</v>
      </c>
      <c r="T759" s="125"/>
      <c r="U759" s="33" t="s">
        <v>278</v>
      </c>
      <c r="V759" s="125"/>
      <c r="W759" s="59" t="s">
        <v>548</v>
      </c>
      <c r="X759" s="33" t="str">
        <f>+VLOOKUP(OtherClients[[#This Row],[Part]],PartControl!$A$2:$E$564,5,FALSE)</f>
        <v>infasco</v>
      </c>
      <c r="Y759" s="108">
        <f>IF(OtherClients[[#This Row],[Re-certified or New]]&lt;&gt;"Re-certified",IF(OtherClients[[#This Row],[Client]]="infasco",VLOOKUP(OtherClients[[#This Row],[Part]],PartControl!$A$2:$E$564,2,FALSE),OtherClients[[#This Row],[Total Quantity]]*VLOOKUP(OtherClients[[#This Row],[Part]],PartControl!$A$2:$E$564,2,FALSE)),0)</f>
        <v>106.94</v>
      </c>
      <c r="Z759" s="108">
        <f>IF(OtherClients[[#This Row],[Re-certified or New]]&lt;&gt;"Re-certified",IF(OtherClients[[#This Row],[Client]]="infasco",VLOOKUP(OtherClients[[#This Row],[Part]],PartControl!$A$2:$E$564,2,FALSE),OtherClients[[#This Row],[Total Quantity]]*VLOOKUP(OtherClients[[#This Row],[Part]],PartControl!$A$2:$E$564,2,FALSE)),0)</f>
        <v>106.94</v>
      </c>
    </row>
    <row r="760" spans="1:26" ht="25.15" hidden="1" customHeight="1" x14ac:dyDescent="0.25">
      <c r="A760" s="112">
        <v>46246.697256944448</v>
      </c>
      <c r="B760" s="5" t="s">
        <v>346</v>
      </c>
      <c r="C760" s="5">
        <v>11546703</v>
      </c>
      <c r="D760" s="5">
        <v>714421</v>
      </c>
      <c r="E760" s="33">
        <v>36</v>
      </c>
      <c r="F760" s="60">
        <v>4000</v>
      </c>
      <c r="G760" s="60">
        <f>+OtherClients[[#This Row],[Boxes / Pieces]]*OtherClients[[#This Row],[Unit Quantity]]</f>
        <v>144000</v>
      </c>
      <c r="H760" s="60" t="s">
        <v>871</v>
      </c>
      <c r="I760" s="126" t="s">
        <v>278</v>
      </c>
      <c r="J760" s="127"/>
      <c r="K760" s="33" t="s">
        <v>278</v>
      </c>
      <c r="L760" s="125"/>
      <c r="M760" s="33" t="s">
        <v>278</v>
      </c>
      <c r="N760" s="125"/>
      <c r="O760" s="33" t="s">
        <v>278</v>
      </c>
      <c r="P760" s="125"/>
      <c r="Q760" s="33" t="s">
        <v>587</v>
      </c>
      <c r="R760" s="125"/>
      <c r="S760" s="33" t="s">
        <v>278</v>
      </c>
      <c r="T760" s="125"/>
      <c r="U760" s="33" t="s">
        <v>278</v>
      </c>
      <c r="V760" s="125"/>
      <c r="W760" s="59" t="s">
        <v>548</v>
      </c>
      <c r="X760" s="33" t="str">
        <f>+VLOOKUP(OtherClients[[#This Row],[Part]],PartControl!$A$2:$E$564,5,FALSE)</f>
        <v>infasco</v>
      </c>
      <c r="Y760" s="108">
        <f>IF(OtherClients[[#This Row],[Re-certified or New]]&lt;&gt;"Re-certified",IF(OtherClients[[#This Row],[Client]]="infasco",VLOOKUP(OtherClients[[#This Row],[Part]],PartControl!$A$2:$E$564,2,FALSE),OtherClients[[#This Row],[Total Quantity]]*VLOOKUP(OtherClients[[#This Row],[Part]],PartControl!$A$2:$E$564,2,FALSE)),0)</f>
        <v>135.07999999999998</v>
      </c>
      <c r="Z760" s="108">
        <f>IF(OtherClients[[#This Row],[Re-certified or New]]&lt;&gt;"Re-certified",IF(OtherClients[[#This Row],[Client]]="infasco",VLOOKUP(OtherClients[[#This Row],[Part]],PartControl!$A$2:$E$564,2,FALSE),OtherClients[[#This Row],[Total Quantity]]*VLOOKUP(OtherClients[[#This Row],[Part]],PartControl!$A$2:$E$564,2,FALSE)),0)</f>
        <v>135.07999999999998</v>
      </c>
    </row>
    <row r="761" spans="1:26" ht="25.15" hidden="1" customHeight="1" x14ac:dyDescent="0.25">
      <c r="A761" s="112">
        <v>46246.697256944448</v>
      </c>
      <c r="B761" s="5" t="s">
        <v>346</v>
      </c>
      <c r="C761" s="5">
        <v>11546703</v>
      </c>
      <c r="D761" s="5">
        <v>713203</v>
      </c>
      <c r="E761" s="33">
        <v>28</v>
      </c>
      <c r="F761" s="60">
        <v>4000</v>
      </c>
      <c r="G761" s="60">
        <f>+OtherClients[[#This Row],[Boxes / Pieces]]*OtherClients[[#This Row],[Unit Quantity]]</f>
        <v>112000</v>
      </c>
      <c r="H761" s="60" t="s">
        <v>871</v>
      </c>
      <c r="I761" s="126" t="s">
        <v>278</v>
      </c>
      <c r="J761" s="127"/>
      <c r="K761" s="33" t="s">
        <v>278</v>
      </c>
      <c r="L761" s="125"/>
      <c r="M761" s="33" t="s">
        <v>278</v>
      </c>
      <c r="N761" s="125"/>
      <c r="O761" s="33" t="s">
        <v>278</v>
      </c>
      <c r="P761" s="125"/>
      <c r="Q761" s="33" t="s">
        <v>587</v>
      </c>
      <c r="R761" s="125"/>
      <c r="S761" s="33" t="s">
        <v>278</v>
      </c>
      <c r="T761" s="125"/>
      <c r="U761" s="33" t="s">
        <v>278</v>
      </c>
      <c r="V761" s="125"/>
      <c r="W761" s="59" t="s">
        <v>548</v>
      </c>
      <c r="X761" s="33" t="str">
        <f>+VLOOKUP(OtherClients[[#This Row],[Part]],PartControl!$A$2:$E$564,5,FALSE)</f>
        <v>infasco</v>
      </c>
      <c r="Y761" s="108">
        <f>IF(OtherClients[[#This Row],[Re-certified or New]]&lt;&gt;"Re-certified",IF(OtherClients[[#This Row],[Client]]="infasco",VLOOKUP(OtherClients[[#This Row],[Part]],PartControl!$A$2:$E$564,2,FALSE),OtherClients[[#This Row],[Total Quantity]]*VLOOKUP(OtherClients[[#This Row],[Part]],PartControl!$A$2:$E$564,2,FALSE)),0)</f>
        <v>135.07999999999998</v>
      </c>
      <c r="Z761" s="108">
        <f>IF(OtherClients[[#This Row],[Re-certified or New]]&lt;&gt;"Re-certified",IF(OtherClients[[#This Row],[Client]]="infasco",VLOOKUP(OtherClients[[#This Row],[Part]],PartControl!$A$2:$E$564,2,FALSE),OtherClients[[#This Row],[Total Quantity]]*VLOOKUP(OtherClients[[#This Row],[Part]],PartControl!$A$2:$E$564,2,FALSE)),0)</f>
        <v>135.07999999999998</v>
      </c>
    </row>
    <row r="762" spans="1:26" ht="25.15" hidden="1" customHeight="1" x14ac:dyDescent="0.25">
      <c r="A762" s="112">
        <v>46246.697256944448</v>
      </c>
      <c r="B762" s="5" t="s">
        <v>346</v>
      </c>
      <c r="C762" s="5">
        <v>94012078</v>
      </c>
      <c r="D762" s="5">
        <v>714722</v>
      </c>
      <c r="E762" s="33">
        <v>25</v>
      </c>
      <c r="F762" s="60">
        <v>100</v>
      </c>
      <c r="G762" s="60">
        <f>+OtherClients[[#This Row],[Boxes / Pieces]]*OtherClients[[#This Row],[Unit Quantity]]</f>
        <v>2500</v>
      </c>
      <c r="H762" s="60" t="s">
        <v>871</v>
      </c>
      <c r="I762" s="126" t="s">
        <v>278</v>
      </c>
      <c r="J762" s="127"/>
      <c r="K762" s="33" t="s">
        <v>278</v>
      </c>
      <c r="L762" s="125"/>
      <c r="M762" s="33" t="s">
        <v>278</v>
      </c>
      <c r="N762" s="125"/>
      <c r="O762" s="33" t="s">
        <v>278</v>
      </c>
      <c r="P762" s="125"/>
      <c r="Q762" s="33" t="s">
        <v>587</v>
      </c>
      <c r="R762" s="125"/>
      <c r="S762" s="33" t="s">
        <v>278</v>
      </c>
      <c r="T762" s="125"/>
      <c r="U762" s="33" t="s">
        <v>278</v>
      </c>
      <c r="V762" s="125"/>
      <c r="W762" s="59" t="s">
        <v>548</v>
      </c>
      <c r="X762" s="33" t="str">
        <f>+VLOOKUP(OtherClients[[#This Row],[Part]],PartControl!$A$2:$E$564,5,FALSE)</f>
        <v>infasco</v>
      </c>
      <c r="Y762" s="108">
        <f>IF(OtherClients[[#This Row],[Re-certified or New]]&lt;&gt;"Re-certified",IF(OtherClients[[#This Row],[Client]]="infasco",VLOOKUP(OtherClients[[#This Row],[Part]],PartControl!$A$2:$E$564,2,FALSE),OtherClients[[#This Row],[Total Quantity]]*VLOOKUP(OtherClients[[#This Row],[Part]],PartControl!$A$2:$E$564,2,FALSE)),0)</f>
        <v>55.73</v>
      </c>
      <c r="Z762" s="108">
        <f>IF(OtherClients[[#This Row],[Re-certified or New]]&lt;&gt;"Re-certified",IF(OtherClients[[#This Row],[Client]]="infasco",VLOOKUP(OtherClients[[#This Row],[Part]],PartControl!$A$2:$E$564,2,FALSE),OtherClients[[#This Row],[Total Quantity]]*VLOOKUP(OtherClients[[#This Row],[Part]],PartControl!$A$2:$E$564,2,FALSE)),0)</f>
        <v>55.73</v>
      </c>
    </row>
    <row r="763" spans="1:26" ht="25.15" hidden="1" customHeight="1" x14ac:dyDescent="0.25">
      <c r="A763" s="112">
        <v>46246.697256944448</v>
      </c>
      <c r="B763" s="5" t="s">
        <v>346</v>
      </c>
      <c r="C763" s="5" t="s">
        <v>824</v>
      </c>
      <c r="D763" s="5">
        <v>715972</v>
      </c>
      <c r="E763" s="33">
        <v>1</v>
      </c>
      <c r="F763" s="60">
        <v>5250</v>
      </c>
      <c r="G763" s="60">
        <f>+OtherClients[[#This Row],[Boxes / Pieces]]*OtherClients[[#This Row],[Unit Quantity]]</f>
        <v>5250</v>
      </c>
      <c r="H763" s="60" t="s">
        <v>871</v>
      </c>
      <c r="I763" s="126" t="s">
        <v>278</v>
      </c>
      <c r="J763" s="127"/>
      <c r="K763" s="33" t="s">
        <v>278</v>
      </c>
      <c r="L763" s="125"/>
      <c r="M763" s="33" t="s">
        <v>278</v>
      </c>
      <c r="N763" s="125"/>
      <c r="O763" s="33" t="s">
        <v>278</v>
      </c>
      <c r="P763" s="125"/>
      <c r="Q763" s="33" t="s">
        <v>587</v>
      </c>
      <c r="R763" s="125"/>
      <c r="S763" s="33" t="s">
        <v>278</v>
      </c>
      <c r="T763" s="125"/>
      <c r="U763" s="33" t="s">
        <v>278</v>
      </c>
      <c r="V763" s="125"/>
      <c r="W763" s="59" t="s">
        <v>548</v>
      </c>
      <c r="X763" s="33" t="str">
        <f>+VLOOKUP(OtherClients[[#This Row],[Part]],PartControl!$A$2:$E$564,5,FALSE)</f>
        <v>Infasco</v>
      </c>
      <c r="Y763" s="108">
        <f>IF(OtherClients[[#This Row],[Re-certified or New]]&lt;&gt;"Re-certified",IF(OtherClients[[#This Row],[Client]]="infasco",VLOOKUP(OtherClients[[#This Row],[Part]],PartControl!$A$2:$E$564,2,FALSE),OtherClients[[#This Row],[Total Quantity]]*VLOOKUP(OtherClients[[#This Row],[Part]],PartControl!$A$2:$E$564,2,FALSE)),0)</f>
        <v>129.44999999999999</v>
      </c>
      <c r="Z763" s="108">
        <f>IF(OtherClients[[#This Row],[Re-certified or New]]&lt;&gt;"Re-certified",IF(OtherClients[[#This Row],[Client]]="infasco",VLOOKUP(OtherClients[[#This Row],[Part]],PartControl!$A$2:$E$564,2,FALSE),OtherClients[[#This Row],[Total Quantity]]*VLOOKUP(OtherClients[[#This Row],[Part]],PartControl!$A$2:$E$564,2,FALSE)),0)</f>
        <v>129.44999999999999</v>
      </c>
    </row>
    <row r="764" spans="1:26" ht="25.15" hidden="1" customHeight="1" x14ac:dyDescent="0.25">
      <c r="A764" s="112">
        <v>46246.697256944448</v>
      </c>
      <c r="B764" s="5" t="s">
        <v>346</v>
      </c>
      <c r="C764" s="5" t="s">
        <v>824</v>
      </c>
      <c r="D764" s="5">
        <v>715975</v>
      </c>
      <c r="E764" s="33">
        <v>1</v>
      </c>
      <c r="F764" s="60">
        <v>4770</v>
      </c>
      <c r="G764" s="60">
        <f>+OtherClients[[#This Row],[Boxes / Pieces]]*OtherClients[[#This Row],[Unit Quantity]]</f>
        <v>4770</v>
      </c>
      <c r="H764" s="60" t="s">
        <v>871</v>
      </c>
      <c r="I764" s="126" t="s">
        <v>278</v>
      </c>
      <c r="J764" s="127"/>
      <c r="K764" s="33" t="s">
        <v>278</v>
      </c>
      <c r="L764" s="125"/>
      <c r="M764" s="33" t="s">
        <v>278</v>
      </c>
      <c r="N764" s="125"/>
      <c r="O764" s="33" t="s">
        <v>278</v>
      </c>
      <c r="P764" s="125"/>
      <c r="Q764" s="33" t="s">
        <v>587</v>
      </c>
      <c r="R764" s="125"/>
      <c r="S764" s="33" t="s">
        <v>278</v>
      </c>
      <c r="T764" s="125"/>
      <c r="U764" s="33" t="s">
        <v>278</v>
      </c>
      <c r="V764" s="125"/>
      <c r="W764" s="59" t="s">
        <v>548</v>
      </c>
      <c r="X764" s="33" t="str">
        <f>+VLOOKUP(OtherClients[[#This Row],[Part]],PartControl!$A$2:$E$564,5,FALSE)</f>
        <v>Infasco</v>
      </c>
      <c r="Y764" s="108">
        <f>IF(OtherClients[[#This Row],[Re-certified or New]]&lt;&gt;"Re-certified",IF(OtherClients[[#This Row],[Client]]="infasco",VLOOKUP(OtherClients[[#This Row],[Part]],PartControl!$A$2:$E$564,2,FALSE),OtherClients[[#This Row],[Total Quantity]]*VLOOKUP(OtherClients[[#This Row],[Part]],PartControl!$A$2:$E$564,2,FALSE)),0)</f>
        <v>129.44999999999999</v>
      </c>
      <c r="Z764" s="108">
        <f>IF(OtherClients[[#This Row],[Re-certified or New]]&lt;&gt;"Re-certified",IF(OtherClients[[#This Row],[Client]]="infasco",VLOOKUP(OtherClients[[#This Row],[Part]],PartControl!$A$2:$E$564,2,FALSE),OtherClients[[#This Row],[Total Quantity]]*VLOOKUP(OtherClients[[#This Row],[Part]],PartControl!$A$2:$E$564,2,FALSE)),0)</f>
        <v>129.44999999999999</v>
      </c>
    </row>
    <row r="765" spans="1:26" ht="25.15" hidden="1" customHeight="1" x14ac:dyDescent="0.25">
      <c r="A765" s="112">
        <v>46246.697256944448</v>
      </c>
      <c r="B765" s="5" t="s">
        <v>346</v>
      </c>
      <c r="C765" s="5">
        <v>11547369</v>
      </c>
      <c r="D765" s="5">
        <v>714135</v>
      </c>
      <c r="E765" s="33">
        <v>61</v>
      </c>
      <c r="F765" s="60">
        <v>250</v>
      </c>
      <c r="G765" s="60">
        <f>+OtherClients[[#This Row],[Boxes / Pieces]]*OtherClients[[#This Row],[Unit Quantity]]</f>
        <v>15250</v>
      </c>
      <c r="H765" s="60" t="s">
        <v>871</v>
      </c>
      <c r="I765" s="126" t="s">
        <v>278</v>
      </c>
      <c r="J765" s="127"/>
      <c r="K765" s="33" t="s">
        <v>278</v>
      </c>
      <c r="L765" s="125"/>
      <c r="M765" s="33" t="s">
        <v>278</v>
      </c>
      <c r="N765" s="125"/>
      <c r="O765" s="33" t="s">
        <v>278</v>
      </c>
      <c r="P765" s="125"/>
      <c r="Q765" s="33" t="s">
        <v>587</v>
      </c>
      <c r="R765" s="125"/>
      <c r="S765" s="33" t="s">
        <v>278</v>
      </c>
      <c r="T765" s="125"/>
      <c r="U765" s="33" t="s">
        <v>278</v>
      </c>
      <c r="V765" s="125"/>
      <c r="W765" s="59" t="s">
        <v>548</v>
      </c>
      <c r="X765" s="33" t="str">
        <f>+VLOOKUP(OtherClients[[#This Row],[Part]],PartControl!$A$2:$E$564,5,FALSE)</f>
        <v>Infasco</v>
      </c>
      <c r="Y765" s="108">
        <f>IF(OtherClients[[#This Row],[Re-certified or New]]&lt;&gt;"Re-certified",IF(OtherClients[[#This Row],[Client]]="infasco",VLOOKUP(OtherClients[[#This Row],[Part]],PartControl!$A$2:$E$564,2,FALSE),OtherClients[[#This Row],[Total Quantity]]*VLOOKUP(OtherClients[[#This Row],[Part]],PartControl!$A$2:$E$564,2,FALSE)),0)</f>
        <v>106.94</v>
      </c>
      <c r="Z765" s="108">
        <f>IF(OtherClients[[#This Row],[Re-certified or New]]&lt;&gt;"Re-certified",IF(OtherClients[[#This Row],[Client]]="infasco",VLOOKUP(OtherClients[[#This Row],[Part]],PartControl!$A$2:$E$564,2,FALSE),OtherClients[[#This Row],[Total Quantity]]*VLOOKUP(OtherClients[[#This Row],[Part]],PartControl!$A$2:$E$564,2,FALSE)),0)</f>
        <v>106.94</v>
      </c>
    </row>
    <row r="766" spans="1:26" ht="25.15" hidden="1" customHeight="1" x14ac:dyDescent="0.25">
      <c r="A766" s="112">
        <v>46246.697256944448</v>
      </c>
      <c r="B766" s="5" t="s">
        <v>346</v>
      </c>
      <c r="C766" s="5">
        <v>11547369</v>
      </c>
      <c r="D766" s="5">
        <v>714478</v>
      </c>
      <c r="E766" s="33">
        <v>10</v>
      </c>
      <c r="F766" s="60">
        <v>250</v>
      </c>
      <c r="G766" s="60">
        <f>+OtherClients[[#This Row],[Boxes / Pieces]]*OtherClients[[#This Row],[Unit Quantity]]</f>
        <v>2500</v>
      </c>
      <c r="H766" s="60" t="s">
        <v>871</v>
      </c>
      <c r="I766" s="126" t="s">
        <v>278</v>
      </c>
      <c r="J766" s="127"/>
      <c r="K766" s="33" t="s">
        <v>278</v>
      </c>
      <c r="L766" s="125"/>
      <c r="M766" s="33" t="s">
        <v>278</v>
      </c>
      <c r="N766" s="125"/>
      <c r="O766" s="33" t="s">
        <v>278</v>
      </c>
      <c r="P766" s="125"/>
      <c r="Q766" s="33" t="s">
        <v>587</v>
      </c>
      <c r="R766" s="125"/>
      <c r="S766" s="33" t="s">
        <v>278</v>
      </c>
      <c r="T766" s="125"/>
      <c r="U766" s="33" t="s">
        <v>278</v>
      </c>
      <c r="V766" s="125"/>
      <c r="W766" s="59" t="s">
        <v>633</v>
      </c>
      <c r="X766" s="33" t="str">
        <f>+VLOOKUP(OtherClients[[#This Row],[Part]],PartControl!$A$2:$E$564,5,FALSE)</f>
        <v>Infasco</v>
      </c>
      <c r="Y766" s="108">
        <f>IF(OtherClients[[#This Row],[Re-certified or New]]&lt;&gt;"Re-certified",IF(OtherClients[[#This Row],[Client]]="infasco",VLOOKUP(OtherClients[[#This Row],[Part]],PartControl!$A$2:$E$564,2,FALSE),OtherClients[[#This Row],[Total Quantity]]*VLOOKUP(OtherClients[[#This Row],[Part]],PartControl!$A$2:$E$564,2,FALSE)),0)</f>
        <v>0</v>
      </c>
      <c r="Z766" s="108">
        <f>IF(OtherClients[[#This Row],[Re-certified or New]]&lt;&gt;"Re-certified",IF(OtherClients[[#This Row],[Client]]="infasco",VLOOKUP(OtherClients[[#This Row],[Part]],PartControl!$A$2:$E$564,2,FALSE),OtherClients[[#This Row],[Total Quantity]]*VLOOKUP(OtherClients[[#This Row],[Part]],PartControl!$A$2:$E$564,2,FALSE)),0)</f>
        <v>0</v>
      </c>
    </row>
    <row r="767" spans="1:26" ht="25.15" hidden="1" customHeight="1" x14ac:dyDescent="0.25">
      <c r="A767" s="112">
        <v>46246.697256944448</v>
      </c>
      <c r="B767" s="5" t="s">
        <v>347</v>
      </c>
      <c r="C767" s="5">
        <v>11549170</v>
      </c>
      <c r="D767" s="5">
        <v>714385</v>
      </c>
      <c r="E767" s="33">
        <v>11</v>
      </c>
      <c r="F767" s="60">
        <v>400</v>
      </c>
      <c r="G767" s="60">
        <f>+OtherClients[[#This Row],[Boxes / Pieces]]*OtherClients[[#This Row],[Unit Quantity]]</f>
        <v>4400</v>
      </c>
      <c r="H767" s="60">
        <v>279</v>
      </c>
      <c r="I767" s="126" t="s">
        <v>278</v>
      </c>
      <c r="J767" s="127"/>
      <c r="K767" s="33" t="s">
        <v>278</v>
      </c>
      <c r="L767" s="125"/>
      <c r="M767" s="33" t="s">
        <v>278</v>
      </c>
      <c r="N767" s="125"/>
      <c r="O767" s="33" t="s">
        <v>278</v>
      </c>
      <c r="P767" s="125"/>
      <c r="Q767" s="33" t="s">
        <v>587</v>
      </c>
      <c r="R767" s="125"/>
      <c r="S767" s="33" t="s">
        <v>278</v>
      </c>
      <c r="T767" s="125"/>
      <c r="U767" s="33" t="s">
        <v>278</v>
      </c>
      <c r="V767" s="125"/>
      <c r="W767" s="59" t="s">
        <v>548</v>
      </c>
      <c r="X767" s="33" t="str">
        <f>+VLOOKUP(OtherClients[[#This Row],[Part]],PartControl!$A$2:$E$564,5,FALSE)</f>
        <v>INFASCO</v>
      </c>
      <c r="Y767" s="108">
        <f>IF(OtherClients[[#This Row],[Re-certified or New]]&lt;&gt;"Re-certified",IF(OtherClients[[#This Row],[Client]]="infasco",VLOOKUP(OtherClients[[#This Row],[Part]],PartControl!$A$2:$E$564,2,FALSE),OtherClients[[#This Row],[Total Quantity]]*VLOOKUP(OtherClients[[#This Row],[Part]],PartControl!$A$2:$E$564,2,FALSE)),0)</f>
        <v>106.94</v>
      </c>
      <c r="Z767" s="108">
        <f>IF(OtherClients[[#This Row],[Re-certified or New]]&lt;&gt;"Re-certified",IF(OtherClients[[#This Row],[Client]]="infasco",VLOOKUP(OtherClients[[#This Row],[Part]],PartControl!$A$2:$E$564,2,FALSE),OtherClients[[#This Row],[Total Quantity]]*VLOOKUP(OtherClients[[#This Row],[Part]],PartControl!$A$2:$E$564,2,FALSE)),0)</f>
        <v>106.94</v>
      </c>
    </row>
    <row r="768" spans="1:26" ht="25.15" hidden="1" customHeight="1" x14ac:dyDescent="0.25">
      <c r="A768" s="112">
        <v>46246.697256944448</v>
      </c>
      <c r="B768" s="5" t="s">
        <v>347</v>
      </c>
      <c r="C768" s="5">
        <v>11546703</v>
      </c>
      <c r="D768" s="5">
        <v>713201</v>
      </c>
      <c r="E768" s="33">
        <v>36</v>
      </c>
      <c r="F768" s="60">
        <v>4000</v>
      </c>
      <c r="G768" s="60">
        <f>+OtherClients[[#This Row],[Boxes / Pieces]]*OtherClients[[#This Row],[Unit Quantity]]</f>
        <v>144000</v>
      </c>
      <c r="H768" s="60">
        <v>279</v>
      </c>
      <c r="I768" s="126" t="s">
        <v>278</v>
      </c>
      <c r="J768" s="127"/>
      <c r="K768" s="33" t="s">
        <v>278</v>
      </c>
      <c r="L768" s="125"/>
      <c r="M768" s="33" t="s">
        <v>278</v>
      </c>
      <c r="N768" s="125"/>
      <c r="O768" s="33" t="s">
        <v>278</v>
      </c>
      <c r="P768" s="125"/>
      <c r="Q768" s="33" t="s">
        <v>587</v>
      </c>
      <c r="R768" s="125"/>
      <c r="S768" s="33" t="s">
        <v>278</v>
      </c>
      <c r="T768" s="125"/>
      <c r="U768" s="33" t="s">
        <v>278</v>
      </c>
      <c r="V768" s="125"/>
      <c r="W768" s="59" t="s">
        <v>548</v>
      </c>
      <c r="X768" s="33" t="str">
        <f>+VLOOKUP(OtherClients[[#This Row],[Part]],PartControl!$A$2:$E$564,5,FALSE)</f>
        <v>infasco</v>
      </c>
      <c r="Y768" s="108">
        <f>IF(OtherClients[[#This Row],[Re-certified or New]]&lt;&gt;"Re-certified",IF(OtherClients[[#This Row],[Client]]="infasco",VLOOKUP(OtherClients[[#This Row],[Part]],PartControl!$A$2:$E$564,2,FALSE),OtherClients[[#This Row],[Total Quantity]]*VLOOKUP(OtherClients[[#This Row],[Part]],PartControl!$A$2:$E$564,2,FALSE)),0)</f>
        <v>135.07999999999998</v>
      </c>
      <c r="Z768" s="108">
        <f>IF(OtherClients[[#This Row],[Re-certified or New]]&lt;&gt;"Re-certified",IF(OtherClients[[#This Row],[Client]]="infasco",VLOOKUP(OtherClients[[#This Row],[Part]],PartControl!$A$2:$E$564,2,FALSE),OtherClients[[#This Row],[Total Quantity]]*VLOOKUP(OtherClients[[#This Row],[Part]],PartControl!$A$2:$E$564,2,FALSE)),0)</f>
        <v>135.07999999999998</v>
      </c>
    </row>
    <row r="769" spans="1:26" ht="25.15" hidden="1" customHeight="1" x14ac:dyDescent="0.25">
      <c r="A769" s="112">
        <v>46246.697256944448</v>
      </c>
      <c r="B769" s="5" t="s">
        <v>347</v>
      </c>
      <c r="C769" s="5">
        <v>11546703</v>
      </c>
      <c r="D769" s="5">
        <v>713199</v>
      </c>
      <c r="E769" s="33">
        <v>36</v>
      </c>
      <c r="F769" s="60">
        <v>4000</v>
      </c>
      <c r="G769" s="60">
        <f>+OtherClients[[#This Row],[Boxes / Pieces]]*OtherClients[[#This Row],[Unit Quantity]]</f>
        <v>144000</v>
      </c>
      <c r="H769" s="60">
        <v>279</v>
      </c>
      <c r="I769" s="126" t="s">
        <v>278</v>
      </c>
      <c r="J769" s="127"/>
      <c r="K769" s="33" t="s">
        <v>278</v>
      </c>
      <c r="L769" s="125"/>
      <c r="M769" s="33" t="s">
        <v>278</v>
      </c>
      <c r="N769" s="125"/>
      <c r="O769" s="33" t="s">
        <v>278</v>
      </c>
      <c r="P769" s="125"/>
      <c r="Q769" s="33" t="s">
        <v>587</v>
      </c>
      <c r="R769" s="125"/>
      <c r="S769" s="33" t="s">
        <v>278</v>
      </c>
      <c r="T769" s="125"/>
      <c r="U769" s="33" t="s">
        <v>278</v>
      </c>
      <c r="V769" s="125"/>
      <c r="W769" s="59" t="s">
        <v>548</v>
      </c>
      <c r="X769" s="33" t="str">
        <f>+VLOOKUP(OtherClients[[#This Row],[Part]],PartControl!$A$2:$E$564,5,FALSE)</f>
        <v>infasco</v>
      </c>
      <c r="Y769" s="108">
        <f>IF(OtherClients[[#This Row],[Re-certified or New]]&lt;&gt;"Re-certified",IF(OtherClients[[#This Row],[Client]]="infasco",VLOOKUP(OtherClients[[#This Row],[Part]],PartControl!$A$2:$E$564,2,FALSE),OtherClients[[#This Row],[Total Quantity]]*VLOOKUP(OtherClients[[#This Row],[Part]],PartControl!$A$2:$E$564,2,FALSE)),0)</f>
        <v>135.07999999999998</v>
      </c>
      <c r="Z769" s="108">
        <f>IF(OtherClients[[#This Row],[Re-certified or New]]&lt;&gt;"Re-certified",IF(OtherClients[[#This Row],[Client]]="infasco",VLOOKUP(OtherClients[[#This Row],[Part]],PartControl!$A$2:$E$564,2,FALSE),OtherClients[[#This Row],[Total Quantity]]*VLOOKUP(OtherClients[[#This Row],[Part]],PartControl!$A$2:$E$564,2,FALSE)),0)</f>
        <v>135.07999999999998</v>
      </c>
    </row>
    <row r="770" spans="1:26" ht="25.15" hidden="1" customHeight="1" x14ac:dyDescent="0.25">
      <c r="A770" s="112">
        <v>46246.697256944448</v>
      </c>
      <c r="B770" s="5" t="s">
        <v>347</v>
      </c>
      <c r="C770" s="5">
        <v>11546703</v>
      </c>
      <c r="D770" s="5">
        <v>713198</v>
      </c>
      <c r="E770" s="33">
        <v>16</v>
      </c>
      <c r="F770" s="60">
        <v>4000</v>
      </c>
      <c r="G770" s="60">
        <f>+OtherClients[[#This Row],[Boxes / Pieces]]*OtherClients[[#This Row],[Unit Quantity]]</f>
        <v>64000</v>
      </c>
      <c r="H770" s="60">
        <v>279</v>
      </c>
      <c r="I770" s="126" t="s">
        <v>278</v>
      </c>
      <c r="J770" s="127"/>
      <c r="K770" s="33" t="s">
        <v>278</v>
      </c>
      <c r="L770" s="125"/>
      <c r="M770" s="33" t="s">
        <v>278</v>
      </c>
      <c r="N770" s="125"/>
      <c r="O770" s="33" t="s">
        <v>278</v>
      </c>
      <c r="P770" s="125"/>
      <c r="Q770" s="33" t="s">
        <v>587</v>
      </c>
      <c r="R770" s="125"/>
      <c r="S770" s="33" t="s">
        <v>278</v>
      </c>
      <c r="T770" s="125"/>
      <c r="U770" s="33" t="s">
        <v>278</v>
      </c>
      <c r="V770" s="125"/>
      <c r="W770" s="59" t="s">
        <v>548</v>
      </c>
      <c r="X770" s="33" t="str">
        <f>+VLOOKUP(OtherClients[[#This Row],[Part]],PartControl!$A$2:$E$564,5,FALSE)</f>
        <v>infasco</v>
      </c>
      <c r="Y770" s="108">
        <f>IF(OtherClients[[#This Row],[Re-certified or New]]&lt;&gt;"Re-certified",IF(OtherClients[[#This Row],[Client]]="infasco",VLOOKUP(OtherClients[[#This Row],[Part]],PartControl!$A$2:$E$564,2,FALSE),OtherClients[[#This Row],[Total Quantity]]*VLOOKUP(OtherClients[[#This Row],[Part]],PartControl!$A$2:$E$564,2,FALSE)),0)</f>
        <v>135.07999999999998</v>
      </c>
      <c r="Z770" s="108">
        <f>IF(OtherClients[[#This Row],[Re-certified or New]]&lt;&gt;"Re-certified",IF(OtherClients[[#This Row],[Client]]="infasco",VLOOKUP(OtherClients[[#This Row],[Part]],PartControl!$A$2:$E$564,2,FALSE),OtherClients[[#This Row],[Total Quantity]]*VLOOKUP(OtherClients[[#This Row],[Part]],PartControl!$A$2:$E$564,2,FALSE)),0)</f>
        <v>135.07999999999998</v>
      </c>
    </row>
    <row r="771" spans="1:26" ht="25.15" hidden="1" customHeight="1" x14ac:dyDescent="0.25">
      <c r="A771" s="112">
        <v>46246.697256944448</v>
      </c>
      <c r="B771" s="5" t="s">
        <v>347</v>
      </c>
      <c r="C771" s="5">
        <v>11547369</v>
      </c>
      <c r="D771" s="5">
        <v>714299</v>
      </c>
      <c r="E771" s="33">
        <v>28</v>
      </c>
      <c r="F771" s="60">
        <v>250</v>
      </c>
      <c r="G771" s="60">
        <f>+OtherClients[[#This Row],[Boxes / Pieces]]*OtherClients[[#This Row],[Unit Quantity]]</f>
        <v>7000</v>
      </c>
      <c r="H771" s="60">
        <v>279</v>
      </c>
      <c r="I771" s="126" t="s">
        <v>278</v>
      </c>
      <c r="J771" s="127"/>
      <c r="K771" s="33" t="s">
        <v>278</v>
      </c>
      <c r="L771" s="125"/>
      <c r="M771" s="33" t="s">
        <v>278</v>
      </c>
      <c r="N771" s="125"/>
      <c r="O771" s="33" t="s">
        <v>278</v>
      </c>
      <c r="P771" s="125"/>
      <c r="Q771" s="33" t="s">
        <v>587</v>
      </c>
      <c r="R771" s="125"/>
      <c r="S771" s="33" t="s">
        <v>278</v>
      </c>
      <c r="T771" s="125"/>
      <c r="U771" s="33" t="s">
        <v>278</v>
      </c>
      <c r="V771" s="125"/>
      <c r="W771" s="59" t="s">
        <v>633</v>
      </c>
      <c r="X771" s="33" t="str">
        <f>+VLOOKUP(OtherClients[[#This Row],[Part]],PartControl!$A$2:$E$564,5,FALSE)</f>
        <v>Infasco</v>
      </c>
      <c r="Y771" s="108">
        <f>IF(OtherClients[[#This Row],[Re-certified or New]]&lt;&gt;"Re-certified",IF(OtherClients[[#This Row],[Client]]="infasco",VLOOKUP(OtherClients[[#This Row],[Part]],PartControl!$A$2:$E$564,2,FALSE),OtherClients[[#This Row],[Total Quantity]]*VLOOKUP(OtherClients[[#This Row],[Part]],PartControl!$A$2:$E$564,2,FALSE)),0)</f>
        <v>0</v>
      </c>
      <c r="Z771" s="108">
        <f>IF(OtherClients[[#This Row],[Re-certified or New]]&lt;&gt;"Re-certified",IF(OtherClients[[#This Row],[Client]]="infasco",VLOOKUP(OtherClients[[#This Row],[Part]],PartControl!$A$2:$E$564,2,FALSE),OtherClients[[#This Row],[Total Quantity]]*VLOOKUP(OtherClients[[#This Row],[Part]],PartControl!$A$2:$E$564,2,FALSE)),0)</f>
        <v>0</v>
      </c>
    </row>
    <row r="772" spans="1:26" ht="25.15" hidden="1" customHeight="1" x14ac:dyDescent="0.25">
      <c r="A772" s="112">
        <v>46247.686168981483</v>
      </c>
      <c r="B772" s="5" t="s">
        <v>232</v>
      </c>
      <c r="C772" s="5">
        <v>11546545</v>
      </c>
      <c r="D772" s="5">
        <v>716270</v>
      </c>
      <c r="E772" s="33">
        <v>36</v>
      </c>
      <c r="F772" s="60">
        <v>2500</v>
      </c>
      <c r="G772" s="60">
        <v>90000</v>
      </c>
      <c r="H772" s="60">
        <v>275</v>
      </c>
      <c r="I772" s="126" t="s">
        <v>278</v>
      </c>
      <c r="J772" s="127"/>
      <c r="K772" s="33" t="s">
        <v>278</v>
      </c>
      <c r="L772" s="125"/>
      <c r="M772" s="33" t="s">
        <v>278</v>
      </c>
      <c r="N772" s="125"/>
      <c r="O772" s="33" t="s">
        <v>278</v>
      </c>
      <c r="P772" s="125"/>
      <c r="Q772" s="33" t="s">
        <v>587</v>
      </c>
      <c r="R772" s="125"/>
      <c r="S772" s="33" t="s">
        <v>278</v>
      </c>
      <c r="T772" s="125"/>
      <c r="U772" s="33" t="s">
        <v>278</v>
      </c>
      <c r="V772" s="125"/>
      <c r="W772" s="128" t="s">
        <v>548</v>
      </c>
      <c r="X772" s="33" t="str">
        <f>+VLOOKUP(OtherClients[[#This Row],[Part]],PartControl!$A$2:$E$564,5,FALSE)</f>
        <v>infasco</v>
      </c>
      <c r="Y772" s="125">
        <v>106.94</v>
      </c>
      <c r="Z772" s="108">
        <f>IF(OtherClients[[#This Row],[Re-certified or New]]&lt;&gt;"Re-certified",IF(OtherClients[[#This Row],[Client]]="infasco",VLOOKUP(OtherClients[[#This Row],[Part]],PartControl!$A$2:$E$564,2,FALSE),OtherClients[[#This Row],[Total Quantity]]*VLOOKUP(OtherClients[[#This Row],[Part]],PartControl!$A$2:$E$564,2,FALSE)),0)</f>
        <v>106.94</v>
      </c>
    </row>
    <row r="773" spans="1:26" ht="25.15" hidden="1" customHeight="1" x14ac:dyDescent="0.25">
      <c r="A773" s="112">
        <v>46247.686168981483</v>
      </c>
      <c r="B773" s="5" t="s">
        <v>232</v>
      </c>
      <c r="C773" s="5">
        <v>11546545</v>
      </c>
      <c r="D773" s="5">
        <v>716271</v>
      </c>
      <c r="E773" s="33">
        <v>12</v>
      </c>
      <c r="F773" s="60">
        <v>2500</v>
      </c>
      <c r="G773" s="60">
        <f>+OtherClients[[#This Row],[Boxes / Pieces]]*OtherClients[[#This Row],[Unit Quantity]]</f>
        <v>30000</v>
      </c>
      <c r="H773" s="60">
        <v>275</v>
      </c>
      <c r="I773" s="126" t="s">
        <v>278</v>
      </c>
      <c r="J773" s="127"/>
      <c r="K773" s="33" t="s">
        <v>278</v>
      </c>
      <c r="L773" s="125"/>
      <c r="M773" s="33" t="s">
        <v>278</v>
      </c>
      <c r="N773" s="125"/>
      <c r="O773" s="33" t="s">
        <v>278</v>
      </c>
      <c r="P773" s="125"/>
      <c r="Q773" s="33" t="s">
        <v>587</v>
      </c>
      <c r="R773" s="125"/>
      <c r="S773" s="33" t="s">
        <v>278</v>
      </c>
      <c r="T773" s="125"/>
      <c r="U773" s="33" t="s">
        <v>278</v>
      </c>
      <c r="V773" s="125"/>
      <c r="W773" s="59" t="s">
        <v>633</v>
      </c>
      <c r="X773" s="33" t="str">
        <f>+VLOOKUP(OtherClients[[#This Row],[Part]],PartControl!$A$2:$E$564,5,FALSE)</f>
        <v>infasco</v>
      </c>
      <c r="Y773" s="108">
        <f>IF(OtherClients[[#This Row],[Re-certified or New]]&lt;&gt;"Re-certified",IF(OtherClients[[#This Row],[Client]]="infasco",VLOOKUP(OtherClients[[#This Row],[Part]],PartControl!$A$2:$E$564,2,FALSE),OtherClients[[#This Row],[Total Quantity]]*VLOOKUP(OtherClients[[#This Row],[Part]],PartControl!$A$2:$E$564,2,FALSE)),0)</f>
        <v>0</v>
      </c>
      <c r="Z773" s="108">
        <f>IF(OtherClients[[#This Row],[Re-certified or New]]&lt;&gt;"Re-certified",IF(OtherClients[[#This Row],[Client]]="infasco",VLOOKUP(OtherClients[[#This Row],[Part]],PartControl!$A$2:$E$564,2,FALSE),OtherClients[[#This Row],[Total Quantity]]*VLOOKUP(OtherClients[[#This Row],[Part]],PartControl!$A$2:$E$564,2,FALSE)),0)</f>
        <v>0</v>
      </c>
    </row>
    <row r="774" spans="1:26" ht="25.15" hidden="1" customHeight="1" x14ac:dyDescent="0.25">
      <c r="A774" s="112">
        <v>46247.686168981483</v>
      </c>
      <c r="B774" s="5" t="s">
        <v>242</v>
      </c>
      <c r="C774" s="5" t="s">
        <v>703</v>
      </c>
      <c r="D774" s="5">
        <v>714194</v>
      </c>
      <c r="E774" s="33">
        <f>36-18</f>
        <v>18</v>
      </c>
      <c r="F774" s="60">
        <v>700</v>
      </c>
      <c r="G774" s="60">
        <f>+OtherClients[[#This Row],[Boxes / Pieces]]*OtherClients[[#This Row],[Unit Quantity]]</f>
        <v>12600</v>
      </c>
      <c r="H774" s="60">
        <v>275</v>
      </c>
      <c r="I774" s="126" t="s">
        <v>278</v>
      </c>
      <c r="J774" s="127"/>
      <c r="K774" s="33" t="s">
        <v>278</v>
      </c>
      <c r="L774" s="125"/>
      <c r="M774" s="33" t="s">
        <v>278</v>
      </c>
      <c r="N774" s="125"/>
      <c r="O774" s="33" t="s">
        <v>278</v>
      </c>
      <c r="P774" s="125"/>
      <c r="Q774" s="33" t="s">
        <v>587</v>
      </c>
      <c r="R774" s="125"/>
      <c r="S774" s="33" t="s">
        <v>278</v>
      </c>
      <c r="T774" s="125"/>
      <c r="U774" s="33" t="s">
        <v>278</v>
      </c>
      <c r="V774" s="125"/>
      <c r="W774" s="59" t="s">
        <v>548</v>
      </c>
      <c r="X774" s="33" t="str">
        <f>+VLOOKUP(OtherClients[[#This Row],[Part]],PartControl!$A$2:$E$564,5,FALSE)</f>
        <v>infasco</v>
      </c>
      <c r="Y774" s="108">
        <f>IF(OtherClients[[#This Row],[Re-certified or New]]&lt;&gt;"Re-certified",IF(OtherClients[[#This Row],[Client]]="infasco",VLOOKUP(OtherClients[[#This Row],[Part]],PartControl!$A$2:$E$564,2,FALSE),OtherClients[[#This Row],[Total Quantity]]*VLOOKUP(OtherClients[[#This Row],[Part]],PartControl!$A$2:$E$564,2,FALSE)),0)</f>
        <v>106.94</v>
      </c>
      <c r="Z774" s="108">
        <f>IF(OtherClients[[#This Row],[Re-certified or New]]&lt;&gt;"Re-certified",IF(OtherClients[[#This Row],[Client]]="infasco",VLOOKUP(OtherClients[[#This Row],[Part]],PartControl!$A$2:$E$564,2,FALSE),OtherClients[[#This Row],[Total Quantity]]*VLOOKUP(OtherClients[[#This Row],[Part]],PartControl!$A$2:$E$564,2,FALSE)),0)</f>
        <v>106.94</v>
      </c>
    </row>
    <row r="775" spans="1:26" ht="25.15" hidden="1" customHeight="1" x14ac:dyDescent="0.25">
      <c r="A775" s="112">
        <v>46247.686168981483</v>
      </c>
      <c r="B775" s="5" t="s">
        <v>242</v>
      </c>
      <c r="C775" s="5" t="s">
        <v>703</v>
      </c>
      <c r="D775" s="5">
        <v>714198</v>
      </c>
      <c r="E775" s="33">
        <v>36</v>
      </c>
      <c r="F775" s="60">
        <v>700</v>
      </c>
      <c r="G775" s="60">
        <f>+OtherClients[[#This Row],[Boxes / Pieces]]*OtherClients[[#This Row],[Unit Quantity]]</f>
        <v>25200</v>
      </c>
      <c r="H775" s="60">
        <v>275</v>
      </c>
      <c r="I775" s="126" t="s">
        <v>278</v>
      </c>
      <c r="J775" s="127"/>
      <c r="K775" s="33" t="s">
        <v>278</v>
      </c>
      <c r="L775" s="125"/>
      <c r="M775" s="33" t="s">
        <v>278</v>
      </c>
      <c r="N775" s="125"/>
      <c r="O775" s="33" t="s">
        <v>278</v>
      </c>
      <c r="P775" s="125"/>
      <c r="Q775" s="33" t="s">
        <v>587</v>
      </c>
      <c r="R775" s="125"/>
      <c r="S775" s="33" t="s">
        <v>278</v>
      </c>
      <c r="T775" s="125"/>
      <c r="U775" s="33" t="s">
        <v>278</v>
      </c>
      <c r="V775" s="125"/>
      <c r="W775" s="59" t="s">
        <v>548</v>
      </c>
      <c r="X775" s="33" t="str">
        <f>+VLOOKUP(OtherClients[[#This Row],[Part]],PartControl!$A$2:$E$564,5,FALSE)</f>
        <v>infasco</v>
      </c>
      <c r="Y775" s="108">
        <f>IF(OtherClients[[#This Row],[Re-certified or New]]&lt;&gt;"Re-certified",IF(OtherClients[[#This Row],[Client]]="infasco",VLOOKUP(OtherClients[[#This Row],[Part]],PartControl!$A$2:$E$564,2,FALSE),OtherClients[[#This Row],[Total Quantity]]*VLOOKUP(OtherClients[[#This Row],[Part]],PartControl!$A$2:$E$564,2,FALSE)),0)</f>
        <v>106.94</v>
      </c>
      <c r="Z775" s="108">
        <f>IF(OtherClients[[#This Row],[Re-certified or New]]&lt;&gt;"Re-certified",IF(OtherClients[[#This Row],[Client]]="infasco",VLOOKUP(OtherClients[[#This Row],[Part]],PartControl!$A$2:$E$564,2,FALSE),OtherClients[[#This Row],[Total Quantity]]*VLOOKUP(OtherClients[[#This Row],[Part]],PartControl!$A$2:$E$564,2,FALSE)),0)</f>
        <v>106.94</v>
      </c>
    </row>
    <row r="776" spans="1:26" ht="25.15" hidden="1" customHeight="1" x14ac:dyDescent="0.25">
      <c r="A776" s="112">
        <v>46247.686168981483</v>
      </c>
      <c r="B776" s="5" t="s">
        <v>242</v>
      </c>
      <c r="C776" s="5" t="s">
        <v>703</v>
      </c>
      <c r="D776" s="5">
        <v>714196</v>
      </c>
      <c r="E776" s="33">
        <v>27</v>
      </c>
      <c r="F776" s="60">
        <v>700</v>
      </c>
      <c r="G776" s="60">
        <f>+OtherClients[[#This Row],[Boxes / Pieces]]*OtherClients[[#This Row],[Unit Quantity]]</f>
        <v>18900</v>
      </c>
      <c r="H776" s="60">
        <v>275</v>
      </c>
      <c r="I776" s="126" t="s">
        <v>278</v>
      </c>
      <c r="J776" s="127"/>
      <c r="K776" s="33" t="s">
        <v>278</v>
      </c>
      <c r="L776" s="125"/>
      <c r="M776" s="33" t="s">
        <v>278</v>
      </c>
      <c r="N776" s="125"/>
      <c r="O776" s="33" t="s">
        <v>278</v>
      </c>
      <c r="P776" s="125"/>
      <c r="Q776" s="33" t="s">
        <v>587</v>
      </c>
      <c r="R776" s="125"/>
      <c r="S776" s="33" t="s">
        <v>278</v>
      </c>
      <c r="T776" s="125"/>
      <c r="U776" s="33" t="s">
        <v>278</v>
      </c>
      <c r="V776" s="125"/>
      <c r="W776" s="59" t="s">
        <v>633</v>
      </c>
      <c r="X776" s="33" t="str">
        <f>+VLOOKUP(OtherClients[[#This Row],[Part]],PartControl!$A$2:$E$564,5,FALSE)</f>
        <v>infasco</v>
      </c>
      <c r="Y776" s="108">
        <f>IF(OtherClients[[#This Row],[Re-certified or New]]&lt;&gt;"Re-certified",IF(OtherClients[[#This Row],[Client]]="infasco",VLOOKUP(OtherClients[[#This Row],[Part]],PartControl!$A$2:$E$564,2,FALSE),OtherClients[[#This Row],[Total Quantity]]*VLOOKUP(OtherClients[[#This Row],[Part]],PartControl!$A$2:$E$564,2,FALSE)),0)</f>
        <v>0</v>
      </c>
      <c r="Z776" s="108">
        <f>IF(OtherClients[[#This Row],[Re-certified or New]]&lt;&gt;"Re-certified",IF(OtherClients[[#This Row],[Client]]="infasco",VLOOKUP(OtherClients[[#This Row],[Part]],PartControl!$A$2:$E$564,2,FALSE),OtherClients[[#This Row],[Total Quantity]]*VLOOKUP(OtherClients[[#This Row],[Part]],PartControl!$A$2:$E$564,2,FALSE)),0)</f>
        <v>0</v>
      </c>
    </row>
    <row r="777" spans="1:26" ht="25.15" hidden="1" customHeight="1" x14ac:dyDescent="0.25">
      <c r="A777" s="112">
        <v>46247.686168981483</v>
      </c>
      <c r="B777" s="5" t="s">
        <v>863</v>
      </c>
      <c r="C777" s="5" t="s">
        <v>835</v>
      </c>
      <c r="D777" s="5">
        <v>715864</v>
      </c>
      <c r="E777" s="33">
        <f>13-8</f>
        <v>5</v>
      </c>
      <c r="F777" s="60">
        <v>660</v>
      </c>
      <c r="G777" s="60">
        <f>+OtherClients[[#This Row],[Boxes / Pieces]]*OtherClients[[#This Row],[Unit Quantity]]</f>
        <v>3300</v>
      </c>
      <c r="H777" s="60">
        <v>275</v>
      </c>
      <c r="I777" s="126" t="s">
        <v>278</v>
      </c>
      <c r="J777" s="127"/>
      <c r="K777" s="33" t="s">
        <v>278</v>
      </c>
      <c r="L777" s="125"/>
      <c r="M777" s="33" t="s">
        <v>278</v>
      </c>
      <c r="N777" s="125"/>
      <c r="O777" s="33" t="s">
        <v>278</v>
      </c>
      <c r="P777" s="125"/>
      <c r="Q777" s="33" t="s">
        <v>587</v>
      </c>
      <c r="R777" s="125"/>
      <c r="S777" s="33" t="s">
        <v>278</v>
      </c>
      <c r="T777" s="125"/>
      <c r="U777" s="33" t="s">
        <v>278</v>
      </c>
      <c r="V777" s="125"/>
      <c r="W777" s="59" t="s">
        <v>548</v>
      </c>
      <c r="X777" s="33" t="str">
        <f>+VLOOKUP(OtherClients[[#This Row],[Part]],PartControl!$A$2:$E$564,5,FALSE)</f>
        <v>infasco</v>
      </c>
      <c r="Y777" s="108">
        <f>IF(OtherClients[[#This Row],[Re-certified or New]]&lt;&gt;"Re-certified",IF(OtherClients[[#This Row],[Client]]="infasco",VLOOKUP(OtherClients[[#This Row],[Part]],PartControl!$A$2:$E$564,2,FALSE),OtherClients[[#This Row],[Total Quantity]]*VLOOKUP(OtherClients[[#This Row],[Part]],PartControl!$A$2:$E$564,2,FALSE)),0)</f>
        <v>135.08000000000001</v>
      </c>
      <c r="Z777" s="108">
        <f>IF(OtherClients[[#This Row],[Re-certified or New]]&lt;&gt;"Re-certified",IF(OtherClients[[#This Row],[Client]]="infasco",VLOOKUP(OtherClients[[#This Row],[Part]],PartControl!$A$2:$E$564,2,FALSE),OtherClients[[#This Row],[Total Quantity]]*VLOOKUP(OtherClients[[#This Row],[Part]],PartControl!$A$2:$E$564,2,FALSE)),0)</f>
        <v>135.08000000000001</v>
      </c>
    </row>
    <row r="778" spans="1:26" ht="25.15" hidden="1" customHeight="1" x14ac:dyDescent="0.25">
      <c r="A778" s="112">
        <v>46247.686168981483</v>
      </c>
      <c r="B778" s="5" t="s">
        <v>863</v>
      </c>
      <c r="C778" s="5" t="s">
        <v>835</v>
      </c>
      <c r="D778" s="5">
        <v>715866</v>
      </c>
      <c r="E778" s="33">
        <v>27</v>
      </c>
      <c r="F778" s="60">
        <v>660</v>
      </c>
      <c r="G778" s="60">
        <f>+OtherClients[[#This Row],[Boxes / Pieces]]*OtherClients[[#This Row],[Unit Quantity]]</f>
        <v>17820</v>
      </c>
      <c r="H778" s="60">
        <v>275</v>
      </c>
      <c r="I778" s="126" t="s">
        <v>278</v>
      </c>
      <c r="J778" s="127"/>
      <c r="K778" s="33" t="s">
        <v>278</v>
      </c>
      <c r="L778" s="125"/>
      <c r="M778" s="33" t="s">
        <v>278</v>
      </c>
      <c r="N778" s="125"/>
      <c r="O778" s="33" t="s">
        <v>278</v>
      </c>
      <c r="P778" s="125"/>
      <c r="Q778" s="33" t="s">
        <v>587</v>
      </c>
      <c r="R778" s="125"/>
      <c r="S778" s="33" t="s">
        <v>278</v>
      </c>
      <c r="T778" s="125"/>
      <c r="U778" s="33" t="s">
        <v>278</v>
      </c>
      <c r="V778" s="125"/>
      <c r="W778" s="59" t="s">
        <v>633</v>
      </c>
      <c r="X778" s="33" t="str">
        <f>+VLOOKUP(OtherClients[[#This Row],[Part]],PartControl!$A$2:$E$564,5,FALSE)</f>
        <v>infasco</v>
      </c>
      <c r="Y778" s="108">
        <f>IF(OtherClients[[#This Row],[Re-certified or New]]&lt;&gt;"Re-certified",IF(OtherClients[[#This Row],[Client]]="infasco",VLOOKUP(OtherClients[[#This Row],[Part]],PartControl!$A$2:$E$564,2,FALSE),OtherClients[[#This Row],[Total Quantity]]*VLOOKUP(OtherClients[[#This Row],[Part]],PartControl!$A$2:$E$564,2,FALSE)),0)</f>
        <v>0</v>
      </c>
      <c r="Z778" s="108">
        <f>IF(OtherClients[[#This Row],[Re-certified or New]]&lt;&gt;"Re-certified",IF(OtherClients[[#This Row],[Client]]="infasco",VLOOKUP(OtherClients[[#This Row],[Part]],PartControl!$A$2:$E$564,2,FALSE),OtherClients[[#This Row],[Total Quantity]]*VLOOKUP(OtherClients[[#This Row],[Part]],PartControl!$A$2:$E$564,2,FALSE)),0)</f>
        <v>0</v>
      </c>
    </row>
    <row r="779" spans="1:26" ht="25.15" hidden="1" customHeight="1" x14ac:dyDescent="0.25">
      <c r="A779" s="112">
        <v>46247.686168981483</v>
      </c>
      <c r="B779" s="5" t="s">
        <v>234</v>
      </c>
      <c r="C779" s="5" t="s">
        <v>728</v>
      </c>
      <c r="D779" s="5">
        <v>716075</v>
      </c>
      <c r="E779" s="33">
        <f>25-13</f>
        <v>12</v>
      </c>
      <c r="F779" s="60">
        <v>1500</v>
      </c>
      <c r="G779" s="60">
        <f>+OtherClients[[#This Row],[Boxes / Pieces]]*OtherClients[[#This Row],[Unit Quantity]]</f>
        <v>18000</v>
      </c>
      <c r="H779" s="60">
        <v>275</v>
      </c>
      <c r="I779" s="126" t="s">
        <v>278</v>
      </c>
      <c r="J779" s="127"/>
      <c r="K779" s="33" t="s">
        <v>278</v>
      </c>
      <c r="L779" s="125"/>
      <c r="M779" s="33" t="s">
        <v>278</v>
      </c>
      <c r="N779" s="125"/>
      <c r="O779" s="33" t="s">
        <v>278</v>
      </c>
      <c r="P779" s="125"/>
      <c r="Q779" s="33" t="s">
        <v>587</v>
      </c>
      <c r="R779" s="125"/>
      <c r="S779" s="33" t="s">
        <v>278</v>
      </c>
      <c r="T779" s="125"/>
      <c r="U779" s="33" t="s">
        <v>278</v>
      </c>
      <c r="V779" s="125"/>
      <c r="W779" s="59" t="s">
        <v>548</v>
      </c>
      <c r="X779" s="33" t="str">
        <f>+VLOOKUP(OtherClients[[#This Row],[Part]],PartControl!$A$2:$E$564,5,FALSE)</f>
        <v>infasco</v>
      </c>
      <c r="Y779" s="108">
        <f>IF(OtherClients[[#This Row],[Re-certified or New]]&lt;&gt;"Re-certified",IF(OtherClients[[#This Row],[Client]]="infasco",VLOOKUP(OtherClients[[#This Row],[Part]],PartControl!$A$2:$E$564,2,FALSE),OtherClients[[#This Row],[Total Quantity]]*VLOOKUP(OtherClients[[#This Row],[Part]],PartControl!$A$2:$E$564,2,FALSE)),0)</f>
        <v>106.94</v>
      </c>
      <c r="Z779" s="108">
        <f>IF(OtherClients[[#This Row],[Re-certified or New]]&lt;&gt;"Re-certified",IF(OtherClients[[#This Row],[Client]]="infasco",VLOOKUP(OtherClients[[#This Row],[Part]],PartControl!$A$2:$E$564,2,FALSE),OtherClients[[#This Row],[Total Quantity]]*VLOOKUP(OtherClients[[#This Row],[Part]],PartControl!$A$2:$E$564,2,FALSE)),0)</f>
        <v>106.94</v>
      </c>
    </row>
    <row r="780" spans="1:26" ht="25.15" hidden="1" customHeight="1" x14ac:dyDescent="0.25">
      <c r="A780" s="112">
        <v>46247.686168981483</v>
      </c>
      <c r="B780" s="5" t="s">
        <v>234</v>
      </c>
      <c r="C780" s="5">
        <v>11546545</v>
      </c>
      <c r="D780" s="5">
        <v>716266</v>
      </c>
      <c r="E780" s="33">
        <v>24</v>
      </c>
      <c r="F780" s="60">
        <v>2500</v>
      </c>
      <c r="G780" s="60">
        <f>+OtherClients[[#This Row],[Boxes / Pieces]]*OtherClients[[#This Row],[Unit Quantity]]</f>
        <v>60000</v>
      </c>
      <c r="H780" s="60">
        <v>275</v>
      </c>
      <c r="I780" s="126" t="s">
        <v>278</v>
      </c>
      <c r="J780" s="127"/>
      <c r="K780" s="33" t="s">
        <v>278</v>
      </c>
      <c r="L780" s="125"/>
      <c r="M780" s="33" t="s">
        <v>278</v>
      </c>
      <c r="N780" s="125"/>
      <c r="O780" s="33" t="s">
        <v>278</v>
      </c>
      <c r="P780" s="125"/>
      <c r="Q780" s="33" t="s">
        <v>587</v>
      </c>
      <c r="R780" s="125"/>
      <c r="S780" s="33" t="s">
        <v>278</v>
      </c>
      <c r="T780" s="125"/>
      <c r="U780" s="33" t="s">
        <v>278</v>
      </c>
      <c r="V780" s="125"/>
      <c r="W780" s="59" t="s">
        <v>633</v>
      </c>
      <c r="X780" s="33" t="str">
        <f>+VLOOKUP(OtherClients[[#This Row],[Part]],PartControl!$A$2:$E$564,5,FALSE)</f>
        <v>infasco</v>
      </c>
      <c r="Y780" s="108">
        <f>IF(OtherClients[[#This Row],[Re-certified or New]]&lt;&gt;"Re-certified",IF(OtherClients[[#This Row],[Client]]="infasco",VLOOKUP(OtherClients[[#This Row],[Part]],PartControl!$A$2:$E$564,2,FALSE),OtherClients[[#This Row],[Total Quantity]]*VLOOKUP(OtherClients[[#This Row],[Part]],PartControl!$A$2:$E$564,2,FALSE)),0)</f>
        <v>0</v>
      </c>
      <c r="Z780" s="108">
        <f>IF(OtherClients[[#This Row],[Re-certified or New]]&lt;&gt;"Re-certified",IF(OtherClients[[#This Row],[Client]]="infasco",VLOOKUP(OtherClients[[#This Row],[Part]],PartControl!$A$2:$E$564,2,FALSE),OtherClients[[#This Row],[Total Quantity]]*VLOOKUP(OtherClients[[#This Row],[Part]],PartControl!$A$2:$E$564,2,FALSE)),0)</f>
        <v>0</v>
      </c>
    </row>
    <row r="781" spans="1:26" ht="25.15" hidden="1" customHeight="1" x14ac:dyDescent="0.25">
      <c r="A781" s="112">
        <v>46247.686168981483</v>
      </c>
      <c r="B781" s="5" t="s">
        <v>233</v>
      </c>
      <c r="C781" s="5" t="s">
        <v>571</v>
      </c>
      <c r="D781" s="5">
        <v>716264</v>
      </c>
      <c r="E781" s="33">
        <f>36-20</f>
        <v>16</v>
      </c>
      <c r="F781" s="60">
        <v>2500</v>
      </c>
      <c r="G781" s="60">
        <f>+OtherClients[[#This Row],[Boxes / Pieces]]*OtherClients[[#This Row],[Unit Quantity]]</f>
        <v>40000</v>
      </c>
      <c r="H781" s="60">
        <v>275</v>
      </c>
      <c r="I781" s="126" t="s">
        <v>278</v>
      </c>
      <c r="J781" s="127"/>
      <c r="K781" s="33" t="s">
        <v>278</v>
      </c>
      <c r="L781" s="125"/>
      <c r="M781" s="33" t="s">
        <v>278</v>
      </c>
      <c r="N781" s="125"/>
      <c r="O781" s="33" t="s">
        <v>278</v>
      </c>
      <c r="P781" s="125"/>
      <c r="Q781" s="33" t="s">
        <v>587</v>
      </c>
      <c r="R781" s="125"/>
      <c r="S781" s="33" t="s">
        <v>278</v>
      </c>
      <c r="T781" s="125"/>
      <c r="U781" s="33" t="s">
        <v>278</v>
      </c>
      <c r="V781" s="125"/>
      <c r="W781" s="59" t="s">
        <v>548</v>
      </c>
      <c r="X781" s="33" t="str">
        <f>+VLOOKUP(OtherClients[[#This Row],[Part]],PartControl!$A$2:$E$564,5,FALSE)</f>
        <v>Infasco</v>
      </c>
      <c r="Y781" s="108">
        <f>IF(OtherClients[[#This Row],[Re-certified or New]]&lt;&gt;"Re-certified",IF(OtherClients[[#This Row],[Client]]="infasco",VLOOKUP(OtherClients[[#This Row],[Part]],PartControl!$A$2:$E$564,2,FALSE),OtherClients[[#This Row],[Total Quantity]]*VLOOKUP(OtherClients[[#This Row],[Part]],PartControl!$A$2:$E$564,2,FALSE)),0)</f>
        <v>106.94</v>
      </c>
      <c r="Z781" s="108">
        <f>IF(OtherClients[[#This Row],[Re-certified or New]]&lt;&gt;"Re-certified",IF(OtherClients[[#This Row],[Client]]="infasco",VLOOKUP(OtherClients[[#This Row],[Part]],PartControl!$A$2:$E$564,2,FALSE),OtherClients[[#This Row],[Total Quantity]]*VLOOKUP(OtherClients[[#This Row],[Part]],PartControl!$A$2:$E$564,2,FALSE)),0)</f>
        <v>106.94</v>
      </c>
    </row>
    <row r="782" spans="1:26" ht="25.15" hidden="1" customHeight="1" x14ac:dyDescent="0.25">
      <c r="A782" s="112">
        <v>46247.686168981483</v>
      </c>
      <c r="B782" s="5" t="s">
        <v>233</v>
      </c>
      <c r="C782" s="5">
        <v>11546545</v>
      </c>
      <c r="D782" s="5">
        <v>716268</v>
      </c>
      <c r="E782" s="33">
        <v>23</v>
      </c>
      <c r="F782" s="60">
        <v>2500</v>
      </c>
      <c r="G782" s="60">
        <f>+OtherClients[[#This Row],[Boxes / Pieces]]*OtherClients[[#This Row],[Unit Quantity]]</f>
        <v>57500</v>
      </c>
      <c r="H782" s="60">
        <v>275</v>
      </c>
      <c r="I782" s="126" t="s">
        <v>278</v>
      </c>
      <c r="J782" s="127"/>
      <c r="K782" s="33" t="s">
        <v>278</v>
      </c>
      <c r="L782" s="125"/>
      <c r="M782" s="33" t="s">
        <v>278</v>
      </c>
      <c r="N782" s="125"/>
      <c r="O782" s="33" t="s">
        <v>278</v>
      </c>
      <c r="P782" s="125"/>
      <c r="Q782" s="33" t="s">
        <v>587</v>
      </c>
      <c r="R782" s="125"/>
      <c r="S782" s="33" t="s">
        <v>278</v>
      </c>
      <c r="T782" s="125"/>
      <c r="U782" s="33" t="s">
        <v>278</v>
      </c>
      <c r="V782" s="125"/>
      <c r="W782" s="59" t="s">
        <v>633</v>
      </c>
      <c r="X782" s="33" t="str">
        <f>+VLOOKUP(OtherClients[[#This Row],[Part]],PartControl!$A$2:$E$564,5,FALSE)</f>
        <v>infasco</v>
      </c>
      <c r="Y782" s="108">
        <f>IF(OtherClients[[#This Row],[Re-certified or New]]&lt;&gt;"Re-certified",IF(OtherClients[[#This Row],[Client]]="infasco",VLOOKUP(OtherClients[[#This Row],[Part]],PartControl!$A$2:$E$564,2,FALSE),OtherClients[[#This Row],[Total Quantity]]*VLOOKUP(OtherClients[[#This Row],[Part]],PartControl!$A$2:$E$564,2,FALSE)),0)</f>
        <v>0</v>
      </c>
      <c r="Z782" s="108">
        <f>IF(OtherClients[[#This Row],[Re-certified or New]]&lt;&gt;"Re-certified",IF(OtherClients[[#This Row],[Client]]="infasco",VLOOKUP(OtherClients[[#This Row],[Part]],PartControl!$A$2:$E$564,2,FALSE),OtherClients[[#This Row],[Total Quantity]]*VLOOKUP(OtherClients[[#This Row],[Part]],PartControl!$A$2:$E$564,2,FALSE)),0)</f>
        <v>0</v>
      </c>
    </row>
    <row r="783" spans="1:26" ht="25.15" hidden="1" customHeight="1" x14ac:dyDescent="0.25">
      <c r="A783" s="112">
        <v>46247.686168981483</v>
      </c>
      <c r="B783" s="5" t="s">
        <v>238</v>
      </c>
      <c r="C783" s="5" t="s">
        <v>703</v>
      </c>
      <c r="D783" s="5">
        <v>714199</v>
      </c>
      <c r="E783" s="33">
        <v>36</v>
      </c>
      <c r="F783" s="60">
        <v>700</v>
      </c>
      <c r="G783" s="60">
        <f>+OtherClients[[#This Row],[Boxes / Pieces]]*OtherClients[[#This Row],[Unit Quantity]]</f>
        <v>25200</v>
      </c>
      <c r="H783" s="60">
        <v>275</v>
      </c>
      <c r="I783" s="126" t="s">
        <v>278</v>
      </c>
      <c r="J783" s="127"/>
      <c r="K783" s="33" t="s">
        <v>278</v>
      </c>
      <c r="L783" s="125"/>
      <c r="M783" s="33" t="s">
        <v>278</v>
      </c>
      <c r="N783" s="125"/>
      <c r="O783" s="33" t="s">
        <v>278</v>
      </c>
      <c r="P783" s="125"/>
      <c r="Q783" s="33" t="s">
        <v>587</v>
      </c>
      <c r="R783" s="125"/>
      <c r="S783" s="33" t="s">
        <v>278</v>
      </c>
      <c r="T783" s="125"/>
      <c r="U783" s="33" t="s">
        <v>278</v>
      </c>
      <c r="V783" s="125"/>
      <c r="W783" s="59" t="s">
        <v>548</v>
      </c>
      <c r="X783" s="33" t="str">
        <f>+VLOOKUP(OtherClients[[#This Row],[Part]],PartControl!$A$2:$E$564,5,FALSE)</f>
        <v>infasco</v>
      </c>
      <c r="Y783" s="108">
        <f>IF(OtherClients[[#This Row],[Re-certified or New]]&lt;&gt;"Re-certified",IF(OtherClients[[#This Row],[Client]]="infasco",VLOOKUP(OtherClients[[#This Row],[Part]],PartControl!$A$2:$E$564,2,FALSE),OtherClients[[#This Row],[Total Quantity]]*VLOOKUP(OtherClients[[#This Row],[Part]],PartControl!$A$2:$E$564,2,FALSE)),0)</f>
        <v>106.94</v>
      </c>
      <c r="Z783" s="108">
        <f>IF(OtherClients[[#This Row],[Re-certified or New]]&lt;&gt;"Re-certified",IF(OtherClients[[#This Row],[Client]]="infasco",VLOOKUP(OtherClients[[#This Row],[Part]],PartControl!$A$2:$E$564,2,FALSE),OtherClients[[#This Row],[Total Quantity]]*VLOOKUP(OtherClients[[#This Row],[Part]],PartControl!$A$2:$E$564,2,FALSE)),0)</f>
        <v>106.94</v>
      </c>
    </row>
    <row r="784" spans="1:26" ht="25.15" hidden="1" customHeight="1" x14ac:dyDescent="0.25">
      <c r="A784" s="112">
        <v>46247.686168981483</v>
      </c>
      <c r="B784" s="5" t="s">
        <v>238</v>
      </c>
      <c r="C784" s="5">
        <v>11546463</v>
      </c>
      <c r="D784" s="5">
        <v>716595</v>
      </c>
      <c r="E784" s="33">
        <v>22</v>
      </c>
      <c r="F784" s="60">
        <v>450</v>
      </c>
      <c r="G784" s="60">
        <f>+OtherClients[[#This Row],[Boxes / Pieces]]*OtherClients[[#This Row],[Unit Quantity]]</f>
        <v>9900</v>
      </c>
      <c r="H784" s="60">
        <v>275</v>
      </c>
      <c r="I784" s="126" t="s">
        <v>278</v>
      </c>
      <c r="J784" s="127"/>
      <c r="K784" s="33" t="s">
        <v>278</v>
      </c>
      <c r="L784" s="125"/>
      <c r="M784" s="33" t="s">
        <v>278</v>
      </c>
      <c r="N784" s="125"/>
      <c r="O784" s="33" t="s">
        <v>278</v>
      </c>
      <c r="P784" s="125"/>
      <c r="Q784" s="33" t="s">
        <v>587</v>
      </c>
      <c r="R784" s="125"/>
      <c r="S784" s="33" t="s">
        <v>278</v>
      </c>
      <c r="T784" s="125"/>
      <c r="U784" s="33" t="s">
        <v>278</v>
      </c>
      <c r="V784" s="125"/>
      <c r="W784" s="59" t="s">
        <v>633</v>
      </c>
      <c r="X784" s="33" t="str">
        <f>+VLOOKUP(OtherClients[[#This Row],[Part]],PartControl!$A$2:$E$564,5,FALSE)</f>
        <v>infasco</v>
      </c>
      <c r="Y784" s="108">
        <f>IF(OtherClients[[#This Row],[Re-certified or New]]&lt;&gt;"Re-certified",IF(OtherClients[[#This Row],[Client]]="infasco",VLOOKUP(OtherClients[[#This Row],[Part]],PartControl!$A$2:$E$564,2,FALSE),OtherClients[[#This Row],[Total Quantity]]*VLOOKUP(OtherClients[[#This Row],[Part]],PartControl!$A$2:$E$564,2,FALSE)),0)</f>
        <v>0</v>
      </c>
      <c r="Z784" s="108">
        <f>IF(OtherClients[[#This Row],[Re-certified or New]]&lt;&gt;"Re-certified",IF(OtherClients[[#This Row],[Client]]="infasco",VLOOKUP(OtherClients[[#This Row],[Part]],PartControl!$A$2:$E$564,2,FALSE),OtherClients[[#This Row],[Total Quantity]]*VLOOKUP(OtherClients[[#This Row],[Part]],PartControl!$A$2:$E$564,2,FALSE)),0)</f>
        <v>0</v>
      </c>
    </row>
    <row r="785" spans="1:26" ht="25.15" hidden="1" customHeight="1" x14ac:dyDescent="0.25">
      <c r="A785" s="112">
        <v>46247.686168981483</v>
      </c>
      <c r="B785" s="5" t="s">
        <v>252</v>
      </c>
      <c r="C785" s="5" t="s">
        <v>814</v>
      </c>
      <c r="D785" s="5">
        <v>714169</v>
      </c>
      <c r="E785" s="33">
        <f>32-13</f>
        <v>19</v>
      </c>
      <c r="F785" s="60">
        <v>2500</v>
      </c>
      <c r="G785" s="60">
        <f>+OtherClients[[#This Row],[Boxes / Pieces]]*OtherClients[[#This Row],[Unit Quantity]]</f>
        <v>47500</v>
      </c>
      <c r="H785" s="60">
        <v>275</v>
      </c>
      <c r="I785" s="126" t="s">
        <v>278</v>
      </c>
      <c r="J785" s="127"/>
      <c r="K785" s="33" t="s">
        <v>278</v>
      </c>
      <c r="L785" s="125"/>
      <c r="M785" s="33" t="s">
        <v>278</v>
      </c>
      <c r="N785" s="125"/>
      <c r="O785" s="33" t="s">
        <v>278</v>
      </c>
      <c r="P785" s="125"/>
      <c r="Q785" s="33" t="s">
        <v>587</v>
      </c>
      <c r="R785" s="125"/>
      <c r="S785" s="33" t="s">
        <v>278</v>
      </c>
      <c r="T785" s="125"/>
      <c r="U785" s="33" t="s">
        <v>278</v>
      </c>
      <c r="V785" s="125"/>
      <c r="W785" s="59" t="s">
        <v>548</v>
      </c>
      <c r="X785" s="33" t="str">
        <f>+VLOOKUP(OtherClients[[#This Row],[Part]],PartControl!$A$2:$E$564,5,FALSE)</f>
        <v>Infasco</v>
      </c>
      <c r="Y785" s="108">
        <f>IF(OtherClients[[#This Row],[Re-certified or New]]&lt;&gt;"Re-certified",IF(OtherClients[[#This Row],[Client]]="infasco",VLOOKUP(OtherClients[[#This Row],[Part]],PartControl!$A$2:$E$564,2,FALSE),OtherClients[[#This Row],[Total Quantity]]*VLOOKUP(OtherClients[[#This Row],[Part]],PartControl!$A$2:$E$564,2,FALSE)),0)</f>
        <v>106.94</v>
      </c>
      <c r="Z785" s="108">
        <f>IF(OtherClients[[#This Row],[Re-certified or New]]&lt;&gt;"Re-certified",IF(OtherClients[[#This Row],[Client]]="infasco",VLOOKUP(OtherClients[[#This Row],[Part]],PartControl!$A$2:$E$564,2,FALSE),OtherClients[[#This Row],[Total Quantity]]*VLOOKUP(OtherClients[[#This Row],[Part]],PartControl!$A$2:$E$564,2,FALSE)),0)</f>
        <v>106.94</v>
      </c>
    </row>
    <row r="786" spans="1:26" ht="25.15" hidden="1" customHeight="1" x14ac:dyDescent="0.25">
      <c r="A786" s="112">
        <v>46247.686168981483</v>
      </c>
      <c r="B786" s="5" t="s">
        <v>252</v>
      </c>
      <c r="C786" s="5">
        <v>7151143403</v>
      </c>
      <c r="D786" s="5">
        <v>715804</v>
      </c>
      <c r="E786" s="33">
        <v>18</v>
      </c>
      <c r="F786" s="60">
        <v>1750</v>
      </c>
      <c r="G786" s="60">
        <f>+OtherClients[[#This Row],[Boxes / Pieces]]*OtherClients[[#This Row],[Unit Quantity]]</f>
        <v>31500</v>
      </c>
      <c r="H786" s="60">
        <v>275</v>
      </c>
      <c r="I786" s="126" t="s">
        <v>278</v>
      </c>
      <c r="J786" s="127"/>
      <c r="K786" s="33" t="s">
        <v>278</v>
      </c>
      <c r="L786" s="125"/>
      <c r="M786" s="33" t="s">
        <v>278</v>
      </c>
      <c r="N786" s="125"/>
      <c r="O786" s="33" t="s">
        <v>278</v>
      </c>
      <c r="P786" s="125"/>
      <c r="Q786" s="33" t="s">
        <v>587</v>
      </c>
      <c r="R786" s="125"/>
      <c r="S786" s="33" t="s">
        <v>278</v>
      </c>
      <c r="T786" s="125"/>
      <c r="U786" s="33" t="s">
        <v>278</v>
      </c>
      <c r="V786" s="125"/>
      <c r="W786" s="59" t="s">
        <v>633</v>
      </c>
      <c r="X786" s="33" t="str">
        <f>+VLOOKUP(OtherClients[[#This Row],[Part]],PartControl!$A$2:$E$564,5,FALSE)</f>
        <v>infasco</v>
      </c>
      <c r="Y786" s="108">
        <f>IF(OtherClients[[#This Row],[Re-certified or New]]&lt;&gt;"Re-certified",IF(OtherClients[[#This Row],[Client]]="infasco",VLOOKUP(OtherClients[[#This Row],[Part]],PartControl!$A$2:$E$564,2,FALSE),OtherClients[[#This Row],[Total Quantity]]*VLOOKUP(OtherClients[[#This Row],[Part]],PartControl!$A$2:$E$564,2,FALSE)),0)</f>
        <v>0</v>
      </c>
      <c r="Z786" s="108">
        <f>IF(OtherClients[[#This Row],[Re-certified or New]]&lt;&gt;"Re-certified",IF(OtherClients[[#This Row],[Client]]="infasco",VLOOKUP(OtherClients[[#This Row],[Part]],PartControl!$A$2:$E$564,2,FALSE),OtherClients[[#This Row],[Total Quantity]]*VLOOKUP(OtherClients[[#This Row],[Part]],PartControl!$A$2:$E$564,2,FALSE)),0)</f>
        <v>0</v>
      </c>
    </row>
    <row r="787" spans="1:26" ht="25.15" hidden="1" customHeight="1" x14ac:dyDescent="0.25">
      <c r="A787" s="112">
        <v>46247.686168981483</v>
      </c>
      <c r="B787" s="5" t="s">
        <v>236</v>
      </c>
      <c r="C787" s="5">
        <v>11546545</v>
      </c>
      <c r="D787" s="5">
        <v>716267</v>
      </c>
      <c r="E787" s="33">
        <f>36-10</f>
        <v>26</v>
      </c>
      <c r="F787" s="60">
        <v>2500</v>
      </c>
      <c r="G787" s="60">
        <f>+OtherClients[[#This Row],[Boxes / Pieces]]*OtherClients[[#This Row],[Unit Quantity]]</f>
        <v>65000</v>
      </c>
      <c r="H787" s="60">
        <v>290</v>
      </c>
      <c r="I787" s="126" t="s">
        <v>278</v>
      </c>
      <c r="J787" s="127"/>
      <c r="K787" s="33" t="s">
        <v>278</v>
      </c>
      <c r="L787" s="125"/>
      <c r="M787" s="33" t="s">
        <v>278</v>
      </c>
      <c r="N787" s="125"/>
      <c r="O787" s="33" t="s">
        <v>278</v>
      </c>
      <c r="P787" s="125"/>
      <c r="Q787" s="33" t="s">
        <v>587</v>
      </c>
      <c r="R787" s="125"/>
      <c r="S787" s="33" t="s">
        <v>278</v>
      </c>
      <c r="T787" s="125"/>
      <c r="U787" s="33" t="s">
        <v>278</v>
      </c>
      <c r="V787" s="125"/>
      <c r="W787" s="59" t="s">
        <v>548</v>
      </c>
      <c r="X787" s="33" t="str">
        <f>+VLOOKUP(OtherClients[[#This Row],[Part]],PartControl!$A$2:$E$564,5,FALSE)</f>
        <v>infasco</v>
      </c>
      <c r="Y787" s="108">
        <f>IF(OtherClients[[#This Row],[Re-certified or New]]&lt;&gt;"Re-certified",IF(OtherClients[[#This Row],[Client]]="infasco",VLOOKUP(OtherClients[[#This Row],[Part]],PartControl!$A$2:$E$564,2,FALSE),OtherClients[[#This Row],[Total Quantity]]*VLOOKUP(OtherClients[[#This Row],[Part]],PartControl!$A$2:$E$564,2,FALSE)),0)</f>
        <v>106.94</v>
      </c>
      <c r="Z787" s="108">
        <f>IF(OtherClients[[#This Row],[Re-certified or New]]&lt;&gt;"Re-certified",IF(OtherClients[[#This Row],[Client]]="infasco",VLOOKUP(OtherClients[[#This Row],[Part]],PartControl!$A$2:$E$564,2,FALSE),OtherClients[[#This Row],[Total Quantity]]*VLOOKUP(OtherClients[[#This Row],[Part]],PartControl!$A$2:$E$564,2,FALSE)),0)</f>
        <v>106.94</v>
      </c>
    </row>
    <row r="788" spans="1:26" ht="25.15" hidden="1" customHeight="1" x14ac:dyDescent="0.25">
      <c r="A788" s="112">
        <v>46247.686168981483</v>
      </c>
      <c r="B788" s="5" t="s">
        <v>236</v>
      </c>
      <c r="C788" s="5">
        <v>11546545</v>
      </c>
      <c r="D788" s="5">
        <v>716261</v>
      </c>
      <c r="E788" s="33">
        <v>20</v>
      </c>
      <c r="F788" s="60">
        <v>2500</v>
      </c>
      <c r="G788" s="60">
        <f>+OtherClients[[#This Row],[Boxes / Pieces]]*OtherClients[[#This Row],[Unit Quantity]]</f>
        <v>50000</v>
      </c>
      <c r="H788" s="60">
        <v>290</v>
      </c>
      <c r="I788" s="126" t="s">
        <v>278</v>
      </c>
      <c r="J788" s="127"/>
      <c r="K788" s="33" t="s">
        <v>278</v>
      </c>
      <c r="L788" s="125"/>
      <c r="M788" s="33" t="s">
        <v>278</v>
      </c>
      <c r="N788" s="125"/>
      <c r="O788" s="33" t="s">
        <v>278</v>
      </c>
      <c r="P788" s="125"/>
      <c r="Q788" s="33" t="s">
        <v>587</v>
      </c>
      <c r="R788" s="125"/>
      <c r="S788" s="33" t="s">
        <v>278</v>
      </c>
      <c r="T788" s="125"/>
      <c r="U788" s="33" t="s">
        <v>278</v>
      </c>
      <c r="V788" s="125"/>
      <c r="W788" s="59" t="s">
        <v>633</v>
      </c>
      <c r="X788" s="33" t="str">
        <f>+VLOOKUP(OtherClients[[#This Row],[Part]],PartControl!$A$2:$E$564,5,FALSE)</f>
        <v>infasco</v>
      </c>
      <c r="Y788" s="108">
        <f>IF(OtherClients[[#This Row],[Re-certified or New]]&lt;&gt;"Re-certified",IF(OtherClients[[#This Row],[Client]]="infasco",VLOOKUP(OtherClients[[#This Row],[Part]],PartControl!$A$2:$E$564,2,FALSE),OtherClients[[#This Row],[Total Quantity]]*VLOOKUP(OtherClients[[#This Row],[Part]],PartControl!$A$2:$E$564,2,FALSE)),0)</f>
        <v>0</v>
      </c>
      <c r="Z788" s="108">
        <f>IF(OtherClients[[#This Row],[Re-certified or New]]&lt;&gt;"Re-certified",IF(OtherClients[[#This Row],[Client]]="infasco",VLOOKUP(OtherClients[[#This Row],[Part]],PartControl!$A$2:$E$564,2,FALSE),OtherClients[[#This Row],[Total Quantity]]*VLOOKUP(OtherClients[[#This Row],[Part]],PartControl!$A$2:$E$564,2,FALSE)),0)</f>
        <v>0</v>
      </c>
    </row>
    <row r="789" spans="1:26" ht="25.15" hidden="1" customHeight="1" x14ac:dyDescent="0.25">
      <c r="A789" s="112">
        <v>46247.686168981483</v>
      </c>
      <c r="B789" s="5" t="s">
        <v>239</v>
      </c>
      <c r="C789" s="5">
        <v>11549170</v>
      </c>
      <c r="D789" s="5">
        <v>713709</v>
      </c>
      <c r="E789" s="33">
        <v>7</v>
      </c>
      <c r="F789" s="60">
        <v>400</v>
      </c>
      <c r="G789" s="60">
        <f>+OtherClients[[#This Row],[Boxes / Pieces]]*OtherClients[[#This Row],[Unit Quantity]]</f>
        <v>2800</v>
      </c>
      <c r="H789" s="60">
        <v>290</v>
      </c>
      <c r="I789" s="126" t="s">
        <v>278</v>
      </c>
      <c r="J789" s="127"/>
      <c r="K789" s="33" t="s">
        <v>278</v>
      </c>
      <c r="L789" s="125"/>
      <c r="M789" s="33" t="s">
        <v>278</v>
      </c>
      <c r="N789" s="125"/>
      <c r="O789" s="33" t="s">
        <v>278</v>
      </c>
      <c r="P789" s="125"/>
      <c r="Q789" s="33" t="s">
        <v>587</v>
      </c>
      <c r="R789" s="125"/>
      <c r="S789" s="33" t="s">
        <v>278</v>
      </c>
      <c r="T789" s="125"/>
      <c r="U789" s="33" t="s">
        <v>278</v>
      </c>
      <c r="V789" s="125"/>
      <c r="W789" s="59" t="s">
        <v>633</v>
      </c>
      <c r="X789" s="33" t="str">
        <f>+VLOOKUP(OtherClients[[#This Row],[Part]],PartControl!$A$2:$E$564,5,FALSE)</f>
        <v>INFASCO</v>
      </c>
      <c r="Y789" s="108">
        <f>IF(OtherClients[[#This Row],[Re-certified or New]]&lt;&gt;"Re-certified",IF(OtherClients[[#This Row],[Client]]="infasco",VLOOKUP(OtherClients[[#This Row],[Part]],PartControl!$A$2:$E$564,2,FALSE),OtherClients[[#This Row],[Total Quantity]]*VLOOKUP(OtherClients[[#This Row],[Part]],PartControl!$A$2:$E$564,2,FALSE)),0)</f>
        <v>0</v>
      </c>
      <c r="Z789" s="108">
        <f>IF(OtherClients[[#This Row],[Re-certified or New]]&lt;&gt;"Re-certified",IF(OtherClients[[#This Row],[Client]]="infasco",VLOOKUP(OtherClients[[#This Row],[Part]],PartControl!$A$2:$E$564,2,FALSE),OtherClients[[#This Row],[Total Quantity]]*VLOOKUP(OtherClients[[#This Row],[Part]],PartControl!$A$2:$E$564,2,FALSE)),0)</f>
        <v>0</v>
      </c>
    </row>
    <row r="790" spans="1:26" ht="25.15" hidden="1" customHeight="1" x14ac:dyDescent="0.25">
      <c r="A790" s="112">
        <v>46247.686168981483</v>
      </c>
      <c r="B790" s="5" t="s">
        <v>239</v>
      </c>
      <c r="C790" s="5">
        <v>11549170</v>
      </c>
      <c r="D790" s="5">
        <v>714625</v>
      </c>
      <c r="E790" s="33">
        <f>45-22</f>
        <v>23</v>
      </c>
      <c r="F790" s="60">
        <v>400</v>
      </c>
      <c r="G790" s="60">
        <f>+OtherClients[[#This Row],[Boxes / Pieces]]*OtherClients[[#This Row],[Unit Quantity]]</f>
        <v>9200</v>
      </c>
      <c r="H790" s="60">
        <v>290</v>
      </c>
      <c r="I790" s="126" t="s">
        <v>278</v>
      </c>
      <c r="J790" s="127"/>
      <c r="K790" s="33" t="s">
        <v>278</v>
      </c>
      <c r="L790" s="125"/>
      <c r="M790" s="33" t="s">
        <v>278</v>
      </c>
      <c r="N790" s="125"/>
      <c r="O790" s="33" t="s">
        <v>278</v>
      </c>
      <c r="P790" s="125"/>
      <c r="Q790" s="33" t="s">
        <v>587</v>
      </c>
      <c r="R790" s="125"/>
      <c r="S790" s="33" t="s">
        <v>278</v>
      </c>
      <c r="T790" s="125"/>
      <c r="U790" s="33" t="s">
        <v>278</v>
      </c>
      <c r="V790" s="125"/>
      <c r="W790" s="59" t="s">
        <v>548</v>
      </c>
      <c r="X790" s="33" t="str">
        <f>+VLOOKUP(OtherClients[[#This Row],[Part]],PartControl!$A$2:$E$564,5,FALSE)</f>
        <v>INFASCO</v>
      </c>
      <c r="Y790" s="108">
        <f>IF(OtherClients[[#This Row],[Re-certified or New]]&lt;&gt;"Re-certified",IF(OtherClients[[#This Row],[Client]]="infasco",VLOOKUP(OtherClients[[#This Row],[Part]],PartControl!$A$2:$E$564,2,FALSE),OtherClients[[#This Row],[Total Quantity]]*VLOOKUP(OtherClients[[#This Row],[Part]],PartControl!$A$2:$E$564,2,FALSE)),0)</f>
        <v>106.94</v>
      </c>
      <c r="Z790" s="108">
        <f>IF(OtherClients[[#This Row],[Re-certified or New]]&lt;&gt;"Re-certified",IF(OtherClients[[#This Row],[Client]]="infasco",VLOOKUP(OtherClients[[#This Row],[Part]],PartControl!$A$2:$E$564,2,FALSE),OtherClients[[#This Row],[Total Quantity]]*VLOOKUP(OtherClients[[#This Row],[Part]],PartControl!$A$2:$E$564,2,FALSE)),0)</f>
        <v>106.94</v>
      </c>
    </row>
    <row r="791" spans="1:26" ht="25.15" hidden="1" customHeight="1" x14ac:dyDescent="0.25">
      <c r="A791" s="112">
        <v>46247.686168981483</v>
      </c>
      <c r="B791" s="5" t="s">
        <v>239</v>
      </c>
      <c r="C791" s="5">
        <v>11549170</v>
      </c>
      <c r="D791" s="5">
        <v>714644</v>
      </c>
      <c r="E791" s="33">
        <v>23</v>
      </c>
      <c r="F791" s="60">
        <v>400</v>
      </c>
      <c r="G791" s="60">
        <f>+OtherClients[[#This Row],[Boxes / Pieces]]*OtherClients[[#This Row],[Unit Quantity]]</f>
        <v>9200</v>
      </c>
      <c r="H791" s="60">
        <v>290</v>
      </c>
      <c r="I791" s="126" t="s">
        <v>278</v>
      </c>
      <c r="J791" s="127"/>
      <c r="K791" s="33" t="s">
        <v>278</v>
      </c>
      <c r="L791" s="125"/>
      <c r="M791" s="33" t="s">
        <v>278</v>
      </c>
      <c r="N791" s="125"/>
      <c r="O791" s="33" t="s">
        <v>278</v>
      </c>
      <c r="P791" s="125"/>
      <c r="Q791" s="33" t="s">
        <v>587</v>
      </c>
      <c r="R791" s="125"/>
      <c r="S791" s="33" t="s">
        <v>278</v>
      </c>
      <c r="T791" s="125"/>
      <c r="U791" s="33" t="s">
        <v>278</v>
      </c>
      <c r="V791" s="125"/>
      <c r="W791" s="59" t="s">
        <v>548</v>
      </c>
      <c r="X791" s="33" t="str">
        <f>+VLOOKUP(OtherClients[[#This Row],[Part]],PartControl!$A$2:$E$564,5,FALSE)</f>
        <v>INFASCO</v>
      </c>
      <c r="Y791" s="108">
        <f>IF(OtherClients[[#This Row],[Re-certified or New]]&lt;&gt;"Re-certified",IF(OtherClients[[#This Row],[Client]]="infasco",VLOOKUP(OtherClients[[#This Row],[Part]],PartControl!$A$2:$E$564,2,FALSE),OtherClients[[#This Row],[Total Quantity]]*VLOOKUP(OtherClients[[#This Row],[Part]],PartControl!$A$2:$E$564,2,FALSE)),0)</f>
        <v>106.94</v>
      </c>
      <c r="Z791" s="108">
        <f>IF(OtherClients[[#This Row],[Re-certified or New]]&lt;&gt;"Re-certified",IF(OtherClients[[#This Row],[Client]]="infasco",VLOOKUP(OtherClients[[#This Row],[Part]],PartControl!$A$2:$E$564,2,FALSE),OtherClients[[#This Row],[Total Quantity]]*VLOOKUP(OtherClients[[#This Row],[Part]],PartControl!$A$2:$E$564,2,FALSE)),0)</f>
        <v>106.94</v>
      </c>
    </row>
    <row r="792" spans="1:26" ht="25.15" hidden="1" customHeight="1" x14ac:dyDescent="0.25">
      <c r="A792" s="112">
        <v>46247.686168981483</v>
      </c>
      <c r="B792" s="5" t="s">
        <v>239</v>
      </c>
      <c r="C792" s="5">
        <v>11549170</v>
      </c>
      <c r="D792" s="5">
        <v>714633</v>
      </c>
      <c r="E792" s="33">
        <v>24</v>
      </c>
      <c r="F792" s="60">
        <v>400</v>
      </c>
      <c r="G792" s="60">
        <f>+OtherClients[[#This Row],[Boxes / Pieces]]*OtherClients[[#This Row],[Unit Quantity]]</f>
        <v>9600</v>
      </c>
      <c r="H792" s="60">
        <v>290</v>
      </c>
      <c r="I792" s="126" t="s">
        <v>278</v>
      </c>
      <c r="J792" s="127"/>
      <c r="K792" s="33" t="s">
        <v>278</v>
      </c>
      <c r="L792" s="125"/>
      <c r="M792" s="33" t="s">
        <v>278</v>
      </c>
      <c r="N792" s="125"/>
      <c r="O792" s="33" t="s">
        <v>278</v>
      </c>
      <c r="P792" s="125"/>
      <c r="Q792" s="33" t="s">
        <v>587</v>
      </c>
      <c r="R792" s="125"/>
      <c r="S792" s="33" t="s">
        <v>278</v>
      </c>
      <c r="T792" s="125"/>
      <c r="U792" s="33" t="s">
        <v>278</v>
      </c>
      <c r="V792" s="125"/>
      <c r="W792" s="59" t="s">
        <v>548</v>
      </c>
      <c r="X792" s="33" t="str">
        <f>+VLOOKUP(OtherClients[[#This Row],[Part]],PartControl!$A$2:$E$564,5,FALSE)</f>
        <v>INFASCO</v>
      </c>
      <c r="Y792" s="108">
        <f>IF(OtherClients[[#This Row],[Re-certified or New]]&lt;&gt;"Re-certified",IF(OtherClients[[#This Row],[Client]]="infasco",VLOOKUP(OtherClients[[#This Row],[Part]],PartControl!$A$2:$E$564,2,FALSE),OtherClients[[#This Row],[Total Quantity]]*VLOOKUP(OtherClients[[#This Row],[Part]],PartControl!$A$2:$E$564,2,FALSE)),0)</f>
        <v>106.94</v>
      </c>
      <c r="Z792" s="108">
        <f>IF(OtherClients[[#This Row],[Re-certified or New]]&lt;&gt;"Re-certified",IF(OtherClients[[#This Row],[Client]]="infasco",VLOOKUP(OtherClients[[#This Row],[Part]],PartControl!$A$2:$E$564,2,FALSE),OtherClients[[#This Row],[Total Quantity]]*VLOOKUP(OtherClients[[#This Row],[Part]],PartControl!$A$2:$E$564,2,FALSE)),0)</f>
        <v>106.94</v>
      </c>
    </row>
    <row r="793" spans="1:26" ht="25.15" hidden="1" customHeight="1" x14ac:dyDescent="0.25">
      <c r="A793" s="112">
        <v>46247.686168981483</v>
      </c>
      <c r="B793" s="5" t="s">
        <v>239</v>
      </c>
      <c r="C793" s="5">
        <v>11549170</v>
      </c>
      <c r="D793" s="5">
        <v>714646</v>
      </c>
      <c r="E793" s="33">
        <v>40</v>
      </c>
      <c r="F793" s="60">
        <v>400</v>
      </c>
      <c r="G793" s="60">
        <f>+OtherClients[[#This Row],[Boxes / Pieces]]*OtherClients[[#This Row],[Unit Quantity]]</f>
        <v>16000</v>
      </c>
      <c r="H793" s="60">
        <v>290</v>
      </c>
      <c r="I793" s="126" t="s">
        <v>278</v>
      </c>
      <c r="J793" s="127"/>
      <c r="K793" s="33" t="s">
        <v>278</v>
      </c>
      <c r="L793" s="125"/>
      <c r="M793" s="33" t="s">
        <v>278</v>
      </c>
      <c r="N793" s="125"/>
      <c r="O793" s="33" t="s">
        <v>278</v>
      </c>
      <c r="P793" s="125"/>
      <c r="Q793" s="33" t="s">
        <v>587</v>
      </c>
      <c r="R793" s="125"/>
      <c r="S793" s="33" t="s">
        <v>278</v>
      </c>
      <c r="T793" s="125"/>
      <c r="U793" s="33" t="s">
        <v>278</v>
      </c>
      <c r="V793" s="125"/>
      <c r="W793" s="59" t="s">
        <v>548</v>
      </c>
      <c r="X793" s="33" t="str">
        <f>+VLOOKUP(OtherClients[[#This Row],[Part]],PartControl!$A$2:$E$564,5,FALSE)</f>
        <v>INFASCO</v>
      </c>
      <c r="Y793" s="108">
        <f>IF(OtherClients[[#This Row],[Re-certified or New]]&lt;&gt;"Re-certified",IF(OtherClients[[#This Row],[Client]]="infasco",VLOOKUP(OtherClients[[#This Row],[Part]],PartControl!$A$2:$E$564,2,FALSE),OtherClients[[#This Row],[Total Quantity]]*VLOOKUP(OtherClients[[#This Row],[Part]],PartControl!$A$2:$E$564,2,FALSE)),0)</f>
        <v>106.94</v>
      </c>
      <c r="Z793" s="108">
        <f>IF(OtherClients[[#This Row],[Re-certified or New]]&lt;&gt;"Re-certified",IF(OtherClients[[#This Row],[Client]]="infasco",VLOOKUP(OtherClients[[#This Row],[Part]],PartControl!$A$2:$E$564,2,FALSE),OtherClients[[#This Row],[Total Quantity]]*VLOOKUP(OtherClients[[#This Row],[Part]],PartControl!$A$2:$E$564,2,FALSE)),0)</f>
        <v>106.94</v>
      </c>
    </row>
    <row r="794" spans="1:26" ht="25.15" hidden="1" customHeight="1" x14ac:dyDescent="0.25">
      <c r="A794" s="112">
        <v>46247.686168981483</v>
      </c>
      <c r="B794" s="5" t="s">
        <v>240</v>
      </c>
      <c r="C794" s="5" t="s">
        <v>645</v>
      </c>
      <c r="D794" s="5">
        <v>715853</v>
      </c>
      <c r="E794" s="33">
        <f>42-36</f>
        <v>6</v>
      </c>
      <c r="F794" s="60">
        <v>1000</v>
      </c>
      <c r="G794" s="60">
        <f>+OtherClients[[#This Row],[Boxes / Pieces]]*OtherClients[[#This Row],[Unit Quantity]]</f>
        <v>6000</v>
      </c>
      <c r="H794" s="60">
        <v>290</v>
      </c>
      <c r="I794" s="126" t="s">
        <v>278</v>
      </c>
      <c r="J794" s="127"/>
      <c r="K794" s="33" t="s">
        <v>278</v>
      </c>
      <c r="L794" s="125"/>
      <c r="M794" s="33" t="s">
        <v>278</v>
      </c>
      <c r="N794" s="125"/>
      <c r="O794" s="33" t="s">
        <v>278</v>
      </c>
      <c r="P794" s="125"/>
      <c r="Q794" s="33" t="s">
        <v>587</v>
      </c>
      <c r="R794" s="125"/>
      <c r="S794" s="33" t="s">
        <v>278</v>
      </c>
      <c r="T794" s="125"/>
      <c r="U794" s="33" t="s">
        <v>278</v>
      </c>
      <c r="V794" s="125"/>
      <c r="W794" s="59" t="s">
        <v>548</v>
      </c>
      <c r="X794" s="33" t="str">
        <f>+VLOOKUP(OtherClients[[#This Row],[Part]],PartControl!$A$2:$E$564,5,FALSE)</f>
        <v>infasco</v>
      </c>
      <c r="Y794" s="108">
        <f>IF(OtherClients[[#This Row],[Re-certified or New]]&lt;&gt;"Re-certified",IF(OtherClients[[#This Row],[Client]]="infasco",VLOOKUP(OtherClients[[#This Row],[Part]],PartControl!$A$2:$E$564,2,FALSE),OtherClients[[#This Row],[Total Quantity]]*VLOOKUP(OtherClients[[#This Row],[Part]],PartControl!$A$2:$E$564,2,FALSE)),0)</f>
        <v>106.94</v>
      </c>
      <c r="Z794" s="108">
        <f>IF(OtherClients[[#This Row],[Re-certified or New]]&lt;&gt;"Re-certified",IF(OtherClients[[#This Row],[Client]]="infasco",VLOOKUP(OtherClients[[#This Row],[Part]],PartControl!$A$2:$E$564,2,FALSE),OtherClients[[#This Row],[Total Quantity]]*VLOOKUP(OtherClients[[#This Row],[Part]],PartControl!$A$2:$E$564,2,FALSE)),0)</f>
        <v>106.94</v>
      </c>
    </row>
    <row r="795" spans="1:26" ht="25.15" hidden="1" customHeight="1" x14ac:dyDescent="0.25">
      <c r="A795" s="112">
        <v>46247.686168981483</v>
      </c>
      <c r="B795" s="5" t="s">
        <v>240</v>
      </c>
      <c r="C795" s="5" t="s">
        <v>810</v>
      </c>
      <c r="D795" s="5">
        <v>715958</v>
      </c>
      <c r="E795" s="33">
        <v>36</v>
      </c>
      <c r="F795" s="60">
        <v>660</v>
      </c>
      <c r="G795" s="60">
        <f>+OtherClients[[#This Row],[Boxes / Pieces]]*OtherClients[[#This Row],[Unit Quantity]]</f>
        <v>23760</v>
      </c>
      <c r="H795" s="60">
        <v>290</v>
      </c>
      <c r="I795" s="126" t="s">
        <v>278</v>
      </c>
      <c r="J795" s="127"/>
      <c r="K795" s="33" t="s">
        <v>278</v>
      </c>
      <c r="L795" s="125"/>
      <c r="M795" s="33" t="s">
        <v>278</v>
      </c>
      <c r="N795" s="125"/>
      <c r="O795" s="33" t="s">
        <v>278</v>
      </c>
      <c r="P795" s="125"/>
      <c r="Q795" s="33" t="s">
        <v>587</v>
      </c>
      <c r="R795" s="125"/>
      <c r="S795" s="33" t="s">
        <v>278</v>
      </c>
      <c r="T795" s="125"/>
      <c r="U795" s="33" t="s">
        <v>278</v>
      </c>
      <c r="V795" s="125"/>
      <c r="W795" s="59" t="s">
        <v>548</v>
      </c>
      <c r="X795" s="33" t="str">
        <f>+VLOOKUP(OtherClients[[#This Row],[Part]],PartControl!$A$2:$E$564,5,FALSE)</f>
        <v>INFASCO</v>
      </c>
      <c r="Y795" s="108">
        <f>IF(OtherClients[[#This Row],[Re-certified or New]]&lt;&gt;"Re-certified",IF(OtherClients[[#This Row],[Client]]="infasco",VLOOKUP(OtherClients[[#This Row],[Part]],PartControl!$A$2:$E$564,2,FALSE),OtherClients[[#This Row],[Total Quantity]]*VLOOKUP(OtherClients[[#This Row],[Part]],PartControl!$A$2:$E$564,2,FALSE)),0)</f>
        <v>106.94</v>
      </c>
      <c r="Z795" s="108">
        <f>IF(OtherClients[[#This Row],[Re-certified or New]]&lt;&gt;"Re-certified",IF(OtherClients[[#This Row],[Client]]="infasco",VLOOKUP(OtherClients[[#This Row],[Part]],PartControl!$A$2:$E$564,2,FALSE),OtherClients[[#This Row],[Total Quantity]]*VLOOKUP(OtherClients[[#This Row],[Part]],PartControl!$A$2:$E$564,2,FALSE)),0)</f>
        <v>106.94</v>
      </c>
    </row>
    <row r="796" spans="1:26" ht="25.15" hidden="1" customHeight="1" x14ac:dyDescent="0.25">
      <c r="A796" s="112">
        <v>46247.686168981483</v>
      </c>
      <c r="B796" s="5" t="s">
        <v>240</v>
      </c>
      <c r="C796" s="5" t="s">
        <v>810</v>
      </c>
      <c r="D796" s="5">
        <v>715961</v>
      </c>
      <c r="E796" s="33">
        <v>36</v>
      </c>
      <c r="F796" s="60">
        <v>660</v>
      </c>
      <c r="G796" s="60">
        <f>+OtherClients[[#This Row],[Boxes / Pieces]]*OtherClients[[#This Row],[Unit Quantity]]</f>
        <v>23760</v>
      </c>
      <c r="H796" s="60">
        <v>290</v>
      </c>
      <c r="I796" s="126" t="s">
        <v>278</v>
      </c>
      <c r="J796" s="127"/>
      <c r="K796" s="33" t="s">
        <v>278</v>
      </c>
      <c r="L796" s="125"/>
      <c r="M796" s="33" t="s">
        <v>278</v>
      </c>
      <c r="N796" s="125"/>
      <c r="O796" s="33" t="s">
        <v>278</v>
      </c>
      <c r="P796" s="125"/>
      <c r="Q796" s="33" t="s">
        <v>587</v>
      </c>
      <c r="R796" s="125"/>
      <c r="S796" s="33" t="s">
        <v>278</v>
      </c>
      <c r="T796" s="125"/>
      <c r="U796" s="33" t="s">
        <v>278</v>
      </c>
      <c r="V796" s="125"/>
      <c r="W796" s="59" t="s">
        <v>548</v>
      </c>
      <c r="X796" s="33" t="str">
        <f>+VLOOKUP(OtherClients[[#This Row],[Part]],PartControl!$A$2:$E$564,5,FALSE)</f>
        <v>INFASCO</v>
      </c>
      <c r="Y796" s="108">
        <f>IF(OtherClients[[#This Row],[Re-certified or New]]&lt;&gt;"Re-certified",IF(OtherClients[[#This Row],[Client]]="infasco",VLOOKUP(OtherClients[[#This Row],[Part]],PartControl!$A$2:$E$564,2,FALSE),OtherClients[[#This Row],[Total Quantity]]*VLOOKUP(OtherClients[[#This Row],[Part]],PartControl!$A$2:$E$564,2,FALSE)),0)</f>
        <v>106.94</v>
      </c>
      <c r="Z796" s="108">
        <f>IF(OtherClients[[#This Row],[Re-certified or New]]&lt;&gt;"Re-certified",IF(OtherClients[[#This Row],[Client]]="infasco",VLOOKUP(OtherClients[[#This Row],[Part]],PartControl!$A$2:$E$564,2,FALSE),OtherClients[[#This Row],[Total Quantity]]*VLOOKUP(OtherClients[[#This Row],[Part]],PartControl!$A$2:$E$564,2,FALSE)),0)</f>
        <v>106.94</v>
      </c>
    </row>
    <row r="797" spans="1:26" ht="25.15" hidden="1" customHeight="1" x14ac:dyDescent="0.25">
      <c r="A797" s="112">
        <v>46247.686168981483</v>
      </c>
      <c r="B797" s="5" t="s">
        <v>240</v>
      </c>
      <c r="C797" s="5" t="s">
        <v>810</v>
      </c>
      <c r="D797" s="5">
        <v>715956</v>
      </c>
      <c r="E797" s="33">
        <v>36</v>
      </c>
      <c r="F797" s="60">
        <v>660</v>
      </c>
      <c r="G797" s="60">
        <f>+OtherClients[[#This Row],[Boxes / Pieces]]*OtherClients[[#This Row],[Unit Quantity]]</f>
        <v>23760</v>
      </c>
      <c r="H797" s="60">
        <v>290</v>
      </c>
      <c r="I797" s="126" t="s">
        <v>278</v>
      </c>
      <c r="J797" s="127"/>
      <c r="K797" s="33" t="s">
        <v>278</v>
      </c>
      <c r="L797" s="125"/>
      <c r="M797" s="33" t="s">
        <v>278</v>
      </c>
      <c r="N797" s="125"/>
      <c r="O797" s="33" t="s">
        <v>278</v>
      </c>
      <c r="P797" s="125"/>
      <c r="Q797" s="33" t="s">
        <v>587</v>
      </c>
      <c r="R797" s="125"/>
      <c r="S797" s="33" t="s">
        <v>278</v>
      </c>
      <c r="T797" s="125"/>
      <c r="U797" s="33" t="s">
        <v>278</v>
      </c>
      <c r="V797" s="125"/>
      <c r="W797" s="59" t="s">
        <v>548</v>
      </c>
      <c r="X797" s="33" t="str">
        <f>+VLOOKUP(OtherClients[[#This Row],[Part]],PartControl!$A$2:$E$564,5,FALSE)</f>
        <v>INFASCO</v>
      </c>
      <c r="Y797" s="108">
        <f>IF(OtherClients[[#This Row],[Re-certified or New]]&lt;&gt;"Re-certified",IF(OtherClients[[#This Row],[Client]]="infasco",VLOOKUP(OtherClients[[#This Row],[Part]],PartControl!$A$2:$E$564,2,FALSE),OtherClients[[#This Row],[Total Quantity]]*VLOOKUP(OtherClients[[#This Row],[Part]],PartControl!$A$2:$E$564,2,FALSE)),0)</f>
        <v>106.94</v>
      </c>
      <c r="Z797" s="108">
        <f>IF(OtherClients[[#This Row],[Re-certified or New]]&lt;&gt;"Re-certified",IF(OtherClients[[#This Row],[Client]]="infasco",VLOOKUP(OtherClients[[#This Row],[Part]],PartControl!$A$2:$E$564,2,FALSE),OtherClients[[#This Row],[Total Quantity]]*VLOOKUP(OtherClients[[#This Row],[Part]],PartControl!$A$2:$E$564,2,FALSE)),0)</f>
        <v>106.94</v>
      </c>
    </row>
    <row r="798" spans="1:26" ht="25.15" hidden="1" customHeight="1" x14ac:dyDescent="0.25">
      <c r="A798" s="112">
        <v>46247.686168981483</v>
      </c>
      <c r="B798" s="5" t="s">
        <v>240</v>
      </c>
      <c r="C798" s="5" t="s">
        <v>810</v>
      </c>
      <c r="D798" s="5">
        <v>714521</v>
      </c>
      <c r="E798" s="33">
        <v>11</v>
      </c>
      <c r="F798" s="60">
        <v>660</v>
      </c>
      <c r="G798" s="60">
        <f>+OtherClients[[#This Row],[Boxes / Pieces]]*OtherClients[[#This Row],[Unit Quantity]]</f>
        <v>7260</v>
      </c>
      <c r="H798" s="60">
        <v>290</v>
      </c>
      <c r="I798" s="126" t="s">
        <v>278</v>
      </c>
      <c r="J798" s="127"/>
      <c r="K798" s="33" t="s">
        <v>278</v>
      </c>
      <c r="L798" s="125"/>
      <c r="M798" s="33" t="s">
        <v>278</v>
      </c>
      <c r="N798" s="125"/>
      <c r="O798" s="33" t="s">
        <v>278</v>
      </c>
      <c r="P798" s="125"/>
      <c r="Q798" s="33" t="s">
        <v>587</v>
      </c>
      <c r="R798" s="125"/>
      <c r="S798" s="33" t="s">
        <v>278</v>
      </c>
      <c r="T798" s="125"/>
      <c r="U798" s="33" t="s">
        <v>278</v>
      </c>
      <c r="V798" s="125"/>
      <c r="W798" s="59" t="s">
        <v>633</v>
      </c>
      <c r="X798" s="33" t="str">
        <f>+VLOOKUP(OtherClients[[#This Row],[Part]],PartControl!$A$2:$E$564,5,FALSE)</f>
        <v>INFASCO</v>
      </c>
      <c r="Y798" s="108">
        <f>IF(OtherClients[[#This Row],[Re-certified or New]]&lt;&gt;"Re-certified",IF(OtherClients[[#This Row],[Client]]="infasco",VLOOKUP(OtherClients[[#This Row],[Part]],PartControl!$A$2:$E$564,2,FALSE),OtherClients[[#This Row],[Total Quantity]]*VLOOKUP(OtherClients[[#This Row],[Part]],PartControl!$A$2:$E$564,2,FALSE)),0)</f>
        <v>0</v>
      </c>
      <c r="Z798" s="108">
        <f>IF(OtherClients[[#This Row],[Re-certified or New]]&lt;&gt;"Re-certified",IF(OtherClients[[#This Row],[Client]]="infasco",VLOOKUP(OtherClients[[#This Row],[Part]],PartControl!$A$2:$E$564,2,FALSE),OtherClients[[#This Row],[Total Quantity]]*VLOOKUP(OtherClients[[#This Row],[Part]],PartControl!$A$2:$E$564,2,FALSE)),0)</f>
        <v>0</v>
      </c>
    </row>
    <row r="799" spans="1:26" ht="25.15" hidden="1" customHeight="1" x14ac:dyDescent="0.25">
      <c r="A799" s="112">
        <v>46247.686168981483</v>
      </c>
      <c r="B799" s="5" t="s">
        <v>237</v>
      </c>
      <c r="C799" s="5">
        <v>11549170</v>
      </c>
      <c r="D799" s="5">
        <v>714369</v>
      </c>
      <c r="E799" s="33">
        <v>36</v>
      </c>
      <c r="F799" s="60">
        <v>400</v>
      </c>
      <c r="G799" s="60">
        <f>+OtherClients[[#This Row],[Boxes / Pieces]]*OtherClients[[#This Row],[Unit Quantity]]</f>
        <v>14400</v>
      </c>
      <c r="H799" s="60">
        <v>290</v>
      </c>
      <c r="I799" s="126" t="s">
        <v>278</v>
      </c>
      <c r="J799" s="127"/>
      <c r="K799" s="33" t="s">
        <v>278</v>
      </c>
      <c r="L799" s="125"/>
      <c r="M799" s="33" t="s">
        <v>278</v>
      </c>
      <c r="N799" s="125"/>
      <c r="O799" s="33" t="s">
        <v>278</v>
      </c>
      <c r="P799" s="125"/>
      <c r="Q799" s="33" t="s">
        <v>587</v>
      </c>
      <c r="R799" s="125"/>
      <c r="S799" s="33" t="s">
        <v>278</v>
      </c>
      <c r="T799" s="125"/>
      <c r="U799" s="33" t="s">
        <v>278</v>
      </c>
      <c r="V799" s="125"/>
      <c r="W799" s="59" t="s">
        <v>548</v>
      </c>
      <c r="X799" s="33" t="str">
        <f>+VLOOKUP(OtherClients[[#This Row],[Part]],PartControl!$A$2:$E$564,5,FALSE)</f>
        <v>INFASCO</v>
      </c>
      <c r="Y799" s="108">
        <f>IF(OtherClients[[#This Row],[Re-certified or New]]&lt;&gt;"Re-certified",IF(OtherClients[[#This Row],[Client]]="infasco",VLOOKUP(OtherClients[[#This Row],[Part]],PartControl!$A$2:$E$564,2,FALSE),OtherClients[[#This Row],[Total Quantity]]*VLOOKUP(OtherClients[[#This Row],[Part]],PartControl!$A$2:$E$564,2,FALSE)),0)</f>
        <v>106.94</v>
      </c>
      <c r="Z799" s="108">
        <f>IF(OtherClients[[#This Row],[Re-certified or New]]&lt;&gt;"Re-certified",IF(OtherClients[[#This Row],[Client]]="infasco",VLOOKUP(OtherClients[[#This Row],[Part]],PartControl!$A$2:$E$564,2,FALSE),OtherClients[[#This Row],[Total Quantity]]*VLOOKUP(OtherClients[[#This Row],[Part]],PartControl!$A$2:$E$564,2,FALSE)),0)</f>
        <v>106.94</v>
      </c>
    </row>
    <row r="800" spans="1:26" ht="25.15" hidden="1" customHeight="1" x14ac:dyDescent="0.25">
      <c r="A800" s="112">
        <v>46247.686168981483</v>
      </c>
      <c r="B800" s="5" t="s">
        <v>237</v>
      </c>
      <c r="C800" s="5">
        <v>11549170</v>
      </c>
      <c r="D800" s="5">
        <v>714370</v>
      </c>
      <c r="E800" s="33">
        <v>28</v>
      </c>
      <c r="F800" s="60">
        <v>400</v>
      </c>
      <c r="G800" s="60">
        <f>+OtherClients[[#This Row],[Boxes / Pieces]]*OtherClients[[#This Row],[Unit Quantity]]</f>
        <v>11200</v>
      </c>
      <c r="H800" s="60">
        <v>290</v>
      </c>
      <c r="I800" s="126" t="s">
        <v>278</v>
      </c>
      <c r="J800" s="127"/>
      <c r="K800" s="33" t="s">
        <v>278</v>
      </c>
      <c r="L800" s="125"/>
      <c r="M800" s="33" t="s">
        <v>278</v>
      </c>
      <c r="N800" s="125"/>
      <c r="O800" s="33" t="s">
        <v>278</v>
      </c>
      <c r="P800" s="125"/>
      <c r="Q800" s="33" t="s">
        <v>587</v>
      </c>
      <c r="R800" s="125"/>
      <c r="S800" s="33" t="s">
        <v>278</v>
      </c>
      <c r="T800" s="125"/>
      <c r="U800" s="33" t="s">
        <v>278</v>
      </c>
      <c r="V800" s="125"/>
      <c r="W800" s="59" t="s">
        <v>548</v>
      </c>
      <c r="X800" s="33" t="str">
        <f>+VLOOKUP(OtherClients[[#This Row],[Part]],PartControl!$A$2:$E$564,5,FALSE)</f>
        <v>INFASCO</v>
      </c>
      <c r="Y800" s="108">
        <f>IF(OtherClients[[#This Row],[Re-certified or New]]&lt;&gt;"Re-certified",IF(OtherClients[[#This Row],[Client]]="infasco",VLOOKUP(OtherClients[[#This Row],[Part]],PartControl!$A$2:$E$564,2,FALSE),OtherClients[[#This Row],[Total Quantity]]*VLOOKUP(OtherClients[[#This Row],[Part]],PartControl!$A$2:$E$564,2,FALSE)),0)</f>
        <v>106.94</v>
      </c>
      <c r="Z800" s="108">
        <f>IF(OtherClients[[#This Row],[Re-certified or New]]&lt;&gt;"Re-certified",IF(OtherClients[[#This Row],[Client]]="infasco",VLOOKUP(OtherClients[[#This Row],[Part]],PartControl!$A$2:$E$564,2,FALSE),OtherClients[[#This Row],[Total Quantity]]*VLOOKUP(OtherClients[[#This Row],[Part]],PartControl!$A$2:$E$564,2,FALSE)),0)</f>
        <v>106.94</v>
      </c>
    </row>
    <row r="801" spans="1:26" ht="25.15" hidden="1" customHeight="1" x14ac:dyDescent="0.25">
      <c r="A801" s="112">
        <v>46247.686168981483</v>
      </c>
      <c r="B801" s="5" t="s">
        <v>237</v>
      </c>
      <c r="C801" s="5">
        <v>11549168</v>
      </c>
      <c r="D801" s="5">
        <v>714310</v>
      </c>
      <c r="E801" s="33">
        <v>36</v>
      </c>
      <c r="F801" s="60">
        <v>1000</v>
      </c>
      <c r="G801" s="60">
        <f>+OtherClients[[#This Row],[Boxes / Pieces]]*OtherClients[[#This Row],[Unit Quantity]]</f>
        <v>36000</v>
      </c>
      <c r="H801" s="60">
        <v>290</v>
      </c>
      <c r="I801" s="126" t="s">
        <v>278</v>
      </c>
      <c r="J801" s="127"/>
      <c r="K801" s="33" t="s">
        <v>278</v>
      </c>
      <c r="L801" s="125"/>
      <c r="M801" s="33" t="s">
        <v>278</v>
      </c>
      <c r="N801" s="125"/>
      <c r="O801" s="33" t="s">
        <v>278</v>
      </c>
      <c r="P801" s="125"/>
      <c r="Q801" s="33" t="s">
        <v>587</v>
      </c>
      <c r="R801" s="125"/>
      <c r="S801" s="33" t="s">
        <v>278</v>
      </c>
      <c r="T801" s="125"/>
      <c r="U801" s="33" t="s">
        <v>278</v>
      </c>
      <c r="V801" s="125"/>
      <c r="W801" s="59" t="s">
        <v>548</v>
      </c>
      <c r="X801" s="33" t="str">
        <f>+VLOOKUP(OtherClients[[#This Row],[Part]],PartControl!$A$2:$E$564,5,FALSE)</f>
        <v>INFASCO</v>
      </c>
      <c r="Y801" s="108">
        <f>IF(OtherClients[[#This Row],[Re-certified or New]]&lt;&gt;"Re-certified",IF(OtherClients[[#This Row],[Client]]="infasco",VLOOKUP(OtherClients[[#This Row],[Part]],PartControl!$A$2:$E$564,2,FALSE),OtherClients[[#This Row],[Total Quantity]]*VLOOKUP(OtherClients[[#This Row],[Part]],PartControl!$A$2:$E$564,2,FALSE)),0)</f>
        <v>106.94</v>
      </c>
      <c r="Z801" s="108">
        <f>IF(OtherClients[[#This Row],[Re-certified or New]]&lt;&gt;"Re-certified",IF(OtherClients[[#This Row],[Client]]="infasco",VLOOKUP(OtherClients[[#This Row],[Part]],PartControl!$A$2:$E$564,2,FALSE),OtherClients[[#This Row],[Total Quantity]]*VLOOKUP(OtherClients[[#This Row],[Part]],PartControl!$A$2:$E$564,2,FALSE)),0)</f>
        <v>106.94</v>
      </c>
    </row>
    <row r="802" spans="1:26" ht="25.15" hidden="1" customHeight="1" x14ac:dyDescent="0.25">
      <c r="A802" s="112">
        <v>46247.686168981483</v>
      </c>
      <c r="B802" s="5" t="s">
        <v>237</v>
      </c>
      <c r="C802" s="5">
        <v>11549168</v>
      </c>
      <c r="D802" s="5">
        <v>714304</v>
      </c>
      <c r="E802" s="33">
        <v>29</v>
      </c>
      <c r="F802" s="60">
        <v>1000</v>
      </c>
      <c r="G802" s="60">
        <f>+OtherClients[[#This Row],[Boxes / Pieces]]*OtherClients[[#This Row],[Unit Quantity]]</f>
        <v>29000</v>
      </c>
      <c r="H802" s="60">
        <v>290</v>
      </c>
      <c r="I802" s="126" t="s">
        <v>278</v>
      </c>
      <c r="J802" s="127"/>
      <c r="K802" s="33" t="s">
        <v>278</v>
      </c>
      <c r="L802" s="125"/>
      <c r="M802" s="33" t="s">
        <v>278</v>
      </c>
      <c r="N802" s="125"/>
      <c r="O802" s="33" t="s">
        <v>278</v>
      </c>
      <c r="P802" s="125"/>
      <c r="Q802" s="33" t="s">
        <v>587</v>
      </c>
      <c r="R802" s="125"/>
      <c r="S802" s="33" t="s">
        <v>278</v>
      </c>
      <c r="T802" s="125"/>
      <c r="U802" s="33" t="s">
        <v>278</v>
      </c>
      <c r="V802" s="125"/>
      <c r="W802" s="59" t="s">
        <v>633</v>
      </c>
      <c r="X802" s="33" t="str">
        <f>+VLOOKUP(OtherClients[[#This Row],[Part]],PartControl!$A$2:$E$564,5,FALSE)</f>
        <v>INFASCO</v>
      </c>
      <c r="Y802" s="108">
        <f>IF(OtherClients[[#This Row],[Re-certified or New]]&lt;&gt;"Re-certified",IF(OtherClients[[#This Row],[Client]]="infasco",VLOOKUP(OtherClients[[#This Row],[Part]],PartControl!$A$2:$E$564,2,FALSE),OtherClients[[#This Row],[Total Quantity]]*VLOOKUP(OtherClients[[#This Row],[Part]],PartControl!$A$2:$E$564,2,FALSE)),0)</f>
        <v>0</v>
      </c>
      <c r="Z802" s="108">
        <f>IF(OtherClients[[#This Row],[Re-certified or New]]&lt;&gt;"Re-certified",IF(OtherClients[[#This Row],[Client]]="infasco",VLOOKUP(OtherClients[[#This Row],[Part]],PartControl!$A$2:$E$564,2,FALSE),OtherClients[[#This Row],[Total Quantity]]*VLOOKUP(OtherClients[[#This Row],[Part]],PartControl!$A$2:$E$564,2,FALSE)),0)</f>
        <v>0</v>
      </c>
    </row>
    <row r="803" spans="1:26" ht="25.15" hidden="1" customHeight="1" x14ac:dyDescent="0.25">
      <c r="A803" s="112">
        <v>46247.686168981483</v>
      </c>
      <c r="B803" s="5" t="s">
        <v>250</v>
      </c>
      <c r="C803" s="5">
        <v>11549170</v>
      </c>
      <c r="D803" s="5">
        <v>714638</v>
      </c>
      <c r="E803" s="33">
        <f>28-2</f>
        <v>26</v>
      </c>
      <c r="F803" s="60">
        <v>400</v>
      </c>
      <c r="G803" s="60">
        <f>+OtherClients[[#This Row],[Boxes / Pieces]]*OtherClients[[#This Row],[Unit Quantity]]</f>
        <v>10400</v>
      </c>
      <c r="H803" s="60">
        <v>290</v>
      </c>
      <c r="I803" s="126" t="s">
        <v>278</v>
      </c>
      <c r="J803" s="127"/>
      <c r="K803" s="33" t="s">
        <v>278</v>
      </c>
      <c r="L803" s="125"/>
      <c r="M803" s="33" t="s">
        <v>278</v>
      </c>
      <c r="N803" s="125"/>
      <c r="O803" s="33" t="s">
        <v>278</v>
      </c>
      <c r="P803" s="125"/>
      <c r="Q803" s="33" t="s">
        <v>587</v>
      </c>
      <c r="R803" s="125"/>
      <c r="S803" s="33" t="s">
        <v>278</v>
      </c>
      <c r="T803" s="125"/>
      <c r="U803" s="33" t="s">
        <v>278</v>
      </c>
      <c r="V803" s="125"/>
      <c r="W803" s="59" t="s">
        <v>548</v>
      </c>
      <c r="X803" s="33" t="str">
        <f>+VLOOKUP(OtherClients[[#This Row],[Part]],PartControl!$A$2:$E$564,5,FALSE)</f>
        <v>INFASCO</v>
      </c>
      <c r="Y803" s="108">
        <f>IF(OtherClients[[#This Row],[Re-certified or New]]&lt;&gt;"Re-certified",IF(OtherClients[[#This Row],[Client]]="infasco",VLOOKUP(OtherClients[[#This Row],[Part]],PartControl!$A$2:$E$564,2,FALSE),OtherClients[[#This Row],[Total Quantity]]*VLOOKUP(OtherClients[[#This Row],[Part]],PartControl!$A$2:$E$564,2,FALSE)),0)</f>
        <v>106.94</v>
      </c>
      <c r="Z803" s="108">
        <f>IF(OtherClients[[#This Row],[Re-certified or New]]&lt;&gt;"Re-certified",IF(OtherClients[[#This Row],[Client]]="infasco",VLOOKUP(OtherClients[[#This Row],[Part]],PartControl!$A$2:$E$564,2,FALSE),OtherClients[[#This Row],[Total Quantity]]*VLOOKUP(OtherClients[[#This Row],[Part]],PartControl!$A$2:$E$564,2,FALSE)),0)</f>
        <v>106.94</v>
      </c>
    </row>
    <row r="804" spans="1:26" ht="25.15" hidden="1" customHeight="1" x14ac:dyDescent="0.25">
      <c r="A804" s="112">
        <v>46247.686168981483</v>
      </c>
      <c r="B804" s="5" t="s">
        <v>250</v>
      </c>
      <c r="C804" s="5">
        <v>11549168</v>
      </c>
      <c r="D804" s="5">
        <v>713682</v>
      </c>
      <c r="E804" s="33">
        <v>21</v>
      </c>
      <c r="F804" s="60">
        <v>1000</v>
      </c>
      <c r="G804" s="60">
        <f>+OtherClients[[#This Row],[Boxes / Pieces]]*OtherClients[[#This Row],[Unit Quantity]]</f>
        <v>21000</v>
      </c>
      <c r="H804" s="60">
        <v>290</v>
      </c>
      <c r="I804" s="126" t="s">
        <v>278</v>
      </c>
      <c r="J804" s="127"/>
      <c r="K804" s="33" t="s">
        <v>278</v>
      </c>
      <c r="L804" s="125"/>
      <c r="M804" s="33" t="s">
        <v>278</v>
      </c>
      <c r="N804" s="125"/>
      <c r="O804" s="33" t="s">
        <v>278</v>
      </c>
      <c r="P804" s="125"/>
      <c r="Q804" s="33" t="s">
        <v>587</v>
      </c>
      <c r="R804" s="125"/>
      <c r="S804" s="33" t="s">
        <v>278</v>
      </c>
      <c r="T804" s="125"/>
      <c r="U804" s="33" t="s">
        <v>278</v>
      </c>
      <c r="V804" s="125"/>
      <c r="W804" s="59" t="s">
        <v>633</v>
      </c>
      <c r="X804" s="33" t="str">
        <f>+VLOOKUP(OtherClients[[#This Row],[Part]],PartControl!$A$2:$E$564,5,FALSE)</f>
        <v>INFASCO</v>
      </c>
      <c r="Y804" s="108">
        <f>IF(OtherClients[[#This Row],[Re-certified or New]]&lt;&gt;"Re-certified",IF(OtherClients[[#This Row],[Client]]="infasco",VLOOKUP(OtherClients[[#This Row],[Part]],PartControl!$A$2:$E$564,2,FALSE),OtherClients[[#This Row],[Total Quantity]]*VLOOKUP(OtherClients[[#This Row],[Part]],PartControl!$A$2:$E$564,2,FALSE)),0)</f>
        <v>0</v>
      </c>
      <c r="Z804" s="108">
        <f>IF(OtherClients[[#This Row],[Re-certified or New]]&lt;&gt;"Re-certified",IF(OtherClients[[#This Row],[Client]]="infasco",VLOOKUP(OtherClients[[#This Row],[Part]],PartControl!$A$2:$E$564,2,FALSE),OtherClients[[#This Row],[Total Quantity]]*VLOOKUP(OtherClients[[#This Row],[Part]],PartControl!$A$2:$E$564,2,FALSE)),0)</f>
        <v>0</v>
      </c>
    </row>
    <row r="805" spans="1:26" ht="25.15" hidden="1" customHeight="1" x14ac:dyDescent="0.25">
      <c r="A805" s="112">
        <v>46247.686168981483</v>
      </c>
      <c r="B805" s="5" t="s">
        <v>243</v>
      </c>
      <c r="C805" s="5" t="s">
        <v>657</v>
      </c>
      <c r="D805" s="5">
        <v>716150</v>
      </c>
      <c r="E805" s="33">
        <v>1</v>
      </c>
      <c r="F805" s="60">
        <v>12086</v>
      </c>
      <c r="G805" s="60">
        <f>+OtherClients[[#This Row],[Boxes / Pieces]]*OtherClients[[#This Row],[Unit Quantity]]</f>
        <v>12086</v>
      </c>
      <c r="H805" s="60">
        <v>292</v>
      </c>
      <c r="I805" s="126" t="s">
        <v>278</v>
      </c>
      <c r="J805" s="127"/>
      <c r="K805" s="33" t="s">
        <v>278</v>
      </c>
      <c r="L805" s="125"/>
      <c r="M805" s="33" t="s">
        <v>278</v>
      </c>
      <c r="N805" s="125"/>
      <c r="O805" s="33" t="s">
        <v>278</v>
      </c>
      <c r="P805" s="125"/>
      <c r="Q805" s="33" t="s">
        <v>587</v>
      </c>
      <c r="R805" s="125"/>
      <c r="S805" s="33" t="s">
        <v>278</v>
      </c>
      <c r="T805" s="125"/>
      <c r="U805" s="33" t="s">
        <v>278</v>
      </c>
      <c r="V805" s="125"/>
      <c r="W805" s="59" t="s">
        <v>548</v>
      </c>
      <c r="X805" s="33" t="str">
        <f>+VLOOKUP(OtherClients[[#This Row],[Part]],PartControl!$A$2:$E$564,5,FALSE)</f>
        <v>infasco</v>
      </c>
      <c r="Y805" s="108">
        <f>IF(OtherClients[[#This Row],[Re-certified or New]]&lt;&gt;"Re-certified",IF(OtherClients[[#This Row],[Client]]="infasco",VLOOKUP(OtherClients[[#This Row],[Part]],PartControl!$A$2:$E$564,2,FALSE),OtherClients[[#This Row],[Total Quantity]]*VLOOKUP(OtherClients[[#This Row],[Part]],PartControl!$A$2:$E$564,2,FALSE)),0)</f>
        <v>129.44999999999999</v>
      </c>
      <c r="Z805" s="108">
        <f>IF(OtherClients[[#This Row],[Re-certified or New]]&lt;&gt;"Re-certified",IF(OtherClients[[#This Row],[Client]]="infasco",VLOOKUP(OtherClients[[#This Row],[Part]],PartControl!$A$2:$E$564,2,FALSE),OtherClients[[#This Row],[Total Quantity]]*VLOOKUP(OtherClients[[#This Row],[Part]],PartControl!$A$2:$E$564,2,FALSE)),0)</f>
        <v>129.44999999999999</v>
      </c>
    </row>
    <row r="806" spans="1:26" ht="25.15" hidden="1" customHeight="1" x14ac:dyDescent="0.25">
      <c r="A806" s="112">
        <v>46247.686168981483</v>
      </c>
      <c r="B806" s="5" t="s">
        <v>243</v>
      </c>
      <c r="C806" s="5">
        <v>94012038</v>
      </c>
      <c r="D806" s="5">
        <v>716084</v>
      </c>
      <c r="E806" s="33">
        <v>12</v>
      </c>
      <c r="F806" s="60">
        <v>4000</v>
      </c>
      <c r="G806" s="60">
        <f>+OtherClients[[#This Row],[Boxes / Pieces]]*OtherClients[[#This Row],[Unit Quantity]]</f>
        <v>48000</v>
      </c>
      <c r="H806" s="60">
        <v>292</v>
      </c>
      <c r="I806" s="126" t="s">
        <v>278</v>
      </c>
      <c r="J806" s="127"/>
      <c r="K806" s="33" t="s">
        <v>278</v>
      </c>
      <c r="L806" s="125"/>
      <c r="M806" s="33" t="s">
        <v>278</v>
      </c>
      <c r="N806" s="125"/>
      <c r="O806" s="33" t="s">
        <v>278</v>
      </c>
      <c r="P806" s="125"/>
      <c r="Q806" s="33" t="s">
        <v>587</v>
      </c>
      <c r="R806" s="125"/>
      <c r="S806" s="33" t="s">
        <v>278</v>
      </c>
      <c r="T806" s="125"/>
      <c r="U806" s="33" t="s">
        <v>278</v>
      </c>
      <c r="V806" s="125"/>
      <c r="W806" s="59" t="s">
        <v>548</v>
      </c>
      <c r="X806" s="33" t="str">
        <f>+VLOOKUP(OtherClients[[#This Row],[Part]],PartControl!$A$2:$E$564,5,FALSE)</f>
        <v>Infasco</v>
      </c>
      <c r="Y806" s="108">
        <f>IF(OtherClients[[#This Row],[Re-certified or New]]&lt;&gt;"Re-certified",IF(OtherClients[[#This Row],[Client]]="infasco",VLOOKUP(OtherClients[[#This Row],[Part]],PartControl!$A$2:$E$564,2,FALSE),OtherClients[[#This Row],[Total Quantity]]*VLOOKUP(OtherClients[[#This Row],[Part]],PartControl!$A$2:$E$564,2,FALSE)),0)</f>
        <v>106.94</v>
      </c>
      <c r="Z806" s="108">
        <f>IF(OtherClients[[#This Row],[Re-certified or New]]&lt;&gt;"Re-certified",IF(OtherClients[[#This Row],[Client]]="infasco",VLOOKUP(OtherClients[[#This Row],[Part]],PartControl!$A$2:$E$564,2,FALSE),OtherClients[[#This Row],[Total Quantity]]*VLOOKUP(OtherClients[[#This Row],[Part]],PartControl!$A$2:$E$564,2,FALSE)),0)</f>
        <v>106.94</v>
      </c>
    </row>
    <row r="807" spans="1:26" ht="25.15" hidden="1" customHeight="1" x14ac:dyDescent="0.25">
      <c r="A807" s="112">
        <v>46247.686168981483</v>
      </c>
      <c r="B807" s="113" t="s">
        <v>251</v>
      </c>
      <c r="C807" s="113">
        <v>11546462</v>
      </c>
      <c r="D807" s="113">
        <v>716176</v>
      </c>
      <c r="E807" s="114">
        <f>28-25</f>
        <v>3</v>
      </c>
      <c r="F807" s="115">
        <v>650</v>
      </c>
      <c r="G807" s="115">
        <f>+OtherClients[[#This Row],[Boxes / Pieces]]*OtherClients[[#This Row],[Unit Quantity]]</f>
        <v>1950</v>
      </c>
      <c r="H807" s="60">
        <v>292</v>
      </c>
      <c r="I807" s="126" t="s">
        <v>278</v>
      </c>
      <c r="J807" s="127"/>
      <c r="K807" s="33" t="s">
        <v>278</v>
      </c>
      <c r="L807" s="125"/>
      <c r="M807" s="33" t="s">
        <v>278</v>
      </c>
      <c r="N807" s="125"/>
      <c r="O807" s="33" t="s">
        <v>278</v>
      </c>
      <c r="P807" s="125"/>
      <c r="Q807" s="33" t="s">
        <v>587</v>
      </c>
      <c r="R807" s="125"/>
      <c r="S807" s="33" t="s">
        <v>278</v>
      </c>
      <c r="T807" s="125"/>
      <c r="U807" s="33" t="s">
        <v>278</v>
      </c>
      <c r="V807" s="125"/>
      <c r="W807" s="59" t="s">
        <v>548</v>
      </c>
      <c r="X807" s="33" t="str">
        <f>+VLOOKUP(OtherClients[[#This Row],[Part]],PartControl!$A$2:$E$564,5,FALSE)</f>
        <v>INFASCO</v>
      </c>
      <c r="Y807" s="108">
        <f>IF(OtherClients[[#This Row],[Re-certified or New]]&lt;&gt;"Re-certified",IF(OtherClients[[#This Row],[Client]]="infasco",VLOOKUP(OtherClients[[#This Row],[Part]],PartControl!$A$2:$E$564,2,FALSE),OtherClients[[#This Row],[Total Quantity]]*VLOOKUP(OtherClients[[#This Row],[Part]],PartControl!$A$2:$E$564,2,FALSE)),0)</f>
        <v>106.94</v>
      </c>
      <c r="Z807" s="108">
        <f>IF(OtherClients[[#This Row],[Re-certified or New]]&lt;&gt;"Re-certified",IF(OtherClients[[#This Row],[Client]]="infasco",VLOOKUP(OtherClients[[#This Row],[Part]],PartControl!$A$2:$E$564,2,FALSE),OtherClients[[#This Row],[Total Quantity]]*VLOOKUP(OtherClients[[#This Row],[Part]],PartControl!$A$2:$E$564,2,FALSE)),0)</f>
        <v>106.94</v>
      </c>
    </row>
    <row r="808" spans="1:26" ht="25.15" hidden="1" customHeight="1" x14ac:dyDescent="0.25">
      <c r="A808" s="112">
        <v>46247.686168981483</v>
      </c>
      <c r="B808" s="5" t="s">
        <v>251</v>
      </c>
      <c r="C808" s="5">
        <v>11549168</v>
      </c>
      <c r="D808" s="5">
        <v>713690</v>
      </c>
      <c r="E808" s="33">
        <v>25</v>
      </c>
      <c r="F808" s="60">
        <v>1000</v>
      </c>
      <c r="G808" s="60">
        <f>+OtherClients[[#This Row],[Boxes / Pieces]]*OtherClients[[#This Row],[Unit Quantity]]</f>
        <v>25000</v>
      </c>
      <c r="H808" s="60">
        <v>292</v>
      </c>
      <c r="I808" s="126" t="s">
        <v>278</v>
      </c>
      <c r="J808" s="127"/>
      <c r="K808" s="33" t="s">
        <v>278</v>
      </c>
      <c r="L808" s="125"/>
      <c r="M808" s="33" t="s">
        <v>278</v>
      </c>
      <c r="N808" s="125"/>
      <c r="O808" s="33" t="s">
        <v>278</v>
      </c>
      <c r="P808" s="125"/>
      <c r="Q808" s="33" t="s">
        <v>587</v>
      </c>
      <c r="R808" s="125"/>
      <c r="S808" s="33" t="s">
        <v>278</v>
      </c>
      <c r="T808" s="125"/>
      <c r="U808" s="33" t="s">
        <v>278</v>
      </c>
      <c r="V808" s="125"/>
      <c r="W808" s="59" t="s">
        <v>633</v>
      </c>
      <c r="X808" s="33" t="str">
        <f>+VLOOKUP(OtherClients[[#This Row],[Part]],PartControl!$A$2:$E$564,5,FALSE)</f>
        <v>INFASCO</v>
      </c>
      <c r="Y808" s="108">
        <f>IF(OtherClients[[#This Row],[Re-certified or New]]&lt;&gt;"Re-certified",IF(OtherClients[[#This Row],[Client]]="infasco",VLOOKUP(OtherClients[[#This Row],[Part]],PartControl!$A$2:$E$564,2,FALSE),OtherClients[[#This Row],[Total Quantity]]*VLOOKUP(OtherClients[[#This Row],[Part]],PartControl!$A$2:$E$564,2,FALSE)),0)</f>
        <v>0</v>
      </c>
      <c r="Z808" s="108">
        <f>IF(OtherClients[[#This Row],[Re-certified or New]]&lt;&gt;"Re-certified",IF(OtherClients[[#This Row],[Client]]="infasco",VLOOKUP(OtherClients[[#This Row],[Part]],PartControl!$A$2:$E$564,2,FALSE),OtherClients[[#This Row],[Total Quantity]]*VLOOKUP(OtherClients[[#This Row],[Part]],PartControl!$A$2:$E$564,2,FALSE)),0)</f>
        <v>0</v>
      </c>
    </row>
    <row r="809" spans="1:26" ht="25.15" hidden="1" customHeight="1" x14ac:dyDescent="0.25">
      <c r="A809" s="112">
        <v>46247.686168981483</v>
      </c>
      <c r="B809" s="5" t="s">
        <v>624</v>
      </c>
      <c r="C809" s="5">
        <v>11549170</v>
      </c>
      <c r="D809" s="5">
        <v>714637</v>
      </c>
      <c r="E809" s="33">
        <v>40</v>
      </c>
      <c r="F809" s="60">
        <v>400</v>
      </c>
      <c r="G809" s="60">
        <f>+OtherClients[[#This Row],[Boxes / Pieces]]*OtherClients[[#This Row],[Unit Quantity]]</f>
        <v>16000</v>
      </c>
      <c r="H809" s="60">
        <v>292</v>
      </c>
      <c r="I809" s="126" t="s">
        <v>278</v>
      </c>
      <c r="J809" s="127"/>
      <c r="K809" s="33" t="s">
        <v>278</v>
      </c>
      <c r="L809" s="125"/>
      <c r="M809" s="33" t="s">
        <v>278</v>
      </c>
      <c r="N809" s="125"/>
      <c r="O809" s="33" t="s">
        <v>278</v>
      </c>
      <c r="P809" s="125"/>
      <c r="Q809" s="33" t="s">
        <v>587</v>
      </c>
      <c r="R809" s="125"/>
      <c r="S809" s="33" t="s">
        <v>278</v>
      </c>
      <c r="T809" s="125"/>
      <c r="U809" s="33" t="s">
        <v>278</v>
      </c>
      <c r="V809" s="125"/>
      <c r="W809" s="59" t="s">
        <v>548</v>
      </c>
      <c r="X809" s="33" t="str">
        <f>+VLOOKUP(OtherClients[[#This Row],[Part]],PartControl!$A$2:$E$564,5,FALSE)</f>
        <v>INFASCO</v>
      </c>
      <c r="Y809" s="108">
        <f>IF(OtherClients[[#This Row],[Re-certified or New]]&lt;&gt;"Re-certified",IF(OtherClients[[#This Row],[Client]]="infasco",VLOOKUP(OtherClients[[#This Row],[Part]],PartControl!$A$2:$E$564,2,FALSE),OtherClients[[#This Row],[Total Quantity]]*VLOOKUP(OtherClients[[#This Row],[Part]],PartControl!$A$2:$E$564,2,FALSE)),0)</f>
        <v>106.94</v>
      </c>
      <c r="Z809" s="108">
        <f>IF(OtherClients[[#This Row],[Re-certified or New]]&lt;&gt;"Re-certified",IF(OtherClients[[#This Row],[Client]]="infasco",VLOOKUP(OtherClients[[#This Row],[Part]],PartControl!$A$2:$E$564,2,FALSE),OtherClients[[#This Row],[Total Quantity]]*VLOOKUP(OtherClients[[#This Row],[Part]],PartControl!$A$2:$E$564,2,FALSE)),0)</f>
        <v>106.94</v>
      </c>
    </row>
    <row r="810" spans="1:26" ht="25.15" hidden="1" customHeight="1" x14ac:dyDescent="0.25">
      <c r="A810" s="112">
        <v>46247.686168981483</v>
      </c>
      <c r="B810" s="5" t="s">
        <v>624</v>
      </c>
      <c r="C810" s="5">
        <v>11549170</v>
      </c>
      <c r="D810" s="5">
        <v>714367</v>
      </c>
      <c r="E810" s="33">
        <v>33</v>
      </c>
      <c r="F810" s="60">
        <v>400</v>
      </c>
      <c r="G810" s="60">
        <f>+OtherClients[[#This Row],[Boxes / Pieces]]*OtherClients[[#This Row],[Unit Quantity]]</f>
        <v>13200</v>
      </c>
      <c r="H810" s="60">
        <v>292</v>
      </c>
      <c r="I810" s="126" t="s">
        <v>278</v>
      </c>
      <c r="J810" s="127"/>
      <c r="K810" s="33" t="s">
        <v>278</v>
      </c>
      <c r="L810" s="125"/>
      <c r="M810" s="33" t="s">
        <v>278</v>
      </c>
      <c r="N810" s="125"/>
      <c r="O810" s="33" t="s">
        <v>278</v>
      </c>
      <c r="P810" s="125"/>
      <c r="Q810" s="33" t="s">
        <v>587</v>
      </c>
      <c r="R810" s="125"/>
      <c r="S810" s="33" t="s">
        <v>278</v>
      </c>
      <c r="T810" s="125"/>
      <c r="U810" s="33" t="s">
        <v>278</v>
      </c>
      <c r="V810" s="125"/>
      <c r="W810" s="59" t="s">
        <v>548</v>
      </c>
      <c r="X810" s="33" t="str">
        <f>+VLOOKUP(OtherClients[[#This Row],[Part]],PartControl!$A$2:$E$564,5,FALSE)</f>
        <v>INFASCO</v>
      </c>
      <c r="Y810" s="108">
        <f>IF(OtherClients[[#This Row],[Re-certified or New]]&lt;&gt;"Re-certified",IF(OtherClients[[#This Row],[Client]]="infasco",VLOOKUP(OtherClients[[#This Row],[Part]],PartControl!$A$2:$E$564,2,FALSE),OtherClients[[#This Row],[Total Quantity]]*VLOOKUP(OtherClients[[#This Row],[Part]],PartControl!$A$2:$E$564,2,FALSE)),0)</f>
        <v>106.94</v>
      </c>
      <c r="Z810" s="108">
        <f>IF(OtherClients[[#This Row],[Re-certified or New]]&lt;&gt;"Re-certified",IF(OtherClients[[#This Row],[Client]]="infasco",VLOOKUP(OtherClients[[#This Row],[Part]],PartControl!$A$2:$E$564,2,FALSE),OtherClients[[#This Row],[Total Quantity]]*VLOOKUP(OtherClients[[#This Row],[Part]],PartControl!$A$2:$E$564,2,FALSE)),0)</f>
        <v>106.94</v>
      </c>
    </row>
    <row r="811" spans="1:26" ht="25.15" hidden="1" customHeight="1" x14ac:dyDescent="0.25">
      <c r="A811" s="112">
        <v>46247.686168981483</v>
      </c>
      <c r="B811" s="5" t="s">
        <v>624</v>
      </c>
      <c r="C811" s="5">
        <v>11549170</v>
      </c>
      <c r="D811" s="5">
        <v>713710</v>
      </c>
      <c r="E811" s="33">
        <v>36</v>
      </c>
      <c r="F811" s="60">
        <v>400</v>
      </c>
      <c r="G811" s="60">
        <f>+OtherClients[[#This Row],[Boxes / Pieces]]*OtherClients[[#This Row],[Unit Quantity]]</f>
        <v>14400</v>
      </c>
      <c r="H811" s="60">
        <v>292</v>
      </c>
      <c r="I811" s="126" t="s">
        <v>278</v>
      </c>
      <c r="J811" s="127"/>
      <c r="K811" s="33" t="s">
        <v>278</v>
      </c>
      <c r="L811" s="125"/>
      <c r="M811" s="33" t="s">
        <v>278</v>
      </c>
      <c r="N811" s="125"/>
      <c r="O811" s="33" t="s">
        <v>278</v>
      </c>
      <c r="P811" s="125"/>
      <c r="Q811" s="33" t="s">
        <v>587</v>
      </c>
      <c r="R811" s="125"/>
      <c r="S811" s="33" t="s">
        <v>278</v>
      </c>
      <c r="T811" s="125"/>
      <c r="U811" s="33" t="s">
        <v>278</v>
      </c>
      <c r="V811" s="125"/>
      <c r="W811" s="59" t="s">
        <v>548</v>
      </c>
      <c r="X811" s="33" t="str">
        <f>+VLOOKUP(OtherClients[[#This Row],[Part]],PartControl!$A$2:$E$564,5,FALSE)</f>
        <v>INFASCO</v>
      </c>
      <c r="Y811" s="108">
        <f>IF(OtherClients[[#This Row],[Re-certified or New]]&lt;&gt;"Re-certified",IF(OtherClients[[#This Row],[Client]]="infasco",VLOOKUP(OtherClients[[#This Row],[Part]],PartControl!$A$2:$E$564,2,FALSE),OtherClients[[#This Row],[Total Quantity]]*VLOOKUP(OtherClients[[#This Row],[Part]],PartControl!$A$2:$E$564,2,FALSE)),0)</f>
        <v>106.94</v>
      </c>
      <c r="Z811" s="108">
        <f>IF(OtherClients[[#This Row],[Re-certified or New]]&lt;&gt;"Re-certified",IF(OtherClients[[#This Row],[Client]]="infasco",VLOOKUP(OtherClients[[#This Row],[Part]],PartControl!$A$2:$E$564,2,FALSE),OtherClients[[#This Row],[Total Quantity]]*VLOOKUP(OtherClients[[#This Row],[Part]],PartControl!$A$2:$E$564,2,FALSE)),0)</f>
        <v>106.94</v>
      </c>
    </row>
    <row r="812" spans="1:26" ht="25.15" hidden="1" customHeight="1" x14ac:dyDescent="0.25">
      <c r="A812" s="112">
        <v>46247.686168981483</v>
      </c>
      <c r="B812" s="5" t="s">
        <v>624</v>
      </c>
      <c r="C812" s="5">
        <v>11549170</v>
      </c>
      <c r="D812" s="5">
        <v>714632</v>
      </c>
      <c r="E812" s="33">
        <v>10</v>
      </c>
      <c r="F812" s="60">
        <v>400</v>
      </c>
      <c r="G812" s="60">
        <f>+OtherClients[[#This Row],[Boxes / Pieces]]*OtherClients[[#This Row],[Unit Quantity]]</f>
        <v>4000</v>
      </c>
      <c r="H812" s="60">
        <v>292</v>
      </c>
      <c r="I812" s="126" t="s">
        <v>278</v>
      </c>
      <c r="J812" s="127"/>
      <c r="K812" s="33" t="s">
        <v>278</v>
      </c>
      <c r="L812" s="125"/>
      <c r="M812" s="33" t="s">
        <v>278</v>
      </c>
      <c r="N812" s="125"/>
      <c r="O812" s="33" t="s">
        <v>278</v>
      </c>
      <c r="P812" s="125"/>
      <c r="Q812" s="33" t="s">
        <v>587</v>
      </c>
      <c r="R812" s="125"/>
      <c r="S812" s="33" t="s">
        <v>278</v>
      </c>
      <c r="T812" s="125"/>
      <c r="U812" s="33" t="s">
        <v>278</v>
      </c>
      <c r="V812" s="125"/>
      <c r="W812" s="59" t="s">
        <v>633</v>
      </c>
      <c r="X812" s="33" t="str">
        <f>+VLOOKUP(OtherClients[[#This Row],[Part]],PartControl!$A$2:$E$564,5,FALSE)</f>
        <v>INFASCO</v>
      </c>
      <c r="Y812" s="108">
        <f>IF(OtherClients[[#This Row],[Re-certified or New]]&lt;&gt;"Re-certified",IF(OtherClients[[#This Row],[Client]]="infasco",VLOOKUP(OtherClients[[#This Row],[Part]],PartControl!$A$2:$E$564,2,FALSE),OtherClients[[#This Row],[Total Quantity]]*VLOOKUP(OtherClients[[#This Row],[Part]],PartControl!$A$2:$E$564,2,FALSE)),0)</f>
        <v>0</v>
      </c>
      <c r="Z812" s="108">
        <f>IF(OtherClients[[#This Row],[Re-certified or New]]&lt;&gt;"Re-certified",IF(OtherClients[[#This Row],[Client]]="infasco",VLOOKUP(OtherClients[[#This Row],[Part]],PartControl!$A$2:$E$564,2,FALSE),OtherClients[[#This Row],[Total Quantity]]*VLOOKUP(OtherClients[[#This Row],[Part]],PartControl!$A$2:$E$564,2,FALSE)),0)</f>
        <v>0</v>
      </c>
    </row>
    <row r="813" spans="1:26" ht="25.15" hidden="1" customHeight="1" x14ac:dyDescent="0.25">
      <c r="A813" s="112">
        <v>46247.686168981483</v>
      </c>
      <c r="B813" s="5" t="s">
        <v>244</v>
      </c>
      <c r="C813" s="5" t="s">
        <v>644</v>
      </c>
      <c r="D813" s="5">
        <v>716081</v>
      </c>
      <c r="E813" s="33">
        <v>20</v>
      </c>
      <c r="F813" s="60">
        <v>2200</v>
      </c>
      <c r="G813" s="60">
        <f>+OtherClients[[#This Row],[Boxes / Pieces]]*OtherClients[[#This Row],[Unit Quantity]]</f>
        <v>44000</v>
      </c>
      <c r="H813" s="60">
        <v>292</v>
      </c>
      <c r="I813" s="126" t="s">
        <v>278</v>
      </c>
      <c r="J813" s="127"/>
      <c r="K813" s="33" t="s">
        <v>278</v>
      </c>
      <c r="L813" s="125"/>
      <c r="M813" s="33" t="s">
        <v>278</v>
      </c>
      <c r="N813" s="125"/>
      <c r="O813" s="33" t="s">
        <v>278</v>
      </c>
      <c r="P813" s="125"/>
      <c r="Q813" s="33" t="s">
        <v>587</v>
      </c>
      <c r="R813" s="125"/>
      <c r="S813" s="33" t="s">
        <v>278</v>
      </c>
      <c r="T813" s="125"/>
      <c r="U813" s="33" t="s">
        <v>278</v>
      </c>
      <c r="V813" s="125"/>
      <c r="W813" s="59" t="s">
        <v>633</v>
      </c>
      <c r="X813" s="33" t="str">
        <f>+VLOOKUP(OtherClients[[#This Row],[Part]],PartControl!$A$2:$E$564,5,FALSE)</f>
        <v>infasco</v>
      </c>
      <c r="Y813" s="108">
        <f>IF(OtherClients[[#This Row],[Re-certified or New]]&lt;&gt;"Re-certified",IF(OtherClients[[#This Row],[Client]]="infasco",VLOOKUP(OtherClients[[#This Row],[Part]],PartControl!$A$2:$E$564,2,FALSE),OtherClients[[#This Row],[Total Quantity]]*VLOOKUP(OtherClients[[#This Row],[Part]],PartControl!$A$2:$E$564,2,FALSE)),0)</f>
        <v>0</v>
      </c>
      <c r="Z813" s="108">
        <f>IF(OtherClients[[#This Row],[Re-certified or New]]&lt;&gt;"Re-certified",IF(OtherClients[[#This Row],[Client]]="infasco",VLOOKUP(OtherClients[[#This Row],[Part]],PartControl!$A$2:$E$564,2,FALSE),OtherClients[[#This Row],[Total Quantity]]*VLOOKUP(OtherClients[[#This Row],[Part]],PartControl!$A$2:$E$564,2,FALSE)),0)</f>
        <v>0</v>
      </c>
    </row>
    <row r="814" spans="1:26" ht="25.15" hidden="1" customHeight="1" x14ac:dyDescent="0.25">
      <c r="A814" s="112">
        <v>46247.686168981483</v>
      </c>
      <c r="B814" s="5" t="s">
        <v>245</v>
      </c>
      <c r="C814" s="5" t="s">
        <v>728</v>
      </c>
      <c r="D814" s="5">
        <v>716157</v>
      </c>
      <c r="E814" s="33">
        <v>6</v>
      </c>
      <c r="F814" s="60">
        <v>1500</v>
      </c>
      <c r="G814" s="60">
        <f>+OtherClients[[#This Row],[Boxes / Pieces]]*OtherClients[[#This Row],[Unit Quantity]]</f>
        <v>9000</v>
      </c>
      <c r="H814" s="60">
        <v>292</v>
      </c>
      <c r="I814" s="126" t="s">
        <v>278</v>
      </c>
      <c r="J814" s="127"/>
      <c r="K814" s="33" t="s">
        <v>278</v>
      </c>
      <c r="L814" s="125"/>
      <c r="M814" s="33" t="s">
        <v>278</v>
      </c>
      <c r="N814" s="125"/>
      <c r="O814" s="33" t="s">
        <v>278</v>
      </c>
      <c r="P814" s="125"/>
      <c r="Q814" s="33" t="s">
        <v>587</v>
      </c>
      <c r="R814" s="125"/>
      <c r="S814" s="33" t="s">
        <v>278</v>
      </c>
      <c r="T814" s="125"/>
      <c r="U814" s="33" t="s">
        <v>278</v>
      </c>
      <c r="V814" s="125"/>
      <c r="W814" s="59" t="s">
        <v>548</v>
      </c>
      <c r="X814" s="33" t="str">
        <f>+VLOOKUP(OtherClients[[#This Row],[Part]],PartControl!$A$2:$E$564,5,FALSE)</f>
        <v>infasco</v>
      </c>
      <c r="Y814" s="108">
        <f>IF(OtherClients[[#This Row],[Re-certified or New]]&lt;&gt;"Re-certified",IF(OtherClients[[#This Row],[Client]]="infasco",VLOOKUP(OtherClients[[#This Row],[Part]],PartControl!$A$2:$E$564,2,FALSE),OtherClients[[#This Row],[Total Quantity]]*VLOOKUP(OtherClients[[#This Row],[Part]],PartControl!$A$2:$E$564,2,FALSE)),0)</f>
        <v>106.94</v>
      </c>
      <c r="Z814" s="108">
        <f>IF(OtherClients[[#This Row],[Re-certified or New]]&lt;&gt;"Re-certified",IF(OtherClients[[#This Row],[Client]]="infasco",VLOOKUP(OtherClients[[#This Row],[Part]],PartControl!$A$2:$E$564,2,FALSE),OtherClients[[#This Row],[Total Quantity]]*VLOOKUP(OtherClients[[#This Row],[Part]],PartControl!$A$2:$E$564,2,FALSE)),0)</f>
        <v>106.94</v>
      </c>
    </row>
    <row r="815" spans="1:26" ht="25.15" hidden="1" customHeight="1" x14ac:dyDescent="0.25">
      <c r="A815" s="112">
        <v>46247.686168981483</v>
      </c>
      <c r="B815" s="5" t="s">
        <v>245</v>
      </c>
      <c r="C815" s="5" t="s">
        <v>667</v>
      </c>
      <c r="D815" s="5">
        <v>713268</v>
      </c>
      <c r="E815" s="33">
        <v>20</v>
      </c>
      <c r="F815" s="60">
        <v>1600</v>
      </c>
      <c r="G815" s="60">
        <f>+OtherClients[[#This Row],[Boxes / Pieces]]*OtherClients[[#This Row],[Unit Quantity]]</f>
        <v>32000</v>
      </c>
      <c r="H815" s="60">
        <v>292</v>
      </c>
      <c r="I815" s="126" t="s">
        <v>278</v>
      </c>
      <c r="J815" s="127"/>
      <c r="K815" s="33" t="s">
        <v>278</v>
      </c>
      <c r="L815" s="125"/>
      <c r="M815" s="33" t="s">
        <v>278</v>
      </c>
      <c r="N815" s="125"/>
      <c r="O815" s="33" t="s">
        <v>278</v>
      </c>
      <c r="P815" s="125"/>
      <c r="Q815" s="33" t="s">
        <v>587</v>
      </c>
      <c r="R815" s="125"/>
      <c r="S815" s="33" t="s">
        <v>278</v>
      </c>
      <c r="T815" s="125"/>
      <c r="U815" s="33" t="s">
        <v>278</v>
      </c>
      <c r="V815" s="125"/>
      <c r="W815" s="59" t="s">
        <v>633</v>
      </c>
      <c r="X815" s="33" t="str">
        <f>+VLOOKUP(OtherClients[[#This Row],[Part]],PartControl!$A$2:$E$564,5,FALSE)</f>
        <v>infasco</v>
      </c>
      <c r="Y815" s="108">
        <f>IF(OtherClients[[#This Row],[Re-certified or New]]&lt;&gt;"Re-certified",IF(OtherClients[[#This Row],[Client]]="infasco",VLOOKUP(OtherClients[[#This Row],[Part]],PartControl!$A$2:$E$564,2,FALSE),OtherClients[[#This Row],[Total Quantity]]*VLOOKUP(OtherClients[[#This Row],[Part]],PartControl!$A$2:$E$564,2,FALSE)),0)</f>
        <v>0</v>
      </c>
      <c r="Z815" s="108">
        <f>IF(OtherClients[[#This Row],[Re-certified or New]]&lt;&gt;"Re-certified",IF(OtherClients[[#This Row],[Client]]="infasco",VLOOKUP(OtherClients[[#This Row],[Part]],PartControl!$A$2:$E$564,2,FALSE),OtherClients[[#This Row],[Total Quantity]]*VLOOKUP(OtherClients[[#This Row],[Part]],PartControl!$A$2:$E$564,2,FALSE)),0)</f>
        <v>0</v>
      </c>
    </row>
    <row r="816" spans="1:26" ht="25.15" hidden="1" customHeight="1" x14ac:dyDescent="0.25">
      <c r="A816" s="112">
        <v>46247.686168981483</v>
      </c>
      <c r="B816" s="5" t="s">
        <v>623</v>
      </c>
      <c r="C816" s="5" t="s">
        <v>810</v>
      </c>
      <c r="D816" s="5">
        <v>715960</v>
      </c>
      <c r="E816" s="33">
        <v>36</v>
      </c>
      <c r="F816" s="60">
        <v>660</v>
      </c>
      <c r="G816" s="60">
        <f>+OtherClients[[#This Row],[Boxes / Pieces]]*OtherClients[[#This Row],[Unit Quantity]]</f>
        <v>23760</v>
      </c>
      <c r="H816" s="60">
        <v>292</v>
      </c>
      <c r="I816" s="126" t="s">
        <v>278</v>
      </c>
      <c r="J816" s="127"/>
      <c r="K816" s="33" t="s">
        <v>278</v>
      </c>
      <c r="L816" s="125"/>
      <c r="M816" s="33" t="s">
        <v>278</v>
      </c>
      <c r="N816" s="125"/>
      <c r="O816" s="33" t="s">
        <v>278</v>
      </c>
      <c r="P816" s="125"/>
      <c r="Q816" s="33" t="s">
        <v>587</v>
      </c>
      <c r="R816" s="125"/>
      <c r="S816" s="33" t="s">
        <v>278</v>
      </c>
      <c r="T816" s="125"/>
      <c r="U816" s="33" t="s">
        <v>278</v>
      </c>
      <c r="V816" s="125"/>
      <c r="W816" s="59" t="s">
        <v>548</v>
      </c>
      <c r="X816" s="33" t="str">
        <f>+VLOOKUP(OtherClients[[#This Row],[Part]],PartControl!$A$2:$E$564,5,FALSE)</f>
        <v>INFASCO</v>
      </c>
      <c r="Y816" s="108">
        <f>IF(OtherClients[[#This Row],[Re-certified or New]]&lt;&gt;"Re-certified",IF(OtherClients[[#This Row],[Client]]="infasco",VLOOKUP(OtherClients[[#This Row],[Part]],PartControl!$A$2:$E$564,2,FALSE),OtherClients[[#This Row],[Total Quantity]]*VLOOKUP(OtherClients[[#This Row],[Part]],PartControl!$A$2:$E$564,2,FALSE)),0)</f>
        <v>106.94</v>
      </c>
      <c r="Z816" s="108">
        <f>IF(OtherClients[[#This Row],[Re-certified or New]]&lt;&gt;"Re-certified",IF(OtherClients[[#This Row],[Client]]="infasco",VLOOKUP(OtherClients[[#This Row],[Part]],PartControl!$A$2:$E$564,2,FALSE),OtherClients[[#This Row],[Total Quantity]]*VLOOKUP(OtherClients[[#This Row],[Part]],PartControl!$A$2:$E$564,2,FALSE)),0)</f>
        <v>106.94</v>
      </c>
    </row>
    <row r="817" spans="1:26" ht="25.15" hidden="1" customHeight="1" x14ac:dyDescent="0.25">
      <c r="A817" s="112">
        <v>46247.686168981483</v>
      </c>
      <c r="B817" s="5" t="s">
        <v>623</v>
      </c>
      <c r="C817" s="5" t="s">
        <v>810</v>
      </c>
      <c r="D817" s="5">
        <v>715959</v>
      </c>
      <c r="E817" s="33">
        <v>36</v>
      </c>
      <c r="F817" s="60">
        <v>660</v>
      </c>
      <c r="G817" s="60">
        <f>+OtherClients[[#This Row],[Boxes / Pieces]]*OtherClients[[#This Row],[Unit Quantity]]</f>
        <v>23760</v>
      </c>
      <c r="H817" s="60">
        <v>292</v>
      </c>
      <c r="I817" s="126" t="s">
        <v>278</v>
      </c>
      <c r="J817" s="127"/>
      <c r="K817" s="33" t="s">
        <v>278</v>
      </c>
      <c r="L817" s="125"/>
      <c r="M817" s="33" t="s">
        <v>278</v>
      </c>
      <c r="N817" s="125"/>
      <c r="O817" s="33" t="s">
        <v>278</v>
      </c>
      <c r="P817" s="125"/>
      <c r="Q817" s="33" t="s">
        <v>587</v>
      </c>
      <c r="R817" s="125"/>
      <c r="S817" s="33" t="s">
        <v>278</v>
      </c>
      <c r="T817" s="125"/>
      <c r="U817" s="33" t="s">
        <v>278</v>
      </c>
      <c r="V817" s="125"/>
      <c r="W817" s="59" t="s">
        <v>548</v>
      </c>
      <c r="X817" s="33" t="str">
        <f>+VLOOKUP(OtherClients[[#This Row],[Part]],PartControl!$A$2:$E$564,5,FALSE)</f>
        <v>INFASCO</v>
      </c>
      <c r="Y817" s="108">
        <f>IF(OtherClients[[#This Row],[Re-certified or New]]&lt;&gt;"Re-certified",IF(OtherClients[[#This Row],[Client]]="infasco",VLOOKUP(OtherClients[[#This Row],[Part]],PartControl!$A$2:$E$564,2,FALSE),OtherClients[[#This Row],[Total Quantity]]*VLOOKUP(OtherClients[[#This Row],[Part]],PartControl!$A$2:$E$564,2,FALSE)),0)</f>
        <v>106.94</v>
      </c>
      <c r="Z817" s="108">
        <f>IF(OtherClients[[#This Row],[Re-certified or New]]&lt;&gt;"Re-certified",IF(OtherClients[[#This Row],[Client]]="infasco",VLOOKUP(OtherClients[[#This Row],[Part]],PartControl!$A$2:$E$564,2,FALSE),OtherClients[[#This Row],[Total Quantity]]*VLOOKUP(OtherClients[[#This Row],[Part]],PartControl!$A$2:$E$564,2,FALSE)),0)</f>
        <v>106.94</v>
      </c>
    </row>
    <row r="818" spans="1:26" ht="25.15" hidden="1" customHeight="1" x14ac:dyDescent="0.25">
      <c r="A818" s="112">
        <v>46247.686168981483</v>
      </c>
      <c r="B818" s="5" t="s">
        <v>623</v>
      </c>
      <c r="C818" s="5" t="s">
        <v>810</v>
      </c>
      <c r="D818" s="5">
        <v>715955</v>
      </c>
      <c r="E818" s="33">
        <v>22</v>
      </c>
      <c r="F818" s="60">
        <v>660</v>
      </c>
      <c r="G818" s="60">
        <f>+OtherClients[[#This Row],[Boxes / Pieces]]*OtherClients[[#This Row],[Unit Quantity]]</f>
        <v>14520</v>
      </c>
      <c r="H818" s="60">
        <v>292</v>
      </c>
      <c r="I818" s="126" t="s">
        <v>278</v>
      </c>
      <c r="J818" s="127"/>
      <c r="K818" s="33" t="s">
        <v>278</v>
      </c>
      <c r="L818" s="125"/>
      <c r="M818" s="33" t="s">
        <v>278</v>
      </c>
      <c r="N818" s="125"/>
      <c r="O818" s="33" t="s">
        <v>278</v>
      </c>
      <c r="P818" s="125"/>
      <c r="Q818" s="33" t="s">
        <v>587</v>
      </c>
      <c r="R818" s="125"/>
      <c r="S818" s="33" t="s">
        <v>278</v>
      </c>
      <c r="T818" s="125"/>
      <c r="U818" s="33" t="s">
        <v>278</v>
      </c>
      <c r="V818" s="125"/>
      <c r="W818" s="59" t="s">
        <v>548</v>
      </c>
      <c r="X818" s="33" t="str">
        <f>+VLOOKUP(OtherClients[[#This Row],[Part]],PartControl!$A$2:$E$564,5,FALSE)</f>
        <v>INFASCO</v>
      </c>
      <c r="Y818" s="108">
        <f>IF(OtherClients[[#This Row],[Re-certified or New]]&lt;&gt;"Re-certified",IF(OtherClients[[#This Row],[Client]]="infasco",VLOOKUP(OtherClients[[#This Row],[Part]],PartControl!$A$2:$E$564,2,FALSE),OtherClients[[#This Row],[Total Quantity]]*VLOOKUP(OtherClients[[#This Row],[Part]],PartControl!$A$2:$E$564,2,FALSE)),0)</f>
        <v>106.94</v>
      </c>
      <c r="Z818" s="108">
        <f>IF(OtherClients[[#This Row],[Re-certified or New]]&lt;&gt;"Re-certified",IF(OtherClients[[#This Row],[Client]]="infasco",VLOOKUP(OtherClients[[#This Row],[Part]],PartControl!$A$2:$E$564,2,FALSE),OtherClients[[#This Row],[Total Quantity]]*VLOOKUP(OtherClients[[#This Row],[Part]],PartControl!$A$2:$E$564,2,FALSE)),0)</f>
        <v>106.94</v>
      </c>
    </row>
    <row r="819" spans="1:26" ht="25.15" hidden="1" customHeight="1" x14ac:dyDescent="0.25">
      <c r="A819" s="112">
        <v>46247.686168981483</v>
      </c>
      <c r="B819" s="5" t="s">
        <v>637</v>
      </c>
      <c r="C819" s="5">
        <v>11546449</v>
      </c>
      <c r="D819" s="5">
        <v>715759</v>
      </c>
      <c r="E819" s="33">
        <f>36-16</f>
        <v>20</v>
      </c>
      <c r="F819" s="60">
        <v>2500</v>
      </c>
      <c r="G819" s="60">
        <f>+OtherClients[[#This Row],[Boxes / Pieces]]*OtherClients[[#This Row],[Unit Quantity]]</f>
        <v>50000</v>
      </c>
      <c r="H819" s="60">
        <v>280</v>
      </c>
      <c r="I819" s="126" t="s">
        <v>278</v>
      </c>
      <c r="J819" s="127"/>
      <c r="K819" s="33" t="s">
        <v>278</v>
      </c>
      <c r="L819" s="125"/>
      <c r="M819" s="33" t="s">
        <v>278</v>
      </c>
      <c r="N819" s="125"/>
      <c r="O819" s="33" t="s">
        <v>278</v>
      </c>
      <c r="P819" s="125"/>
      <c r="Q819" s="33" t="s">
        <v>587</v>
      </c>
      <c r="R819" s="125"/>
      <c r="S819" s="33" t="s">
        <v>278</v>
      </c>
      <c r="T819" s="125"/>
      <c r="U819" s="33" t="s">
        <v>278</v>
      </c>
      <c r="V819" s="125"/>
      <c r="W819" s="59" t="s">
        <v>548</v>
      </c>
      <c r="X819" s="33" t="str">
        <f>+VLOOKUP(OtherClients[[#This Row],[Part]],PartControl!$A$2:$E$564,5,FALSE)</f>
        <v>INFASCO</v>
      </c>
      <c r="Y819" s="108">
        <f>IF(OtherClients[[#This Row],[Re-certified or New]]&lt;&gt;"Re-certified",IF(OtherClients[[#This Row],[Client]]="infasco",VLOOKUP(OtherClients[[#This Row],[Part]],PartControl!$A$2:$E$564,2,FALSE),OtherClients[[#This Row],[Total Quantity]]*VLOOKUP(OtherClients[[#This Row],[Part]],PartControl!$A$2:$E$564,2,FALSE)),0)</f>
        <v>106.94</v>
      </c>
      <c r="Z819" s="108">
        <f>IF(OtherClients[[#This Row],[Re-certified or New]]&lt;&gt;"Re-certified",IF(OtherClients[[#This Row],[Client]]="infasco",VLOOKUP(OtherClients[[#This Row],[Part]],PartControl!$A$2:$E$564,2,FALSE),OtherClients[[#This Row],[Total Quantity]]*VLOOKUP(OtherClients[[#This Row],[Part]],PartControl!$A$2:$E$564,2,FALSE)),0)</f>
        <v>106.94</v>
      </c>
    </row>
    <row r="820" spans="1:26" ht="25.15" hidden="1" customHeight="1" x14ac:dyDescent="0.25">
      <c r="A820" s="112">
        <v>46247.686168981483</v>
      </c>
      <c r="B820" s="5" t="s">
        <v>637</v>
      </c>
      <c r="C820" s="5">
        <v>11546449</v>
      </c>
      <c r="D820" s="5">
        <v>715760</v>
      </c>
      <c r="E820" s="33">
        <v>36</v>
      </c>
      <c r="F820" s="60">
        <v>2500</v>
      </c>
      <c r="G820" s="60">
        <f>+OtherClients[[#This Row],[Boxes / Pieces]]*OtherClients[[#This Row],[Unit Quantity]]</f>
        <v>90000</v>
      </c>
      <c r="H820" s="60">
        <v>280</v>
      </c>
      <c r="I820" s="126" t="s">
        <v>278</v>
      </c>
      <c r="J820" s="127"/>
      <c r="K820" s="33" t="s">
        <v>278</v>
      </c>
      <c r="L820" s="125"/>
      <c r="M820" s="33" t="s">
        <v>278</v>
      </c>
      <c r="N820" s="125"/>
      <c r="O820" s="33" t="s">
        <v>278</v>
      </c>
      <c r="P820" s="125"/>
      <c r="Q820" s="33" t="s">
        <v>587</v>
      </c>
      <c r="R820" s="125"/>
      <c r="S820" s="33" t="s">
        <v>278</v>
      </c>
      <c r="T820" s="125"/>
      <c r="U820" s="33" t="s">
        <v>278</v>
      </c>
      <c r="V820" s="125"/>
      <c r="W820" s="59" t="s">
        <v>548</v>
      </c>
      <c r="X820" s="33" t="str">
        <f>+VLOOKUP(OtherClients[[#This Row],[Part]],PartControl!$A$2:$E$564,5,FALSE)</f>
        <v>INFASCO</v>
      </c>
      <c r="Y820" s="108">
        <f>IF(OtherClients[[#This Row],[Re-certified or New]]&lt;&gt;"Re-certified",IF(OtherClients[[#This Row],[Client]]="infasco",VLOOKUP(OtherClients[[#This Row],[Part]],PartControl!$A$2:$E$564,2,FALSE),OtherClients[[#This Row],[Total Quantity]]*VLOOKUP(OtherClients[[#This Row],[Part]],PartControl!$A$2:$E$564,2,FALSE)),0)</f>
        <v>106.94</v>
      </c>
      <c r="Z820" s="108">
        <f>IF(OtherClients[[#This Row],[Re-certified or New]]&lt;&gt;"Re-certified",IF(OtherClients[[#This Row],[Client]]="infasco",VLOOKUP(OtherClients[[#This Row],[Part]],PartControl!$A$2:$E$564,2,FALSE),OtherClients[[#This Row],[Total Quantity]]*VLOOKUP(OtherClients[[#This Row],[Part]],PartControl!$A$2:$E$564,2,FALSE)),0)</f>
        <v>106.94</v>
      </c>
    </row>
    <row r="821" spans="1:26" ht="25.15" hidden="1" customHeight="1" x14ac:dyDescent="0.25">
      <c r="A821" s="112">
        <v>46247.686168981483</v>
      </c>
      <c r="B821" s="5" t="s">
        <v>637</v>
      </c>
      <c r="C821" s="5">
        <v>11546449</v>
      </c>
      <c r="D821" s="5">
        <v>715752</v>
      </c>
      <c r="E821" s="33">
        <v>36</v>
      </c>
      <c r="F821" s="60">
        <v>2500</v>
      </c>
      <c r="G821" s="60">
        <f>+OtherClients[[#This Row],[Boxes / Pieces]]*OtherClients[[#This Row],[Unit Quantity]]</f>
        <v>90000</v>
      </c>
      <c r="H821" s="60">
        <v>280</v>
      </c>
      <c r="I821" s="126" t="s">
        <v>278</v>
      </c>
      <c r="J821" s="127"/>
      <c r="K821" s="33" t="s">
        <v>278</v>
      </c>
      <c r="L821" s="125"/>
      <c r="M821" s="33" t="s">
        <v>278</v>
      </c>
      <c r="N821" s="125"/>
      <c r="O821" s="33" t="s">
        <v>278</v>
      </c>
      <c r="P821" s="125"/>
      <c r="Q821" s="33" t="s">
        <v>587</v>
      </c>
      <c r="R821" s="125"/>
      <c r="S821" s="33" t="s">
        <v>278</v>
      </c>
      <c r="T821" s="125"/>
      <c r="U821" s="33" t="s">
        <v>278</v>
      </c>
      <c r="V821" s="125"/>
      <c r="W821" s="59" t="s">
        <v>548</v>
      </c>
      <c r="X821" s="33" t="str">
        <f>+VLOOKUP(OtherClients[[#This Row],[Part]],PartControl!$A$2:$E$564,5,FALSE)</f>
        <v>INFASCO</v>
      </c>
      <c r="Y821" s="108">
        <f>IF(OtherClients[[#This Row],[Re-certified or New]]&lt;&gt;"Re-certified",IF(OtherClients[[#This Row],[Client]]="infasco",VLOOKUP(OtherClients[[#This Row],[Part]],PartControl!$A$2:$E$564,2,FALSE),OtherClients[[#This Row],[Total Quantity]]*VLOOKUP(OtherClients[[#This Row],[Part]],PartControl!$A$2:$E$564,2,FALSE)),0)</f>
        <v>106.94</v>
      </c>
      <c r="Z821" s="108">
        <f>IF(OtherClients[[#This Row],[Re-certified or New]]&lt;&gt;"Re-certified",IF(OtherClients[[#This Row],[Client]]="infasco",VLOOKUP(OtherClients[[#This Row],[Part]],PartControl!$A$2:$E$564,2,FALSE),OtherClients[[#This Row],[Total Quantity]]*VLOOKUP(OtherClients[[#This Row],[Part]],PartControl!$A$2:$E$564,2,FALSE)),0)</f>
        <v>106.94</v>
      </c>
    </row>
    <row r="822" spans="1:26" ht="25.15" hidden="1" customHeight="1" x14ac:dyDescent="0.25">
      <c r="A822" s="112">
        <v>46247.686168981483</v>
      </c>
      <c r="B822" s="5" t="s">
        <v>636</v>
      </c>
      <c r="C822" s="5">
        <v>11549168</v>
      </c>
      <c r="D822" s="5">
        <v>713689</v>
      </c>
      <c r="E822" s="33">
        <v>36</v>
      </c>
      <c r="F822" s="60">
        <v>1000</v>
      </c>
      <c r="G822" s="60">
        <f>+OtherClients[[#This Row],[Boxes / Pieces]]*OtherClients[[#This Row],[Unit Quantity]]</f>
        <v>36000</v>
      </c>
      <c r="H822" s="60">
        <v>280</v>
      </c>
      <c r="I822" s="126" t="s">
        <v>278</v>
      </c>
      <c r="J822" s="127"/>
      <c r="K822" s="33" t="s">
        <v>278</v>
      </c>
      <c r="L822" s="125"/>
      <c r="M822" s="33" t="s">
        <v>278</v>
      </c>
      <c r="N822" s="125"/>
      <c r="O822" s="33" t="s">
        <v>278</v>
      </c>
      <c r="P822" s="125"/>
      <c r="Q822" s="33" t="s">
        <v>587</v>
      </c>
      <c r="R822" s="125"/>
      <c r="S822" s="33" t="s">
        <v>278</v>
      </c>
      <c r="T822" s="125"/>
      <c r="U822" s="33" t="s">
        <v>278</v>
      </c>
      <c r="V822" s="125"/>
      <c r="W822" s="59" t="s">
        <v>548</v>
      </c>
      <c r="X822" s="33" t="str">
        <f>+VLOOKUP(OtherClients[[#This Row],[Part]],PartControl!$A$2:$E$564,5,FALSE)</f>
        <v>INFASCO</v>
      </c>
      <c r="Y822" s="108">
        <f>IF(OtherClients[[#This Row],[Re-certified or New]]&lt;&gt;"Re-certified",IF(OtherClients[[#This Row],[Client]]="infasco",VLOOKUP(OtherClients[[#This Row],[Part]],PartControl!$A$2:$E$564,2,FALSE),OtherClients[[#This Row],[Total Quantity]]*VLOOKUP(OtherClients[[#This Row],[Part]],PartControl!$A$2:$E$564,2,FALSE)),0)</f>
        <v>106.94</v>
      </c>
      <c r="Z822" s="108">
        <f>IF(OtherClients[[#This Row],[Re-certified or New]]&lt;&gt;"Re-certified",IF(OtherClients[[#This Row],[Client]]="infasco",VLOOKUP(OtherClients[[#This Row],[Part]],PartControl!$A$2:$E$564,2,FALSE),OtherClients[[#This Row],[Total Quantity]]*VLOOKUP(OtherClients[[#This Row],[Part]],PartControl!$A$2:$E$564,2,FALSE)),0)</f>
        <v>106.94</v>
      </c>
    </row>
    <row r="823" spans="1:26" ht="25.15" hidden="1" customHeight="1" x14ac:dyDescent="0.25">
      <c r="A823" s="112">
        <v>46247.686168981483</v>
      </c>
      <c r="B823" s="5" t="s">
        <v>634</v>
      </c>
      <c r="C823" s="5">
        <v>11546449</v>
      </c>
      <c r="D823" s="5">
        <v>715757</v>
      </c>
      <c r="E823" s="33">
        <f>36-6</f>
        <v>30</v>
      </c>
      <c r="F823" s="60">
        <v>2500</v>
      </c>
      <c r="G823" s="60">
        <f>+OtherClients[[#This Row],[Boxes / Pieces]]*OtherClients[[#This Row],[Unit Quantity]]</f>
        <v>75000</v>
      </c>
      <c r="H823" s="60">
        <v>280</v>
      </c>
      <c r="I823" s="126" t="s">
        <v>278</v>
      </c>
      <c r="J823" s="127"/>
      <c r="K823" s="33" t="s">
        <v>278</v>
      </c>
      <c r="L823" s="125"/>
      <c r="M823" s="33" t="s">
        <v>278</v>
      </c>
      <c r="N823" s="125"/>
      <c r="O823" s="33" t="s">
        <v>278</v>
      </c>
      <c r="P823" s="125"/>
      <c r="Q823" s="33" t="s">
        <v>587</v>
      </c>
      <c r="R823" s="125"/>
      <c r="S823" s="33" t="s">
        <v>278</v>
      </c>
      <c r="T823" s="125"/>
      <c r="U823" s="33" t="s">
        <v>278</v>
      </c>
      <c r="V823" s="125"/>
      <c r="W823" s="59" t="s">
        <v>548</v>
      </c>
      <c r="X823" s="33" t="str">
        <f>+VLOOKUP(OtherClients[[#This Row],[Part]],PartControl!$A$2:$E$564,5,FALSE)</f>
        <v>INFASCO</v>
      </c>
      <c r="Y823" s="108">
        <f>IF(OtherClients[[#This Row],[Re-certified or New]]&lt;&gt;"Re-certified",IF(OtherClients[[#This Row],[Client]]="infasco",VLOOKUP(OtherClients[[#This Row],[Part]],PartControl!$A$2:$E$564,2,FALSE),OtherClients[[#This Row],[Total Quantity]]*VLOOKUP(OtherClients[[#This Row],[Part]],PartControl!$A$2:$E$564,2,FALSE)),0)</f>
        <v>106.94</v>
      </c>
      <c r="Z823" s="108">
        <f>IF(OtherClients[[#This Row],[Re-certified or New]]&lt;&gt;"Re-certified",IF(OtherClients[[#This Row],[Client]]="infasco",VLOOKUP(OtherClients[[#This Row],[Part]],PartControl!$A$2:$E$564,2,FALSE),OtherClients[[#This Row],[Total Quantity]]*VLOOKUP(OtherClients[[#This Row],[Part]],PartControl!$A$2:$E$564,2,FALSE)),0)</f>
        <v>106.94</v>
      </c>
    </row>
    <row r="824" spans="1:26" ht="25.15" hidden="1" customHeight="1" x14ac:dyDescent="0.25">
      <c r="A824" s="112">
        <v>46247.686168981483</v>
      </c>
      <c r="B824" s="5" t="s">
        <v>635</v>
      </c>
      <c r="C824" s="5">
        <v>11546449</v>
      </c>
      <c r="D824" s="5">
        <v>715761</v>
      </c>
      <c r="E824" s="33">
        <f>25-8</f>
        <v>17</v>
      </c>
      <c r="F824" s="60">
        <v>2500</v>
      </c>
      <c r="G824" s="60">
        <f>+OtherClients[[#This Row],[Boxes / Pieces]]*OtherClients[[#This Row],[Unit Quantity]]</f>
        <v>42500</v>
      </c>
      <c r="H824" s="60">
        <v>280</v>
      </c>
      <c r="I824" s="126" t="s">
        <v>278</v>
      </c>
      <c r="J824" s="127"/>
      <c r="K824" s="33" t="s">
        <v>278</v>
      </c>
      <c r="L824" s="125"/>
      <c r="M824" s="33" t="s">
        <v>278</v>
      </c>
      <c r="N824" s="125"/>
      <c r="O824" s="33" t="s">
        <v>278</v>
      </c>
      <c r="P824" s="125"/>
      <c r="Q824" s="33" t="s">
        <v>587</v>
      </c>
      <c r="R824" s="125"/>
      <c r="S824" s="33" t="s">
        <v>278</v>
      </c>
      <c r="T824" s="125"/>
      <c r="U824" s="33" t="s">
        <v>278</v>
      </c>
      <c r="V824" s="125"/>
      <c r="W824" s="59" t="s">
        <v>548</v>
      </c>
      <c r="X824" s="33" t="str">
        <f>+VLOOKUP(OtherClients[[#This Row],[Part]],PartControl!$A$2:$E$564,5,FALSE)</f>
        <v>INFASCO</v>
      </c>
      <c r="Y824" s="108">
        <f>IF(OtherClients[[#This Row],[Re-certified or New]]&lt;&gt;"Re-certified",IF(OtherClients[[#This Row],[Client]]="infasco",VLOOKUP(OtherClients[[#This Row],[Part]],PartControl!$A$2:$E$564,2,FALSE),OtherClients[[#This Row],[Total Quantity]]*VLOOKUP(OtherClients[[#This Row],[Part]],PartControl!$A$2:$E$564,2,FALSE)),0)</f>
        <v>106.94</v>
      </c>
      <c r="Z824" s="108">
        <f>IF(OtherClients[[#This Row],[Re-certified or New]]&lt;&gt;"Re-certified",IF(OtherClients[[#This Row],[Client]]="infasco",VLOOKUP(OtherClients[[#This Row],[Part]],PartControl!$A$2:$E$564,2,FALSE),OtherClients[[#This Row],[Total Quantity]]*VLOOKUP(OtherClients[[#This Row],[Part]],PartControl!$A$2:$E$564,2,FALSE)),0)</f>
        <v>106.94</v>
      </c>
    </row>
    <row r="825" spans="1:26" ht="25.15" hidden="1" customHeight="1" x14ac:dyDescent="0.25">
      <c r="A825" s="112">
        <v>46247.686168981483</v>
      </c>
      <c r="B825" s="5" t="s">
        <v>635</v>
      </c>
      <c r="C825" s="5">
        <v>11546545</v>
      </c>
      <c r="D825" s="5">
        <v>716269</v>
      </c>
      <c r="E825" s="33">
        <v>18</v>
      </c>
      <c r="F825" s="60">
        <v>2500</v>
      </c>
      <c r="G825" s="60">
        <f>+OtherClients[[#This Row],[Boxes / Pieces]]*OtherClients[[#This Row],[Unit Quantity]]</f>
        <v>45000</v>
      </c>
      <c r="H825" s="60">
        <v>280</v>
      </c>
      <c r="I825" s="126" t="s">
        <v>278</v>
      </c>
      <c r="J825" s="127"/>
      <c r="K825" s="33" t="s">
        <v>278</v>
      </c>
      <c r="L825" s="125"/>
      <c r="M825" s="33" t="s">
        <v>278</v>
      </c>
      <c r="N825" s="125"/>
      <c r="O825" s="33" t="s">
        <v>278</v>
      </c>
      <c r="P825" s="125"/>
      <c r="Q825" s="33" t="s">
        <v>587</v>
      </c>
      <c r="R825" s="125"/>
      <c r="S825" s="33" t="s">
        <v>278</v>
      </c>
      <c r="T825" s="125"/>
      <c r="U825" s="33" t="s">
        <v>278</v>
      </c>
      <c r="V825" s="125"/>
      <c r="W825" s="59" t="s">
        <v>633</v>
      </c>
      <c r="X825" s="33" t="str">
        <f>+VLOOKUP(OtherClients[[#This Row],[Part]],PartControl!$A$2:$E$564,5,FALSE)</f>
        <v>infasco</v>
      </c>
      <c r="Y825" s="108">
        <f>IF(OtherClients[[#This Row],[Re-certified or New]]&lt;&gt;"Re-certified",IF(OtherClients[[#This Row],[Client]]="infasco",VLOOKUP(OtherClients[[#This Row],[Part]],PartControl!$A$2:$E$564,2,FALSE),OtherClients[[#This Row],[Total Quantity]]*VLOOKUP(OtherClients[[#This Row],[Part]],PartControl!$A$2:$E$564,2,FALSE)),0)</f>
        <v>0</v>
      </c>
      <c r="Z825" s="108">
        <f>IF(OtherClients[[#This Row],[Re-certified or New]]&lt;&gt;"Re-certified",IF(OtherClients[[#This Row],[Client]]="infasco",VLOOKUP(OtherClients[[#This Row],[Part]],PartControl!$A$2:$E$564,2,FALSE),OtherClients[[#This Row],[Total Quantity]]*VLOOKUP(OtherClients[[#This Row],[Part]],PartControl!$A$2:$E$564,2,FALSE)),0)</f>
        <v>0</v>
      </c>
    </row>
    <row r="826" spans="1:26" ht="25.15" hidden="1" customHeight="1" x14ac:dyDescent="0.25">
      <c r="A826" s="112">
        <v>46247.686168981483</v>
      </c>
      <c r="B826" s="5" t="s">
        <v>246</v>
      </c>
      <c r="C826" s="5" t="s">
        <v>732</v>
      </c>
      <c r="D826" s="5">
        <v>710830</v>
      </c>
      <c r="E826" s="33">
        <v>16</v>
      </c>
      <c r="F826" s="60">
        <v>1000</v>
      </c>
      <c r="G826" s="60">
        <f>+OtherClients[[#This Row],[Boxes / Pieces]]*OtherClients[[#This Row],[Unit Quantity]]</f>
        <v>16000</v>
      </c>
      <c r="H826" s="60">
        <v>272</v>
      </c>
      <c r="I826" s="126" t="s">
        <v>278</v>
      </c>
      <c r="J826" s="127"/>
      <c r="K826" s="33" t="s">
        <v>278</v>
      </c>
      <c r="L826" s="125"/>
      <c r="M826" s="33" t="s">
        <v>278</v>
      </c>
      <c r="N826" s="125"/>
      <c r="O826" s="33" t="s">
        <v>278</v>
      </c>
      <c r="P826" s="125"/>
      <c r="Q826" s="33" t="s">
        <v>587</v>
      </c>
      <c r="R826" s="125"/>
      <c r="S826" s="33" t="s">
        <v>278</v>
      </c>
      <c r="T826" s="125"/>
      <c r="U826" s="33" t="s">
        <v>278</v>
      </c>
      <c r="V826" s="125"/>
      <c r="W826" s="59" t="s">
        <v>548</v>
      </c>
      <c r="X826" s="33" t="str">
        <f>+VLOOKUP(OtherClients[[#This Row],[Part]],PartControl!$A$2:$E$564,5,FALSE)</f>
        <v>infasco</v>
      </c>
      <c r="Y826" s="108">
        <f>IF(OtherClients[[#This Row],[Re-certified or New]]&lt;&gt;"Re-certified",IF(OtherClients[[#This Row],[Client]]="infasco",VLOOKUP(OtherClients[[#This Row],[Part]],PartControl!$A$2:$E$564,2,FALSE),OtherClients[[#This Row],[Total Quantity]]*VLOOKUP(OtherClients[[#This Row],[Part]],PartControl!$A$2:$E$564,2,FALSE)),0)</f>
        <v>213.88</v>
      </c>
      <c r="Z826" s="108">
        <f>IF(OtherClients[[#This Row],[Re-certified or New]]&lt;&gt;"Re-certified",IF(OtherClients[[#This Row],[Client]]="infasco",VLOOKUP(OtherClients[[#This Row],[Part]],PartControl!$A$2:$E$564,2,FALSE),OtherClients[[#This Row],[Total Quantity]]*VLOOKUP(OtherClients[[#This Row],[Part]],PartControl!$A$2:$E$564,2,FALSE)),0)</f>
        <v>213.88</v>
      </c>
    </row>
    <row r="827" spans="1:26" ht="25.15" hidden="1" customHeight="1" x14ac:dyDescent="0.25">
      <c r="A827" s="112">
        <v>46247.686168981483</v>
      </c>
      <c r="B827" s="5" t="s">
        <v>246</v>
      </c>
      <c r="C827" s="5" t="s">
        <v>732</v>
      </c>
      <c r="D827" s="5">
        <v>707998</v>
      </c>
      <c r="E827" s="33">
        <v>56</v>
      </c>
      <c r="F827" s="60">
        <v>1000</v>
      </c>
      <c r="G827" s="60">
        <f>+OtherClients[[#This Row],[Boxes / Pieces]]*OtherClients[[#This Row],[Unit Quantity]]</f>
        <v>56000</v>
      </c>
      <c r="H827" s="60">
        <v>272</v>
      </c>
      <c r="I827" s="126" t="s">
        <v>278</v>
      </c>
      <c r="J827" s="127"/>
      <c r="K827" s="33" t="s">
        <v>278</v>
      </c>
      <c r="L827" s="125"/>
      <c r="M827" s="33" t="s">
        <v>278</v>
      </c>
      <c r="N827" s="125"/>
      <c r="O827" s="33" t="s">
        <v>278</v>
      </c>
      <c r="P827" s="125"/>
      <c r="Q827" s="33" t="s">
        <v>587</v>
      </c>
      <c r="R827" s="125"/>
      <c r="S827" s="33" t="s">
        <v>278</v>
      </c>
      <c r="T827" s="125"/>
      <c r="U827" s="33" t="s">
        <v>278</v>
      </c>
      <c r="V827" s="125"/>
      <c r="W827" s="59" t="s">
        <v>548</v>
      </c>
      <c r="X827" s="33" t="str">
        <f>+VLOOKUP(OtherClients[[#This Row],[Part]],PartControl!$A$2:$E$564,5,FALSE)</f>
        <v>infasco</v>
      </c>
      <c r="Y827" s="108">
        <f>IF(OtherClients[[#This Row],[Re-certified or New]]&lt;&gt;"Re-certified",IF(OtherClients[[#This Row],[Client]]="infasco",VLOOKUP(OtherClients[[#This Row],[Part]],PartControl!$A$2:$E$564,2,FALSE),OtherClients[[#This Row],[Total Quantity]]*VLOOKUP(OtherClients[[#This Row],[Part]],PartControl!$A$2:$E$564,2,FALSE)),0)</f>
        <v>213.88</v>
      </c>
      <c r="Z827" s="108">
        <f>IF(OtherClients[[#This Row],[Re-certified or New]]&lt;&gt;"Re-certified",IF(OtherClients[[#This Row],[Client]]="infasco",VLOOKUP(OtherClients[[#This Row],[Part]],PartControl!$A$2:$E$564,2,FALSE),OtherClients[[#This Row],[Total Quantity]]*VLOOKUP(OtherClients[[#This Row],[Part]],PartControl!$A$2:$E$564,2,FALSE)),0)</f>
        <v>213.88</v>
      </c>
    </row>
    <row r="828" spans="1:26" ht="25.15" hidden="1" customHeight="1" x14ac:dyDescent="0.25">
      <c r="A828" s="112">
        <v>46247.686168981483</v>
      </c>
      <c r="B828" s="5" t="s">
        <v>249</v>
      </c>
      <c r="C828" s="5">
        <v>11612078</v>
      </c>
      <c r="D828" s="5">
        <v>710173</v>
      </c>
      <c r="E828" s="33">
        <v>19</v>
      </c>
      <c r="F828" s="60">
        <v>1850</v>
      </c>
      <c r="G828" s="60">
        <f>+OtherClients[[#This Row],[Boxes / Pieces]]*OtherClients[[#This Row],[Unit Quantity]]</f>
        <v>35150</v>
      </c>
      <c r="H828" s="60">
        <v>4</v>
      </c>
      <c r="I828" s="126" t="s">
        <v>278</v>
      </c>
      <c r="J828" s="127"/>
      <c r="K828" s="33" t="s">
        <v>278</v>
      </c>
      <c r="L828" s="125"/>
      <c r="M828" s="33" t="s">
        <v>278</v>
      </c>
      <c r="N828" s="125"/>
      <c r="O828" s="33" t="s">
        <v>278</v>
      </c>
      <c r="P828" s="125"/>
      <c r="Q828" s="33" t="s">
        <v>587</v>
      </c>
      <c r="R828" s="125"/>
      <c r="S828" s="33" t="s">
        <v>278</v>
      </c>
      <c r="T828" s="125"/>
      <c r="U828" s="33" t="s">
        <v>278</v>
      </c>
      <c r="V828" s="125"/>
      <c r="W828" s="59" t="s">
        <v>633</v>
      </c>
      <c r="X828" s="33" t="str">
        <f>+VLOOKUP(OtherClients[[#This Row],[Part]],PartControl!$A$2:$E$564,5,FALSE)</f>
        <v>infasco</v>
      </c>
      <c r="Y828" s="108">
        <f>IF(OtherClients[[#This Row],[Re-certified or New]]&lt;&gt;"Re-certified",IF(OtherClients[[#This Row],[Client]]="infasco",VLOOKUP(OtherClients[[#This Row],[Part]],PartControl!$A$2:$E$564,2,FALSE),OtherClients[[#This Row],[Total Quantity]]*VLOOKUP(OtherClients[[#This Row],[Part]],PartControl!$A$2:$E$564,2,FALSE)),0)</f>
        <v>0</v>
      </c>
      <c r="Z828" s="108">
        <f>IF(OtherClients[[#This Row],[Re-certified or New]]&lt;&gt;"Re-certified",IF(OtherClients[[#This Row],[Client]]="infasco",VLOOKUP(OtherClients[[#This Row],[Part]],PartControl!$A$2:$E$564,2,FALSE),OtherClients[[#This Row],[Total Quantity]]*VLOOKUP(OtherClients[[#This Row],[Part]],PartControl!$A$2:$E$564,2,FALSE)),0)</f>
        <v>0</v>
      </c>
    </row>
    <row r="829" spans="1:26" ht="25.15" hidden="1" customHeight="1" x14ac:dyDescent="0.25">
      <c r="A829" s="112">
        <v>46247.686168981483</v>
      </c>
      <c r="B829" s="5" t="s">
        <v>342</v>
      </c>
      <c r="C829" s="5">
        <v>94012078</v>
      </c>
      <c r="D829" s="5">
        <v>714720</v>
      </c>
      <c r="E829" s="33">
        <v>24</v>
      </c>
      <c r="F829" s="60">
        <v>100</v>
      </c>
      <c r="G829" s="60">
        <f>+OtherClients[[#This Row],[Boxes / Pieces]]*OtherClients[[#This Row],[Unit Quantity]]</f>
        <v>2400</v>
      </c>
      <c r="H829" s="60" t="s">
        <v>811</v>
      </c>
      <c r="I829" s="126" t="s">
        <v>278</v>
      </c>
      <c r="J829" s="127"/>
      <c r="K829" s="33" t="s">
        <v>278</v>
      </c>
      <c r="L829" s="125"/>
      <c r="M829" s="33" t="s">
        <v>278</v>
      </c>
      <c r="N829" s="125"/>
      <c r="O829" s="33" t="s">
        <v>278</v>
      </c>
      <c r="P829" s="125"/>
      <c r="Q829" s="33" t="s">
        <v>587</v>
      </c>
      <c r="R829" s="125"/>
      <c r="S829" s="33" t="s">
        <v>278</v>
      </c>
      <c r="T829" s="125"/>
      <c r="U829" s="33" t="s">
        <v>278</v>
      </c>
      <c r="V829" s="125"/>
      <c r="W829" s="59" t="s">
        <v>548</v>
      </c>
      <c r="X829" s="33" t="str">
        <f>+VLOOKUP(OtherClients[[#This Row],[Part]],PartControl!$A$2:$E$564,5,FALSE)</f>
        <v>infasco</v>
      </c>
      <c r="Y829" s="108">
        <f>IF(OtherClients[[#This Row],[Re-certified or New]]&lt;&gt;"Re-certified",IF(OtherClients[[#This Row],[Client]]="infasco",VLOOKUP(OtherClients[[#This Row],[Part]],PartControl!$A$2:$E$564,2,FALSE),OtherClients[[#This Row],[Total Quantity]]*VLOOKUP(OtherClients[[#This Row],[Part]],PartControl!$A$2:$E$564,2,FALSE)),0)</f>
        <v>55.73</v>
      </c>
      <c r="Z829" s="108">
        <f>IF(OtherClients[[#This Row],[Re-certified or New]]&lt;&gt;"Re-certified",IF(OtherClients[[#This Row],[Client]]="infasco",VLOOKUP(OtherClients[[#This Row],[Part]],PartControl!$A$2:$E$564,2,FALSE),OtherClients[[#This Row],[Total Quantity]]*VLOOKUP(OtherClients[[#This Row],[Part]],PartControl!$A$2:$E$564,2,FALSE)),0)</f>
        <v>55.73</v>
      </c>
    </row>
    <row r="830" spans="1:26" ht="25.15" hidden="1" customHeight="1" x14ac:dyDescent="0.25">
      <c r="A830" s="112">
        <v>46247.686168981483</v>
      </c>
      <c r="B830" s="5" t="s">
        <v>342</v>
      </c>
      <c r="C830" s="5">
        <v>11546703</v>
      </c>
      <c r="D830" s="5">
        <v>713852</v>
      </c>
      <c r="E830" s="33">
        <v>31</v>
      </c>
      <c r="F830" s="60">
        <v>4000</v>
      </c>
      <c r="G830" s="60">
        <f>+OtherClients[[#This Row],[Boxes / Pieces]]*OtherClients[[#This Row],[Unit Quantity]]</f>
        <v>124000</v>
      </c>
      <c r="H830" s="60" t="s">
        <v>811</v>
      </c>
      <c r="I830" s="126" t="s">
        <v>278</v>
      </c>
      <c r="J830" s="127"/>
      <c r="K830" s="33" t="s">
        <v>278</v>
      </c>
      <c r="L830" s="125"/>
      <c r="M830" s="33" t="s">
        <v>278</v>
      </c>
      <c r="N830" s="125"/>
      <c r="O830" s="33" t="s">
        <v>278</v>
      </c>
      <c r="P830" s="125"/>
      <c r="Q830" s="33" t="s">
        <v>587</v>
      </c>
      <c r="R830" s="125"/>
      <c r="S830" s="33" t="s">
        <v>278</v>
      </c>
      <c r="T830" s="125"/>
      <c r="U830" s="33" t="s">
        <v>278</v>
      </c>
      <c r="V830" s="125"/>
      <c r="W830" s="59" t="s">
        <v>548</v>
      </c>
      <c r="X830" s="33" t="str">
        <f>+VLOOKUP(OtherClients[[#This Row],[Part]],PartControl!$A$2:$E$564,5,FALSE)</f>
        <v>infasco</v>
      </c>
      <c r="Y830" s="108">
        <f>IF(OtherClients[[#This Row],[Re-certified or New]]&lt;&gt;"Re-certified",IF(OtherClients[[#This Row],[Client]]="infasco",VLOOKUP(OtherClients[[#This Row],[Part]],PartControl!$A$2:$E$564,2,FALSE),OtherClients[[#This Row],[Total Quantity]]*VLOOKUP(OtherClients[[#This Row],[Part]],PartControl!$A$2:$E$564,2,FALSE)),0)</f>
        <v>135.07999999999998</v>
      </c>
      <c r="Z830" s="108">
        <f>IF(OtherClients[[#This Row],[Re-certified or New]]&lt;&gt;"Re-certified",IF(OtherClients[[#This Row],[Client]]="infasco",VLOOKUP(OtherClients[[#This Row],[Part]],PartControl!$A$2:$E$564,2,FALSE),OtherClients[[#This Row],[Total Quantity]]*VLOOKUP(OtherClients[[#This Row],[Part]],PartControl!$A$2:$E$564,2,FALSE)),0)</f>
        <v>135.07999999999998</v>
      </c>
    </row>
    <row r="831" spans="1:26" ht="25.15" hidden="1" customHeight="1" x14ac:dyDescent="0.25">
      <c r="A831" s="112">
        <v>46247.686168981483</v>
      </c>
      <c r="B831" s="5" t="s">
        <v>342</v>
      </c>
      <c r="C831" s="5">
        <v>11546571</v>
      </c>
      <c r="D831" s="5">
        <v>716000</v>
      </c>
      <c r="E831" s="33">
        <v>34</v>
      </c>
      <c r="F831" s="60">
        <v>1550</v>
      </c>
      <c r="G831" s="60">
        <f>+OtherClients[[#This Row],[Boxes / Pieces]]*OtherClients[[#This Row],[Unit Quantity]]</f>
        <v>52700</v>
      </c>
      <c r="H831" s="60" t="s">
        <v>811</v>
      </c>
      <c r="I831" s="126" t="s">
        <v>278</v>
      </c>
      <c r="J831" s="127"/>
      <c r="K831" s="33" t="s">
        <v>278</v>
      </c>
      <c r="L831" s="125"/>
      <c r="M831" s="33" t="s">
        <v>278</v>
      </c>
      <c r="N831" s="125"/>
      <c r="O831" s="33" t="s">
        <v>278</v>
      </c>
      <c r="P831" s="125"/>
      <c r="Q831" s="33" t="s">
        <v>587</v>
      </c>
      <c r="R831" s="125"/>
      <c r="S831" s="33" t="s">
        <v>278</v>
      </c>
      <c r="T831" s="125"/>
      <c r="U831" s="33" t="s">
        <v>278</v>
      </c>
      <c r="V831" s="125"/>
      <c r="W831" s="59" t="s">
        <v>548</v>
      </c>
      <c r="X831" s="33" t="str">
        <f>+VLOOKUP(OtherClients[[#This Row],[Part]],PartControl!$A$2:$E$564,5,FALSE)</f>
        <v>infasco</v>
      </c>
      <c r="Y831" s="108">
        <f>IF(OtherClients[[#This Row],[Re-certified or New]]&lt;&gt;"Re-certified",IF(OtherClients[[#This Row],[Client]]="infasco",VLOOKUP(OtherClients[[#This Row],[Part]],PartControl!$A$2:$E$564,2,FALSE),OtherClients[[#This Row],[Total Quantity]]*VLOOKUP(OtherClients[[#This Row],[Part]],PartControl!$A$2:$E$564,2,FALSE)),0)</f>
        <v>135.07999999999998</v>
      </c>
      <c r="Z831" s="108">
        <f>IF(OtherClients[[#This Row],[Re-certified or New]]&lt;&gt;"Re-certified",IF(OtherClients[[#This Row],[Client]]="infasco",VLOOKUP(OtherClients[[#This Row],[Part]],PartControl!$A$2:$E$564,2,FALSE),OtherClients[[#This Row],[Total Quantity]]*VLOOKUP(OtherClients[[#This Row],[Part]],PartControl!$A$2:$E$564,2,FALSE)),0)</f>
        <v>135.07999999999998</v>
      </c>
    </row>
    <row r="832" spans="1:26" ht="25.15" hidden="1" customHeight="1" x14ac:dyDescent="0.25">
      <c r="A832" s="112">
        <v>46247.686168981483</v>
      </c>
      <c r="B832" s="5" t="s">
        <v>342</v>
      </c>
      <c r="C832" s="5" t="s">
        <v>732</v>
      </c>
      <c r="D832" s="5">
        <v>711863</v>
      </c>
      <c r="E832" s="33">
        <v>42</v>
      </c>
      <c r="F832" s="60">
        <v>1000</v>
      </c>
      <c r="G832" s="60">
        <f>+OtherClients[[#This Row],[Boxes / Pieces]]*OtherClients[[#This Row],[Unit Quantity]]</f>
        <v>42000</v>
      </c>
      <c r="H832" s="60" t="s">
        <v>811</v>
      </c>
      <c r="I832" s="126" t="s">
        <v>278</v>
      </c>
      <c r="J832" s="127"/>
      <c r="K832" s="33" t="s">
        <v>278</v>
      </c>
      <c r="L832" s="125"/>
      <c r="M832" s="33" t="s">
        <v>278</v>
      </c>
      <c r="N832" s="125"/>
      <c r="O832" s="33" t="s">
        <v>278</v>
      </c>
      <c r="P832" s="125"/>
      <c r="Q832" s="33" t="s">
        <v>587</v>
      </c>
      <c r="R832" s="125"/>
      <c r="S832" s="33" t="s">
        <v>278</v>
      </c>
      <c r="T832" s="125"/>
      <c r="U832" s="33" t="s">
        <v>278</v>
      </c>
      <c r="V832" s="125"/>
      <c r="W832" s="59" t="s">
        <v>548</v>
      </c>
      <c r="X832" s="33" t="str">
        <f>+VLOOKUP(OtherClients[[#This Row],[Part]],PartControl!$A$2:$E$564,5,FALSE)</f>
        <v>infasco</v>
      </c>
      <c r="Y832" s="108">
        <f>IF(OtherClients[[#This Row],[Re-certified or New]]&lt;&gt;"Re-certified",IF(OtherClients[[#This Row],[Client]]="infasco",VLOOKUP(OtherClients[[#This Row],[Part]],PartControl!$A$2:$E$564,2,FALSE),OtherClients[[#This Row],[Total Quantity]]*VLOOKUP(OtherClients[[#This Row],[Part]],PartControl!$A$2:$E$564,2,FALSE)),0)</f>
        <v>213.88</v>
      </c>
      <c r="Z832" s="108">
        <f>IF(OtherClients[[#This Row],[Re-certified or New]]&lt;&gt;"Re-certified",IF(OtherClients[[#This Row],[Client]]="infasco",VLOOKUP(OtherClients[[#This Row],[Part]],PartControl!$A$2:$E$564,2,FALSE),OtherClients[[#This Row],[Total Quantity]]*VLOOKUP(OtherClients[[#This Row],[Part]],PartControl!$A$2:$E$564,2,FALSE)),0)</f>
        <v>213.88</v>
      </c>
    </row>
    <row r="833" spans="1:26" ht="25.15" hidden="1" customHeight="1" x14ac:dyDescent="0.25">
      <c r="A833" s="112">
        <v>46247.686168981483</v>
      </c>
      <c r="B833" s="5" t="s">
        <v>342</v>
      </c>
      <c r="C833" s="5" t="s">
        <v>674</v>
      </c>
      <c r="D833" s="5">
        <v>715846</v>
      </c>
      <c r="E833" s="33">
        <v>36</v>
      </c>
      <c r="F833" s="60">
        <v>750</v>
      </c>
      <c r="G833" s="60">
        <f>+OtherClients[[#This Row],[Boxes / Pieces]]*OtherClients[[#This Row],[Unit Quantity]]</f>
        <v>27000</v>
      </c>
      <c r="H833" s="60" t="s">
        <v>811</v>
      </c>
      <c r="I833" s="126" t="s">
        <v>278</v>
      </c>
      <c r="J833" s="127"/>
      <c r="K833" s="33" t="s">
        <v>278</v>
      </c>
      <c r="L833" s="125"/>
      <c r="M833" s="33" t="s">
        <v>278</v>
      </c>
      <c r="N833" s="125"/>
      <c r="O833" s="33" t="s">
        <v>278</v>
      </c>
      <c r="P833" s="125"/>
      <c r="Q833" s="33" t="s">
        <v>587</v>
      </c>
      <c r="R833" s="125"/>
      <c r="S833" s="33" t="s">
        <v>278</v>
      </c>
      <c r="T833" s="125"/>
      <c r="U833" s="33" t="s">
        <v>278</v>
      </c>
      <c r="V833" s="125"/>
      <c r="W833" s="59" t="s">
        <v>548</v>
      </c>
      <c r="X833" s="33" t="str">
        <f>+VLOOKUP(OtherClients[[#This Row],[Part]],PartControl!$A$2:$E$564,5,FALSE)</f>
        <v>infasco</v>
      </c>
      <c r="Y833" s="108">
        <f>IF(OtherClients[[#This Row],[Re-certified or New]]&lt;&gt;"Re-certified",IF(OtherClients[[#This Row],[Client]]="infasco",VLOOKUP(OtherClients[[#This Row],[Part]],PartControl!$A$2:$E$564,2,FALSE),OtherClients[[#This Row],[Total Quantity]]*VLOOKUP(OtherClients[[#This Row],[Part]],PartControl!$A$2:$E$564,2,FALSE)),0)</f>
        <v>135.07999999999998</v>
      </c>
      <c r="Z833" s="108">
        <f>IF(OtherClients[[#This Row],[Re-certified or New]]&lt;&gt;"Re-certified",IF(OtherClients[[#This Row],[Client]]="infasco",VLOOKUP(OtherClients[[#This Row],[Part]],PartControl!$A$2:$E$564,2,FALSE),OtherClients[[#This Row],[Total Quantity]]*VLOOKUP(OtherClients[[#This Row],[Part]],PartControl!$A$2:$E$564,2,FALSE)),0)</f>
        <v>135.07999999999998</v>
      </c>
    </row>
    <row r="834" spans="1:26" ht="25.15" hidden="1" customHeight="1" x14ac:dyDescent="0.25">
      <c r="A834" s="112">
        <v>46247.686168981483</v>
      </c>
      <c r="B834" s="5" t="s">
        <v>342</v>
      </c>
      <c r="C834" s="5" t="s">
        <v>652</v>
      </c>
      <c r="D834" s="5">
        <v>715792</v>
      </c>
      <c r="E834" s="33">
        <v>10</v>
      </c>
      <c r="F834" s="60">
        <v>1750</v>
      </c>
      <c r="G834" s="60">
        <f>+OtherClients[[#This Row],[Boxes / Pieces]]*OtherClients[[#This Row],[Unit Quantity]]</f>
        <v>17500</v>
      </c>
      <c r="H834" s="60" t="s">
        <v>811</v>
      </c>
      <c r="I834" s="126" t="s">
        <v>278</v>
      </c>
      <c r="J834" s="127"/>
      <c r="K834" s="33" t="s">
        <v>278</v>
      </c>
      <c r="L834" s="125"/>
      <c r="M834" s="33" t="s">
        <v>278</v>
      </c>
      <c r="N834" s="125"/>
      <c r="O834" s="33" t="s">
        <v>278</v>
      </c>
      <c r="P834" s="125"/>
      <c r="Q834" s="33" t="s">
        <v>587</v>
      </c>
      <c r="R834" s="125"/>
      <c r="S834" s="33" t="s">
        <v>278</v>
      </c>
      <c r="T834" s="125"/>
      <c r="U834" s="33" t="s">
        <v>278</v>
      </c>
      <c r="V834" s="125"/>
      <c r="W834" s="59" t="s">
        <v>548</v>
      </c>
      <c r="X834" s="33" t="str">
        <f>+VLOOKUP(OtherClients[[#This Row],[Part]],PartControl!$A$2:$E$564,5,FALSE)</f>
        <v>infasco</v>
      </c>
      <c r="Y834" s="108">
        <f>IF(OtherClients[[#This Row],[Re-certified or New]]&lt;&gt;"Re-certified",IF(OtherClients[[#This Row],[Client]]="infasco",VLOOKUP(OtherClients[[#This Row],[Part]],PartControl!$A$2:$E$564,2,FALSE),OtherClients[[#This Row],[Total Quantity]]*VLOOKUP(OtherClients[[#This Row],[Part]],PartControl!$A$2:$E$564,2,FALSE)),0)</f>
        <v>106.94</v>
      </c>
      <c r="Z834" s="108">
        <f>IF(OtherClients[[#This Row],[Re-certified or New]]&lt;&gt;"Re-certified",IF(OtherClients[[#This Row],[Client]]="infasco",VLOOKUP(OtherClients[[#This Row],[Part]],PartControl!$A$2:$E$564,2,FALSE),OtherClients[[#This Row],[Total Quantity]]*VLOOKUP(OtherClients[[#This Row],[Part]],PartControl!$A$2:$E$564,2,FALSE)),0)</f>
        <v>106.94</v>
      </c>
    </row>
    <row r="835" spans="1:26" ht="25.15" hidden="1" customHeight="1" x14ac:dyDescent="0.25">
      <c r="A835" s="112">
        <v>46247.686168981483</v>
      </c>
      <c r="B835" s="5" t="s">
        <v>342</v>
      </c>
      <c r="C835" s="5">
        <v>11546449</v>
      </c>
      <c r="D835" s="5">
        <v>715756</v>
      </c>
      <c r="E835" s="33">
        <v>12</v>
      </c>
      <c r="F835" s="60">
        <v>2500</v>
      </c>
      <c r="G835" s="60">
        <f>+OtherClients[[#This Row],[Boxes / Pieces]]*OtherClients[[#This Row],[Unit Quantity]]</f>
        <v>30000</v>
      </c>
      <c r="H835" s="60" t="s">
        <v>811</v>
      </c>
      <c r="I835" s="126" t="s">
        <v>278</v>
      </c>
      <c r="J835" s="127"/>
      <c r="K835" s="33" t="s">
        <v>278</v>
      </c>
      <c r="L835" s="125"/>
      <c r="M835" s="33" t="s">
        <v>278</v>
      </c>
      <c r="N835" s="125"/>
      <c r="O835" s="33" t="s">
        <v>278</v>
      </c>
      <c r="P835" s="125"/>
      <c r="Q835" s="33" t="s">
        <v>587</v>
      </c>
      <c r="R835" s="125"/>
      <c r="S835" s="33" t="s">
        <v>278</v>
      </c>
      <c r="T835" s="125"/>
      <c r="U835" s="33" t="s">
        <v>278</v>
      </c>
      <c r="V835" s="125"/>
      <c r="W835" s="59" t="s">
        <v>633</v>
      </c>
      <c r="X835" s="33" t="str">
        <f>+VLOOKUP(OtherClients[[#This Row],[Part]],PartControl!$A$2:$E$564,5,FALSE)</f>
        <v>INFASCO</v>
      </c>
      <c r="Y835" s="108">
        <f>IF(OtherClients[[#This Row],[Re-certified or New]]&lt;&gt;"Re-certified",IF(OtherClients[[#This Row],[Client]]="infasco",VLOOKUP(OtherClients[[#This Row],[Part]],PartControl!$A$2:$E$564,2,FALSE),OtherClients[[#This Row],[Total Quantity]]*VLOOKUP(OtherClients[[#This Row],[Part]],PartControl!$A$2:$E$564,2,FALSE)),0)</f>
        <v>0</v>
      </c>
      <c r="Z835" s="108">
        <f>IF(OtherClients[[#This Row],[Re-certified or New]]&lt;&gt;"Re-certified",IF(OtherClients[[#This Row],[Client]]="infasco",VLOOKUP(OtherClients[[#This Row],[Part]],PartControl!$A$2:$E$564,2,FALSE),OtherClients[[#This Row],[Total Quantity]]*VLOOKUP(OtherClients[[#This Row],[Part]],PartControl!$A$2:$E$564,2,FALSE)),0)</f>
        <v>0</v>
      </c>
    </row>
    <row r="836" spans="1:26" ht="25.15" hidden="1" customHeight="1" x14ac:dyDescent="0.25">
      <c r="A836" s="112">
        <v>46247.686168981483</v>
      </c>
      <c r="B836" s="5" t="s">
        <v>343</v>
      </c>
      <c r="C836" s="5">
        <v>11549168</v>
      </c>
      <c r="D836" s="5">
        <v>712003</v>
      </c>
      <c r="E836" s="33">
        <f>32-5</f>
        <v>27</v>
      </c>
      <c r="F836" s="60">
        <v>1000</v>
      </c>
      <c r="G836" s="60">
        <f>+OtherClients[[#This Row],[Boxes / Pieces]]*OtherClients[[#This Row],[Unit Quantity]]</f>
        <v>27000</v>
      </c>
      <c r="H836" s="60" t="s">
        <v>756</v>
      </c>
      <c r="I836" s="126" t="s">
        <v>278</v>
      </c>
      <c r="J836" s="127"/>
      <c r="K836" s="33" t="s">
        <v>278</v>
      </c>
      <c r="L836" s="125"/>
      <c r="M836" s="33" t="s">
        <v>278</v>
      </c>
      <c r="N836" s="125"/>
      <c r="O836" s="33" t="s">
        <v>278</v>
      </c>
      <c r="P836" s="125"/>
      <c r="Q836" s="33" t="s">
        <v>587</v>
      </c>
      <c r="R836" s="125"/>
      <c r="S836" s="33" t="s">
        <v>278</v>
      </c>
      <c r="T836" s="125"/>
      <c r="U836" s="33" t="s">
        <v>278</v>
      </c>
      <c r="V836" s="125"/>
      <c r="W836" s="59" t="s">
        <v>633</v>
      </c>
      <c r="X836" s="33" t="str">
        <f>+VLOOKUP(OtherClients[[#This Row],[Part]],PartControl!$A$2:$E$564,5,FALSE)</f>
        <v>INFASCO</v>
      </c>
      <c r="Y836" s="108">
        <f>IF(OtherClients[[#This Row],[Re-certified or New]]&lt;&gt;"Re-certified",IF(OtherClients[[#This Row],[Client]]="infasco",VLOOKUP(OtherClients[[#This Row],[Part]],PartControl!$A$2:$E$564,2,FALSE),OtherClients[[#This Row],[Total Quantity]]*VLOOKUP(OtherClients[[#This Row],[Part]],PartControl!$A$2:$E$564,2,FALSE)),0)</f>
        <v>0</v>
      </c>
      <c r="Z836" s="108">
        <f>IF(OtherClients[[#This Row],[Re-certified or New]]&lt;&gt;"Re-certified",IF(OtherClients[[#This Row],[Client]]="infasco",VLOOKUP(OtherClients[[#This Row],[Part]],PartControl!$A$2:$E$564,2,FALSE),OtherClients[[#This Row],[Total Quantity]]*VLOOKUP(OtherClients[[#This Row],[Part]],PartControl!$A$2:$E$564,2,FALSE)),0)</f>
        <v>0</v>
      </c>
    </row>
    <row r="837" spans="1:26" ht="25.15" hidden="1" customHeight="1" x14ac:dyDescent="0.25">
      <c r="A837" s="112">
        <v>46247.686168981483</v>
      </c>
      <c r="B837" s="5" t="s">
        <v>343</v>
      </c>
      <c r="C837" s="5">
        <v>11546571</v>
      </c>
      <c r="D837" s="5">
        <v>716001</v>
      </c>
      <c r="E837" s="33">
        <v>29</v>
      </c>
      <c r="F837" s="60">
        <v>1550</v>
      </c>
      <c r="G837" s="60">
        <f>+OtherClients[[#This Row],[Boxes / Pieces]]*OtherClients[[#This Row],[Unit Quantity]]</f>
        <v>44950</v>
      </c>
      <c r="H837" s="60" t="s">
        <v>756</v>
      </c>
      <c r="I837" s="126" t="s">
        <v>278</v>
      </c>
      <c r="J837" s="127"/>
      <c r="K837" s="33" t="s">
        <v>278</v>
      </c>
      <c r="L837" s="125"/>
      <c r="M837" s="33" t="s">
        <v>278</v>
      </c>
      <c r="N837" s="125"/>
      <c r="O837" s="33" t="s">
        <v>278</v>
      </c>
      <c r="P837" s="125"/>
      <c r="Q837" s="33" t="s">
        <v>587</v>
      </c>
      <c r="R837" s="125"/>
      <c r="S837" s="33" t="s">
        <v>278</v>
      </c>
      <c r="T837" s="125"/>
      <c r="U837" s="33" t="s">
        <v>278</v>
      </c>
      <c r="V837" s="125"/>
      <c r="W837" s="59" t="s">
        <v>548</v>
      </c>
      <c r="X837" s="33" t="str">
        <f>+VLOOKUP(OtherClients[[#This Row],[Part]],PartControl!$A$2:$E$564,5,FALSE)</f>
        <v>infasco</v>
      </c>
      <c r="Y837" s="108">
        <f>IF(OtherClients[[#This Row],[Re-certified or New]]&lt;&gt;"Re-certified",IF(OtherClients[[#This Row],[Client]]="infasco",VLOOKUP(OtherClients[[#This Row],[Part]],PartControl!$A$2:$E$564,2,FALSE),OtherClients[[#This Row],[Total Quantity]]*VLOOKUP(OtherClients[[#This Row],[Part]],PartControl!$A$2:$E$564,2,FALSE)),0)</f>
        <v>135.07999999999998</v>
      </c>
      <c r="Z837" s="108">
        <f>IF(OtherClients[[#This Row],[Re-certified or New]]&lt;&gt;"Re-certified",IF(OtherClients[[#This Row],[Client]]="infasco",VLOOKUP(OtherClients[[#This Row],[Part]],PartControl!$A$2:$E$564,2,FALSE),OtherClients[[#This Row],[Total Quantity]]*VLOOKUP(OtherClients[[#This Row],[Part]],PartControl!$A$2:$E$564,2,FALSE)),0)</f>
        <v>135.07999999999998</v>
      </c>
    </row>
    <row r="838" spans="1:26" ht="25.15" hidden="1" customHeight="1" x14ac:dyDescent="0.25">
      <c r="A838" s="112">
        <v>46247.686168981483</v>
      </c>
      <c r="B838" s="5" t="s">
        <v>343</v>
      </c>
      <c r="C838" s="5">
        <v>11546566</v>
      </c>
      <c r="D838" s="5">
        <v>715790</v>
      </c>
      <c r="E838" s="33">
        <v>27</v>
      </c>
      <c r="F838" s="60">
        <v>1800</v>
      </c>
      <c r="G838" s="60">
        <f>+OtherClients[[#This Row],[Boxes / Pieces]]*OtherClients[[#This Row],[Unit Quantity]]</f>
        <v>48600</v>
      </c>
      <c r="H838" s="60" t="s">
        <v>756</v>
      </c>
      <c r="I838" s="126" t="s">
        <v>278</v>
      </c>
      <c r="J838" s="127"/>
      <c r="K838" s="33" t="s">
        <v>278</v>
      </c>
      <c r="L838" s="125"/>
      <c r="M838" s="33" t="s">
        <v>278</v>
      </c>
      <c r="N838" s="125"/>
      <c r="O838" s="33" t="s">
        <v>278</v>
      </c>
      <c r="P838" s="125"/>
      <c r="Q838" s="33" t="s">
        <v>587</v>
      </c>
      <c r="R838" s="125"/>
      <c r="S838" s="33" t="s">
        <v>278</v>
      </c>
      <c r="T838" s="125"/>
      <c r="U838" s="33" t="s">
        <v>278</v>
      </c>
      <c r="V838" s="125"/>
      <c r="W838" s="59" t="s">
        <v>548</v>
      </c>
      <c r="X838" s="33" t="str">
        <f>+VLOOKUP(OtherClients[[#This Row],[Part]],PartControl!$A$2:$E$564,5,FALSE)</f>
        <v>infasco</v>
      </c>
      <c r="Y838" s="108">
        <f>IF(OtherClients[[#This Row],[Re-certified or New]]&lt;&gt;"Re-certified",IF(OtherClients[[#This Row],[Client]]="infasco",VLOOKUP(OtherClients[[#This Row],[Part]],PartControl!$A$2:$E$564,2,FALSE),OtherClients[[#This Row],[Total Quantity]]*VLOOKUP(OtherClients[[#This Row],[Part]],PartControl!$A$2:$E$564,2,FALSE)),0)</f>
        <v>135.07999999999998</v>
      </c>
      <c r="Z838" s="108">
        <f>IF(OtherClients[[#This Row],[Re-certified or New]]&lt;&gt;"Re-certified",IF(OtherClients[[#This Row],[Client]]="infasco",VLOOKUP(OtherClients[[#This Row],[Part]],PartControl!$A$2:$E$564,2,FALSE),OtherClients[[#This Row],[Total Quantity]]*VLOOKUP(OtherClients[[#This Row],[Part]],PartControl!$A$2:$E$564,2,FALSE)),0)</f>
        <v>135.07999999999998</v>
      </c>
    </row>
    <row r="839" spans="1:26" ht="25.15" hidden="1" customHeight="1" x14ac:dyDescent="0.25">
      <c r="A839" s="112">
        <v>46247.686168981483</v>
      </c>
      <c r="B839" s="5" t="s">
        <v>343</v>
      </c>
      <c r="C839" s="5" t="s">
        <v>732</v>
      </c>
      <c r="D839" s="5">
        <v>704978</v>
      </c>
      <c r="E839" s="33">
        <f>36+6</f>
        <v>42</v>
      </c>
      <c r="F839" s="60">
        <v>1000</v>
      </c>
      <c r="G839" s="60">
        <f>+OtherClients[[#This Row],[Boxes / Pieces]]*OtherClients[[#This Row],[Unit Quantity]]</f>
        <v>42000</v>
      </c>
      <c r="H839" s="60" t="s">
        <v>756</v>
      </c>
      <c r="I839" s="126" t="s">
        <v>278</v>
      </c>
      <c r="J839" s="127"/>
      <c r="K839" s="33" t="s">
        <v>278</v>
      </c>
      <c r="L839" s="125"/>
      <c r="M839" s="33" t="s">
        <v>278</v>
      </c>
      <c r="N839" s="125"/>
      <c r="O839" s="33" t="s">
        <v>278</v>
      </c>
      <c r="P839" s="125"/>
      <c r="Q839" s="33" t="s">
        <v>587</v>
      </c>
      <c r="R839" s="125"/>
      <c r="S839" s="33" t="s">
        <v>278</v>
      </c>
      <c r="T839" s="125"/>
      <c r="U839" s="33" t="s">
        <v>278</v>
      </c>
      <c r="V839" s="125"/>
      <c r="W839" s="59" t="s">
        <v>548</v>
      </c>
      <c r="X839" s="33" t="str">
        <f>+VLOOKUP(OtherClients[[#This Row],[Part]],PartControl!$A$2:$E$564,5,FALSE)</f>
        <v>infasco</v>
      </c>
      <c r="Y839" s="108">
        <f>IF(OtherClients[[#This Row],[Re-certified or New]]&lt;&gt;"Re-certified",IF(OtherClients[[#This Row],[Client]]="infasco",VLOOKUP(OtherClients[[#This Row],[Part]],PartControl!$A$2:$E$564,2,FALSE),OtherClients[[#This Row],[Total Quantity]]*VLOOKUP(OtherClients[[#This Row],[Part]],PartControl!$A$2:$E$564,2,FALSE)),0)</f>
        <v>213.88</v>
      </c>
      <c r="Z839" s="108">
        <f>IF(OtherClients[[#This Row],[Re-certified or New]]&lt;&gt;"Re-certified",IF(OtherClients[[#This Row],[Client]]="infasco",VLOOKUP(OtherClients[[#This Row],[Part]],PartControl!$A$2:$E$564,2,FALSE),OtherClients[[#This Row],[Total Quantity]]*VLOOKUP(OtherClients[[#This Row],[Part]],PartControl!$A$2:$E$564,2,FALSE)),0)</f>
        <v>213.88</v>
      </c>
    </row>
    <row r="840" spans="1:26" ht="25.15" hidden="1" customHeight="1" x14ac:dyDescent="0.25">
      <c r="A840" s="112">
        <v>46247.686168981483</v>
      </c>
      <c r="B840" s="5" t="s">
        <v>343</v>
      </c>
      <c r="C840" s="5" t="s">
        <v>674</v>
      </c>
      <c r="D840" s="5">
        <v>715847</v>
      </c>
      <c r="E840" s="33">
        <v>30</v>
      </c>
      <c r="F840" s="60">
        <v>750</v>
      </c>
      <c r="G840" s="60">
        <f>+OtherClients[[#This Row],[Boxes / Pieces]]*OtherClients[[#This Row],[Unit Quantity]]</f>
        <v>22500</v>
      </c>
      <c r="H840" s="60" t="s">
        <v>756</v>
      </c>
      <c r="I840" s="126" t="s">
        <v>278</v>
      </c>
      <c r="J840" s="127"/>
      <c r="K840" s="33" t="s">
        <v>278</v>
      </c>
      <c r="L840" s="125"/>
      <c r="M840" s="33" t="s">
        <v>278</v>
      </c>
      <c r="N840" s="125"/>
      <c r="O840" s="33" t="s">
        <v>278</v>
      </c>
      <c r="P840" s="125"/>
      <c r="Q840" s="33" t="s">
        <v>587</v>
      </c>
      <c r="R840" s="125"/>
      <c r="S840" s="33" t="s">
        <v>278</v>
      </c>
      <c r="T840" s="125"/>
      <c r="U840" s="33" t="s">
        <v>278</v>
      </c>
      <c r="V840" s="125"/>
      <c r="W840" s="59" t="s">
        <v>548</v>
      </c>
      <c r="X840" s="33" t="str">
        <f>+VLOOKUP(OtherClients[[#This Row],[Part]],PartControl!$A$2:$E$564,5,FALSE)</f>
        <v>infasco</v>
      </c>
      <c r="Y840" s="108">
        <f>IF(OtherClients[[#This Row],[Re-certified or New]]&lt;&gt;"Re-certified",IF(OtherClients[[#This Row],[Client]]="infasco",VLOOKUP(OtherClients[[#This Row],[Part]],PartControl!$A$2:$E$564,2,FALSE),OtherClients[[#This Row],[Total Quantity]]*VLOOKUP(OtherClients[[#This Row],[Part]],PartControl!$A$2:$E$564,2,FALSE)),0)</f>
        <v>135.07999999999998</v>
      </c>
      <c r="Z840" s="108">
        <f>IF(OtherClients[[#This Row],[Re-certified or New]]&lt;&gt;"Re-certified",IF(OtherClients[[#This Row],[Client]]="infasco",VLOOKUP(OtherClients[[#This Row],[Part]],PartControl!$A$2:$E$564,2,FALSE),OtherClients[[#This Row],[Total Quantity]]*VLOOKUP(OtherClients[[#This Row],[Part]],PartControl!$A$2:$E$564,2,FALSE)),0)</f>
        <v>135.07999999999998</v>
      </c>
    </row>
    <row r="841" spans="1:26" ht="25.15" hidden="1" customHeight="1" x14ac:dyDescent="0.25">
      <c r="A841" s="112">
        <v>46247.686168981483</v>
      </c>
      <c r="B841" s="5" t="s">
        <v>343</v>
      </c>
      <c r="C841" s="5" t="s">
        <v>862</v>
      </c>
      <c r="D841" s="5">
        <v>715799</v>
      </c>
      <c r="E841" s="33">
        <v>16</v>
      </c>
      <c r="F841" s="60">
        <v>4500</v>
      </c>
      <c r="G841" s="60">
        <f>+OtherClients[[#This Row],[Boxes / Pieces]]*OtherClients[[#This Row],[Unit Quantity]]</f>
        <v>72000</v>
      </c>
      <c r="H841" s="60" t="s">
        <v>756</v>
      </c>
      <c r="I841" s="126" t="s">
        <v>278</v>
      </c>
      <c r="J841" s="127"/>
      <c r="K841" s="33" t="s">
        <v>278</v>
      </c>
      <c r="L841" s="125"/>
      <c r="M841" s="33" t="s">
        <v>278</v>
      </c>
      <c r="N841" s="125"/>
      <c r="O841" s="33" t="s">
        <v>278</v>
      </c>
      <c r="P841" s="125"/>
      <c r="Q841" s="33" t="s">
        <v>587</v>
      </c>
      <c r="R841" s="125"/>
      <c r="S841" s="33" t="s">
        <v>278</v>
      </c>
      <c r="T841" s="125"/>
      <c r="U841" s="33" t="s">
        <v>278</v>
      </c>
      <c r="V841" s="125"/>
      <c r="W841" s="59" t="s">
        <v>548</v>
      </c>
      <c r="X841" s="33" t="str">
        <f>+VLOOKUP(OtherClients[[#This Row],[Part]],PartControl!$A$2:$E$564,5,FALSE)</f>
        <v>infasco</v>
      </c>
      <c r="Y841" s="108">
        <f>IF(OtherClients[[#This Row],[Re-certified or New]]&lt;&gt;"Re-certified",IF(OtherClients[[#This Row],[Client]]="infasco",VLOOKUP(OtherClients[[#This Row],[Part]],PartControl!$A$2:$E$564,2,FALSE),OtherClients[[#This Row],[Total Quantity]]*VLOOKUP(OtherClients[[#This Row],[Part]],PartControl!$A$2:$E$564,2,FALSE)),0)</f>
        <v>106.94</v>
      </c>
      <c r="Z841" s="108">
        <f>IF(OtherClients[[#This Row],[Re-certified or New]]&lt;&gt;"Re-certified",IF(OtherClients[[#This Row],[Client]]="infasco",VLOOKUP(OtherClients[[#This Row],[Part]],PartControl!$A$2:$E$564,2,FALSE),OtherClients[[#This Row],[Total Quantity]]*VLOOKUP(OtherClients[[#This Row],[Part]],PartControl!$A$2:$E$564,2,FALSE)),0)</f>
        <v>106.94</v>
      </c>
    </row>
    <row r="842" spans="1:26" ht="25.15" hidden="1" customHeight="1" x14ac:dyDescent="0.25">
      <c r="A842" s="112">
        <v>46247.686168981483</v>
      </c>
      <c r="B842" s="5" t="s">
        <v>344</v>
      </c>
      <c r="C842" s="5">
        <v>11547369</v>
      </c>
      <c r="D842" s="5">
        <v>714298</v>
      </c>
      <c r="E842" s="33">
        <v>19</v>
      </c>
      <c r="F842" s="60">
        <v>250</v>
      </c>
      <c r="G842" s="60">
        <f>+OtherClients[[#This Row],[Boxes / Pieces]]*OtherClients[[#This Row],[Unit Quantity]]</f>
        <v>4750</v>
      </c>
      <c r="H842" s="60" t="s">
        <v>816</v>
      </c>
      <c r="I842" s="126" t="s">
        <v>278</v>
      </c>
      <c r="J842" s="127"/>
      <c r="K842" s="33" t="s">
        <v>278</v>
      </c>
      <c r="L842" s="125"/>
      <c r="M842" s="33" t="s">
        <v>278</v>
      </c>
      <c r="N842" s="125"/>
      <c r="O842" s="33" t="s">
        <v>278</v>
      </c>
      <c r="P842" s="125"/>
      <c r="Q842" s="33" t="s">
        <v>587</v>
      </c>
      <c r="R842" s="125"/>
      <c r="S842" s="33" t="s">
        <v>278</v>
      </c>
      <c r="T842" s="125"/>
      <c r="U842" s="33" t="s">
        <v>278</v>
      </c>
      <c r="V842" s="125"/>
      <c r="W842" s="59" t="s">
        <v>548</v>
      </c>
      <c r="X842" s="33" t="str">
        <f>+VLOOKUP(OtherClients[[#This Row],[Part]],PartControl!$A$2:$E$564,5,FALSE)</f>
        <v>Infasco</v>
      </c>
      <c r="Y842" s="108">
        <f>IF(OtherClients[[#This Row],[Re-certified or New]]&lt;&gt;"Re-certified",IF(OtherClients[[#This Row],[Client]]="infasco",VLOOKUP(OtherClients[[#This Row],[Part]],PartControl!$A$2:$E$564,2,FALSE),OtherClients[[#This Row],[Total Quantity]]*VLOOKUP(OtherClients[[#This Row],[Part]],PartControl!$A$2:$E$564,2,FALSE)),0)</f>
        <v>106.94</v>
      </c>
      <c r="Z842" s="108">
        <f>IF(OtherClients[[#This Row],[Re-certified or New]]&lt;&gt;"Re-certified",IF(OtherClients[[#This Row],[Client]]="infasco",VLOOKUP(OtherClients[[#This Row],[Part]],PartControl!$A$2:$E$564,2,FALSE),OtherClients[[#This Row],[Total Quantity]]*VLOOKUP(OtherClients[[#This Row],[Part]],PartControl!$A$2:$E$564,2,FALSE)),0)</f>
        <v>106.94</v>
      </c>
    </row>
    <row r="843" spans="1:26" ht="25.15" hidden="1" customHeight="1" x14ac:dyDescent="0.25">
      <c r="A843" s="112">
        <v>46247.686168981483</v>
      </c>
      <c r="B843" s="5" t="s">
        <v>344</v>
      </c>
      <c r="C843" s="5">
        <v>11549170</v>
      </c>
      <c r="D843" s="5">
        <v>714385</v>
      </c>
      <c r="E843" s="33">
        <v>35</v>
      </c>
      <c r="F843" s="60">
        <v>400</v>
      </c>
      <c r="G843" s="60">
        <f>+OtherClients[[#This Row],[Boxes / Pieces]]*OtherClients[[#This Row],[Unit Quantity]]</f>
        <v>14000</v>
      </c>
      <c r="H843" s="60" t="s">
        <v>816</v>
      </c>
      <c r="I843" s="126" t="s">
        <v>278</v>
      </c>
      <c r="J843" s="127"/>
      <c r="K843" s="33" t="s">
        <v>278</v>
      </c>
      <c r="L843" s="125"/>
      <c r="M843" s="33" t="s">
        <v>278</v>
      </c>
      <c r="N843" s="125"/>
      <c r="O843" s="33" t="s">
        <v>278</v>
      </c>
      <c r="P843" s="125"/>
      <c r="Q843" s="33" t="s">
        <v>587</v>
      </c>
      <c r="R843" s="125"/>
      <c r="S843" s="33" t="s">
        <v>278</v>
      </c>
      <c r="T843" s="125"/>
      <c r="U843" s="33" t="s">
        <v>278</v>
      </c>
      <c r="V843" s="125"/>
      <c r="W843" s="59" t="s">
        <v>548</v>
      </c>
      <c r="X843" s="33" t="str">
        <f>+VLOOKUP(OtherClients[[#This Row],[Part]],PartControl!$A$2:$E$564,5,FALSE)</f>
        <v>INFASCO</v>
      </c>
      <c r="Y843" s="108">
        <f>IF(OtherClients[[#This Row],[Re-certified or New]]&lt;&gt;"Re-certified",IF(OtherClients[[#This Row],[Client]]="infasco",VLOOKUP(OtherClients[[#This Row],[Part]],PartControl!$A$2:$E$564,2,FALSE),OtherClients[[#This Row],[Total Quantity]]*VLOOKUP(OtherClients[[#This Row],[Part]],PartControl!$A$2:$E$564,2,FALSE)),0)</f>
        <v>106.94</v>
      </c>
      <c r="Z843" s="108">
        <f>IF(OtherClients[[#This Row],[Re-certified or New]]&lt;&gt;"Re-certified",IF(OtherClients[[#This Row],[Client]]="infasco",VLOOKUP(OtherClients[[#This Row],[Part]],PartControl!$A$2:$E$564,2,FALSE),OtherClients[[#This Row],[Total Quantity]]*VLOOKUP(OtherClients[[#This Row],[Part]],PartControl!$A$2:$E$564,2,FALSE)),0)</f>
        <v>106.94</v>
      </c>
    </row>
    <row r="844" spans="1:26" ht="25.15" hidden="1" customHeight="1" x14ac:dyDescent="0.25">
      <c r="A844" s="112">
        <v>46247.686168981483</v>
      </c>
      <c r="B844" s="5" t="s">
        <v>344</v>
      </c>
      <c r="C844" s="5" t="s">
        <v>691</v>
      </c>
      <c r="D844" s="5">
        <v>712205</v>
      </c>
      <c r="E844" s="33">
        <v>32</v>
      </c>
      <c r="F844" s="60">
        <v>1800</v>
      </c>
      <c r="G844" s="60">
        <f>+OtherClients[[#This Row],[Boxes / Pieces]]*OtherClients[[#This Row],[Unit Quantity]]</f>
        <v>57600</v>
      </c>
      <c r="H844" s="60" t="s">
        <v>816</v>
      </c>
      <c r="I844" s="126" t="s">
        <v>278</v>
      </c>
      <c r="J844" s="127"/>
      <c r="K844" s="33" t="s">
        <v>278</v>
      </c>
      <c r="L844" s="125"/>
      <c r="M844" s="33" t="s">
        <v>278</v>
      </c>
      <c r="N844" s="125"/>
      <c r="O844" s="33" t="s">
        <v>278</v>
      </c>
      <c r="P844" s="125"/>
      <c r="Q844" s="33" t="s">
        <v>587</v>
      </c>
      <c r="R844" s="125"/>
      <c r="S844" s="33" t="s">
        <v>278</v>
      </c>
      <c r="T844" s="125"/>
      <c r="U844" s="33" t="s">
        <v>278</v>
      </c>
      <c r="V844" s="125"/>
      <c r="W844" s="59" t="s">
        <v>548</v>
      </c>
      <c r="X844" s="33" t="str">
        <f>+VLOOKUP(OtherClients[[#This Row],[Part]],PartControl!$A$2:$E$564,5,FALSE)</f>
        <v>infasco</v>
      </c>
      <c r="Y844" s="108">
        <f>IF(OtherClients[[#This Row],[Re-certified or New]]&lt;&gt;"Re-certified",IF(OtherClients[[#This Row],[Client]]="infasco",VLOOKUP(OtherClients[[#This Row],[Part]],PartControl!$A$2:$E$564,2,FALSE),OtherClients[[#This Row],[Total Quantity]]*VLOOKUP(OtherClients[[#This Row],[Part]],PartControl!$A$2:$E$564,2,FALSE)),0)</f>
        <v>106.94</v>
      </c>
      <c r="Z844" s="108">
        <f>IF(OtherClients[[#This Row],[Re-certified or New]]&lt;&gt;"Re-certified",IF(OtherClients[[#This Row],[Client]]="infasco",VLOOKUP(OtherClients[[#This Row],[Part]],PartControl!$A$2:$E$564,2,FALSE),OtherClients[[#This Row],[Total Quantity]]*VLOOKUP(OtherClients[[#This Row],[Part]],PartControl!$A$2:$E$564,2,FALSE)),0)</f>
        <v>106.94</v>
      </c>
    </row>
    <row r="845" spans="1:26" ht="25.15" hidden="1" customHeight="1" x14ac:dyDescent="0.25">
      <c r="A845" s="112">
        <v>46247.686168981483</v>
      </c>
      <c r="B845" s="5" t="s">
        <v>344</v>
      </c>
      <c r="C845" s="5" t="s">
        <v>795</v>
      </c>
      <c r="D845" s="5">
        <v>716098</v>
      </c>
      <c r="E845" s="33">
        <v>25</v>
      </c>
      <c r="F845" s="60">
        <v>800</v>
      </c>
      <c r="G845" s="60">
        <f>+OtherClients[[#This Row],[Boxes / Pieces]]*OtherClients[[#This Row],[Unit Quantity]]</f>
        <v>20000</v>
      </c>
      <c r="H845" s="60" t="s">
        <v>816</v>
      </c>
      <c r="I845" s="126" t="s">
        <v>278</v>
      </c>
      <c r="J845" s="127"/>
      <c r="K845" s="33" t="s">
        <v>278</v>
      </c>
      <c r="L845" s="125"/>
      <c r="M845" s="33" t="s">
        <v>278</v>
      </c>
      <c r="N845" s="125"/>
      <c r="O845" s="33" t="s">
        <v>278</v>
      </c>
      <c r="P845" s="125"/>
      <c r="Q845" s="33" t="s">
        <v>587</v>
      </c>
      <c r="R845" s="125"/>
      <c r="S845" s="33" t="s">
        <v>278</v>
      </c>
      <c r="T845" s="125"/>
      <c r="U845" s="33" t="s">
        <v>278</v>
      </c>
      <c r="V845" s="125"/>
      <c r="W845" s="59" t="s">
        <v>548</v>
      </c>
      <c r="X845" s="33" t="str">
        <f>+VLOOKUP(OtherClients[[#This Row],[Part]],PartControl!$A$2:$E$564,5,FALSE)</f>
        <v>infasco</v>
      </c>
      <c r="Y845" s="108">
        <f>IF(OtherClients[[#This Row],[Re-certified or New]]&lt;&gt;"Re-certified",IF(OtherClients[[#This Row],[Client]]="infasco",VLOOKUP(OtherClients[[#This Row],[Part]],PartControl!$A$2:$E$564,2,FALSE),OtherClients[[#This Row],[Total Quantity]]*VLOOKUP(OtherClients[[#This Row],[Part]],PartControl!$A$2:$E$564,2,FALSE)),0)</f>
        <v>280.16000000000003</v>
      </c>
      <c r="Z845" s="108">
        <f>IF(OtherClients[[#This Row],[Re-certified or New]]&lt;&gt;"Re-certified",IF(OtherClients[[#This Row],[Client]]="infasco",VLOOKUP(OtherClients[[#This Row],[Part]],PartControl!$A$2:$E$564,2,FALSE),OtherClients[[#This Row],[Total Quantity]]*VLOOKUP(OtherClients[[#This Row],[Part]],PartControl!$A$2:$E$564,2,FALSE)),0)</f>
        <v>280.16000000000003</v>
      </c>
    </row>
    <row r="846" spans="1:26" ht="25.15" hidden="1" customHeight="1" x14ac:dyDescent="0.25">
      <c r="A846" s="112">
        <v>46247.686168981483</v>
      </c>
      <c r="B846" s="5" t="s">
        <v>345</v>
      </c>
      <c r="C846" s="5">
        <v>94012078</v>
      </c>
      <c r="D846" s="5">
        <v>714721</v>
      </c>
      <c r="E846" s="33">
        <v>22</v>
      </c>
      <c r="F846" s="60">
        <v>100</v>
      </c>
      <c r="G846" s="60">
        <f>+OtherClients[[#This Row],[Boxes / Pieces]]*OtherClients[[#This Row],[Unit Quantity]]</f>
        <v>2200</v>
      </c>
      <c r="H846" s="60" t="s">
        <v>849</v>
      </c>
      <c r="I846" s="126" t="s">
        <v>278</v>
      </c>
      <c r="J846" s="127"/>
      <c r="K846" s="33" t="s">
        <v>278</v>
      </c>
      <c r="L846" s="125"/>
      <c r="M846" s="33" t="s">
        <v>278</v>
      </c>
      <c r="N846" s="125"/>
      <c r="O846" s="33" t="s">
        <v>278</v>
      </c>
      <c r="P846" s="125"/>
      <c r="Q846" s="33" t="s">
        <v>587</v>
      </c>
      <c r="R846" s="125"/>
      <c r="S846" s="33" t="s">
        <v>278</v>
      </c>
      <c r="T846" s="125"/>
      <c r="U846" s="33" t="s">
        <v>278</v>
      </c>
      <c r="V846" s="125"/>
      <c r="W846" s="59" t="s">
        <v>548</v>
      </c>
      <c r="X846" s="33" t="str">
        <f>+VLOOKUP(OtherClients[[#This Row],[Part]],PartControl!$A$2:$E$564,5,FALSE)</f>
        <v>infasco</v>
      </c>
      <c r="Y846" s="108">
        <f>IF(OtherClients[[#This Row],[Re-certified or New]]&lt;&gt;"Re-certified",IF(OtherClients[[#This Row],[Client]]="infasco",VLOOKUP(OtherClients[[#This Row],[Part]],PartControl!$A$2:$E$564,2,FALSE),OtherClients[[#This Row],[Total Quantity]]*VLOOKUP(OtherClients[[#This Row],[Part]],PartControl!$A$2:$E$564,2,FALSE)),0)</f>
        <v>55.73</v>
      </c>
      <c r="Z846" s="108">
        <f>IF(OtherClients[[#This Row],[Re-certified or New]]&lt;&gt;"Re-certified",IF(OtherClients[[#This Row],[Client]]="infasco",VLOOKUP(OtherClients[[#This Row],[Part]],PartControl!$A$2:$E$564,2,FALSE),OtherClients[[#This Row],[Total Quantity]]*VLOOKUP(OtherClients[[#This Row],[Part]],PartControl!$A$2:$E$564,2,FALSE)),0)</f>
        <v>55.73</v>
      </c>
    </row>
    <row r="847" spans="1:26" ht="25.15" hidden="1" customHeight="1" x14ac:dyDescent="0.25">
      <c r="A847" s="112">
        <v>46247.686168981483</v>
      </c>
      <c r="B847" s="5" t="s">
        <v>345</v>
      </c>
      <c r="C847" s="5">
        <v>11546703</v>
      </c>
      <c r="D847" s="5">
        <v>713855</v>
      </c>
      <c r="E847" s="33">
        <v>34</v>
      </c>
      <c r="F847" s="60">
        <v>4000</v>
      </c>
      <c r="G847" s="60">
        <f>+OtherClients[[#This Row],[Boxes / Pieces]]*OtherClients[[#This Row],[Unit Quantity]]</f>
        <v>136000</v>
      </c>
      <c r="H847" s="60" t="s">
        <v>849</v>
      </c>
      <c r="I847" s="126" t="s">
        <v>278</v>
      </c>
      <c r="J847" s="127"/>
      <c r="K847" s="33" t="s">
        <v>278</v>
      </c>
      <c r="L847" s="125"/>
      <c r="M847" s="33" t="s">
        <v>278</v>
      </c>
      <c r="N847" s="125"/>
      <c r="O847" s="33" t="s">
        <v>278</v>
      </c>
      <c r="P847" s="125"/>
      <c r="Q847" s="33" t="s">
        <v>587</v>
      </c>
      <c r="R847" s="125"/>
      <c r="S847" s="33" t="s">
        <v>278</v>
      </c>
      <c r="T847" s="125"/>
      <c r="U847" s="33" t="s">
        <v>278</v>
      </c>
      <c r="V847" s="125"/>
      <c r="W847" s="59" t="s">
        <v>548</v>
      </c>
      <c r="X847" s="33" t="str">
        <f>+VLOOKUP(OtherClients[[#This Row],[Part]],PartControl!$A$2:$E$564,5,FALSE)</f>
        <v>infasco</v>
      </c>
      <c r="Y847" s="108">
        <f>IF(OtherClients[[#This Row],[Re-certified or New]]&lt;&gt;"Re-certified",IF(OtherClients[[#This Row],[Client]]="infasco",VLOOKUP(OtherClients[[#This Row],[Part]],PartControl!$A$2:$E$564,2,FALSE),OtherClients[[#This Row],[Total Quantity]]*VLOOKUP(OtherClients[[#This Row],[Part]],PartControl!$A$2:$E$564,2,FALSE)),0)</f>
        <v>135.07999999999998</v>
      </c>
      <c r="Z847" s="108">
        <f>IF(OtherClients[[#This Row],[Re-certified or New]]&lt;&gt;"Re-certified",IF(OtherClients[[#This Row],[Client]]="infasco",VLOOKUP(OtherClients[[#This Row],[Part]],PartControl!$A$2:$E$564,2,FALSE),OtherClients[[#This Row],[Total Quantity]]*VLOOKUP(OtherClients[[#This Row],[Part]],PartControl!$A$2:$E$564,2,FALSE)),0)</f>
        <v>135.07999999999998</v>
      </c>
    </row>
    <row r="848" spans="1:26" ht="25.15" hidden="1" customHeight="1" x14ac:dyDescent="0.25">
      <c r="A848" s="112">
        <v>46247.686168981483</v>
      </c>
      <c r="B848" s="5" t="s">
        <v>345</v>
      </c>
      <c r="C848" s="5" t="s">
        <v>16</v>
      </c>
      <c r="D848" s="5">
        <v>713867</v>
      </c>
      <c r="E848" s="33">
        <v>33</v>
      </c>
      <c r="F848" s="60">
        <v>1400</v>
      </c>
      <c r="G848" s="60">
        <f>+OtherClients[[#This Row],[Boxes / Pieces]]*OtherClients[[#This Row],[Unit Quantity]]</f>
        <v>46200</v>
      </c>
      <c r="H848" s="60" t="s">
        <v>849</v>
      </c>
      <c r="I848" s="126" t="s">
        <v>278</v>
      </c>
      <c r="J848" s="127"/>
      <c r="K848" s="33" t="s">
        <v>278</v>
      </c>
      <c r="L848" s="125"/>
      <c r="M848" s="33" t="s">
        <v>278</v>
      </c>
      <c r="N848" s="125"/>
      <c r="O848" s="33" t="s">
        <v>278</v>
      </c>
      <c r="P848" s="125"/>
      <c r="Q848" s="33" t="s">
        <v>587</v>
      </c>
      <c r="R848" s="125"/>
      <c r="S848" s="33" t="s">
        <v>278</v>
      </c>
      <c r="T848" s="125"/>
      <c r="U848" s="33" t="s">
        <v>278</v>
      </c>
      <c r="V848" s="125"/>
      <c r="W848" s="59" t="s">
        <v>548</v>
      </c>
      <c r="X848" s="33" t="str">
        <f>+VLOOKUP(OtherClients[[#This Row],[Part]],PartControl!$A$2:$E$564,5,FALSE)</f>
        <v>infasco</v>
      </c>
      <c r="Y848" s="108">
        <f>IF(OtherClients[[#This Row],[Re-certified or New]]&lt;&gt;"Re-certified",IF(OtherClients[[#This Row],[Client]]="infasco",VLOOKUP(OtherClients[[#This Row],[Part]],PartControl!$A$2:$E$564,2,FALSE),OtherClients[[#This Row],[Total Quantity]]*VLOOKUP(OtherClients[[#This Row],[Part]],PartControl!$A$2:$E$564,2,FALSE)),0)</f>
        <v>106.94</v>
      </c>
      <c r="Z848" s="108">
        <f>IF(OtherClients[[#This Row],[Re-certified or New]]&lt;&gt;"Re-certified",IF(OtherClients[[#This Row],[Client]]="infasco",VLOOKUP(OtherClients[[#This Row],[Part]],PartControl!$A$2:$E$564,2,FALSE),OtherClients[[#This Row],[Total Quantity]]*VLOOKUP(OtherClients[[#This Row],[Part]],PartControl!$A$2:$E$564,2,FALSE)),0)</f>
        <v>106.94</v>
      </c>
    </row>
    <row r="849" spans="1:26" ht="25.15" hidden="1" customHeight="1" x14ac:dyDescent="0.25">
      <c r="A849" s="112">
        <v>46247.686168981483</v>
      </c>
      <c r="B849" s="5" t="s">
        <v>345</v>
      </c>
      <c r="C849" s="5" t="s">
        <v>691</v>
      </c>
      <c r="D849" s="5">
        <v>712206</v>
      </c>
      <c r="E849" s="33">
        <v>31</v>
      </c>
      <c r="F849" s="60">
        <v>1800</v>
      </c>
      <c r="G849" s="60">
        <f>+OtherClients[[#This Row],[Boxes / Pieces]]*OtherClients[[#This Row],[Unit Quantity]]</f>
        <v>55800</v>
      </c>
      <c r="H849" s="60" t="s">
        <v>849</v>
      </c>
      <c r="I849" s="126" t="s">
        <v>278</v>
      </c>
      <c r="J849" s="127"/>
      <c r="K849" s="33" t="s">
        <v>278</v>
      </c>
      <c r="L849" s="125"/>
      <c r="M849" s="33" t="s">
        <v>278</v>
      </c>
      <c r="N849" s="125"/>
      <c r="O849" s="33" t="s">
        <v>278</v>
      </c>
      <c r="P849" s="125"/>
      <c r="Q849" s="33" t="s">
        <v>587</v>
      </c>
      <c r="R849" s="125"/>
      <c r="S849" s="33" t="s">
        <v>278</v>
      </c>
      <c r="T849" s="125"/>
      <c r="U849" s="33" t="s">
        <v>278</v>
      </c>
      <c r="V849" s="125"/>
      <c r="W849" s="59" t="s">
        <v>548</v>
      </c>
      <c r="X849" s="33" t="str">
        <f>+VLOOKUP(OtherClients[[#This Row],[Part]],PartControl!$A$2:$E$564,5,FALSE)</f>
        <v>infasco</v>
      </c>
      <c r="Y849" s="108">
        <f>IF(OtherClients[[#This Row],[Re-certified or New]]&lt;&gt;"Re-certified",IF(OtherClients[[#This Row],[Client]]="infasco",VLOOKUP(OtherClients[[#This Row],[Part]],PartControl!$A$2:$E$564,2,FALSE),OtherClients[[#This Row],[Total Quantity]]*VLOOKUP(OtherClients[[#This Row],[Part]],PartControl!$A$2:$E$564,2,FALSE)),0)</f>
        <v>106.94</v>
      </c>
      <c r="Z849" s="108">
        <f>IF(OtherClients[[#This Row],[Re-certified or New]]&lt;&gt;"Re-certified",IF(OtherClients[[#This Row],[Client]]="infasco",VLOOKUP(OtherClients[[#This Row],[Part]],PartControl!$A$2:$E$564,2,FALSE),OtherClients[[#This Row],[Total Quantity]]*VLOOKUP(OtherClients[[#This Row],[Part]],PartControl!$A$2:$E$564,2,FALSE)),0)</f>
        <v>106.94</v>
      </c>
    </row>
    <row r="850" spans="1:26" ht="25.15" hidden="1" customHeight="1" x14ac:dyDescent="0.25">
      <c r="A850" s="112">
        <v>46247.686168981483</v>
      </c>
      <c r="B850" s="5" t="s">
        <v>346</v>
      </c>
      <c r="C850" s="5">
        <v>11547369</v>
      </c>
      <c r="D850" s="5">
        <v>714478</v>
      </c>
      <c r="E850" s="33">
        <f>28-10</f>
        <v>18</v>
      </c>
      <c r="F850" s="60">
        <v>250</v>
      </c>
      <c r="G850" s="60">
        <f>+OtherClients[[#This Row],[Boxes / Pieces]]*OtherClients[[#This Row],[Unit Quantity]]</f>
        <v>4500</v>
      </c>
      <c r="H850" s="60" t="s">
        <v>871</v>
      </c>
      <c r="I850" s="126" t="s">
        <v>278</v>
      </c>
      <c r="J850" s="127"/>
      <c r="K850" s="33" t="s">
        <v>278</v>
      </c>
      <c r="L850" s="125"/>
      <c r="M850" s="33" t="s">
        <v>278</v>
      </c>
      <c r="N850" s="125"/>
      <c r="O850" s="33" t="s">
        <v>278</v>
      </c>
      <c r="P850" s="125"/>
      <c r="Q850" s="33" t="s">
        <v>587</v>
      </c>
      <c r="R850" s="125"/>
      <c r="S850" s="33" t="s">
        <v>278</v>
      </c>
      <c r="T850" s="125"/>
      <c r="U850" s="33" t="s">
        <v>278</v>
      </c>
      <c r="V850" s="125"/>
      <c r="W850" s="59" t="s">
        <v>548</v>
      </c>
      <c r="X850" s="33" t="str">
        <f>+VLOOKUP(OtherClients[[#This Row],[Part]],PartControl!$A$2:$E$564,5,FALSE)</f>
        <v>Infasco</v>
      </c>
      <c r="Y850" s="108">
        <f>IF(OtherClients[[#This Row],[Re-certified or New]]&lt;&gt;"Re-certified",IF(OtherClients[[#This Row],[Client]]="infasco",VLOOKUP(OtherClients[[#This Row],[Part]],PartControl!$A$2:$E$564,2,FALSE),OtherClients[[#This Row],[Total Quantity]]*VLOOKUP(OtherClients[[#This Row],[Part]],PartControl!$A$2:$E$564,2,FALSE)),0)</f>
        <v>106.94</v>
      </c>
      <c r="Z850" s="108">
        <f>IF(OtherClients[[#This Row],[Re-certified or New]]&lt;&gt;"Re-certified",IF(OtherClients[[#This Row],[Client]]="infasco",VLOOKUP(OtherClients[[#This Row],[Part]],PartControl!$A$2:$E$564,2,FALSE),OtherClients[[#This Row],[Total Quantity]]*VLOOKUP(OtherClients[[#This Row],[Part]],PartControl!$A$2:$E$564,2,FALSE)),0)</f>
        <v>106.94</v>
      </c>
    </row>
    <row r="851" spans="1:26" ht="25.15" hidden="1" customHeight="1" x14ac:dyDescent="0.25">
      <c r="A851" s="112">
        <v>46247.686168981483</v>
      </c>
      <c r="B851" s="5" t="s">
        <v>346</v>
      </c>
      <c r="C851" s="5">
        <v>22800396</v>
      </c>
      <c r="D851" s="5">
        <v>715802</v>
      </c>
      <c r="E851" s="33">
        <v>23</v>
      </c>
      <c r="F851" s="60">
        <v>1300</v>
      </c>
      <c r="G851" s="60">
        <f>+OtherClients[[#This Row],[Boxes / Pieces]]*OtherClients[[#This Row],[Unit Quantity]]</f>
        <v>29900</v>
      </c>
      <c r="H851" s="60" t="s">
        <v>871</v>
      </c>
      <c r="I851" s="126" t="s">
        <v>278</v>
      </c>
      <c r="J851" s="127"/>
      <c r="K851" s="33" t="s">
        <v>278</v>
      </c>
      <c r="L851" s="125"/>
      <c r="M851" s="33" t="s">
        <v>278</v>
      </c>
      <c r="N851" s="125"/>
      <c r="O851" s="33" t="s">
        <v>278</v>
      </c>
      <c r="P851" s="125"/>
      <c r="Q851" s="33" t="s">
        <v>587</v>
      </c>
      <c r="R851" s="125"/>
      <c r="S851" s="33" t="s">
        <v>278</v>
      </c>
      <c r="T851" s="125"/>
      <c r="U851" s="33" t="s">
        <v>278</v>
      </c>
      <c r="V851" s="125"/>
      <c r="W851" s="59" t="s">
        <v>548</v>
      </c>
      <c r="X851" s="33" t="str">
        <f>+VLOOKUP(OtherClients[[#This Row],[Part]],PartControl!$A$2:$E$564,5,FALSE)</f>
        <v>infasco</v>
      </c>
      <c r="Y851" s="108">
        <f>IF(OtherClients[[#This Row],[Re-certified or New]]&lt;&gt;"Re-certified",IF(OtherClients[[#This Row],[Client]]="infasco",VLOOKUP(OtherClients[[#This Row],[Part]],PartControl!$A$2:$E$564,2,FALSE),OtherClients[[#This Row],[Total Quantity]]*VLOOKUP(OtherClients[[#This Row],[Part]],PartControl!$A$2:$E$564,2,FALSE)),0)</f>
        <v>106.94</v>
      </c>
      <c r="Z851" s="108">
        <f>IF(OtherClients[[#This Row],[Re-certified or New]]&lt;&gt;"Re-certified",IF(OtherClients[[#This Row],[Client]]="infasco",VLOOKUP(OtherClients[[#This Row],[Part]],PartControl!$A$2:$E$564,2,FALSE),OtherClients[[#This Row],[Total Quantity]]*VLOOKUP(OtherClients[[#This Row],[Part]],PartControl!$A$2:$E$564,2,FALSE)),0)</f>
        <v>106.94</v>
      </c>
    </row>
    <row r="852" spans="1:26" ht="25.15" hidden="1" customHeight="1" x14ac:dyDescent="0.25">
      <c r="A852" s="112">
        <v>46247.686168981483</v>
      </c>
      <c r="B852" s="5" t="s">
        <v>346</v>
      </c>
      <c r="C852" s="5">
        <v>11546571</v>
      </c>
      <c r="D852" s="5">
        <v>716003</v>
      </c>
      <c r="E852" s="33">
        <v>27</v>
      </c>
      <c r="F852" s="60">
        <v>1550</v>
      </c>
      <c r="G852" s="60">
        <f>+OtherClients[[#This Row],[Boxes / Pieces]]*OtherClients[[#This Row],[Unit Quantity]]</f>
        <v>41850</v>
      </c>
      <c r="H852" s="60" t="s">
        <v>871</v>
      </c>
      <c r="I852" s="126" t="s">
        <v>278</v>
      </c>
      <c r="J852" s="127"/>
      <c r="K852" s="33" t="s">
        <v>278</v>
      </c>
      <c r="L852" s="125"/>
      <c r="M852" s="33" t="s">
        <v>278</v>
      </c>
      <c r="N852" s="125"/>
      <c r="O852" s="33" t="s">
        <v>278</v>
      </c>
      <c r="P852" s="125"/>
      <c r="Q852" s="33" t="s">
        <v>587</v>
      </c>
      <c r="R852" s="125"/>
      <c r="S852" s="33" t="s">
        <v>278</v>
      </c>
      <c r="T852" s="125"/>
      <c r="U852" s="33" t="s">
        <v>278</v>
      </c>
      <c r="V852" s="125"/>
      <c r="W852" s="59" t="s">
        <v>548</v>
      </c>
      <c r="X852" s="33" t="str">
        <f>+VLOOKUP(OtherClients[[#This Row],[Part]],PartControl!$A$2:$E$564,5,FALSE)</f>
        <v>infasco</v>
      </c>
      <c r="Y852" s="108">
        <f>IF(OtherClients[[#This Row],[Re-certified or New]]&lt;&gt;"Re-certified",IF(OtherClients[[#This Row],[Client]]="infasco",VLOOKUP(OtherClients[[#This Row],[Part]],PartControl!$A$2:$E$564,2,FALSE),OtherClients[[#This Row],[Total Quantity]]*VLOOKUP(OtherClients[[#This Row],[Part]],PartControl!$A$2:$E$564,2,FALSE)),0)</f>
        <v>135.07999999999998</v>
      </c>
      <c r="Z852" s="108">
        <f>IF(OtherClients[[#This Row],[Re-certified or New]]&lt;&gt;"Re-certified",IF(OtherClients[[#This Row],[Client]]="infasco",VLOOKUP(OtherClients[[#This Row],[Part]],PartControl!$A$2:$E$564,2,FALSE),OtherClients[[#This Row],[Total Quantity]]*VLOOKUP(OtherClients[[#This Row],[Part]],PartControl!$A$2:$E$564,2,FALSE)),0)</f>
        <v>135.07999999999998</v>
      </c>
    </row>
    <row r="853" spans="1:26" ht="25.15" hidden="1" customHeight="1" x14ac:dyDescent="0.25">
      <c r="A853" s="112">
        <v>46247.686168981483</v>
      </c>
      <c r="B853" s="5" t="s">
        <v>346</v>
      </c>
      <c r="C853" s="5" t="s">
        <v>691</v>
      </c>
      <c r="D853" s="5">
        <v>712977</v>
      </c>
      <c r="E853" s="33">
        <v>35</v>
      </c>
      <c r="F853" s="60">
        <v>1800</v>
      </c>
      <c r="G853" s="60">
        <f>+OtherClients[[#This Row],[Boxes / Pieces]]*OtherClients[[#This Row],[Unit Quantity]]</f>
        <v>63000</v>
      </c>
      <c r="H853" s="60" t="s">
        <v>871</v>
      </c>
      <c r="I853" s="126" t="s">
        <v>278</v>
      </c>
      <c r="J853" s="127"/>
      <c r="K853" s="33" t="s">
        <v>278</v>
      </c>
      <c r="L853" s="125"/>
      <c r="M853" s="33" t="s">
        <v>278</v>
      </c>
      <c r="N853" s="125"/>
      <c r="O853" s="33" t="s">
        <v>278</v>
      </c>
      <c r="P853" s="125"/>
      <c r="Q853" s="33" t="s">
        <v>587</v>
      </c>
      <c r="R853" s="125"/>
      <c r="S853" s="33" t="s">
        <v>278</v>
      </c>
      <c r="T853" s="125"/>
      <c r="U853" s="33" t="s">
        <v>278</v>
      </c>
      <c r="V853" s="125"/>
      <c r="W853" s="59" t="s">
        <v>548</v>
      </c>
      <c r="X853" s="33" t="str">
        <f>+VLOOKUP(OtherClients[[#This Row],[Part]],PartControl!$A$2:$E$564,5,FALSE)</f>
        <v>infasco</v>
      </c>
      <c r="Y853" s="108">
        <f>IF(OtherClients[[#This Row],[Re-certified or New]]&lt;&gt;"Re-certified",IF(OtherClients[[#This Row],[Client]]="infasco",VLOOKUP(OtherClients[[#This Row],[Part]],PartControl!$A$2:$E$564,2,FALSE),OtherClients[[#This Row],[Total Quantity]]*VLOOKUP(OtherClients[[#This Row],[Part]],PartControl!$A$2:$E$564,2,FALSE)),0)</f>
        <v>106.94</v>
      </c>
      <c r="Z853" s="108">
        <f>IF(OtherClients[[#This Row],[Re-certified or New]]&lt;&gt;"Re-certified",IF(OtherClients[[#This Row],[Client]]="infasco",VLOOKUP(OtherClients[[#This Row],[Part]],PartControl!$A$2:$E$564,2,FALSE),OtherClients[[#This Row],[Total Quantity]]*VLOOKUP(OtherClients[[#This Row],[Part]],PartControl!$A$2:$E$564,2,FALSE)),0)</f>
        <v>106.94</v>
      </c>
    </row>
    <row r="854" spans="1:26" ht="25.15" hidden="1" customHeight="1" x14ac:dyDescent="0.25">
      <c r="A854" s="112">
        <v>46247.686168981483</v>
      </c>
      <c r="B854" s="5" t="s">
        <v>346</v>
      </c>
      <c r="C854" s="5">
        <v>11546449</v>
      </c>
      <c r="D854" s="5">
        <v>715754</v>
      </c>
      <c r="E854" s="33">
        <v>18</v>
      </c>
      <c r="F854" s="60">
        <v>2500</v>
      </c>
      <c r="G854" s="60">
        <f>+OtherClients[[#This Row],[Boxes / Pieces]]*OtherClients[[#This Row],[Unit Quantity]]</f>
        <v>45000</v>
      </c>
      <c r="H854" s="60" t="s">
        <v>871</v>
      </c>
      <c r="I854" s="126" t="s">
        <v>278</v>
      </c>
      <c r="J854" s="127"/>
      <c r="K854" s="33" t="s">
        <v>278</v>
      </c>
      <c r="L854" s="125"/>
      <c r="M854" s="33" t="s">
        <v>278</v>
      </c>
      <c r="N854" s="125"/>
      <c r="O854" s="33" t="s">
        <v>278</v>
      </c>
      <c r="P854" s="125"/>
      <c r="Q854" s="33" t="s">
        <v>587</v>
      </c>
      <c r="R854" s="125"/>
      <c r="S854" s="33" t="s">
        <v>278</v>
      </c>
      <c r="T854" s="125"/>
      <c r="U854" s="33" t="s">
        <v>278</v>
      </c>
      <c r="V854" s="125"/>
      <c r="W854" s="59" t="s">
        <v>633</v>
      </c>
      <c r="X854" s="33" t="str">
        <f>+VLOOKUP(OtherClients[[#This Row],[Part]],PartControl!$A$2:$E$564,5,FALSE)</f>
        <v>INFASCO</v>
      </c>
      <c r="Y854" s="108">
        <f>IF(OtherClients[[#This Row],[Re-certified or New]]&lt;&gt;"Re-certified",IF(OtherClients[[#This Row],[Client]]="infasco",VLOOKUP(OtherClients[[#This Row],[Part]],PartControl!$A$2:$E$564,2,FALSE),OtherClients[[#This Row],[Total Quantity]]*VLOOKUP(OtherClients[[#This Row],[Part]],PartControl!$A$2:$E$564,2,FALSE)),0)</f>
        <v>0</v>
      </c>
      <c r="Z854" s="108">
        <f>IF(OtherClients[[#This Row],[Re-certified or New]]&lt;&gt;"Re-certified",IF(OtherClients[[#This Row],[Client]]="infasco",VLOOKUP(OtherClients[[#This Row],[Part]],PartControl!$A$2:$E$564,2,FALSE),OtherClients[[#This Row],[Total Quantity]]*VLOOKUP(OtherClients[[#This Row],[Part]],PartControl!$A$2:$E$564,2,FALSE)),0)</f>
        <v>0</v>
      </c>
    </row>
    <row r="855" spans="1:26" ht="25.15" hidden="1" customHeight="1" x14ac:dyDescent="0.25">
      <c r="A855" s="112">
        <v>46247.686168981483</v>
      </c>
      <c r="B855" s="5" t="s">
        <v>347</v>
      </c>
      <c r="C855" s="5">
        <v>11547369</v>
      </c>
      <c r="D855" s="5">
        <v>714299</v>
      </c>
      <c r="E855" s="33">
        <f>36-28</f>
        <v>8</v>
      </c>
      <c r="F855" s="60">
        <v>250</v>
      </c>
      <c r="G855" s="60">
        <f>+OtherClients[[#This Row],[Boxes / Pieces]]*OtherClients[[#This Row],[Unit Quantity]]</f>
        <v>2000</v>
      </c>
      <c r="H855" s="60">
        <v>279</v>
      </c>
      <c r="I855" s="126" t="s">
        <v>278</v>
      </c>
      <c r="J855" s="127"/>
      <c r="K855" s="33" t="s">
        <v>278</v>
      </c>
      <c r="L855" s="125"/>
      <c r="M855" s="33" t="s">
        <v>278</v>
      </c>
      <c r="N855" s="125"/>
      <c r="O855" s="33" t="s">
        <v>278</v>
      </c>
      <c r="P855" s="125"/>
      <c r="Q855" s="33" t="s">
        <v>587</v>
      </c>
      <c r="R855" s="125"/>
      <c r="S855" s="33" t="s">
        <v>278</v>
      </c>
      <c r="T855" s="125"/>
      <c r="U855" s="33" t="s">
        <v>278</v>
      </c>
      <c r="V855" s="125"/>
      <c r="W855" s="59" t="s">
        <v>548</v>
      </c>
      <c r="X855" s="33" t="str">
        <f>+VLOOKUP(OtherClients[[#This Row],[Part]],PartControl!$A$2:$E$564,5,FALSE)</f>
        <v>Infasco</v>
      </c>
      <c r="Y855" s="108">
        <f>IF(OtherClients[[#This Row],[Re-certified or New]]&lt;&gt;"Re-certified",IF(OtherClients[[#This Row],[Client]]="infasco",VLOOKUP(OtherClients[[#This Row],[Part]],PartControl!$A$2:$E$564,2,FALSE),OtherClients[[#This Row],[Total Quantity]]*VLOOKUP(OtherClients[[#This Row],[Part]],PartControl!$A$2:$E$564,2,FALSE)),0)</f>
        <v>106.94</v>
      </c>
      <c r="Z855" s="108">
        <f>IF(OtherClients[[#This Row],[Re-certified or New]]&lt;&gt;"Re-certified",IF(OtherClients[[#This Row],[Client]]="infasco",VLOOKUP(OtherClients[[#This Row],[Part]],PartControl!$A$2:$E$564,2,FALSE),OtherClients[[#This Row],[Total Quantity]]*VLOOKUP(OtherClients[[#This Row],[Part]],PartControl!$A$2:$E$564,2,FALSE)),0)</f>
        <v>106.94</v>
      </c>
    </row>
    <row r="856" spans="1:26" ht="25.15" hidden="1" customHeight="1" x14ac:dyDescent="0.25">
      <c r="A856" s="112">
        <v>46247.686168981483</v>
      </c>
      <c r="B856" s="5" t="s">
        <v>347</v>
      </c>
      <c r="C856" s="5" t="s">
        <v>16</v>
      </c>
      <c r="D856" s="5">
        <v>711774</v>
      </c>
      <c r="E856" s="33">
        <v>31</v>
      </c>
      <c r="F856" s="60">
        <v>1400</v>
      </c>
      <c r="G856" s="60">
        <f>+OtherClients[[#This Row],[Boxes / Pieces]]*OtherClients[[#This Row],[Unit Quantity]]</f>
        <v>43400</v>
      </c>
      <c r="H856" s="60">
        <v>279</v>
      </c>
      <c r="I856" s="126" t="s">
        <v>278</v>
      </c>
      <c r="J856" s="127"/>
      <c r="K856" s="33" t="s">
        <v>278</v>
      </c>
      <c r="L856" s="125"/>
      <c r="M856" s="33" t="s">
        <v>278</v>
      </c>
      <c r="N856" s="125"/>
      <c r="O856" s="33" t="s">
        <v>278</v>
      </c>
      <c r="P856" s="125"/>
      <c r="Q856" s="33" t="s">
        <v>587</v>
      </c>
      <c r="R856" s="125"/>
      <c r="S856" s="33" t="s">
        <v>278</v>
      </c>
      <c r="T856" s="125"/>
      <c r="U856" s="33" t="s">
        <v>278</v>
      </c>
      <c r="V856" s="125"/>
      <c r="W856" s="59" t="s">
        <v>548</v>
      </c>
      <c r="X856" s="33" t="str">
        <f>+VLOOKUP(OtherClients[[#This Row],[Part]],PartControl!$A$2:$E$564,5,FALSE)</f>
        <v>infasco</v>
      </c>
      <c r="Y856" s="108">
        <f>IF(OtherClients[[#This Row],[Re-certified or New]]&lt;&gt;"Re-certified",IF(OtherClients[[#This Row],[Client]]="infasco",VLOOKUP(OtherClients[[#This Row],[Part]],PartControl!$A$2:$E$564,2,FALSE),OtherClients[[#This Row],[Total Quantity]]*VLOOKUP(OtherClients[[#This Row],[Part]],PartControl!$A$2:$E$564,2,FALSE)),0)</f>
        <v>106.94</v>
      </c>
      <c r="Z856" s="108">
        <f>IF(OtherClients[[#This Row],[Re-certified or New]]&lt;&gt;"Re-certified",IF(OtherClients[[#This Row],[Client]]="infasco",VLOOKUP(OtherClients[[#This Row],[Part]],PartControl!$A$2:$E$564,2,FALSE),OtherClients[[#This Row],[Total Quantity]]*VLOOKUP(OtherClients[[#This Row],[Part]],PartControl!$A$2:$E$564,2,FALSE)),0)</f>
        <v>106.94</v>
      </c>
    </row>
    <row r="857" spans="1:26" ht="25.15" hidden="1" customHeight="1" x14ac:dyDescent="0.25">
      <c r="A857" s="112">
        <v>46247.686168981483</v>
      </c>
      <c r="B857" s="5" t="s">
        <v>347</v>
      </c>
      <c r="C857" s="5" t="s">
        <v>732</v>
      </c>
      <c r="D857" s="5">
        <v>710829</v>
      </c>
      <c r="E857" s="33">
        <v>18</v>
      </c>
      <c r="F857" s="60">
        <v>1000</v>
      </c>
      <c r="G857" s="60">
        <f>+OtherClients[[#This Row],[Boxes / Pieces]]*OtherClients[[#This Row],[Unit Quantity]]</f>
        <v>18000</v>
      </c>
      <c r="H857" s="60">
        <v>279</v>
      </c>
      <c r="I857" s="126" t="s">
        <v>278</v>
      </c>
      <c r="J857" s="127"/>
      <c r="K857" s="33" t="s">
        <v>278</v>
      </c>
      <c r="L857" s="125"/>
      <c r="M857" s="33" t="s">
        <v>278</v>
      </c>
      <c r="N857" s="125"/>
      <c r="O857" s="33" t="s">
        <v>278</v>
      </c>
      <c r="P857" s="125"/>
      <c r="Q857" s="33" t="s">
        <v>587</v>
      </c>
      <c r="R857" s="125"/>
      <c r="S857" s="33" t="s">
        <v>278</v>
      </c>
      <c r="T857" s="125"/>
      <c r="U857" s="33" t="s">
        <v>278</v>
      </c>
      <c r="V857" s="125"/>
      <c r="W857" s="59" t="s">
        <v>633</v>
      </c>
      <c r="X857" s="33" t="str">
        <f>+VLOOKUP(OtherClients[[#This Row],[Part]],PartControl!$A$2:$E$564,5,FALSE)</f>
        <v>infasco</v>
      </c>
      <c r="Y857" s="108">
        <f>IF(OtherClients[[#This Row],[Re-certified or New]]&lt;&gt;"Re-certified",IF(OtherClients[[#This Row],[Client]]="infasco",VLOOKUP(OtherClients[[#This Row],[Part]],PartControl!$A$2:$E$564,2,FALSE),OtherClients[[#This Row],[Total Quantity]]*VLOOKUP(OtherClients[[#This Row],[Part]],PartControl!$A$2:$E$564,2,FALSE)),0)</f>
        <v>0</v>
      </c>
      <c r="Z857" s="108">
        <f>IF(OtherClients[[#This Row],[Re-certified or New]]&lt;&gt;"Re-certified",IF(OtherClients[[#This Row],[Client]]="infasco",VLOOKUP(OtherClients[[#This Row],[Part]],PartControl!$A$2:$E$564,2,FALSE),OtherClients[[#This Row],[Total Quantity]]*VLOOKUP(OtherClients[[#This Row],[Part]],PartControl!$A$2:$E$564,2,FALSE)),0)</f>
        <v>0</v>
      </c>
    </row>
    <row r="858" spans="1:26" ht="25.15" hidden="1" customHeight="1" x14ac:dyDescent="0.25">
      <c r="A858" s="112">
        <v>46248.661562499998</v>
      </c>
      <c r="B858" s="5" t="s">
        <v>232</v>
      </c>
      <c r="C858" s="5">
        <v>11546545</v>
      </c>
      <c r="D858" s="5">
        <v>716271</v>
      </c>
      <c r="E858" s="33">
        <v>24</v>
      </c>
      <c r="F858" s="60">
        <v>2500</v>
      </c>
      <c r="G858" s="60">
        <v>60000</v>
      </c>
      <c r="H858" s="60">
        <v>275</v>
      </c>
      <c r="I858" s="126" t="s">
        <v>278</v>
      </c>
      <c r="J858" s="127"/>
      <c r="K858" s="33" t="s">
        <v>278</v>
      </c>
      <c r="L858" s="125"/>
      <c r="M858" s="33" t="s">
        <v>278</v>
      </c>
      <c r="N858" s="125"/>
      <c r="O858" s="33" t="s">
        <v>278</v>
      </c>
      <c r="P858" s="125"/>
      <c r="Q858" s="33" t="s">
        <v>587</v>
      </c>
      <c r="R858" s="125"/>
      <c r="S858" s="33" t="s">
        <v>278</v>
      </c>
      <c r="T858" s="125"/>
      <c r="U858" s="33" t="s">
        <v>278</v>
      </c>
      <c r="V858" s="125"/>
      <c r="W858" s="128" t="s">
        <v>548</v>
      </c>
      <c r="X858" s="33" t="str">
        <f>+VLOOKUP(OtherClients[[#This Row],[Part]],PartControl!$A$2:$E$564,5,FALSE)</f>
        <v>infasco</v>
      </c>
      <c r="Y858" s="125">
        <v>106.94</v>
      </c>
      <c r="Z858" s="108">
        <f>IF(OtherClients[[#This Row],[Re-certified or New]]&lt;&gt;"Re-certified",IF(OtherClients[[#This Row],[Client]]="infasco",VLOOKUP(OtherClients[[#This Row],[Part]],PartControl!$A$2:$E$564,2,FALSE),OtherClients[[#This Row],[Total Quantity]]*VLOOKUP(OtherClients[[#This Row],[Part]],PartControl!$A$2:$E$564,2,FALSE)),0)</f>
        <v>106.94</v>
      </c>
    </row>
    <row r="859" spans="1:26" ht="25.15" hidden="1" customHeight="1" x14ac:dyDescent="0.25">
      <c r="A859" s="112">
        <v>46248.661562499998</v>
      </c>
      <c r="B859" s="5" t="s">
        <v>232</v>
      </c>
      <c r="C859" s="5">
        <v>11546545</v>
      </c>
      <c r="D859" s="5">
        <v>716265</v>
      </c>
      <c r="E859" s="33">
        <v>9</v>
      </c>
      <c r="F859" s="60">
        <v>2500</v>
      </c>
      <c r="G859" s="60">
        <f>+OtherClients[[#This Row],[Boxes / Pieces]]*OtherClients[[#This Row],[Unit Quantity]]</f>
        <v>22500</v>
      </c>
      <c r="H859" s="60">
        <v>275</v>
      </c>
      <c r="I859" s="126" t="s">
        <v>278</v>
      </c>
      <c r="J859" s="127"/>
      <c r="K859" s="33" t="s">
        <v>278</v>
      </c>
      <c r="L859" s="125"/>
      <c r="M859" s="33" t="s">
        <v>278</v>
      </c>
      <c r="N859" s="125"/>
      <c r="O859" s="33" t="s">
        <v>278</v>
      </c>
      <c r="P859" s="125"/>
      <c r="Q859" s="33" t="s">
        <v>587</v>
      </c>
      <c r="R859" s="125"/>
      <c r="S859" s="33" t="s">
        <v>278</v>
      </c>
      <c r="T859" s="125"/>
      <c r="U859" s="33" t="s">
        <v>278</v>
      </c>
      <c r="V859" s="125"/>
      <c r="W859" s="59" t="s">
        <v>633</v>
      </c>
      <c r="X859" s="33" t="str">
        <f>+VLOOKUP(OtherClients[[#This Row],[Part]],PartControl!$A$2:$E$564,5,FALSE)</f>
        <v>infasco</v>
      </c>
      <c r="Y859" s="108">
        <f>IF(OtherClients[[#This Row],[Re-certified or New]]&lt;&gt;"Re-certified",IF(OtherClients[[#This Row],[Client]]="infasco",VLOOKUP(OtherClients[[#This Row],[Part]],PartControl!$A$2:$E$564,2,FALSE),OtherClients[[#This Row],[Total Quantity]]*VLOOKUP(OtherClients[[#This Row],[Part]],PartControl!$A$2:$E$564,2,FALSE)),0)</f>
        <v>0</v>
      </c>
      <c r="Z859" s="108">
        <f>IF(OtherClients[[#This Row],[Re-certified or New]]&lt;&gt;"Re-certified",IF(OtherClients[[#This Row],[Client]]="infasco",VLOOKUP(OtherClients[[#This Row],[Part]],PartControl!$A$2:$E$564,2,FALSE),OtherClients[[#This Row],[Total Quantity]]*VLOOKUP(OtherClients[[#This Row],[Part]],PartControl!$A$2:$E$564,2,FALSE)),0)</f>
        <v>0</v>
      </c>
    </row>
    <row r="860" spans="1:26" ht="25.15" hidden="1" customHeight="1" x14ac:dyDescent="0.25">
      <c r="A860" s="112">
        <v>46248.661562499998</v>
      </c>
      <c r="B860" s="5" t="s">
        <v>252</v>
      </c>
      <c r="C860" s="5">
        <v>7151143403</v>
      </c>
      <c r="D860" s="5">
        <v>715804</v>
      </c>
      <c r="E860" s="33">
        <f>34-18</f>
        <v>16</v>
      </c>
      <c r="F860" s="60">
        <v>1750</v>
      </c>
      <c r="G860" s="60">
        <f>+OtherClients[[#This Row],[Boxes / Pieces]]*OtherClients[[#This Row],[Unit Quantity]]</f>
        <v>28000</v>
      </c>
      <c r="H860" s="60">
        <v>275</v>
      </c>
      <c r="I860" s="126" t="s">
        <v>278</v>
      </c>
      <c r="J860" s="127"/>
      <c r="K860" s="33" t="s">
        <v>278</v>
      </c>
      <c r="L860" s="125"/>
      <c r="M860" s="33" t="s">
        <v>278</v>
      </c>
      <c r="N860" s="125"/>
      <c r="O860" s="33" t="s">
        <v>278</v>
      </c>
      <c r="P860" s="125"/>
      <c r="Q860" s="33" t="s">
        <v>587</v>
      </c>
      <c r="R860" s="125"/>
      <c r="S860" s="33" t="s">
        <v>278</v>
      </c>
      <c r="T860" s="125"/>
      <c r="U860" s="33" t="s">
        <v>278</v>
      </c>
      <c r="V860" s="125"/>
      <c r="W860" s="59" t="s">
        <v>548</v>
      </c>
      <c r="X860" s="33" t="str">
        <f>+VLOOKUP(OtherClients[[#This Row],[Part]],PartControl!$A$2:$E$564,5,FALSE)</f>
        <v>infasco</v>
      </c>
      <c r="Y860" s="108">
        <f>IF(OtherClients[[#This Row],[Re-certified or New]]&lt;&gt;"Re-certified",IF(OtherClients[[#This Row],[Client]]="infasco",VLOOKUP(OtherClients[[#This Row],[Part]],PartControl!$A$2:$E$564,2,FALSE),OtherClients[[#This Row],[Total Quantity]]*VLOOKUP(OtherClients[[#This Row],[Part]],PartControl!$A$2:$E$564,2,FALSE)),0)</f>
        <v>106.94</v>
      </c>
      <c r="Z860" s="108">
        <f>IF(OtherClients[[#This Row],[Re-certified or New]]&lt;&gt;"Re-certified",IF(OtherClients[[#This Row],[Client]]="infasco",VLOOKUP(OtherClients[[#This Row],[Part]],PartControl!$A$2:$E$564,2,FALSE),OtherClients[[#This Row],[Total Quantity]]*VLOOKUP(OtherClients[[#This Row],[Part]],PartControl!$A$2:$E$564,2,FALSE)),0)</f>
        <v>106.94</v>
      </c>
    </row>
    <row r="861" spans="1:26" ht="25.15" hidden="1" customHeight="1" x14ac:dyDescent="0.25">
      <c r="A861" s="112">
        <v>46248.661562499998</v>
      </c>
      <c r="B861" s="5" t="s">
        <v>252</v>
      </c>
      <c r="C861" s="5">
        <v>11561645</v>
      </c>
      <c r="D861" s="5">
        <v>714428</v>
      </c>
      <c r="E861" s="33">
        <v>3</v>
      </c>
      <c r="F861" s="60">
        <v>4000</v>
      </c>
      <c r="G861" s="60">
        <f>+OtherClients[[#This Row],[Boxes / Pieces]]*OtherClients[[#This Row],[Unit Quantity]]</f>
        <v>12000</v>
      </c>
      <c r="H861" s="60">
        <v>275</v>
      </c>
      <c r="I861" s="126" t="s">
        <v>278</v>
      </c>
      <c r="J861" s="127"/>
      <c r="K861" s="33" t="s">
        <v>278</v>
      </c>
      <c r="L861" s="125"/>
      <c r="M861" s="33" t="s">
        <v>278</v>
      </c>
      <c r="N861" s="125"/>
      <c r="O861" s="33" t="s">
        <v>278</v>
      </c>
      <c r="P861" s="125"/>
      <c r="Q861" s="33" t="s">
        <v>587</v>
      </c>
      <c r="R861" s="125"/>
      <c r="S861" s="33" t="s">
        <v>278</v>
      </c>
      <c r="T861" s="125"/>
      <c r="U861" s="33" t="s">
        <v>278</v>
      </c>
      <c r="V861" s="125"/>
      <c r="W861" s="59" t="s">
        <v>633</v>
      </c>
      <c r="X861" s="33" t="str">
        <f>+VLOOKUP(OtherClients[[#This Row],[Part]],PartControl!$A$2:$E$564,5,FALSE)</f>
        <v>infasco</v>
      </c>
      <c r="Y861" s="108">
        <f>IF(OtherClients[[#This Row],[Re-certified or New]]&lt;&gt;"Re-certified",IF(OtherClients[[#This Row],[Client]]="infasco",VLOOKUP(OtherClients[[#This Row],[Part]],PartControl!$A$2:$E$564,2,FALSE),OtherClients[[#This Row],[Total Quantity]]*VLOOKUP(OtherClients[[#This Row],[Part]],PartControl!$A$2:$E$564,2,FALSE)),0)</f>
        <v>0</v>
      </c>
      <c r="Z861" s="108">
        <f>IF(OtherClients[[#This Row],[Re-certified or New]]&lt;&gt;"Re-certified",IF(OtherClients[[#This Row],[Client]]="infasco",VLOOKUP(OtherClients[[#This Row],[Part]],PartControl!$A$2:$E$564,2,FALSE),OtherClients[[#This Row],[Total Quantity]]*VLOOKUP(OtherClients[[#This Row],[Part]],PartControl!$A$2:$E$564,2,FALSE)),0)</f>
        <v>0</v>
      </c>
    </row>
    <row r="862" spans="1:26" ht="25.15" hidden="1" customHeight="1" x14ac:dyDescent="0.25">
      <c r="A862" s="112">
        <v>46248.661562499998</v>
      </c>
      <c r="B862" s="5" t="s">
        <v>242</v>
      </c>
      <c r="C862" s="5" t="s">
        <v>703</v>
      </c>
      <c r="D862" s="5">
        <v>714196</v>
      </c>
      <c r="E862" s="33">
        <f>33-27</f>
        <v>6</v>
      </c>
      <c r="F862" s="60">
        <v>700</v>
      </c>
      <c r="G862" s="60">
        <f>+OtherClients[[#This Row],[Boxes / Pieces]]*OtherClients[[#This Row],[Unit Quantity]]</f>
        <v>4200</v>
      </c>
      <c r="H862" s="60">
        <v>275</v>
      </c>
      <c r="I862" s="126" t="s">
        <v>278</v>
      </c>
      <c r="J862" s="127"/>
      <c r="K862" s="33" t="s">
        <v>278</v>
      </c>
      <c r="L862" s="125"/>
      <c r="M862" s="33" t="s">
        <v>278</v>
      </c>
      <c r="N862" s="125"/>
      <c r="O862" s="33" t="s">
        <v>278</v>
      </c>
      <c r="P862" s="125"/>
      <c r="Q862" s="33" t="s">
        <v>587</v>
      </c>
      <c r="R862" s="125"/>
      <c r="S862" s="33" t="s">
        <v>278</v>
      </c>
      <c r="T862" s="125"/>
      <c r="U862" s="33" t="s">
        <v>278</v>
      </c>
      <c r="V862" s="125"/>
      <c r="W862" s="59" t="s">
        <v>548</v>
      </c>
      <c r="X862" s="33" t="str">
        <f>+VLOOKUP(OtherClients[[#This Row],[Part]],PartControl!$A$2:$E$564,5,FALSE)</f>
        <v>infasco</v>
      </c>
      <c r="Y862" s="108">
        <f>IF(OtherClients[[#This Row],[Re-certified or New]]&lt;&gt;"Re-certified",IF(OtherClients[[#This Row],[Client]]="infasco",VLOOKUP(OtherClients[[#This Row],[Part]],PartControl!$A$2:$E$564,2,FALSE),OtherClients[[#This Row],[Total Quantity]]*VLOOKUP(OtherClients[[#This Row],[Part]],PartControl!$A$2:$E$564,2,FALSE)),0)</f>
        <v>106.94</v>
      </c>
      <c r="Z862" s="108">
        <f>IF(OtherClients[[#This Row],[Re-certified or New]]&lt;&gt;"Re-certified",IF(OtherClients[[#This Row],[Client]]="infasco",VLOOKUP(OtherClients[[#This Row],[Part]],PartControl!$A$2:$E$564,2,FALSE),OtherClients[[#This Row],[Total Quantity]]*VLOOKUP(OtherClients[[#This Row],[Part]],PartControl!$A$2:$E$564,2,FALSE)),0)</f>
        <v>106.94</v>
      </c>
    </row>
    <row r="863" spans="1:26" ht="25.15" hidden="1" customHeight="1" x14ac:dyDescent="0.25">
      <c r="A863" s="112">
        <v>46248.661562499998</v>
      </c>
      <c r="B863" s="5" t="s">
        <v>242</v>
      </c>
      <c r="C863" s="5">
        <v>11549168</v>
      </c>
      <c r="D863" s="5">
        <v>714308</v>
      </c>
      <c r="E863" s="33">
        <v>40</v>
      </c>
      <c r="F863" s="60">
        <v>1000</v>
      </c>
      <c r="G863" s="60">
        <f>+OtherClients[[#This Row],[Boxes / Pieces]]*OtherClients[[#This Row],[Unit Quantity]]</f>
        <v>40000</v>
      </c>
      <c r="H863" s="60">
        <v>275</v>
      </c>
      <c r="I863" s="126" t="s">
        <v>278</v>
      </c>
      <c r="J863" s="127"/>
      <c r="K863" s="33" t="s">
        <v>278</v>
      </c>
      <c r="L863" s="125"/>
      <c r="M863" s="33" t="s">
        <v>278</v>
      </c>
      <c r="N863" s="125"/>
      <c r="O863" s="33" t="s">
        <v>278</v>
      </c>
      <c r="P863" s="125"/>
      <c r="Q863" s="33" t="s">
        <v>587</v>
      </c>
      <c r="R863" s="125"/>
      <c r="S863" s="33" t="s">
        <v>278</v>
      </c>
      <c r="T863" s="125"/>
      <c r="U863" s="33" t="s">
        <v>278</v>
      </c>
      <c r="V863" s="125"/>
      <c r="W863" s="59" t="s">
        <v>548</v>
      </c>
      <c r="X863" s="33" t="str">
        <f>+VLOOKUP(OtherClients[[#This Row],[Part]],PartControl!$A$2:$E$564,5,FALSE)</f>
        <v>INFASCO</v>
      </c>
      <c r="Y863" s="108">
        <f>IF(OtherClients[[#This Row],[Re-certified or New]]&lt;&gt;"Re-certified",IF(OtherClients[[#This Row],[Client]]="infasco",VLOOKUP(OtherClients[[#This Row],[Part]],PartControl!$A$2:$E$564,2,FALSE),OtherClients[[#This Row],[Total Quantity]]*VLOOKUP(OtherClients[[#This Row],[Part]],PartControl!$A$2:$E$564,2,FALSE)),0)</f>
        <v>106.94</v>
      </c>
      <c r="Z863" s="108">
        <f>IF(OtherClients[[#This Row],[Re-certified or New]]&lt;&gt;"Re-certified",IF(OtherClients[[#This Row],[Client]]="infasco",VLOOKUP(OtherClients[[#This Row],[Part]],PartControl!$A$2:$E$564,2,FALSE),OtherClients[[#This Row],[Total Quantity]]*VLOOKUP(OtherClients[[#This Row],[Part]],PartControl!$A$2:$E$564,2,FALSE)),0)</f>
        <v>106.94</v>
      </c>
    </row>
    <row r="864" spans="1:26" ht="25.15" hidden="1" customHeight="1" x14ac:dyDescent="0.25">
      <c r="A864" s="112">
        <v>46248.661562499998</v>
      </c>
      <c r="B864" s="5" t="s">
        <v>242</v>
      </c>
      <c r="C864" s="5">
        <v>11549168</v>
      </c>
      <c r="D864" s="5">
        <v>714305</v>
      </c>
      <c r="E864" s="33">
        <v>12</v>
      </c>
      <c r="F864" s="60">
        <v>1000</v>
      </c>
      <c r="G864" s="60">
        <f>+OtherClients[[#This Row],[Boxes / Pieces]]*OtherClients[[#This Row],[Unit Quantity]]</f>
        <v>12000</v>
      </c>
      <c r="H864" s="60">
        <v>275</v>
      </c>
      <c r="I864" s="126" t="s">
        <v>278</v>
      </c>
      <c r="J864" s="127"/>
      <c r="K864" s="33" t="s">
        <v>278</v>
      </c>
      <c r="L864" s="125"/>
      <c r="M864" s="33" t="s">
        <v>278</v>
      </c>
      <c r="N864" s="125"/>
      <c r="O864" s="33" t="s">
        <v>278</v>
      </c>
      <c r="P864" s="125"/>
      <c r="Q864" s="33" t="s">
        <v>587</v>
      </c>
      <c r="R864" s="125"/>
      <c r="S864" s="33" t="s">
        <v>278</v>
      </c>
      <c r="T864" s="125"/>
      <c r="U864" s="33" t="s">
        <v>278</v>
      </c>
      <c r="V864" s="125"/>
      <c r="W864" s="59" t="s">
        <v>633</v>
      </c>
      <c r="X864" s="33" t="str">
        <f>+VLOOKUP(OtherClients[[#This Row],[Part]],PartControl!$A$2:$E$564,5,FALSE)</f>
        <v>INFASCO</v>
      </c>
      <c r="Y864" s="108">
        <f>IF(OtherClients[[#This Row],[Re-certified or New]]&lt;&gt;"Re-certified",IF(OtherClients[[#This Row],[Client]]="infasco",VLOOKUP(OtherClients[[#This Row],[Part]],PartControl!$A$2:$E$564,2,FALSE),OtherClients[[#This Row],[Total Quantity]]*VLOOKUP(OtherClients[[#This Row],[Part]],PartControl!$A$2:$E$564,2,FALSE)),0)</f>
        <v>0</v>
      </c>
      <c r="Z864" s="108">
        <f>IF(OtherClients[[#This Row],[Re-certified or New]]&lt;&gt;"Re-certified",IF(OtherClients[[#This Row],[Client]]="infasco",VLOOKUP(OtherClients[[#This Row],[Part]],PartControl!$A$2:$E$564,2,FALSE),OtherClients[[#This Row],[Total Quantity]]*VLOOKUP(OtherClients[[#This Row],[Part]],PartControl!$A$2:$E$564,2,FALSE)),0)</f>
        <v>0</v>
      </c>
    </row>
    <row r="865" spans="1:26" ht="25.15" hidden="1" customHeight="1" x14ac:dyDescent="0.25">
      <c r="A865" s="112">
        <v>46248.661562499998</v>
      </c>
      <c r="B865" s="5" t="s">
        <v>863</v>
      </c>
      <c r="C865" s="5" t="s">
        <v>835</v>
      </c>
      <c r="D865" s="5">
        <v>715866</v>
      </c>
      <c r="E865" s="33">
        <f>36+10-27</f>
        <v>19</v>
      </c>
      <c r="F865" s="60">
        <v>660</v>
      </c>
      <c r="G865" s="60">
        <f>+OtherClients[[#This Row],[Boxes / Pieces]]*OtherClients[[#This Row],[Unit Quantity]]</f>
        <v>12540</v>
      </c>
      <c r="H865" s="60">
        <v>275</v>
      </c>
      <c r="I865" s="126" t="s">
        <v>278</v>
      </c>
      <c r="J865" s="127"/>
      <c r="K865" s="33" t="s">
        <v>278</v>
      </c>
      <c r="L865" s="125"/>
      <c r="M865" s="33" t="s">
        <v>278</v>
      </c>
      <c r="N865" s="125"/>
      <c r="O865" s="33" t="s">
        <v>278</v>
      </c>
      <c r="P865" s="125"/>
      <c r="Q865" s="33" t="s">
        <v>587</v>
      </c>
      <c r="R865" s="125"/>
      <c r="S865" s="33" t="s">
        <v>278</v>
      </c>
      <c r="T865" s="125"/>
      <c r="U865" s="33" t="s">
        <v>278</v>
      </c>
      <c r="V865" s="125"/>
      <c r="W865" s="59" t="s">
        <v>633</v>
      </c>
      <c r="X865" s="33" t="str">
        <f>+VLOOKUP(OtherClients[[#This Row],[Part]],PartControl!$A$2:$E$564,5,FALSE)</f>
        <v>infasco</v>
      </c>
      <c r="Y865" s="108">
        <f>IF(OtherClients[[#This Row],[Re-certified or New]]&lt;&gt;"Re-certified",IF(OtherClients[[#This Row],[Client]]="infasco",VLOOKUP(OtherClients[[#This Row],[Part]],PartControl!$A$2:$E$564,2,FALSE),OtherClients[[#This Row],[Total Quantity]]*VLOOKUP(OtherClients[[#This Row],[Part]],PartControl!$A$2:$E$564,2,FALSE)),0)</f>
        <v>0</v>
      </c>
      <c r="Z865" s="108">
        <f>IF(OtherClients[[#This Row],[Re-certified or New]]&lt;&gt;"Re-certified",IF(OtherClients[[#This Row],[Client]]="infasco",VLOOKUP(OtherClients[[#This Row],[Part]],PartControl!$A$2:$E$564,2,FALSE),OtherClients[[#This Row],[Total Quantity]]*VLOOKUP(OtherClients[[#This Row],[Part]],PartControl!$A$2:$E$564,2,FALSE)),0)</f>
        <v>0</v>
      </c>
    </row>
    <row r="866" spans="1:26" ht="25.15" hidden="1" customHeight="1" x14ac:dyDescent="0.25">
      <c r="A866" s="112">
        <v>46248.661562499998</v>
      </c>
      <c r="B866" s="5" t="s">
        <v>234</v>
      </c>
      <c r="C866" s="5">
        <v>11546545</v>
      </c>
      <c r="D866" s="5">
        <v>716266</v>
      </c>
      <c r="E866" s="33">
        <f>36-24</f>
        <v>12</v>
      </c>
      <c r="F866" s="60">
        <v>2500</v>
      </c>
      <c r="G866" s="60">
        <f>+OtherClients[[#This Row],[Boxes / Pieces]]*OtherClients[[#This Row],[Unit Quantity]]</f>
        <v>30000</v>
      </c>
      <c r="H866" s="60">
        <v>275</v>
      </c>
      <c r="I866" s="126" t="s">
        <v>278</v>
      </c>
      <c r="J866" s="127"/>
      <c r="K866" s="33" t="s">
        <v>278</v>
      </c>
      <c r="L866" s="125"/>
      <c r="M866" s="33" t="s">
        <v>278</v>
      </c>
      <c r="N866" s="125"/>
      <c r="O866" s="33" t="s">
        <v>278</v>
      </c>
      <c r="P866" s="125"/>
      <c r="Q866" s="33" t="s">
        <v>587</v>
      </c>
      <c r="R866" s="125"/>
      <c r="S866" s="33" t="s">
        <v>278</v>
      </c>
      <c r="T866" s="125"/>
      <c r="U866" s="33" t="s">
        <v>278</v>
      </c>
      <c r="V866" s="125"/>
      <c r="W866" s="59" t="s">
        <v>548</v>
      </c>
      <c r="X866" s="33" t="str">
        <f>+VLOOKUP(OtherClients[[#This Row],[Part]],PartControl!$A$2:$E$564,5,FALSE)</f>
        <v>infasco</v>
      </c>
      <c r="Y866" s="108">
        <f>IF(OtherClients[[#This Row],[Re-certified or New]]&lt;&gt;"Re-certified",IF(OtherClients[[#This Row],[Client]]="infasco",VLOOKUP(OtherClients[[#This Row],[Part]],PartControl!$A$2:$E$564,2,FALSE),OtherClients[[#This Row],[Total Quantity]]*VLOOKUP(OtherClients[[#This Row],[Part]],PartControl!$A$2:$E$564,2,FALSE)),0)</f>
        <v>106.94</v>
      </c>
      <c r="Z866" s="108">
        <f>IF(OtherClients[[#This Row],[Re-certified or New]]&lt;&gt;"Re-certified",IF(OtherClients[[#This Row],[Client]]="infasco",VLOOKUP(OtherClients[[#This Row],[Part]],PartControl!$A$2:$E$564,2,FALSE),OtherClients[[#This Row],[Total Quantity]]*VLOOKUP(OtherClients[[#This Row],[Part]],PartControl!$A$2:$E$564,2,FALSE)),0)</f>
        <v>106.94</v>
      </c>
    </row>
    <row r="867" spans="1:26" ht="25.15" hidden="1" customHeight="1" x14ac:dyDescent="0.25">
      <c r="A867" s="112">
        <v>46248.661562499998</v>
      </c>
      <c r="B867" s="5" t="s">
        <v>234</v>
      </c>
      <c r="C867" s="5">
        <v>11546545</v>
      </c>
      <c r="D867" s="5">
        <v>716260</v>
      </c>
      <c r="E867" s="33">
        <v>18</v>
      </c>
      <c r="F867" s="60">
        <v>2500</v>
      </c>
      <c r="G867" s="60">
        <f>+OtherClients[[#This Row],[Boxes / Pieces]]*OtherClients[[#This Row],[Unit Quantity]]</f>
        <v>45000</v>
      </c>
      <c r="H867" s="60">
        <v>275</v>
      </c>
      <c r="I867" s="126" t="s">
        <v>278</v>
      </c>
      <c r="J867" s="127"/>
      <c r="K867" s="33" t="s">
        <v>278</v>
      </c>
      <c r="L867" s="125"/>
      <c r="M867" s="33" t="s">
        <v>278</v>
      </c>
      <c r="N867" s="125"/>
      <c r="O867" s="33" t="s">
        <v>278</v>
      </c>
      <c r="P867" s="125"/>
      <c r="Q867" s="33" t="s">
        <v>587</v>
      </c>
      <c r="R867" s="125"/>
      <c r="S867" s="33" t="s">
        <v>278</v>
      </c>
      <c r="T867" s="125"/>
      <c r="U867" s="33" t="s">
        <v>278</v>
      </c>
      <c r="V867" s="125"/>
      <c r="W867" s="59" t="s">
        <v>633</v>
      </c>
      <c r="X867" s="33" t="str">
        <f>+VLOOKUP(OtherClients[[#This Row],[Part]],PartControl!$A$2:$E$564,5,FALSE)</f>
        <v>infasco</v>
      </c>
      <c r="Y867" s="108">
        <f>IF(OtherClients[[#This Row],[Re-certified or New]]&lt;&gt;"Re-certified",IF(OtherClients[[#This Row],[Client]]="infasco",VLOOKUP(OtherClients[[#This Row],[Part]],PartControl!$A$2:$E$564,2,FALSE),OtherClients[[#This Row],[Total Quantity]]*VLOOKUP(OtherClients[[#This Row],[Part]],PartControl!$A$2:$E$564,2,FALSE)),0)</f>
        <v>0</v>
      </c>
      <c r="Z867" s="108">
        <f>IF(OtherClients[[#This Row],[Re-certified or New]]&lt;&gt;"Re-certified",IF(OtherClients[[#This Row],[Client]]="infasco",VLOOKUP(OtherClients[[#This Row],[Part]],PartControl!$A$2:$E$564,2,FALSE),OtherClients[[#This Row],[Total Quantity]]*VLOOKUP(OtherClients[[#This Row],[Part]],PartControl!$A$2:$E$564,2,FALSE)),0)</f>
        <v>0</v>
      </c>
    </row>
    <row r="868" spans="1:26" ht="25.15" hidden="1" customHeight="1" x14ac:dyDescent="0.25">
      <c r="A868" s="112">
        <v>46248.661562499998</v>
      </c>
      <c r="B868" s="5" t="s">
        <v>233</v>
      </c>
      <c r="C868" s="5">
        <v>11546545</v>
      </c>
      <c r="D868" s="5">
        <v>716268</v>
      </c>
      <c r="E868" s="33">
        <f>36-23</f>
        <v>13</v>
      </c>
      <c r="F868" s="60">
        <v>2500</v>
      </c>
      <c r="G868" s="60">
        <f>+OtherClients[[#This Row],[Boxes / Pieces]]*OtherClients[[#This Row],[Unit Quantity]]</f>
        <v>32500</v>
      </c>
      <c r="H868" s="60">
        <v>275</v>
      </c>
      <c r="I868" s="126" t="s">
        <v>278</v>
      </c>
      <c r="J868" s="127"/>
      <c r="K868" s="33" t="s">
        <v>278</v>
      </c>
      <c r="L868" s="125"/>
      <c r="M868" s="33" t="s">
        <v>278</v>
      </c>
      <c r="N868" s="125"/>
      <c r="O868" s="33" t="s">
        <v>278</v>
      </c>
      <c r="P868" s="125"/>
      <c r="Q868" s="33" t="s">
        <v>587</v>
      </c>
      <c r="R868" s="125"/>
      <c r="S868" s="33" t="s">
        <v>278</v>
      </c>
      <c r="T868" s="125"/>
      <c r="U868" s="33" t="s">
        <v>278</v>
      </c>
      <c r="V868" s="125"/>
      <c r="W868" s="59" t="s">
        <v>548</v>
      </c>
      <c r="X868" s="33" t="str">
        <f>+VLOOKUP(OtherClients[[#This Row],[Part]],PartControl!$A$2:$E$564,5,FALSE)</f>
        <v>infasco</v>
      </c>
      <c r="Y868" s="108">
        <f>IF(OtherClients[[#This Row],[Re-certified or New]]&lt;&gt;"Re-certified",IF(OtherClients[[#This Row],[Client]]="infasco",VLOOKUP(OtherClients[[#This Row],[Part]],PartControl!$A$2:$E$564,2,FALSE),OtherClients[[#This Row],[Total Quantity]]*VLOOKUP(OtherClients[[#This Row],[Part]],PartControl!$A$2:$E$564,2,FALSE)),0)</f>
        <v>106.94</v>
      </c>
      <c r="Z868" s="108">
        <f>IF(OtherClients[[#This Row],[Re-certified or New]]&lt;&gt;"Re-certified",IF(OtherClients[[#This Row],[Client]]="infasco",VLOOKUP(OtherClients[[#This Row],[Part]],PartControl!$A$2:$E$564,2,FALSE),OtherClients[[#This Row],[Total Quantity]]*VLOOKUP(OtherClients[[#This Row],[Part]],PartControl!$A$2:$E$564,2,FALSE)),0)</f>
        <v>106.94</v>
      </c>
    </row>
    <row r="869" spans="1:26" ht="25.15" hidden="1" customHeight="1" x14ac:dyDescent="0.25">
      <c r="A869" s="112">
        <v>46248.661562499998</v>
      </c>
      <c r="B869" s="5" t="s">
        <v>233</v>
      </c>
      <c r="C869" s="5">
        <v>11546545</v>
      </c>
      <c r="D869" s="5">
        <v>716262</v>
      </c>
      <c r="E869" s="33">
        <v>24</v>
      </c>
      <c r="F869" s="60">
        <v>2500</v>
      </c>
      <c r="G869" s="60">
        <f>+OtherClients[[#This Row],[Boxes / Pieces]]*OtherClients[[#This Row],[Unit Quantity]]</f>
        <v>60000</v>
      </c>
      <c r="H869" s="60">
        <v>275</v>
      </c>
      <c r="I869" s="126" t="s">
        <v>278</v>
      </c>
      <c r="J869" s="127"/>
      <c r="K869" s="33" t="s">
        <v>278</v>
      </c>
      <c r="L869" s="125"/>
      <c r="M869" s="33" t="s">
        <v>278</v>
      </c>
      <c r="N869" s="125"/>
      <c r="O869" s="33" t="s">
        <v>278</v>
      </c>
      <c r="P869" s="125"/>
      <c r="Q869" s="33" t="s">
        <v>587</v>
      </c>
      <c r="R869" s="125"/>
      <c r="S869" s="33" t="s">
        <v>278</v>
      </c>
      <c r="T869" s="125"/>
      <c r="U869" s="33" t="s">
        <v>278</v>
      </c>
      <c r="V869" s="125"/>
      <c r="W869" s="59" t="s">
        <v>633</v>
      </c>
      <c r="X869" s="33" t="str">
        <f>+VLOOKUP(OtherClients[[#This Row],[Part]],PartControl!$A$2:$E$564,5,FALSE)</f>
        <v>infasco</v>
      </c>
      <c r="Y869" s="108">
        <f>IF(OtherClients[[#This Row],[Re-certified or New]]&lt;&gt;"Re-certified",IF(OtherClients[[#This Row],[Client]]="infasco",VLOOKUP(OtherClients[[#This Row],[Part]],PartControl!$A$2:$E$564,2,FALSE),OtherClients[[#This Row],[Total Quantity]]*VLOOKUP(OtherClients[[#This Row],[Part]],PartControl!$A$2:$E$564,2,FALSE)),0)</f>
        <v>0</v>
      </c>
      <c r="Z869" s="108">
        <f>IF(OtherClients[[#This Row],[Re-certified or New]]&lt;&gt;"Re-certified",IF(OtherClients[[#This Row],[Client]]="infasco",VLOOKUP(OtherClients[[#This Row],[Part]],PartControl!$A$2:$E$564,2,FALSE),OtherClients[[#This Row],[Total Quantity]]*VLOOKUP(OtherClients[[#This Row],[Part]],PartControl!$A$2:$E$564,2,FALSE)),0)</f>
        <v>0</v>
      </c>
    </row>
    <row r="870" spans="1:26" ht="25.15" hidden="1" customHeight="1" x14ac:dyDescent="0.25">
      <c r="A870" s="112">
        <v>46248.661562499998</v>
      </c>
      <c r="B870" s="5" t="s">
        <v>238</v>
      </c>
      <c r="C870" s="5">
        <v>11546463</v>
      </c>
      <c r="D870" s="5">
        <v>716595</v>
      </c>
      <c r="E870" s="33">
        <f>36-22</f>
        <v>14</v>
      </c>
      <c r="F870" s="60">
        <v>450</v>
      </c>
      <c r="G870" s="60">
        <f>+OtherClients[[#This Row],[Boxes / Pieces]]*OtherClients[[#This Row],[Unit Quantity]]</f>
        <v>6300</v>
      </c>
      <c r="H870" s="60">
        <v>275</v>
      </c>
      <c r="I870" s="126" t="s">
        <v>278</v>
      </c>
      <c r="J870" s="127"/>
      <c r="K870" s="33" t="s">
        <v>278</v>
      </c>
      <c r="L870" s="125"/>
      <c r="M870" s="33" t="s">
        <v>278</v>
      </c>
      <c r="N870" s="125"/>
      <c r="O870" s="33" t="s">
        <v>278</v>
      </c>
      <c r="P870" s="125"/>
      <c r="Q870" s="33" t="s">
        <v>587</v>
      </c>
      <c r="R870" s="125"/>
      <c r="S870" s="33" t="s">
        <v>278</v>
      </c>
      <c r="T870" s="125"/>
      <c r="U870" s="33" t="s">
        <v>278</v>
      </c>
      <c r="V870" s="125"/>
      <c r="W870" s="59" t="s">
        <v>548</v>
      </c>
      <c r="X870" s="33" t="str">
        <f>+VLOOKUP(OtherClients[[#This Row],[Part]],PartControl!$A$2:$E$564,5,FALSE)</f>
        <v>infasco</v>
      </c>
      <c r="Y870" s="108">
        <f>IF(OtherClients[[#This Row],[Re-certified or New]]&lt;&gt;"Re-certified",IF(OtherClients[[#This Row],[Client]]="infasco",VLOOKUP(OtherClients[[#This Row],[Part]],PartControl!$A$2:$E$564,2,FALSE),OtherClients[[#This Row],[Total Quantity]]*VLOOKUP(OtherClients[[#This Row],[Part]],PartControl!$A$2:$E$564,2,FALSE)),0)</f>
        <v>106.94</v>
      </c>
      <c r="Z870" s="108">
        <f>IF(OtherClients[[#This Row],[Re-certified or New]]&lt;&gt;"Re-certified",IF(OtherClients[[#This Row],[Client]]="infasco",VLOOKUP(OtherClients[[#This Row],[Part]],PartControl!$A$2:$E$564,2,FALSE),OtherClients[[#This Row],[Total Quantity]]*VLOOKUP(OtherClients[[#This Row],[Part]],PartControl!$A$2:$E$564,2,FALSE)),0)</f>
        <v>106.94</v>
      </c>
    </row>
    <row r="871" spans="1:26" ht="25.15" hidden="1" customHeight="1" x14ac:dyDescent="0.25">
      <c r="A871" s="112">
        <v>46248.661562499998</v>
      </c>
      <c r="B871" s="5" t="s">
        <v>238</v>
      </c>
      <c r="C871" s="5">
        <v>11546463</v>
      </c>
      <c r="D871" s="5">
        <v>716596</v>
      </c>
      <c r="E871" s="33">
        <v>36</v>
      </c>
      <c r="F871" s="60">
        <v>450</v>
      </c>
      <c r="G871" s="60">
        <f>+OtherClients[[#This Row],[Boxes / Pieces]]*OtherClients[[#This Row],[Unit Quantity]]</f>
        <v>16200</v>
      </c>
      <c r="H871" s="60">
        <v>275</v>
      </c>
      <c r="I871" s="126" t="s">
        <v>278</v>
      </c>
      <c r="J871" s="127"/>
      <c r="K871" s="33" t="s">
        <v>278</v>
      </c>
      <c r="L871" s="125"/>
      <c r="M871" s="33" t="s">
        <v>278</v>
      </c>
      <c r="N871" s="125"/>
      <c r="O871" s="33" t="s">
        <v>278</v>
      </c>
      <c r="P871" s="125"/>
      <c r="Q871" s="33" t="s">
        <v>587</v>
      </c>
      <c r="R871" s="125"/>
      <c r="S871" s="33" t="s">
        <v>278</v>
      </c>
      <c r="T871" s="125"/>
      <c r="U871" s="33" t="s">
        <v>278</v>
      </c>
      <c r="V871" s="125"/>
      <c r="W871" s="59" t="s">
        <v>548</v>
      </c>
      <c r="X871" s="33" t="str">
        <f>+VLOOKUP(OtherClients[[#This Row],[Part]],PartControl!$A$2:$E$564,5,FALSE)</f>
        <v>infasco</v>
      </c>
      <c r="Y871" s="108">
        <f>IF(OtherClients[[#This Row],[Re-certified or New]]&lt;&gt;"Re-certified",IF(OtherClients[[#This Row],[Client]]="infasco",VLOOKUP(OtherClients[[#This Row],[Part]],PartControl!$A$2:$E$564,2,FALSE),OtherClients[[#This Row],[Total Quantity]]*VLOOKUP(OtherClients[[#This Row],[Part]],PartControl!$A$2:$E$564,2,FALSE)),0)</f>
        <v>106.94</v>
      </c>
      <c r="Z871" s="108">
        <f>IF(OtherClients[[#This Row],[Re-certified or New]]&lt;&gt;"Re-certified",IF(OtherClients[[#This Row],[Client]]="infasco",VLOOKUP(OtherClients[[#This Row],[Part]],PartControl!$A$2:$E$564,2,FALSE),OtherClients[[#This Row],[Total Quantity]]*VLOOKUP(OtherClients[[#This Row],[Part]],PartControl!$A$2:$E$564,2,FALSE)),0)</f>
        <v>106.94</v>
      </c>
    </row>
    <row r="872" spans="1:26" ht="25.15" hidden="1" customHeight="1" x14ac:dyDescent="0.25">
      <c r="A872" s="112">
        <v>46248.661562499998</v>
      </c>
      <c r="B872" s="5" t="s">
        <v>238</v>
      </c>
      <c r="C872" s="5">
        <v>11546463</v>
      </c>
      <c r="D872" s="5">
        <v>716593</v>
      </c>
      <c r="E872" s="33">
        <v>36</v>
      </c>
      <c r="F872" s="60">
        <v>450</v>
      </c>
      <c r="G872" s="60">
        <f>+OtherClients[[#This Row],[Boxes / Pieces]]*OtherClients[[#This Row],[Unit Quantity]]</f>
        <v>16200</v>
      </c>
      <c r="H872" s="60">
        <v>275</v>
      </c>
      <c r="I872" s="126" t="s">
        <v>278</v>
      </c>
      <c r="J872" s="127"/>
      <c r="K872" s="33" t="s">
        <v>278</v>
      </c>
      <c r="L872" s="125"/>
      <c r="M872" s="33" t="s">
        <v>278</v>
      </c>
      <c r="N872" s="125"/>
      <c r="O872" s="33" t="s">
        <v>278</v>
      </c>
      <c r="P872" s="125"/>
      <c r="Q872" s="33" t="s">
        <v>587</v>
      </c>
      <c r="R872" s="125"/>
      <c r="S872" s="33" t="s">
        <v>278</v>
      </c>
      <c r="T872" s="125"/>
      <c r="U872" s="33" t="s">
        <v>278</v>
      </c>
      <c r="V872" s="125"/>
      <c r="W872" s="59" t="s">
        <v>548</v>
      </c>
      <c r="X872" s="33" t="str">
        <f>+VLOOKUP(OtherClients[[#This Row],[Part]],PartControl!$A$2:$E$564,5,FALSE)</f>
        <v>infasco</v>
      </c>
      <c r="Y872" s="108">
        <f>IF(OtherClients[[#This Row],[Re-certified or New]]&lt;&gt;"Re-certified",IF(OtherClients[[#This Row],[Client]]="infasco",VLOOKUP(OtherClients[[#This Row],[Part]],PartControl!$A$2:$E$564,2,FALSE),OtherClients[[#This Row],[Total Quantity]]*VLOOKUP(OtherClients[[#This Row],[Part]],PartControl!$A$2:$E$564,2,FALSE)),0)</f>
        <v>106.94</v>
      </c>
      <c r="Z872" s="108">
        <f>IF(OtherClients[[#This Row],[Re-certified or New]]&lt;&gt;"Re-certified",IF(OtherClients[[#This Row],[Client]]="infasco",VLOOKUP(OtherClients[[#This Row],[Part]],PartControl!$A$2:$E$564,2,FALSE),OtherClients[[#This Row],[Total Quantity]]*VLOOKUP(OtherClients[[#This Row],[Part]],PartControl!$A$2:$E$564,2,FALSE)),0)</f>
        <v>106.94</v>
      </c>
    </row>
    <row r="873" spans="1:26" ht="25.15" hidden="1" customHeight="1" x14ac:dyDescent="0.25">
      <c r="A873" s="112">
        <v>46248.661562499998</v>
      </c>
      <c r="B873" s="5" t="s">
        <v>250</v>
      </c>
      <c r="C873" s="5">
        <v>11549168</v>
      </c>
      <c r="D873" s="5">
        <v>713682</v>
      </c>
      <c r="E873" s="33">
        <f>36-21</f>
        <v>15</v>
      </c>
      <c r="F873" s="60">
        <v>1000</v>
      </c>
      <c r="G873" s="60">
        <f>+OtherClients[[#This Row],[Boxes / Pieces]]*OtherClients[[#This Row],[Unit Quantity]]</f>
        <v>15000</v>
      </c>
      <c r="H873" s="60">
        <v>290</v>
      </c>
      <c r="I873" s="126" t="s">
        <v>278</v>
      </c>
      <c r="J873" s="127"/>
      <c r="K873" s="33" t="s">
        <v>278</v>
      </c>
      <c r="L873" s="125"/>
      <c r="M873" s="33" t="s">
        <v>278</v>
      </c>
      <c r="N873" s="125"/>
      <c r="O873" s="33" t="s">
        <v>278</v>
      </c>
      <c r="P873" s="125"/>
      <c r="Q873" s="33" t="s">
        <v>587</v>
      </c>
      <c r="R873" s="125"/>
      <c r="S873" s="33" t="s">
        <v>278</v>
      </c>
      <c r="T873" s="125"/>
      <c r="U873" s="33" t="s">
        <v>278</v>
      </c>
      <c r="V873" s="125"/>
      <c r="W873" s="59" t="s">
        <v>548</v>
      </c>
      <c r="X873" s="33" t="str">
        <f>+VLOOKUP(OtherClients[[#This Row],[Part]],PartControl!$A$2:$E$564,5,FALSE)</f>
        <v>INFASCO</v>
      </c>
      <c r="Y873" s="108">
        <f>IF(OtherClients[[#This Row],[Re-certified or New]]&lt;&gt;"Re-certified",IF(OtherClients[[#This Row],[Client]]="infasco",VLOOKUP(OtherClients[[#This Row],[Part]],PartControl!$A$2:$E$564,2,FALSE),OtherClients[[#This Row],[Total Quantity]]*VLOOKUP(OtherClients[[#This Row],[Part]],PartControl!$A$2:$E$564,2,FALSE)),0)</f>
        <v>106.94</v>
      </c>
      <c r="Z873" s="108">
        <f>IF(OtherClients[[#This Row],[Re-certified or New]]&lt;&gt;"Re-certified",IF(OtherClients[[#This Row],[Client]]="infasco",VLOOKUP(OtherClients[[#This Row],[Part]],PartControl!$A$2:$E$564,2,FALSE),OtherClients[[#This Row],[Total Quantity]]*VLOOKUP(OtherClients[[#This Row],[Part]],PartControl!$A$2:$E$564,2,FALSE)),0)</f>
        <v>106.94</v>
      </c>
    </row>
    <row r="874" spans="1:26" ht="25.15" hidden="1" customHeight="1" x14ac:dyDescent="0.25">
      <c r="A874" s="112">
        <v>46248.661562499998</v>
      </c>
      <c r="B874" s="5" t="s">
        <v>250</v>
      </c>
      <c r="C874" s="5">
        <v>11549168</v>
      </c>
      <c r="D874" s="5">
        <v>714309</v>
      </c>
      <c r="E874" s="33">
        <v>40</v>
      </c>
      <c r="F874" s="60">
        <v>1000</v>
      </c>
      <c r="G874" s="60">
        <f>+OtherClients[[#This Row],[Boxes / Pieces]]*OtherClients[[#This Row],[Unit Quantity]]</f>
        <v>40000</v>
      </c>
      <c r="H874" s="60">
        <v>290</v>
      </c>
      <c r="I874" s="126" t="s">
        <v>278</v>
      </c>
      <c r="J874" s="127"/>
      <c r="K874" s="33" t="s">
        <v>278</v>
      </c>
      <c r="L874" s="125"/>
      <c r="M874" s="33" t="s">
        <v>278</v>
      </c>
      <c r="N874" s="125"/>
      <c r="O874" s="33" t="s">
        <v>278</v>
      </c>
      <c r="P874" s="125"/>
      <c r="Q874" s="33" t="s">
        <v>587</v>
      </c>
      <c r="R874" s="125"/>
      <c r="S874" s="33" t="s">
        <v>278</v>
      </c>
      <c r="T874" s="125"/>
      <c r="U874" s="33" t="s">
        <v>278</v>
      </c>
      <c r="V874" s="125"/>
      <c r="W874" s="59" t="s">
        <v>633</v>
      </c>
      <c r="X874" s="33" t="str">
        <f>+VLOOKUP(OtherClients[[#This Row],[Part]],PartControl!$A$2:$E$564,5,FALSE)</f>
        <v>INFASCO</v>
      </c>
      <c r="Y874" s="108">
        <f>IF(OtherClients[[#This Row],[Re-certified or New]]&lt;&gt;"Re-certified",IF(OtherClients[[#This Row],[Client]]="infasco",VLOOKUP(OtherClients[[#This Row],[Part]],PartControl!$A$2:$E$564,2,FALSE),OtherClients[[#This Row],[Total Quantity]]*VLOOKUP(OtherClients[[#This Row],[Part]],PartControl!$A$2:$E$564,2,FALSE)),0)</f>
        <v>0</v>
      </c>
      <c r="Z874" s="108">
        <f>IF(OtherClients[[#This Row],[Re-certified or New]]&lt;&gt;"Re-certified",IF(OtherClients[[#This Row],[Client]]="infasco",VLOOKUP(OtherClients[[#This Row],[Part]],PartControl!$A$2:$E$564,2,FALSE),OtherClients[[#This Row],[Total Quantity]]*VLOOKUP(OtherClients[[#This Row],[Part]],PartControl!$A$2:$E$564,2,FALSE)),0)</f>
        <v>0</v>
      </c>
    </row>
    <row r="875" spans="1:26" ht="25.15" hidden="1" customHeight="1" x14ac:dyDescent="0.25">
      <c r="A875" s="112">
        <v>46248.661562499998</v>
      </c>
      <c r="B875" s="5" t="s">
        <v>237</v>
      </c>
      <c r="C875" s="5">
        <v>11549168</v>
      </c>
      <c r="D875" s="5">
        <v>714304</v>
      </c>
      <c r="E875" s="33">
        <f>36-29</f>
        <v>7</v>
      </c>
      <c r="F875" s="60">
        <v>1000</v>
      </c>
      <c r="G875" s="60">
        <f>+OtherClients[[#This Row],[Boxes / Pieces]]*OtherClients[[#This Row],[Unit Quantity]]</f>
        <v>7000</v>
      </c>
      <c r="H875" s="60">
        <v>290</v>
      </c>
      <c r="I875" s="126" t="s">
        <v>278</v>
      </c>
      <c r="J875" s="127"/>
      <c r="K875" s="33" t="s">
        <v>278</v>
      </c>
      <c r="L875" s="125"/>
      <c r="M875" s="33" t="s">
        <v>278</v>
      </c>
      <c r="N875" s="125"/>
      <c r="O875" s="33" t="s">
        <v>278</v>
      </c>
      <c r="P875" s="125"/>
      <c r="Q875" s="33" t="s">
        <v>587</v>
      </c>
      <c r="R875" s="125"/>
      <c r="S875" s="33" t="s">
        <v>278</v>
      </c>
      <c r="T875" s="125"/>
      <c r="U875" s="33" t="s">
        <v>278</v>
      </c>
      <c r="V875" s="125"/>
      <c r="W875" s="59" t="s">
        <v>548</v>
      </c>
      <c r="X875" s="33" t="str">
        <f>+VLOOKUP(OtherClients[[#This Row],[Part]],PartControl!$A$2:$E$564,5,FALSE)</f>
        <v>INFASCO</v>
      </c>
      <c r="Y875" s="108">
        <f>IF(OtherClients[[#This Row],[Re-certified or New]]&lt;&gt;"Re-certified",IF(OtherClients[[#This Row],[Client]]="infasco",VLOOKUP(OtherClients[[#This Row],[Part]],PartControl!$A$2:$E$564,2,FALSE),OtherClients[[#This Row],[Total Quantity]]*VLOOKUP(OtherClients[[#This Row],[Part]],PartControl!$A$2:$E$564,2,FALSE)),0)</f>
        <v>106.94</v>
      </c>
      <c r="Z875" s="108">
        <f>IF(OtherClients[[#This Row],[Re-certified or New]]&lt;&gt;"Re-certified",IF(OtherClients[[#This Row],[Client]]="infasco",VLOOKUP(OtherClients[[#This Row],[Part]],PartControl!$A$2:$E$564,2,FALSE),OtherClients[[#This Row],[Total Quantity]]*VLOOKUP(OtherClients[[#This Row],[Part]],PartControl!$A$2:$E$564,2,FALSE)),0)</f>
        <v>106.94</v>
      </c>
    </row>
    <row r="876" spans="1:26" ht="25.15" hidden="1" customHeight="1" x14ac:dyDescent="0.25">
      <c r="A876" s="112">
        <v>46248.661562499998</v>
      </c>
      <c r="B876" s="5" t="s">
        <v>237</v>
      </c>
      <c r="C876" s="5">
        <v>11549168</v>
      </c>
      <c r="D876" s="5">
        <v>713681</v>
      </c>
      <c r="E876" s="33">
        <v>66</v>
      </c>
      <c r="F876" s="60">
        <v>1000</v>
      </c>
      <c r="G876" s="60">
        <f>+OtherClients[[#This Row],[Boxes / Pieces]]*OtherClients[[#This Row],[Unit Quantity]]</f>
        <v>66000</v>
      </c>
      <c r="H876" s="60">
        <v>290</v>
      </c>
      <c r="I876" s="126" t="s">
        <v>278</v>
      </c>
      <c r="J876" s="127"/>
      <c r="K876" s="33" t="s">
        <v>278</v>
      </c>
      <c r="L876" s="125"/>
      <c r="M876" s="33" t="s">
        <v>278</v>
      </c>
      <c r="N876" s="125"/>
      <c r="O876" s="33" t="s">
        <v>278</v>
      </c>
      <c r="P876" s="125"/>
      <c r="Q876" s="33" t="s">
        <v>587</v>
      </c>
      <c r="R876" s="125"/>
      <c r="S876" s="33" t="s">
        <v>278</v>
      </c>
      <c r="T876" s="125"/>
      <c r="U876" s="33" t="s">
        <v>278</v>
      </c>
      <c r="V876" s="125"/>
      <c r="W876" s="59" t="s">
        <v>548</v>
      </c>
      <c r="X876" s="33" t="str">
        <f>+VLOOKUP(OtherClients[[#This Row],[Part]],PartControl!$A$2:$E$564,5,FALSE)</f>
        <v>INFASCO</v>
      </c>
      <c r="Y876" s="108">
        <f>IF(OtherClients[[#This Row],[Re-certified or New]]&lt;&gt;"Re-certified",IF(OtherClients[[#This Row],[Client]]="infasco",VLOOKUP(OtherClients[[#This Row],[Part]],PartControl!$A$2:$E$564,2,FALSE),OtherClients[[#This Row],[Total Quantity]]*VLOOKUP(OtherClients[[#This Row],[Part]],PartControl!$A$2:$E$564,2,FALSE)),0)</f>
        <v>106.94</v>
      </c>
      <c r="Z876" s="108">
        <f>IF(OtherClients[[#This Row],[Re-certified or New]]&lt;&gt;"Re-certified",IF(OtherClients[[#This Row],[Client]]="infasco",VLOOKUP(OtherClients[[#This Row],[Part]],PartControl!$A$2:$E$564,2,FALSE),OtherClients[[#This Row],[Total Quantity]]*VLOOKUP(OtherClients[[#This Row],[Part]],PartControl!$A$2:$E$564,2,FALSE)),0)</f>
        <v>106.94</v>
      </c>
    </row>
    <row r="877" spans="1:26" ht="25.15" hidden="1" customHeight="1" x14ac:dyDescent="0.25">
      <c r="A877" s="112">
        <v>46248.661562499998</v>
      </c>
      <c r="B877" s="5" t="s">
        <v>237</v>
      </c>
      <c r="C877" s="5">
        <v>11549168</v>
      </c>
      <c r="D877" s="5">
        <v>714311</v>
      </c>
      <c r="E877" s="33">
        <v>40</v>
      </c>
      <c r="F877" s="60">
        <v>1000</v>
      </c>
      <c r="G877" s="60">
        <f>+OtherClients[[#This Row],[Boxes / Pieces]]*OtherClients[[#This Row],[Unit Quantity]]</f>
        <v>40000</v>
      </c>
      <c r="H877" s="60">
        <v>290</v>
      </c>
      <c r="I877" s="126" t="s">
        <v>278</v>
      </c>
      <c r="J877" s="127"/>
      <c r="K877" s="33" t="s">
        <v>278</v>
      </c>
      <c r="L877" s="125"/>
      <c r="M877" s="33" t="s">
        <v>278</v>
      </c>
      <c r="N877" s="125"/>
      <c r="O877" s="33" t="s">
        <v>278</v>
      </c>
      <c r="P877" s="125"/>
      <c r="Q877" s="33" t="s">
        <v>587</v>
      </c>
      <c r="R877" s="125"/>
      <c r="S877" s="33" t="s">
        <v>278</v>
      </c>
      <c r="T877" s="125"/>
      <c r="U877" s="33" t="s">
        <v>278</v>
      </c>
      <c r="V877" s="125"/>
      <c r="W877" s="59" t="s">
        <v>548</v>
      </c>
      <c r="X877" s="33" t="str">
        <f>+VLOOKUP(OtherClients[[#This Row],[Part]],PartControl!$A$2:$E$564,5,FALSE)</f>
        <v>INFASCO</v>
      </c>
      <c r="Y877" s="108">
        <f>IF(OtherClients[[#This Row],[Re-certified or New]]&lt;&gt;"Re-certified",IF(OtherClients[[#This Row],[Client]]="infasco",VLOOKUP(OtherClients[[#This Row],[Part]],PartControl!$A$2:$E$564,2,FALSE),OtherClients[[#This Row],[Total Quantity]]*VLOOKUP(OtherClients[[#This Row],[Part]],PartControl!$A$2:$E$564,2,FALSE)),0)</f>
        <v>106.94</v>
      </c>
      <c r="Z877" s="108">
        <f>IF(OtherClients[[#This Row],[Re-certified or New]]&lt;&gt;"Re-certified",IF(OtherClients[[#This Row],[Client]]="infasco",VLOOKUP(OtherClients[[#This Row],[Part]],PartControl!$A$2:$E$564,2,FALSE),OtherClients[[#This Row],[Total Quantity]]*VLOOKUP(OtherClients[[#This Row],[Part]],PartControl!$A$2:$E$564,2,FALSE)),0)</f>
        <v>106.94</v>
      </c>
    </row>
    <row r="878" spans="1:26" ht="25.15" hidden="1" customHeight="1" x14ac:dyDescent="0.25">
      <c r="A878" s="112">
        <v>46248.661562499998</v>
      </c>
      <c r="B878" s="5" t="s">
        <v>237</v>
      </c>
      <c r="C878" s="5">
        <v>11549168</v>
      </c>
      <c r="D878" s="5">
        <v>714307</v>
      </c>
      <c r="E878" s="33">
        <v>2</v>
      </c>
      <c r="F878" s="60">
        <v>1000</v>
      </c>
      <c r="G878" s="60">
        <f>+OtherClients[[#This Row],[Boxes / Pieces]]*OtherClients[[#This Row],[Unit Quantity]]</f>
        <v>2000</v>
      </c>
      <c r="H878" s="60">
        <v>290</v>
      </c>
      <c r="I878" s="126" t="s">
        <v>278</v>
      </c>
      <c r="J878" s="127"/>
      <c r="K878" s="33" t="s">
        <v>278</v>
      </c>
      <c r="L878" s="125"/>
      <c r="M878" s="33" t="s">
        <v>278</v>
      </c>
      <c r="N878" s="125"/>
      <c r="O878" s="33" t="s">
        <v>278</v>
      </c>
      <c r="P878" s="125"/>
      <c r="Q878" s="33" t="s">
        <v>587</v>
      </c>
      <c r="R878" s="125"/>
      <c r="S878" s="33" t="s">
        <v>278</v>
      </c>
      <c r="T878" s="125"/>
      <c r="U878" s="33" t="s">
        <v>278</v>
      </c>
      <c r="V878" s="125"/>
      <c r="W878" s="59" t="s">
        <v>633</v>
      </c>
      <c r="X878" s="33" t="str">
        <f>+VLOOKUP(OtherClients[[#This Row],[Part]],PartControl!$A$2:$E$564,5,FALSE)</f>
        <v>INFASCO</v>
      </c>
      <c r="Y878" s="108">
        <f>IF(OtherClients[[#This Row],[Re-certified or New]]&lt;&gt;"Re-certified",IF(OtherClients[[#This Row],[Client]]="infasco",VLOOKUP(OtherClients[[#This Row],[Part]],PartControl!$A$2:$E$564,2,FALSE),OtherClients[[#This Row],[Total Quantity]]*VLOOKUP(OtherClients[[#This Row],[Part]],PartControl!$A$2:$E$564,2,FALSE)),0)</f>
        <v>0</v>
      </c>
      <c r="Z878" s="108">
        <f>IF(OtherClients[[#This Row],[Re-certified or New]]&lt;&gt;"Re-certified",IF(OtherClients[[#This Row],[Client]]="infasco",VLOOKUP(OtherClients[[#This Row],[Part]],PartControl!$A$2:$E$564,2,FALSE),OtherClients[[#This Row],[Total Quantity]]*VLOOKUP(OtherClients[[#This Row],[Part]],PartControl!$A$2:$E$564,2,FALSE)),0)</f>
        <v>0</v>
      </c>
    </row>
    <row r="879" spans="1:26" ht="25.15" hidden="1" customHeight="1" x14ac:dyDescent="0.25">
      <c r="A879" s="112">
        <v>46248.661562499998</v>
      </c>
      <c r="B879" s="5" t="s">
        <v>240</v>
      </c>
      <c r="C879" s="5" t="s">
        <v>810</v>
      </c>
      <c r="D879" s="5">
        <v>714521</v>
      </c>
      <c r="E879" s="33">
        <v>24</v>
      </c>
      <c r="F879" s="60">
        <v>660</v>
      </c>
      <c r="G879" s="60">
        <f>+OtherClients[[#This Row],[Boxes / Pieces]]*OtherClients[[#This Row],[Unit Quantity]]</f>
        <v>15840</v>
      </c>
      <c r="H879" s="60">
        <v>290</v>
      </c>
      <c r="I879" s="126" t="s">
        <v>278</v>
      </c>
      <c r="J879" s="127"/>
      <c r="K879" s="33" t="s">
        <v>278</v>
      </c>
      <c r="L879" s="125"/>
      <c r="M879" s="33" t="s">
        <v>278</v>
      </c>
      <c r="N879" s="125"/>
      <c r="O879" s="33" t="s">
        <v>278</v>
      </c>
      <c r="P879" s="125"/>
      <c r="Q879" s="33" t="s">
        <v>587</v>
      </c>
      <c r="R879" s="125"/>
      <c r="S879" s="33" t="s">
        <v>278</v>
      </c>
      <c r="T879" s="125"/>
      <c r="U879" s="33" t="s">
        <v>278</v>
      </c>
      <c r="V879" s="125"/>
      <c r="W879" s="59" t="s">
        <v>548</v>
      </c>
      <c r="X879" s="33" t="str">
        <f>+VLOOKUP(OtherClients[[#This Row],[Part]],PartControl!$A$2:$E$564,5,FALSE)</f>
        <v>INFASCO</v>
      </c>
      <c r="Y879" s="108">
        <f>IF(OtherClients[[#This Row],[Re-certified or New]]&lt;&gt;"Re-certified",IF(OtherClients[[#This Row],[Client]]="infasco",VLOOKUP(OtherClients[[#This Row],[Part]],PartControl!$A$2:$E$564,2,FALSE),OtherClients[[#This Row],[Total Quantity]]*VLOOKUP(OtherClients[[#This Row],[Part]],PartControl!$A$2:$E$564,2,FALSE)),0)</f>
        <v>106.94</v>
      </c>
      <c r="Z879" s="108">
        <f>IF(OtherClients[[#This Row],[Re-certified or New]]&lt;&gt;"Re-certified",IF(OtherClients[[#This Row],[Client]]="infasco",VLOOKUP(OtherClients[[#This Row],[Part]],PartControl!$A$2:$E$564,2,FALSE),OtherClients[[#This Row],[Total Quantity]]*VLOOKUP(OtherClients[[#This Row],[Part]],PartControl!$A$2:$E$564,2,FALSE)),0)</f>
        <v>106.94</v>
      </c>
    </row>
    <row r="880" spans="1:26" ht="25.15" hidden="1" customHeight="1" x14ac:dyDescent="0.25">
      <c r="A880" s="112">
        <v>46248.661562499998</v>
      </c>
      <c r="B880" s="5" t="s">
        <v>240</v>
      </c>
      <c r="C880" s="5" t="s">
        <v>810</v>
      </c>
      <c r="D880" s="5">
        <v>715954</v>
      </c>
      <c r="E880" s="33">
        <v>36</v>
      </c>
      <c r="F880" s="60">
        <v>660</v>
      </c>
      <c r="G880" s="60">
        <f>+OtherClients[[#This Row],[Boxes / Pieces]]*OtherClients[[#This Row],[Unit Quantity]]</f>
        <v>23760</v>
      </c>
      <c r="H880" s="60">
        <v>290</v>
      </c>
      <c r="I880" s="126" t="s">
        <v>278</v>
      </c>
      <c r="J880" s="127"/>
      <c r="K880" s="33" t="s">
        <v>278</v>
      </c>
      <c r="L880" s="125"/>
      <c r="M880" s="33" t="s">
        <v>278</v>
      </c>
      <c r="N880" s="125"/>
      <c r="O880" s="33" t="s">
        <v>278</v>
      </c>
      <c r="P880" s="125"/>
      <c r="Q880" s="33" t="s">
        <v>587</v>
      </c>
      <c r="R880" s="125"/>
      <c r="S880" s="33" t="s">
        <v>278</v>
      </c>
      <c r="T880" s="125"/>
      <c r="U880" s="33" t="s">
        <v>278</v>
      </c>
      <c r="V880" s="125"/>
      <c r="W880" s="59" t="s">
        <v>548</v>
      </c>
      <c r="X880" s="33" t="str">
        <f>+VLOOKUP(OtherClients[[#This Row],[Part]],PartControl!$A$2:$E$564,5,FALSE)</f>
        <v>INFASCO</v>
      </c>
      <c r="Y880" s="108">
        <f>IF(OtherClients[[#This Row],[Re-certified or New]]&lt;&gt;"Re-certified",IF(OtherClients[[#This Row],[Client]]="infasco",VLOOKUP(OtherClients[[#This Row],[Part]],PartControl!$A$2:$E$564,2,FALSE),OtherClients[[#This Row],[Total Quantity]]*VLOOKUP(OtherClients[[#This Row],[Part]],PartControl!$A$2:$E$564,2,FALSE)),0)</f>
        <v>106.94</v>
      </c>
      <c r="Z880" s="108">
        <f>IF(OtherClients[[#This Row],[Re-certified or New]]&lt;&gt;"Re-certified",IF(OtherClients[[#This Row],[Client]]="infasco",VLOOKUP(OtherClients[[#This Row],[Part]],PartControl!$A$2:$E$564,2,FALSE),OtherClients[[#This Row],[Total Quantity]]*VLOOKUP(OtherClients[[#This Row],[Part]],PartControl!$A$2:$E$564,2,FALSE)),0)</f>
        <v>106.94</v>
      </c>
    </row>
    <row r="881" spans="1:26" ht="25.15" hidden="1" customHeight="1" x14ac:dyDescent="0.25">
      <c r="A881" s="112">
        <v>46248.661562499998</v>
      </c>
      <c r="B881" s="5" t="s">
        <v>240</v>
      </c>
      <c r="C881" s="5" t="s">
        <v>810</v>
      </c>
      <c r="D881" s="5">
        <v>714519</v>
      </c>
      <c r="E881" s="33">
        <v>36</v>
      </c>
      <c r="F881" s="60">
        <v>660</v>
      </c>
      <c r="G881" s="60">
        <f>+OtherClients[[#This Row],[Boxes / Pieces]]*OtherClients[[#This Row],[Unit Quantity]]</f>
        <v>23760</v>
      </c>
      <c r="H881" s="60">
        <v>290</v>
      </c>
      <c r="I881" s="126" t="s">
        <v>278</v>
      </c>
      <c r="J881" s="127"/>
      <c r="K881" s="33" t="s">
        <v>278</v>
      </c>
      <c r="L881" s="125"/>
      <c r="M881" s="33" t="s">
        <v>278</v>
      </c>
      <c r="N881" s="125"/>
      <c r="O881" s="33" t="s">
        <v>278</v>
      </c>
      <c r="P881" s="125"/>
      <c r="Q881" s="33" t="s">
        <v>587</v>
      </c>
      <c r="R881" s="125"/>
      <c r="S881" s="33" t="s">
        <v>278</v>
      </c>
      <c r="T881" s="125"/>
      <c r="U881" s="33" t="s">
        <v>278</v>
      </c>
      <c r="V881" s="125"/>
      <c r="W881" s="59" t="s">
        <v>633</v>
      </c>
      <c r="X881" s="33" t="str">
        <f>+VLOOKUP(OtherClients[[#This Row],[Part]],PartControl!$A$2:$E$564,5,FALSE)</f>
        <v>INFASCO</v>
      </c>
      <c r="Y881" s="108">
        <f>IF(OtherClients[[#This Row],[Re-certified or New]]&lt;&gt;"Re-certified",IF(OtherClients[[#This Row],[Client]]="infasco",VLOOKUP(OtherClients[[#This Row],[Part]],PartControl!$A$2:$E$564,2,FALSE),OtherClients[[#This Row],[Total Quantity]]*VLOOKUP(OtherClients[[#This Row],[Part]],PartControl!$A$2:$E$564,2,FALSE)),0)</f>
        <v>0</v>
      </c>
      <c r="Z881" s="108">
        <f>IF(OtherClients[[#This Row],[Re-certified or New]]&lt;&gt;"Re-certified",IF(OtherClients[[#This Row],[Client]]="infasco",VLOOKUP(OtherClients[[#This Row],[Part]],PartControl!$A$2:$E$564,2,FALSE),OtherClients[[#This Row],[Total Quantity]]*VLOOKUP(OtherClients[[#This Row],[Part]],PartControl!$A$2:$E$564,2,FALSE)),0)</f>
        <v>0</v>
      </c>
    </row>
    <row r="882" spans="1:26" ht="25.15" hidden="1" customHeight="1" x14ac:dyDescent="0.25">
      <c r="A882" s="112">
        <v>46248.661562499998</v>
      </c>
      <c r="B882" s="5" t="s">
        <v>239</v>
      </c>
      <c r="C882" s="5">
        <v>11549170</v>
      </c>
      <c r="D882" s="5">
        <v>713709</v>
      </c>
      <c r="E882" s="33">
        <f>40-7</f>
        <v>33</v>
      </c>
      <c r="F882" s="60">
        <v>400</v>
      </c>
      <c r="G882" s="60">
        <f>+OtherClients[[#This Row],[Boxes / Pieces]]*OtherClients[[#This Row],[Unit Quantity]]</f>
        <v>13200</v>
      </c>
      <c r="H882" s="60">
        <v>290</v>
      </c>
      <c r="I882" s="126" t="s">
        <v>278</v>
      </c>
      <c r="J882" s="127"/>
      <c r="K882" s="33" t="s">
        <v>278</v>
      </c>
      <c r="L882" s="125"/>
      <c r="M882" s="33" t="s">
        <v>278</v>
      </c>
      <c r="N882" s="125"/>
      <c r="O882" s="33" t="s">
        <v>278</v>
      </c>
      <c r="P882" s="125"/>
      <c r="Q882" s="33" t="s">
        <v>587</v>
      </c>
      <c r="R882" s="125"/>
      <c r="S882" s="33" t="s">
        <v>278</v>
      </c>
      <c r="T882" s="125"/>
      <c r="U882" s="33" t="s">
        <v>278</v>
      </c>
      <c r="V882" s="125"/>
      <c r="W882" s="59" t="s">
        <v>548</v>
      </c>
      <c r="X882" s="33" t="str">
        <f>+VLOOKUP(OtherClients[[#This Row],[Part]],PartControl!$A$2:$E$564,5,FALSE)</f>
        <v>INFASCO</v>
      </c>
      <c r="Y882" s="108">
        <f>IF(OtherClients[[#This Row],[Re-certified or New]]&lt;&gt;"Re-certified",IF(OtherClients[[#This Row],[Client]]="infasco",VLOOKUP(OtherClients[[#This Row],[Part]],PartControl!$A$2:$E$564,2,FALSE),OtherClients[[#This Row],[Total Quantity]]*VLOOKUP(OtherClients[[#This Row],[Part]],PartControl!$A$2:$E$564,2,FALSE)),0)</f>
        <v>106.94</v>
      </c>
      <c r="Z882" s="108">
        <f>IF(OtherClients[[#This Row],[Re-certified or New]]&lt;&gt;"Re-certified",IF(OtherClients[[#This Row],[Client]]="infasco",VLOOKUP(OtherClients[[#This Row],[Part]],PartControl!$A$2:$E$564,2,FALSE),OtherClients[[#This Row],[Total Quantity]]*VLOOKUP(OtherClients[[#This Row],[Part]],PartControl!$A$2:$E$564,2,FALSE)),0)</f>
        <v>106.94</v>
      </c>
    </row>
    <row r="883" spans="1:26" ht="25.15" hidden="1" customHeight="1" x14ac:dyDescent="0.25">
      <c r="A883" s="112">
        <v>46248.661562499998</v>
      </c>
      <c r="B883" s="5" t="s">
        <v>239</v>
      </c>
      <c r="C883" s="5" t="s">
        <v>705</v>
      </c>
      <c r="D883" s="5">
        <v>714096</v>
      </c>
      <c r="E883" s="33">
        <v>36</v>
      </c>
      <c r="F883" s="60">
        <v>450</v>
      </c>
      <c r="G883" s="60">
        <f>+OtherClients[[#This Row],[Boxes / Pieces]]*OtherClients[[#This Row],[Unit Quantity]]</f>
        <v>16200</v>
      </c>
      <c r="H883" s="60">
        <v>290</v>
      </c>
      <c r="I883" s="126" t="s">
        <v>278</v>
      </c>
      <c r="J883" s="127"/>
      <c r="K883" s="33" t="s">
        <v>278</v>
      </c>
      <c r="L883" s="125"/>
      <c r="M883" s="33" t="s">
        <v>278</v>
      </c>
      <c r="N883" s="125"/>
      <c r="O883" s="33" t="s">
        <v>278</v>
      </c>
      <c r="P883" s="125"/>
      <c r="Q883" s="33" t="s">
        <v>587</v>
      </c>
      <c r="R883" s="125"/>
      <c r="S883" s="33" t="s">
        <v>278</v>
      </c>
      <c r="T883" s="125"/>
      <c r="U883" s="33" t="s">
        <v>278</v>
      </c>
      <c r="V883" s="125"/>
      <c r="W883" s="59" t="s">
        <v>548</v>
      </c>
      <c r="X883" s="33" t="str">
        <f>+VLOOKUP(OtherClients[[#This Row],[Part]],PartControl!$A$2:$E$564,5,FALSE)</f>
        <v>infasco</v>
      </c>
      <c r="Y883" s="108">
        <f>IF(OtherClients[[#This Row],[Re-certified or New]]&lt;&gt;"Re-certified",IF(OtherClients[[#This Row],[Client]]="infasco",VLOOKUP(OtherClients[[#This Row],[Part]],PartControl!$A$2:$E$564,2,FALSE),OtherClients[[#This Row],[Total Quantity]]*VLOOKUP(OtherClients[[#This Row],[Part]],PartControl!$A$2:$E$564,2,FALSE)),0)</f>
        <v>106.94</v>
      </c>
      <c r="Z883" s="108">
        <f>IF(OtherClients[[#This Row],[Re-certified or New]]&lt;&gt;"Re-certified",IF(OtherClients[[#This Row],[Client]]="infasco",VLOOKUP(OtherClients[[#This Row],[Part]],PartControl!$A$2:$E$564,2,FALSE),OtherClients[[#This Row],[Total Quantity]]*VLOOKUP(OtherClients[[#This Row],[Part]],PartControl!$A$2:$E$564,2,FALSE)),0)</f>
        <v>106.94</v>
      </c>
    </row>
    <row r="884" spans="1:26" ht="25.15" hidden="1" customHeight="1" x14ac:dyDescent="0.25">
      <c r="A884" s="112">
        <v>46248.661562499998</v>
      </c>
      <c r="B884" s="5" t="s">
        <v>239</v>
      </c>
      <c r="C884" s="5" t="s">
        <v>705</v>
      </c>
      <c r="D884" s="5">
        <v>714104</v>
      </c>
      <c r="E884" s="33">
        <v>36</v>
      </c>
      <c r="F884" s="60">
        <v>450</v>
      </c>
      <c r="G884" s="60">
        <f>+OtherClients[[#This Row],[Boxes / Pieces]]*OtherClients[[#This Row],[Unit Quantity]]</f>
        <v>16200</v>
      </c>
      <c r="H884" s="60">
        <v>290</v>
      </c>
      <c r="I884" s="126" t="s">
        <v>278</v>
      </c>
      <c r="J884" s="127"/>
      <c r="K884" s="33" t="s">
        <v>278</v>
      </c>
      <c r="L884" s="125"/>
      <c r="M884" s="33" t="s">
        <v>278</v>
      </c>
      <c r="N884" s="125"/>
      <c r="O884" s="33" t="s">
        <v>278</v>
      </c>
      <c r="P884" s="125"/>
      <c r="Q884" s="33" t="s">
        <v>587</v>
      </c>
      <c r="R884" s="125"/>
      <c r="S884" s="33" t="s">
        <v>278</v>
      </c>
      <c r="T884" s="125"/>
      <c r="U884" s="33" t="s">
        <v>278</v>
      </c>
      <c r="V884" s="125"/>
      <c r="W884" s="59" t="s">
        <v>548</v>
      </c>
      <c r="X884" s="33" t="str">
        <f>+VLOOKUP(OtherClients[[#This Row],[Part]],PartControl!$A$2:$E$564,5,FALSE)</f>
        <v>infasco</v>
      </c>
      <c r="Y884" s="108">
        <f>IF(OtherClients[[#This Row],[Re-certified or New]]&lt;&gt;"Re-certified",IF(OtherClients[[#This Row],[Client]]="infasco",VLOOKUP(OtherClients[[#This Row],[Part]],PartControl!$A$2:$E$564,2,FALSE),OtherClients[[#This Row],[Total Quantity]]*VLOOKUP(OtherClients[[#This Row],[Part]],PartControl!$A$2:$E$564,2,FALSE)),0)</f>
        <v>106.94</v>
      </c>
      <c r="Z884" s="108">
        <f>IF(OtherClients[[#This Row],[Re-certified or New]]&lt;&gt;"Re-certified",IF(OtherClients[[#This Row],[Client]]="infasco",VLOOKUP(OtherClients[[#This Row],[Part]],PartControl!$A$2:$E$564,2,FALSE),OtherClients[[#This Row],[Total Quantity]]*VLOOKUP(OtherClients[[#This Row],[Part]],PartControl!$A$2:$E$564,2,FALSE)),0)</f>
        <v>106.94</v>
      </c>
    </row>
    <row r="885" spans="1:26" ht="25.15" hidden="1" customHeight="1" x14ac:dyDescent="0.25">
      <c r="A885" s="112">
        <v>46248.661562499998</v>
      </c>
      <c r="B885" s="5" t="s">
        <v>236</v>
      </c>
      <c r="C885" s="5">
        <v>11546545</v>
      </c>
      <c r="D885" s="5">
        <v>716261</v>
      </c>
      <c r="E885" s="33">
        <f>36-20</f>
        <v>16</v>
      </c>
      <c r="F885" s="60">
        <v>2500</v>
      </c>
      <c r="G885" s="60">
        <f>+OtherClients[[#This Row],[Boxes / Pieces]]*OtherClients[[#This Row],[Unit Quantity]]</f>
        <v>40000</v>
      </c>
      <c r="H885" s="60">
        <v>290</v>
      </c>
      <c r="I885" s="126" t="s">
        <v>278</v>
      </c>
      <c r="J885" s="127"/>
      <c r="K885" s="33" t="s">
        <v>278</v>
      </c>
      <c r="L885" s="125"/>
      <c r="M885" s="33" t="s">
        <v>278</v>
      </c>
      <c r="N885" s="125"/>
      <c r="O885" s="33" t="s">
        <v>278</v>
      </c>
      <c r="P885" s="125"/>
      <c r="Q885" s="33" t="s">
        <v>587</v>
      </c>
      <c r="R885" s="125"/>
      <c r="S885" s="33" t="s">
        <v>278</v>
      </c>
      <c r="T885" s="125"/>
      <c r="U885" s="33" t="s">
        <v>278</v>
      </c>
      <c r="V885" s="125"/>
      <c r="W885" s="59" t="s">
        <v>548</v>
      </c>
      <c r="X885" s="33" t="str">
        <f>+VLOOKUP(OtherClients[[#This Row],[Part]],PartControl!$A$2:$E$564,5,FALSE)</f>
        <v>infasco</v>
      </c>
      <c r="Y885" s="108">
        <f>IF(OtherClients[[#This Row],[Re-certified or New]]&lt;&gt;"Re-certified",IF(OtherClients[[#This Row],[Client]]="infasco",VLOOKUP(OtherClients[[#This Row],[Part]],PartControl!$A$2:$E$564,2,FALSE),OtherClients[[#This Row],[Total Quantity]]*VLOOKUP(OtherClients[[#This Row],[Part]],PartControl!$A$2:$E$564,2,FALSE)),0)</f>
        <v>106.94</v>
      </c>
      <c r="Z885" s="108">
        <f>IF(OtherClients[[#This Row],[Re-certified or New]]&lt;&gt;"Re-certified",IF(OtherClients[[#This Row],[Client]]="infasco",VLOOKUP(OtherClients[[#This Row],[Part]],PartControl!$A$2:$E$564,2,FALSE),OtherClients[[#This Row],[Total Quantity]]*VLOOKUP(OtherClients[[#This Row],[Part]],PartControl!$A$2:$E$564,2,FALSE)),0)</f>
        <v>106.94</v>
      </c>
    </row>
    <row r="886" spans="1:26" ht="25.15" hidden="1" customHeight="1" x14ac:dyDescent="0.25">
      <c r="A886" s="112">
        <v>46248.661562499998</v>
      </c>
      <c r="B886" s="5" t="s">
        <v>236</v>
      </c>
      <c r="C886" s="5">
        <v>11546545</v>
      </c>
      <c r="D886" s="5">
        <v>716263</v>
      </c>
      <c r="E886" s="33">
        <v>21</v>
      </c>
      <c r="F886" s="60">
        <v>2500</v>
      </c>
      <c r="G886" s="60">
        <f>+OtherClients[[#This Row],[Boxes / Pieces]]*OtherClients[[#This Row],[Unit Quantity]]</f>
        <v>52500</v>
      </c>
      <c r="H886" s="60">
        <v>290</v>
      </c>
      <c r="I886" s="126" t="s">
        <v>278</v>
      </c>
      <c r="J886" s="127"/>
      <c r="K886" s="33" t="s">
        <v>278</v>
      </c>
      <c r="L886" s="125"/>
      <c r="M886" s="33" t="s">
        <v>278</v>
      </c>
      <c r="N886" s="125"/>
      <c r="O886" s="33" t="s">
        <v>278</v>
      </c>
      <c r="P886" s="125"/>
      <c r="Q886" s="33" t="s">
        <v>587</v>
      </c>
      <c r="R886" s="125"/>
      <c r="S886" s="33" t="s">
        <v>278</v>
      </c>
      <c r="T886" s="125"/>
      <c r="U886" s="33" t="s">
        <v>278</v>
      </c>
      <c r="V886" s="125"/>
      <c r="W886" s="59" t="s">
        <v>633</v>
      </c>
      <c r="X886" s="33" t="str">
        <f>+VLOOKUP(OtherClients[[#This Row],[Part]],PartControl!$A$2:$E$564,5,FALSE)</f>
        <v>infasco</v>
      </c>
      <c r="Y886" s="108">
        <f>IF(OtherClients[[#This Row],[Re-certified or New]]&lt;&gt;"Re-certified",IF(OtherClients[[#This Row],[Client]]="infasco",VLOOKUP(OtherClients[[#This Row],[Part]],PartControl!$A$2:$E$564,2,FALSE),OtherClients[[#This Row],[Total Quantity]]*VLOOKUP(OtherClients[[#This Row],[Part]],PartControl!$A$2:$E$564,2,FALSE)),0)</f>
        <v>0</v>
      </c>
      <c r="Z886" s="108">
        <f>IF(OtherClients[[#This Row],[Re-certified or New]]&lt;&gt;"Re-certified",IF(OtherClients[[#This Row],[Client]]="infasco",VLOOKUP(OtherClients[[#This Row],[Part]],PartControl!$A$2:$E$564,2,FALSE),OtherClients[[#This Row],[Total Quantity]]*VLOOKUP(OtherClients[[#This Row],[Part]],PartControl!$A$2:$E$564,2,FALSE)),0)</f>
        <v>0</v>
      </c>
    </row>
    <row r="887" spans="1:26" ht="25.15" hidden="1" customHeight="1" x14ac:dyDescent="0.25">
      <c r="A887" s="112">
        <v>46248.661562499998</v>
      </c>
      <c r="B887" s="5" t="s">
        <v>624</v>
      </c>
      <c r="C887" s="5">
        <v>11549170</v>
      </c>
      <c r="D887" s="5">
        <v>714632</v>
      </c>
      <c r="E887" s="33">
        <f>36-10</f>
        <v>26</v>
      </c>
      <c r="F887" s="60">
        <v>400</v>
      </c>
      <c r="G887" s="60">
        <f>+OtherClients[[#This Row],[Boxes / Pieces]]*OtherClients[[#This Row],[Unit Quantity]]</f>
        <v>10400</v>
      </c>
      <c r="H887" s="60">
        <v>292</v>
      </c>
      <c r="I887" s="126" t="s">
        <v>278</v>
      </c>
      <c r="J887" s="127"/>
      <c r="K887" s="33" t="s">
        <v>278</v>
      </c>
      <c r="L887" s="125"/>
      <c r="M887" s="33" t="s">
        <v>278</v>
      </c>
      <c r="N887" s="125"/>
      <c r="O887" s="33" t="s">
        <v>278</v>
      </c>
      <c r="P887" s="125"/>
      <c r="Q887" s="33" t="s">
        <v>587</v>
      </c>
      <c r="R887" s="125"/>
      <c r="S887" s="33" t="s">
        <v>278</v>
      </c>
      <c r="T887" s="125"/>
      <c r="U887" s="33" t="s">
        <v>278</v>
      </c>
      <c r="V887" s="125"/>
      <c r="W887" s="59" t="s">
        <v>548</v>
      </c>
      <c r="X887" s="33" t="str">
        <f>+VLOOKUP(OtherClients[[#This Row],[Part]],PartControl!$A$2:$E$564,5,FALSE)</f>
        <v>INFASCO</v>
      </c>
      <c r="Y887" s="108">
        <f>IF(OtherClients[[#This Row],[Re-certified or New]]&lt;&gt;"Re-certified",IF(OtherClients[[#This Row],[Client]]="infasco",VLOOKUP(OtherClients[[#This Row],[Part]],PartControl!$A$2:$E$564,2,FALSE),OtherClients[[#This Row],[Total Quantity]]*VLOOKUP(OtherClients[[#This Row],[Part]],PartControl!$A$2:$E$564,2,FALSE)),0)</f>
        <v>106.94</v>
      </c>
      <c r="Z887" s="108">
        <f>IF(OtherClients[[#This Row],[Re-certified or New]]&lt;&gt;"Re-certified",IF(OtherClients[[#This Row],[Client]]="infasco",VLOOKUP(OtherClients[[#This Row],[Part]],PartControl!$A$2:$E$564,2,FALSE),OtherClients[[#This Row],[Total Quantity]]*VLOOKUP(OtherClients[[#This Row],[Part]],PartControl!$A$2:$E$564,2,FALSE)),0)</f>
        <v>106.94</v>
      </c>
    </row>
    <row r="888" spans="1:26" ht="25.15" hidden="1" customHeight="1" x14ac:dyDescent="0.25">
      <c r="A888" s="112">
        <v>46248.661562499998</v>
      </c>
      <c r="B888" s="5" t="s">
        <v>624</v>
      </c>
      <c r="C888" s="5" t="s">
        <v>705</v>
      </c>
      <c r="D888" s="5">
        <v>714097</v>
      </c>
      <c r="E888" s="33">
        <v>36</v>
      </c>
      <c r="F888" s="60">
        <v>450</v>
      </c>
      <c r="G888" s="60">
        <f>+OtherClients[[#This Row],[Boxes / Pieces]]*OtherClients[[#This Row],[Unit Quantity]]</f>
        <v>16200</v>
      </c>
      <c r="H888" s="60">
        <v>292</v>
      </c>
      <c r="I888" s="126" t="s">
        <v>278</v>
      </c>
      <c r="J888" s="127"/>
      <c r="K888" s="33" t="s">
        <v>278</v>
      </c>
      <c r="L888" s="125"/>
      <c r="M888" s="33" t="s">
        <v>278</v>
      </c>
      <c r="N888" s="125"/>
      <c r="O888" s="33" t="s">
        <v>278</v>
      </c>
      <c r="P888" s="125"/>
      <c r="Q888" s="33" t="s">
        <v>587</v>
      </c>
      <c r="R888" s="125"/>
      <c r="S888" s="33" t="s">
        <v>278</v>
      </c>
      <c r="T888" s="125"/>
      <c r="U888" s="33" t="s">
        <v>278</v>
      </c>
      <c r="V888" s="125"/>
      <c r="W888" s="59" t="s">
        <v>548</v>
      </c>
      <c r="X888" s="33" t="str">
        <f>+VLOOKUP(OtherClients[[#This Row],[Part]],PartControl!$A$2:$E$564,5,FALSE)</f>
        <v>infasco</v>
      </c>
      <c r="Y888" s="108">
        <f>IF(OtherClients[[#This Row],[Re-certified or New]]&lt;&gt;"Re-certified",IF(OtherClients[[#This Row],[Client]]="infasco",VLOOKUP(OtherClients[[#This Row],[Part]],PartControl!$A$2:$E$564,2,FALSE),OtherClients[[#This Row],[Total Quantity]]*VLOOKUP(OtherClients[[#This Row],[Part]],PartControl!$A$2:$E$564,2,FALSE)),0)</f>
        <v>106.94</v>
      </c>
      <c r="Z888" s="108">
        <f>IF(OtherClients[[#This Row],[Re-certified or New]]&lt;&gt;"Re-certified",IF(OtherClients[[#This Row],[Client]]="infasco",VLOOKUP(OtherClients[[#This Row],[Part]],PartControl!$A$2:$E$564,2,FALSE),OtherClients[[#This Row],[Total Quantity]]*VLOOKUP(OtherClients[[#This Row],[Part]],PartControl!$A$2:$E$564,2,FALSE)),0)</f>
        <v>106.94</v>
      </c>
    </row>
    <row r="889" spans="1:26" ht="25.15" hidden="1" customHeight="1" x14ac:dyDescent="0.25">
      <c r="A889" s="112">
        <v>46248.661562499998</v>
      </c>
      <c r="B889" s="5" t="s">
        <v>624</v>
      </c>
      <c r="C889" s="5" t="s">
        <v>705</v>
      </c>
      <c r="D889" s="5">
        <v>714095</v>
      </c>
      <c r="E889" s="33">
        <v>36</v>
      </c>
      <c r="F889" s="60">
        <v>450</v>
      </c>
      <c r="G889" s="60">
        <f>+OtherClients[[#This Row],[Boxes / Pieces]]*OtherClients[[#This Row],[Unit Quantity]]</f>
        <v>16200</v>
      </c>
      <c r="H889" s="60">
        <v>292</v>
      </c>
      <c r="I889" s="126" t="s">
        <v>278</v>
      </c>
      <c r="J889" s="127"/>
      <c r="K889" s="33" t="s">
        <v>278</v>
      </c>
      <c r="L889" s="125"/>
      <c r="M889" s="33" t="s">
        <v>278</v>
      </c>
      <c r="N889" s="125"/>
      <c r="O889" s="33" t="s">
        <v>278</v>
      </c>
      <c r="P889" s="125"/>
      <c r="Q889" s="33" t="s">
        <v>587</v>
      </c>
      <c r="R889" s="125"/>
      <c r="S889" s="33" t="s">
        <v>278</v>
      </c>
      <c r="T889" s="125"/>
      <c r="U889" s="33" t="s">
        <v>278</v>
      </c>
      <c r="V889" s="125"/>
      <c r="W889" s="59" t="s">
        <v>548</v>
      </c>
      <c r="X889" s="33" t="str">
        <f>+VLOOKUP(OtherClients[[#This Row],[Part]],PartControl!$A$2:$E$564,5,FALSE)</f>
        <v>infasco</v>
      </c>
      <c r="Y889" s="108">
        <f>IF(OtherClients[[#This Row],[Re-certified or New]]&lt;&gt;"Re-certified",IF(OtherClients[[#This Row],[Client]]="infasco",VLOOKUP(OtherClients[[#This Row],[Part]],PartControl!$A$2:$E$564,2,FALSE),OtherClients[[#This Row],[Total Quantity]]*VLOOKUP(OtherClients[[#This Row],[Part]],PartControl!$A$2:$E$564,2,FALSE)),0)</f>
        <v>106.94</v>
      </c>
      <c r="Z889" s="108">
        <f>IF(OtherClients[[#This Row],[Re-certified or New]]&lt;&gt;"Re-certified",IF(OtherClients[[#This Row],[Client]]="infasco",VLOOKUP(OtherClients[[#This Row],[Part]],PartControl!$A$2:$E$564,2,FALSE),OtherClients[[#This Row],[Total Quantity]]*VLOOKUP(OtherClients[[#This Row],[Part]],PartControl!$A$2:$E$564,2,FALSE)),0)</f>
        <v>106.94</v>
      </c>
    </row>
    <row r="890" spans="1:26" ht="25.15" hidden="1" customHeight="1" x14ac:dyDescent="0.25">
      <c r="A890" s="112">
        <v>46248.661562499998</v>
      </c>
      <c r="B890" s="5" t="s">
        <v>624</v>
      </c>
      <c r="C890" s="5" t="s">
        <v>705</v>
      </c>
      <c r="D890" s="5">
        <v>714105</v>
      </c>
      <c r="E890" s="33">
        <v>29</v>
      </c>
      <c r="F890" s="60">
        <v>450</v>
      </c>
      <c r="G890" s="60">
        <f>+OtherClients[[#This Row],[Boxes / Pieces]]*OtherClients[[#This Row],[Unit Quantity]]</f>
        <v>13050</v>
      </c>
      <c r="H890" s="60">
        <v>292</v>
      </c>
      <c r="I890" s="126" t="s">
        <v>278</v>
      </c>
      <c r="J890" s="127"/>
      <c r="K890" s="33" t="s">
        <v>278</v>
      </c>
      <c r="L890" s="125"/>
      <c r="M890" s="33" t="s">
        <v>278</v>
      </c>
      <c r="N890" s="125"/>
      <c r="O890" s="33" t="s">
        <v>278</v>
      </c>
      <c r="P890" s="125"/>
      <c r="Q890" s="33" t="s">
        <v>587</v>
      </c>
      <c r="R890" s="125"/>
      <c r="S890" s="33" t="s">
        <v>278</v>
      </c>
      <c r="T890" s="125"/>
      <c r="U890" s="33" t="s">
        <v>278</v>
      </c>
      <c r="V890" s="125"/>
      <c r="W890" s="59" t="s">
        <v>548</v>
      </c>
      <c r="X890" s="33" t="str">
        <f>+VLOOKUP(OtherClients[[#This Row],[Part]],PartControl!$A$2:$E$564,5,FALSE)</f>
        <v>infasco</v>
      </c>
      <c r="Y890" s="108">
        <f>IF(OtherClients[[#This Row],[Re-certified or New]]&lt;&gt;"Re-certified",IF(OtherClients[[#This Row],[Client]]="infasco",VLOOKUP(OtherClients[[#This Row],[Part]],PartControl!$A$2:$E$564,2,FALSE),OtherClients[[#This Row],[Total Quantity]]*VLOOKUP(OtherClients[[#This Row],[Part]],PartControl!$A$2:$E$564,2,FALSE)),0)</f>
        <v>106.94</v>
      </c>
      <c r="Z890" s="108">
        <f>IF(OtherClients[[#This Row],[Re-certified or New]]&lt;&gt;"Re-certified",IF(OtherClients[[#This Row],[Client]]="infasco",VLOOKUP(OtherClients[[#This Row],[Part]],PartControl!$A$2:$E$564,2,FALSE),OtherClients[[#This Row],[Total Quantity]]*VLOOKUP(OtherClients[[#This Row],[Part]],PartControl!$A$2:$E$564,2,FALSE)),0)</f>
        <v>106.94</v>
      </c>
    </row>
    <row r="891" spans="1:26" ht="25.15" hidden="1" customHeight="1" x14ac:dyDescent="0.25">
      <c r="A891" s="112">
        <v>46248.661562499998</v>
      </c>
      <c r="B891" s="5" t="s">
        <v>623</v>
      </c>
      <c r="C891" s="5" t="s">
        <v>810</v>
      </c>
      <c r="D891" s="5">
        <v>714520</v>
      </c>
      <c r="E891" s="33">
        <v>36</v>
      </c>
      <c r="F891" s="60">
        <v>660</v>
      </c>
      <c r="G891" s="60">
        <f>+OtherClients[[#This Row],[Boxes / Pieces]]*OtherClients[[#This Row],[Unit Quantity]]</f>
        <v>23760</v>
      </c>
      <c r="H891" s="60">
        <v>292</v>
      </c>
      <c r="I891" s="126" t="s">
        <v>278</v>
      </c>
      <c r="J891" s="127"/>
      <c r="K891" s="33" t="s">
        <v>278</v>
      </c>
      <c r="L891" s="125"/>
      <c r="M891" s="33" t="s">
        <v>278</v>
      </c>
      <c r="N891" s="125"/>
      <c r="O891" s="33" t="s">
        <v>278</v>
      </c>
      <c r="P891" s="125"/>
      <c r="Q891" s="33" t="s">
        <v>587</v>
      </c>
      <c r="R891" s="125"/>
      <c r="S891" s="33" t="s">
        <v>278</v>
      </c>
      <c r="T891" s="125"/>
      <c r="U891" s="33" t="s">
        <v>278</v>
      </c>
      <c r="V891" s="125"/>
      <c r="W891" s="59" t="s">
        <v>548</v>
      </c>
      <c r="X891" s="33" t="str">
        <f>+VLOOKUP(OtherClients[[#This Row],[Part]],PartControl!$A$2:$E$564,5,FALSE)</f>
        <v>INFASCO</v>
      </c>
      <c r="Y891" s="108">
        <f>IF(OtherClients[[#This Row],[Re-certified or New]]&lt;&gt;"Re-certified",IF(OtherClients[[#This Row],[Client]]="infasco",VLOOKUP(OtherClients[[#This Row],[Part]],PartControl!$A$2:$E$564,2,FALSE),OtherClients[[#This Row],[Total Quantity]]*VLOOKUP(OtherClients[[#This Row],[Part]],PartControl!$A$2:$E$564,2,FALSE)),0)</f>
        <v>106.94</v>
      </c>
      <c r="Z891" s="108">
        <f>IF(OtherClients[[#This Row],[Re-certified or New]]&lt;&gt;"Re-certified",IF(OtherClients[[#This Row],[Client]]="infasco",VLOOKUP(OtherClients[[#This Row],[Part]],PartControl!$A$2:$E$564,2,FALSE),OtherClients[[#This Row],[Total Quantity]]*VLOOKUP(OtherClients[[#This Row],[Part]],PartControl!$A$2:$E$564,2,FALSE)),0)</f>
        <v>106.94</v>
      </c>
    </row>
    <row r="892" spans="1:26" ht="25.15" hidden="1" customHeight="1" x14ac:dyDescent="0.25">
      <c r="A892" s="112">
        <v>46248.661562499998</v>
      </c>
      <c r="B892" s="5" t="s">
        <v>623</v>
      </c>
      <c r="C892" s="5" t="s">
        <v>810</v>
      </c>
      <c r="D892" s="5">
        <v>714518</v>
      </c>
      <c r="E892" s="33">
        <v>36</v>
      </c>
      <c r="F892" s="60">
        <v>660</v>
      </c>
      <c r="G892" s="60">
        <f>+OtherClients[[#This Row],[Boxes / Pieces]]*OtherClients[[#This Row],[Unit Quantity]]</f>
        <v>23760</v>
      </c>
      <c r="H892" s="60">
        <v>292</v>
      </c>
      <c r="I892" s="126" t="s">
        <v>278</v>
      </c>
      <c r="J892" s="127"/>
      <c r="K892" s="33" t="s">
        <v>278</v>
      </c>
      <c r="L892" s="125"/>
      <c r="M892" s="33" t="s">
        <v>278</v>
      </c>
      <c r="N892" s="125"/>
      <c r="O892" s="33" t="s">
        <v>278</v>
      </c>
      <c r="P892" s="125"/>
      <c r="Q892" s="33" t="s">
        <v>587</v>
      </c>
      <c r="R892" s="125"/>
      <c r="S892" s="33" t="s">
        <v>278</v>
      </c>
      <c r="T892" s="125"/>
      <c r="U892" s="33" t="s">
        <v>278</v>
      </c>
      <c r="V892" s="125"/>
      <c r="W892" s="59" t="s">
        <v>548</v>
      </c>
      <c r="X892" s="33" t="str">
        <f>+VLOOKUP(OtherClients[[#This Row],[Part]],PartControl!$A$2:$E$564,5,FALSE)</f>
        <v>INFASCO</v>
      </c>
      <c r="Y892" s="108">
        <f>IF(OtherClients[[#This Row],[Re-certified or New]]&lt;&gt;"Re-certified",IF(OtherClients[[#This Row],[Client]]="infasco",VLOOKUP(OtherClients[[#This Row],[Part]],PartControl!$A$2:$E$564,2,FALSE),OtherClients[[#This Row],[Total Quantity]]*VLOOKUP(OtherClients[[#This Row],[Part]],PartControl!$A$2:$E$564,2,FALSE)),0)</f>
        <v>106.94</v>
      </c>
      <c r="Z892" s="108">
        <f>IF(OtherClients[[#This Row],[Re-certified or New]]&lt;&gt;"Re-certified",IF(OtherClients[[#This Row],[Client]]="infasco",VLOOKUP(OtherClients[[#This Row],[Part]],PartControl!$A$2:$E$564,2,FALSE),OtherClients[[#This Row],[Total Quantity]]*VLOOKUP(OtherClients[[#This Row],[Part]],PartControl!$A$2:$E$564,2,FALSE)),0)</f>
        <v>106.94</v>
      </c>
    </row>
    <row r="893" spans="1:26" ht="25.15" hidden="1" customHeight="1" x14ac:dyDescent="0.25">
      <c r="A893" s="112">
        <v>46248.661562499998</v>
      </c>
      <c r="B893" s="5" t="s">
        <v>623</v>
      </c>
      <c r="C893" s="5">
        <v>11546463</v>
      </c>
      <c r="D893" s="5">
        <v>716594</v>
      </c>
      <c r="E893" s="33">
        <v>10</v>
      </c>
      <c r="F893" s="60">
        <v>450</v>
      </c>
      <c r="G893" s="60">
        <f>+OtherClients[[#This Row],[Boxes / Pieces]]*OtherClients[[#This Row],[Unit Quantity]]</f>
        <v>4500</v>
      </c>
      <c r="H893" s="60">
        <v>292</v>
      </c>
      <c r="I893" s="126" t="s">
        <v>278</v>
      </c>
      <c r="J893" s="127"/>
      <c r="K893" s="33" t="s">
        <v>278</v>
      </c>
      <c r="L893" s="125"/>
      <c r="M893" s="33" t="s">
        <v>278</v>
      </c>
      <c r="N893" s="125"/>
      <c r="O893" s="33" t="s">
        <v>278</v>
      </c>
      <c r="P893" s="125"/>
      <c r="Q893" s="33" t="s">
        <v>587</v>
      </c>
      <c r="R893" s="125"/>
      <c r="S893" s="33" t="s">
        <v>278</v>
      </c>
      <c r="T893" s="125"/>
      <c r="U893" s="33" t="s">
        <v>278</v>
      </c>
      <c r="V893" s="125"/>
      <c r="W893" s="59" t="s">
        <v>633</v>
      </c>
      <c r="X893" s="33" t="str">
        <f>+VLOOKUP(OtherClients[[#This Row],[Part]],PartControl!$A$2:$E$564,5,FALSE)</f>
        <v>infasco</v>
      </c>
      <c r="Y893" s="108">
        <f>IF(OtherClients[[#This Row],[Re-certified or New]]&lt;&gt;"Re-certified",IF(OtherClients[[#This Row],[Client]]="infasco",VLOOKUP(OtherClients[[#This Row],[Part]],PartControl!$A$2:$E$564,2,FALSE),OtherClients[[#This Row],[Total Quantity]]*VLOOKUP(OtherClients[[#This Row],[Part]],PartControl!$A$2:$E$564,2,FALSE)),0)</f>
        <v>0</v>
      </c>
      <c r="Z893" s="108">
        <f>IF(OtherClients[[#This Row],[Re-certified or New]]&lt;&gt;"Re-certified",IF(OtherClients[[#This Row],[Client]]="infasco",VLOOKUP(OtherClients[[#This Row],[Part]],PartControl!$A$2:$E$564,2,FALSE),OtherClients[[#This Row],[Total Quantity]]*VLOOKUP(OtherClients[[#This Row],[Part]],PartControl!$A$2:$E$564,2,FALSE)),0)</f>
        <v>0</v>
      </c>
    </row>
    <row r="894" spans="1:26" ht="25.15" hidden="1" customHeight="1" x14ac:dyDescent="0.25">
      <c r="A894" s="112">
        <v>46248.661562499998</v>
      </c>
      <c r="B894" s="5" t="s">
        <v>251</v>
      </c>
      <c r="C894" s="5">
        <v>11549168</v>
      </c>
      <c r="D894" s="5">
        <v>713690</v>
      </c>
      <c r="E894" s="33">
        <v>11</v>
      </c>
      <c r="F894" s="60">
        <v>1000</v>
      </c>
      <c r="G894" s="60">
        <f>+OtherClients[[#This Row],[Boxes / Pieces]]*OtherClients[[#This Row],[Unit Quantity]]</f>
        <v>11000</v>
      </c>
      <c r="H894" s="60">
        <v>292</v>
      </c>
      <c r="I894" s="126" t="s">
        <v>278</v>
      </c>
      <c r="J894" s="127"/>
      <c r="K894" s="33" t="s">
        <v>278</v>
      </c>
      <c r="L894" s="125"/>
      <c r="M894" s="33" t="s">
        <v>278</v>
      </c>
      <c r="N894" s="125"/>
      <c r="O894" s="33" t="s">
        <v>278</v>
      </c>
      <c r="P894" s="125"/>
      <c r="Q894" s="33" t="s">
        <v>587</v>
      </c>
      <c r="R894" s="125"/>
      <c r="S894" s="33" t="s">
        <v>278</v>
      </c>
      <c r="T894" s="125"/>
      <c r="U894" s="33" t="s">
        <v>278</v>
      </c>
      <c r="V894" s="125"/>
      <c r="W894" s="59" t="s">
        <v>548</v>
      </c>
      <c r="X894" s="33" t="str">
        <f>+VLOOKUP(OtherClients[[#This Row],[Part]],PartControl!$A$2:$E$564,5,FALSE)</f>
        <v>INFASCO</v>
      </c>
      <c r="Y894" s="108">
        <f>IF(OtherClients[[#This Row],[Re-certified or New]]&lt;&gt;"Re-certified",IF(OtherClients[[#This Row],[Client]]="infasco",VLOOKUP(OtherClients[[#This Row],[Part]],PartControl!$A$2:$E$564,2,FALSE),OtherClients[[#This Row],[Total Quantity]]*VLOOKUP(OtherClients[[#This Row],[Part]],PartControl!$A$2:$E$564,2,FALSE)),0)</f>
        <v>106.94</v>
      </c>
      <c r="Z894" s="108">
        <f>IF(OtherClients[[#This Row],[Re-certified or New]]&lt;&gt;"Re-certified",IF(OtherClients[[#This Row],[Client]]="infasco",VLOOKUP(OtherClients[[#This Row],[Part]],PartControl!$A$2:$E$564,2,FALSE),OtherClients[[#This Row],[Total Quantity]]*VLOOKUP(OtherClients[[#This Row],[Part]],PartControl!$A$2:$E$564,2,FALSE)),0)</f>
        <v>106.94</v>
      </c>
    </row>
    <row r="895" spans="1:26" ht="25.15" hidden="1" customHeight="1" x14ac:dyDescent="0.25">
      <c r="A895" s="112">
        <v>46248.661562499998</v>
      </c>
      <c r="B895" s="5" t="s">
        <v>251</v>
      </c>
      <c r="C895" s="5">
        <v>11549168</v>
      </c>
      <c r="D895" s="5">
        <v>714306</v>
      </c>
      <c r="E895" s="33">
        <v>10</v>
      </c>
      <c r="F895" s="60">
        <v>1000</v>
      </c>
      <c r="G895" s="60">
        <f>+OtherClients[[#This Row],[Boxes / Pieces]]*OtherClients[[#This Row],[Unit Quantity]]</f>
        <v>10000</v>
      </c>
      <c r="H895" s="60">
        <v>292</v>
      </c>
      <c r="I895" s="126" t="s">
        <v>278</v>
      </c>
      <c r="J895" s="127"/>
      <c r="K895" s="33" t="s">
        <v>278</v>
      </c>
      <c r="L895" s="125"/>
      <c r="M895" s="33" t="s">
        <v>278</v>
      </c>
      <c r="N895" s="125"/>
      <c r="O895" s="33" t="s">
        <v>278</v>
      </c>
      <c r="P895" s="125"/>
      <c r="Q895" s="33" t="s">
        <v>587</v>
      </c>
      <c r="R895" s="125"/>
      <c r="S895" s="33" t="s">
        <v>278</v>
      </c>
      <c r="T895" s="125"/>
      <c r="U895" s="33" t="s">
        <v>278</v>
      </c>
      <c r="V895" s="125"/>
      <c r="W895" s="59" t="s">
        <v>633</v>
      </c>
      <c r="X895" s="33" t="str">
        <f>+VLOOKUP(OtherClients[[#This Row],[Part]],PartControl!$A$2:$E$564,5,FALSE)</f>
        <v>INFASCO</v>
      </c>
      <c r="Y895" s="108">
        <f>IF(OtherClients[[#This Row],[Re-certified or New]]&lt;&gt;"Re-certified",IF(OtherClients[[#This Row],[Client]]="infasco",VLOOKUP(OtherClients[[#This Row],[Part]],PartControl!$A$2:$E$564,2,FALSE),OtherClients[[#This Row],[Total Quantity]]*VLOOKUP(OtherClients[[#This Row],[Part]],PartControl!$A$2:$E$564,2,FALSE)),0)</f>
        <v>0</v>
      </c>
      <c r="Z895" s="108">
        <f>IF(OtherClients[[#This Row],[Re-certified or New]]&lt;&gt;"Re-certified",IF(OtherClients[[#This Row],[Client]]="infasco",VLOOKUP(OtherClients[[#This Row],[Part]],PartControl!$A$2:$E$564,2,FALSE),OtherClients[[#This Row],[Total Quantity]]*VLOOKUP(OtherClients[[#This Row],[Part]],PartControl!$A$2:$E$564,2,FALSE)),0)</f>
        <v>0</v>
      </c>
    </row>
    <row r="896" spans="1:26" ht="25.15" hidden="1" customHeight="1" x14ac:dyDescent="0.25">
      <c r="A896" s="112">
        <v>46248.661562499998</v>
      </c>
      <c r="B896" s="5" t="s">
        <v>244</v>
      </c>
      <c r="C896" s="5" t="s">
        <v>644</v>
      </c>
      <c r="D896" s="5">
        <v>716081</v>
      </c>
      <c r="E896" s="33">
        <f>36-20</f>
        <v>16</v>
      </c>
      <c r="F896" s="60">
        <v>2200</v>
      </c>
      <c r="G896" s="60">
        <f>+OtherClients[[#This Row],[Boxes / Pieces]]*OtherClients[[#This Row],[Unit Quantity]]</f>
        <v>35200</v>
      </c>
      <c r="H896" s="60">
        <v>292</v>
      </c>
      <c r="I896" s="126" t="s">
        <v>278</v>
      </c>
      <c r="J896" s="127"/>
      <c r="K896" s="33" t="s">
        <v>278</v>
      </c>
      <c r="L896" s="125"/>
      <c r="M896" s="33" t="s">
        <v>278</v>
      </c>
      <c r="N896" s="125"/>
      <c r="O896" s="33" t="s">
        <v>278</v>
      </c>
      <c r="P896" s="125"/>
      <c r="Q896" s="33" t="s">
        <v>587</v>
      </c>
      <c r="R896" s="125"/>
      <c r="S896" s="33" t="s">
        <v>278</v>
      </c>
      <c r="T896" s="125"/>
      <c r="U896" s="33" t="s">
        <v>278</v>
      </c>
      <c r="V896" s="125"/>
      <c r="W896" s="59" t="s">
        <v>548</v>
      </c>
      <c r="X896" s="33" t="str">
        <f>+VLOOKUP(OtherClients[[#This Row],[Part]],PartControl!$A$2:$E$564,5,FALSE)</f>
        <v>infasco</v>
      </c>
      <c r="Y896" s="108">
        <f>IF(OtherClients[[#This Row],[Re-certified or New]]&lt;&gt;"Re-certified",IF(OtherClients[[#This Row],[Client]]="infasco",VLOOKUP(OtherClients[[#This Row],[Part]],PartControl!$A$2:$E$564,2,FALSE),OtherClients[[#This Row],[Total Quantity]]*VLOOKUP(OtherClients[[#This Row],[Part]],PartControl!$A$2:$E$564,2,FALSE)),0)</f>
        <v>106.94</v>
      </c>
      <c r="Z896" s="108">
        <f>IF(OtherClients[[#This Row],[Re-certified or New]]&lt;&gt;"Re-certified",IF(OtherClients[[#This Row],[Client]]="infasco",VLOOKUP(OtherClients[[#This Row],[Part]],PartControl!$A$2:$E$564,2,FALSE),OtherClients[[#This Row],[Total Quantity]]*VLOOKUP(OtherClients[[#This Row],[Part]],PartControl!$A$2:$E$564,2,FALSE)),0)</f>
        <v>106.94</v>
      </c>
    </row>
    <row r="897" spans="1:26" ht="25.15" hidden="1" customHeight="1" x14ac:dyDescent="0.25">
      <c r="A897" s="112">
        <v>46248.661562499998</v>
      </c>
      <c r="B897" s="5" t="s">
        <v>244</v>
      </c>
      <c r="C897" s="5" t="s">
        <v>644</v>
      </c>
      <c r="D897" s="5">
        <v>715606</v>
      </c>
      <c r="E897" s="33">
        <v>2</v>
      </c>
      <c r="F897" s="60">
        <v>2200</v>
      </c>
      <c r="G897" s="60">
        <f>+OtherClients[[#This Row],[Boxes / Pieces]]*OtherClients[[#This Row],[Unit Quantity]]</f>
        <v>4400</v>
      </c>
      <c r="H897" s="60">
        <v>292</v>
      </c>
      <c r="I897" s="126" t="s">
        <v>278</v>
      </c>
      <c r="J897" s="127"/>
      <c r="K897" s="33" t="s">
        <v>278</v>
      </c>
      <c r="L897" s="125"/>
      <c r="M897" s="33" t="s">
        <v>278</v>
      </c>
      <c r="N897" s="125"/>
      <c r="O897" s="33" t="s">
        <v>278</v>
      </c>
      <c r="P897" s="125"/>
      <c r="Q897" s="33" t="s">
        <v>587</v>
      </c>
      <c r="R897" s="125"/>
      <c r="S897" s="33" t="s">
        <v>278</v>
      </c>
      <c r="T897" s="125"/>
      <c r="U897" s="33" t="s">
        <v>278</v>
      </c>
      <c r="V897" s="125"/>
      <c r="W897" s="59" t="s">
        <v>633</v>
      </c>
      <c r="X897" s="33" t="str">
        <f>+VLOOKUP(OtherClients[[#This Row],[Part]],PartControl!$A$2:$E$564,5,FALSE)</f>
        <v>infasco</v>
      </c>
      <c r="Y897" s="108">
        <f>IF(OtherClients[[#This Row],[Re-certified or New]]&lt;&gt;"Re-certified",IF(OtherClients[[#This Row],[Client]]="infasco",VLOOKUP(OtherClients[[#This Row],[Part]],PartControl!$A$2:$E$564,2,FALSE),OtherClients[[#This Row],[Total Quantity]]*VLOOKUP(OtherClients[[#This Row],[Part]],PartControl!$A$2:$E$564,2,FALSE)),0)</f>
        <v>0</v>
      </c>
      <c r="Z897" s="108">
        <f>IF(OtherClients[[#This Row],[Re-certified or New]]&lt;&gt;"Re-certified",IF(OtherClients[[#This Row],[Client]]="infasco",VLOOKUP(OtherClients[[#This Row],[Part]],PartControl!$A$2:$E$564,2,FALSE),OtherClients[[#This Row],[Total Quantity]]*VLOOKUP(OtherClients[[#This Row],[Part]],PartControl!$A$2:$E$564,2,FALSE)),0)</f>
        <v>0</v>
      </c>
    </row>
    <row r="898" spans="1:26" ht="25.15" hidden="1" customHeight="1" x14ac:dyDescent="0.25">
      <c r="A898" s="112">
        <v>46248.661562499998</v>
      </c>
      <c r="B898" s="5" t="s">
        <v>245</v>
      </c>
      <c r="C898" s="5" t="s">
        <v>667</v>
      </c>
      <c r="D898" s="5">
        <v>713268</v>
      </c>
      <c r="E898" s="33">
        <f>29-20</f>
        <v>9</v>
      </c>
      <c r="F898" s="60">
        <v>1600</v>
      </c>
      <c r="G898" s="60">
        <f>+OtherClients[[#This Row],[Boxes / Pieces]]*OtherClients[[#This Row],[Unit Quantity]]</f>
        <v>14400</v>
      </c>
      <c r="H898" s="60">
        <v>292</v>
      </c>
      <c r="I898" s="126" t="s">
        <v>278</v>
      </c>
      <c r="J898" s="127"/>
      <c r="K898" s="33" t="s">
        <v>278</v>
      </c>
      <c r="L898" s="125"/>
      <c r="M898" s="33" t="s">
        <v>278</v>
      </c>
      <c r="N898" s="125"/>
      <c r="O898" s="33" t="s">
        <v>278</v>
      </c>
      <c r="P898" s="125"/>
      <c r="Q898" s="33" t="s">
        <v>587</v>
      </c>
      <c r="R898" s="125"/>
      <c r="S898" s="33" t="s">
        <v>278</v>
      </c>
      <c r="T898" s="125"/>
      <c r="U898" s="33" t="s">
        <v>278</v>
      </c>
      <c r="V898" s="125"/>
      <c r="W898" s="59" t="s">
        <v>548</v>
      </c>
      <c r="X898" s="33" t="str">
        <f>+VLOOKUP(OtherClients[[#This Row],[Part]],PartControl!$A$2:$E$564,5,FALSE)</f>
        <v>infasco</v>
      </c>
      <c r="Y898" s="108">
        <f>IF(OtherClients[[#This Row],[Re-certified or New]]&lt;&gt;"Re-certified",IF(OtherClients[[#This Row],[Client]]="infasco",VLOOKUP(OtherClients[[#This Row],[Part]],PartControl!$A$2:$E$564,2,FALSE),OtherClients[[#This Row],[Total Quantity]]*VLOOKUP(OtherClients[[#This Row],[Part]],PartControl!$A$2:$E$564,2,FALSE)),0)</f>
        <v>106.94</v>
      </c>
      <c r="Z898" s="108">
        <f>IF(OtherClients[[#This Row],[Re-certified or New]]&lt;&gt;"Re-certified",IF(OtherClients[[#This Row],[Client]]="infasco",VLOOKUP(OtherClients[[#This Row],[Part]],PartControl!$A$2:$E$564,2,FALSE),OtherClients[[#This Row],[Total Quantity]]*VLOOKUP(OtherClients[[#This Row],[Part]],PartControl!$A$2:$E$564,2,FALSE)),0)</f>
        <v>106.94</v>
      </c>
    </row>
    <row r="899" spans="1:26" ht="25.15" hidden="1" customHeight="1" x14ac:dyDescent="0.25">
      <c r="A899" s="112">
        <v>46248.661562499998</v>
      </c>
      <c r="B899" s="5" t="s">
        <v>245</v>
      </c>
      <c r="C899" s="5">
        <v>11546377</v>
      </c>
      <c r="D899" s="5">
        <v>716616</v>
      </c>
      <c r="E899" s="33">
        <v>4</v>
      </c>
      <c r="F899" s="60">
        <v>2150</v>
      </c>
      <c r="G899" s="60">
        <f>+OtherClients[[#This Row],[Boxes / Pieces]]*OtherClients[[#This Row],[Unit Quantity]]</f>
        <v>8600</v>
      </c>
      <c r="H899" s="60">
        <v>292</v>
      </c>
      <c r="I899" s="126" t="s">
        <v>278</v>
      </c>
      <c r="J899" s="127"/>
      <c r="K899" s="33" t="s">
        <v>278</v>
      </c>
      <c r="L899" s="125"/>
      <c r="M899" s="33" t="s">
        <v>278</v>
      </c>
      <c r="N899" s="125"/>
      <c r="O899" s="33" t="s">
        <v>278</v>
      </c>
      <c r="P899" s="125"/>
      <c r="Q899" s="33" t="s">
        <v>587</v>
      </c>
      <c r="R899" s="125"/>
      <c r="S899" s="33" t="s">
        <v>278</v>
      </c>
      <c r="T899" s="125"/>
      <c r="U899" s="33" t="s">
        <v>278</v>
      </c>
      <c r="V899" s="125"/>
      <c r="W899" s="59" t="s">
        <v>633</v>
      </c>
      <c r="X899" s="33" t="str">
        <f>+VLOOKUP(OtherClients[[#This Row],[Part]],PartControl!$A$2:$E$564,5,FALSE)</f>
        <v>INFASCO</v>
      </c>
      <c r="Y899" s="108">
        <f>IF(OtherClients[[#This Row],[Re-certified or New]]&lt;&gt;"Re-certified",IF(OtherClients[[#This Row],[Client]]="infasco",VLOOKUP(OtherClients[[#This Row],[Part]],PartControl!$A$2:$E$564,2,FALSE),OtherClients[[#This Row],[Total Quantity]]*VLOOKUP(OtherClients[[#This Row],[Part]],PartControl!$A$2:$E$564,2,FALSE)),0)</f>
        <v>0</v>
      </c>
      <c r="Z899" s="108">
        <f>IF(OtherClients[[#This Row],[Re-certified or New]]&lt;&gt;"Re-certified",IF(OtherClients[[#This Row],[Client]]="infasco",VLOOKUP(OtherClients[[#This Row],[Part]],PartControl!$A$2:$E$564,2,FALSE),OtherClients[[#This Row],[Total Quantity]]*VLOOKUP(OtherClients[[#This Row],[Part]],PartControl!$A$2:$E$564,2,FALSE)),0)</f>
        <v>0</v>
      </c>
    </row>
    <row r="900" spans="1:26" ht="25.15" hidden="1" customHeight="1" x14ac:dyDescent="0.25">
      <c r="A900" s="112">
        <v>46248.661562499998</v>
      </c>
      <c r="B900" s="5" t="s">
        <v>246</v>
      </c>
      <c r="C900" s="5" t="s">
        <v>732</v>
      </c>
      <c r="D900" s="5">
        <v>712288</v>
      </c>
      <c r="E900" s="33">
        <v>36</v>
      </c>
      <c r="F900" s="60">
        <v>1000</v>
      </c>
      <c r="G900" s="60">
        <f>+OtherClients[[#This Row],[Boxes / Pieces]]*OtherClients[[#This Row],[Unit Quantity]]</f>
        <v>36000</v>
      </c>
      <c r="H900" s="60">
        <v>272</v>
      </c>
      <c r="I900" s="126" t="s">
        <v>278</v>
      </c>
      <c r="J900" s="127"/>
      <c r="K900" s="33" t="s">
        <v>278</v>
      </c>
      <c r="L900" s="125"/>
      <c r="M900" s="33" t="s">
        <v>278</v>
      </c>
      <c r="N900" s="125"/>
      <c r="O900" s="33" t="s">
        <v>278</v>
      </c>
      <c r="P900" s="125"/>
      <c r="Q900" s="33" t="s">
        <v>587</v>
      </c>
      <c r="R900" s="125"/>
      <c r="S900" s="33" t="s">
        <v>278</v>
      </c>
      <c r="T900" s="125"/>
      <c r="U900" s="33" t="s">
        <v>278</v>
      </c>
      <c r="V900" s="125"/>
      <c r="W900" s="59" t="s">
        <v>548</v>
      </c>
      <c r="X900" s="33" t="str">
        <f>+VLOOKUP(OtherClients[[#This Row],[Part]],PartControl!$A$2:$E$564,5,FALSE)</f>
        <v>infasco</v>
      </c>
      <c r="Y900" s="108">
        <f>IF(OtherClients[[#This Row],[Re-certified or New]]&lt;&gt;"Re-certified",IF(OtherClients[[#This Row],[Client]]="infasco",VLOOKUP(OtherClients[[#This Row],[Part]],PartControl!$A$2:$E$564,2,FALSE),OtherClients[[#This Row],[Total Quantity]]*VLOOKUP(OtherClients[[#This Row],[Part]],PartControl!$A$2:$E$564,2,FALSE)),0)</f>
        <v>213.88</v>
      </c>
      <c r="Z900" s="108">
        <f>IF(OtherClients[[#This Row],[Re-certified or New]]&lt;&gt;"Re-certified",IF(OtherClients[[#This Row],[Client]]="infasco",VLOOKUP(OtherClients[[#This Row],[Part]],PartControl!$A$2:$E$564,2,FALSE),OtherClients[[#This Row],[Total Quantity]]*VLOOKUP(OtherClients[[#This Row],[Part]],PartControl!$A$2:$E$564,2,FALSE)),0)</f>
        <v>213.88</v>
      </c>
    </row>
    <row r="901" spans="1:26" ht="25.15" hidden="1" customHeight="1" x14ac:dyDescent="0.25">
      <c r="A901" s="112">
        <v>46248.661562499998</v>
      </c>
      <c r="B901" s="5" t="s">
        <v>246</v>
      </c>
      <c r="C901" s="5" t="s">
        <v>732</v>
      </c>
      <c r="D901" s="5">
        <v>712370</v>
      </c>
      <c r="E901" s="33">
        <v>30</v>
      </c>
      <c r="F901" s="60">
        <v>1000</v>
      </c>
      <c r="G901" s="60">
        <f>+OtherClients[[#This Row],[Boxes / Pieces]]*OtherClients[[#This Row],[Unit Quantity]]</f>
        <v>30000</v>
      </c>
      <c r="H901" s="60">
        <v>272</v>
      </c>
      <c r="I901" s="126" t="s">
        <v>278</v>
      </c>
      <c r="J901" s="127"/>
      <c r="K901" s="33" t="s">
        <v>278</v>
      </c>
      <c r="L901" s="125"/>
      <c r="M901" s="33" t="s">
        <v>278</v>
      </c>
      <c r="N901" s="125"/>
      <c r="O901" s="33" t="s">
        <v>278</v>
      </c>
      <c r="P901" s="125"/>
      <c r="Q901" s="33" t="s">
        <v>587</v>
      </c>
      <c r="R901" s="125"/>
      <c r="S901" s="33" t="s">
        <v>278</v>
      </c>
      <c r="T901" s="125"/>
      <c r="U901" s="33" t="s">
        <v>278</v>
      </c>
      <c r="V901" s="125"/>
      <c r="W901" s="59" t="s">
        <v>633</v>
      </c>
      <c r="X901" s="33" t="str">
        <f>+VLOOKUP(OtherClients[[#This Row],[Part]],PartControl!$A$2:$E$564,5,FALSE)</f>
        <v>infasco</v>
      </c>
      <c r="Y901" s="108">
        <f>IF(OtherClients[[#This Row],[Re-certified or New]]&lt;&gt;"Re-certified",IF(OtherClients[[#This Row],[Client]]="infasco",VLOOKUP(OtherClients[[#This Row],[Part]],PartControl!$A$2:$E$564,2,FALSE),OtherClients[[#This Row],[Total Quantity]]*VLOOKUP(OtherClients[[#This Row],[Part]],PartControl!$A$2:$E$564,2,FALSE)),0)</f>
        <v>0</v>
      </c>
      <c r="Z901" s="108">
        <f>IF(OtherClients[[#This Row],[Re-certified or New]]&lt;&gt;"Re-certified",IF(OtherClients[[#This Row],[Client]]="infasco",VLOOKUP(OtherClients[[#This Row],[Part]],PartControl!$A$2:$E$564,2,FALSE),OtherClients[[#This Row],[Total Quantity]]*VLOOKUP(OtherClients[[#This Row],[Part]],PartControl!$A$2:$E$564,2,FALSE)),0)</f>
        <v>0</v>
      </c>
    </row>
    <row r="902" spans="1:26" ht="25.15" hidden="1" customHeight="1" x14ac:dyDescent="0.25">
      <c r="A902" s="112">
        <v>46248.661562499998</v>
      </c>
      <c r="B902" s="5" t="s">
        <v>636</v>
      </c>
      <c r="C902" s="5">
        <v>11549168</v>
      </c>
      <c r="D902" s="5">
        <v>713687</v>
      </c>
      <c r="E902" s="33">
        <v>48</v>
      </c>
      <c r="F902" s="60">
        <v>1000</v>
      </c>
      <c r="G902" s="60">
        <f>+OtherClients[[#This Row],[Boxes / Pieces]]*OtherClients[[#This Row],[Unit Quantity]]</f>
        <v>48000</v>
      </c>
      <c r="H902" s="60">
        <v>280</v>
      </c>
      <c r="I902" s="126" t="s">
        <v>278</v>
      </c>
      <c r="J902" s="127"/>
      <c r="K902" s="33" t="s">
        <v>278</v>
      </c>
      <c r="L902" s="125"/>
      <c r="M902" s="33" t="s">
        <v>278</v>
      </c>
      <c r="N902" s="125"/>
      <c r="O902" s="33" t="s">
        <v>278</v>
      </c>
      <c r="P902" s="125"/>
      <c r="Q902" s="33" t="s">
        <v>587</v>
      </c>
      <c r="R902" s="125"/>
      <c r="S902" s="33" t="s">
        <v>278</v>
      </c>
      <c r="T902" s="125"/>
      <c r="U902" s="33" t="s">
        <v>278</v>
      </c>
      <c r="V902" s="125"/>
      <c r="W902" s="59" t="s">
        <v>548</v>
      </c>
      <c r="X902" s="33" t="str">
        <f>+VLOOKUP(OtherClients[[#This Row],[Part]],PartControl!$A$2:$E$564,5,FALSE)</f>
        <v>INFASCO</v>
      </c>
      <c r="Y902" s="108">
        <f>IF(OtherClients[[#This Row],[Re-certified or New]]&lt;&gt;"Re-certified",IF(OtherClients[[#This Row],[Client]]="infasco",VLOOKUP(OtherClients[[#This Row],[Part]],PartControl!$A$2:$E$564,2,FALSE),OtherClients[[#This Row],[Total Quantity]]*VLOOKUP(OtherClients[[#This Row],[Part]],PartControl!$A$2:$E$564,2,FALSE)),0)</f>
        <v>106.94</v>
      </c>
      <c r="Z902" s="108">
        <f>IF(OtherClients[[#This Row],[Re-certified or New]]&lt;&gt;"Re-certified",IF(OtherClients[[#This Row],[Client]]="infasco",VLOOKUP(OtherClients[[#This Row],[Part]],PartControl!$A$2:$E$564,2,FALSE),OtherClients[[#This Row],[Total Quantity]]*VLOOKUP(OtherClients[[#This Row],[Part]],PartControl!$A$2:$E$564,2,FALSE)),0)</f>
        <v>106.94</v>
      </c>
    </row>
    <row r="903" spans="1:26" ht="25.15" hidden="1" customHeight="1" x14ac:dyDescent="0.25">
      <c r="A903" s="112">
        <v>46248.661562499998</v>
      </c>
      <c r="B903" s="5" t="s">
        <v>634</v>
      </c>
      <c r="C903" s="5">
        <v>11546449</v>
      </c>
      <c r="D903" s="5">
        <v>716281</v>
      </c>
      <c r="E903" s="33">
        <v>25</v>
      </c>
      <c r="F903" s="60">
        <v>2500</v>
      </c>
      <c r="G903" s="60">
        <f>+OtherClients[[#This Row],[Boxes / Pieces]]*OtherClients[[#This Row],[Unit Quantity]]</f>
        <v>62500</v>
      </c>
      <c r="H903" s="60">
        <v>280</v>
      </c>
      <c r="I903" s="126" t="s">
        <v>278</v>
      </c>
      <c r="J903" s="127"/>
      <c r="K903" s="33" t="s">
        <v>278</v>
      </c>
      <c r="L903" s="125"/>
      <c r="M903" s="33" t="s">
        <v>278</v>
      </c>
      <c r="N903" s="125"/>
      <c r="O903" s="33" t="s">
        <v>278</v>
      </c>
      <c r="P903" s="125"/>
      <c r="Q903" s="33" t="s">
        <v>587</v>
      </c>
      <c r="R903" s="125"/>
      <c r="S903" s="33" t="s">
        <v>278</v>
      </c>
      <c r="T903" s="125"/>
      <c r="U903" s="33" t="s">
        <v>278</v>
      </c>
      <c r="V903" s="125"/>
      <c r="W903" s="59" t="s">
        <v>633</v>
      </c>
      <c r="X903" s="33" t="str">
        <f>+VLOOKUP(OtherClients[[#This Row],[Part]],PartControl!$A$2:$E$564,5,FALSE)</f>
        <v>INFASCO</v>
      </c>
      <c r="Y903" s="108">
        <f>IF(OtherClients[[#This Row],[Re-certified or New]]&lt;&gt;"Re-certified",IF(OtherClients[[#This Row],[Client]]="infasco",VLOOKUP(OtherClients[[#This Row],[Part]],PartControl!$A$2:$E$564,2,FALSE),OtherClients[[#This Row],[Total Quantity]]*VLOOKUP(OtherClients[[#This Row],[Part]],PartControl!$A$2:$E$564,2,FALSE)),0)</f>
        <v>0</v>
      </c>
      <c r="Z903" s="108">
        <f>IF(OtherClients[[#This Row],[Re-certified or New]]&lt;&gt;"Re-certified",IF(OtherClients[[#This Row],[Client]]="infasco",VLOOKUP(OtherClients[[#This Row],[Part]],PartControl!$A$2:$E$564,2,FALSE),OtherClients[[#This Row],[Total Quantity]]*VLOOKUP(OtherClients[[#This Row],[Part]],PartControl!$A$2:$E$564,2,FALSE)),0)</f>
        <v>0</v>
      </c>
    </row>
    <row r="904" spans="1:26" ht="25.15" hidden="1" customHeight="1" x14ac:dyDescent="0.25">
      <c r="A904" s="112">
        <v>46248.661562499998</v>
      </c>
      <c r="B904" s="5" t="s">
        <v>635</v>
      </c>
      <c r="C904" s="5">
        <v>11546545</v>
      </c>
      <c r="D904" s="5">
        <v>716269</v>
      </c>
      <c r="E904" s="33">
        <f>36-18</f>
        <v>18</v>
      </c>
      <c r="F904" s="60">
        <v>2500</v>
      </c>
      <c r="G904" s="60">
        <f>+OtherClients[[#This Row],[Boxes / Pieces]]*OtherClients[[#This Row],[Unit Quantity]]</f>
        <v>45000</v>
      </c>
      <c r="H904" s="60">
        <v>280</v>
      </c>
      <c r="I904" s="126" t="s">
        <v>278</v>
      </c>
      <c r="J904" s="127"/>
      <c r="K904" s="33" t="s">
        <v>278</v>
      </c>
      <c r="L904" s="125"/>
      <c r="M904" s="33" t="s">
        <v>278</v>
      </c>
      <c r="N904" s="125"/>
      <c r="O904" s="33" t="s">
        <v>278</v>
      </c>
      <c r="P904" s="125"/>
      <c r="Q904" s="33" t="s">
        <v>587</v>
      </c>
      <c r="R904" s="125"/>
      <c r="S904" s="33" t="s">
        <v>278</v>
      </c>
      <c r="T904" s="125"/>
      <c r="U904" s="33" t="s">
        <v>278</v>
      </c>
      <c r="V904" s="125"/>
      <c r="W904" s="59" t="s">
        <v>548</v>
      </c>
      <c r="X904" s="33" t="str">
        <f>+VLOOKUP(OtherClients[[#This Row],[Part]],PartControl!$A$2:$E$564,5,FALSE)</f>
        <v>infasco</v>
      </c>
      <c r="Y904" s="108">
        <f>IF(OtherClients[[#This Row],[Re-certified or New]]&lt;&gt;"Re-certified",IF(OtherClients[[#This Row],[Client]]="infasco",VLOOKUP(OtherClients[[#This Row],[Part]],PartControl!$A$2:$E$564,2,FALSE),OtherClients[[#This Row],[Total Quantity]]*VLOOKUP(OtherClients[[#This Row],[Part]],PartControl!$A$2:$E$564,2,FALSE)),0)</f>
        <v>106.94</v>
      </c>
      <c r="Z904" s="108">
        <f>IF(OtherClients[[#This Row],[Re-certified or New]]&lt;&gt;"Re-certified",IF(OtherClients[[#This Row],[Client]]="infasco",VLOOKUP(OtherClients[[#This Row],[Part]],PartControl!$A$2:$E$564,2,FALSE),OtherClients[[#This Row],[Total Quantity]]*VLOOKUP(OtherClients[[#This Row],[Part]],PartControl!$A$2:$E$564,2,FALSE)),0)</f>
        <v>106.94</v>
      </c>
    </row>
    <row r="905" spans="1:26" ht="25.15" hidden="1" customHeight="1" x14ac:dyDescent="0.25">
      <c r="A905" s="112">
        <v>46248.661562499998</v>
      </c>
      <c r="B905" s="5" t="s">
        <v>635</v>
      </c>
      <c r="C905" s="5" t="s">
        <v>664</v>
      </c>
      <c r="D905" s="5">
        <v>714527</v>
      </c>
      <c r="E905" s="33">
        <v>12</v>
      </c>
      <c r="F905" s="60">
        <v>1050</v>
      </c>
      <c r="G905" s="60">
        <f>+OtherClients[[#This Row],[Boxes / Pieces]]*OtherClients[[#This Row],[Unit Quantity]]</f>
        <v>12600</v>
      </c>
      <c r="H905" s="60">
        <v>280</v>
      </c>
      <c r="I905" s="126" t="s">
        <v>278</v>
      </c>
      <c r="J905" s="127"/>
      <c r="K905" s="33" t="s">
        <v>278</v>
      </c>
      <c r="L905" s="125"/>
      <c r="M905" s="33" t="s">
        <v>278</v>
      </c>
      <c r="N905" s="125"/>
      <c r="O905" s="33" t="s">
        <v>278</v>
      </c>
      <c r="P905" s="125"/>
      <c r="Q905" s="33" t="s">
        <v>587</v>
      </c>
      <c r="R905" s="125"/>
      <c r="S905" s="33" t="s">
        <v>278</v>
      </c>
      <c r="T905" s="125"/>
      <c r="U905" s="33" t="s">
        <v>278</v>
      </c>
      <c r="V905" s="125"/>
      <c r="W905" s="59" t="s">
        <v>633</v>
      </c>
      <c r="X905" s="33" t="str">
        <f>+VLOOKUP(OtherClients[[#This Row],[Part]],PartControl!$A$2:$E$564,5,FALSE)</f>
        <v>infasco</v>
      </c>
      <c r="Y905" s="108">
        <f>IF(OtherClients[[#This Row],[Re-certified or New]]&lt;&gt;"Re-certified",IF(OtherClients[[#This Row],[Client]]="infasco",VLOOKUP(OtherClients[[#This Row],[Part]],PartControl!$A$2:$E$564,2,FALSE),OtherClients[[#This Row],[Total Quantity]]*VLOOKUP(OtherClients[[#This Row],[Part]],PartControl!$A$2:$E$564,2,FALSE)),0)</f>
        <v>0</v>
      </c>
      <c r="Z905" s="108">
        <f>IF(OtherClients[[#This Row],[Re-certified or New]]&lt;&gt;"Re-certified",IF(OtherClients[[#This Row],[Client]]="infasco",VLOOKUP(OtherClients[[#This Row],[Part]],PartControl!$A$2:$E$564,2,FALSE),OtherClients[[#This Row],[Total Quantity]]*VLOOKUP(OtherClients[[#This Row],[Part]],PartControl!$A$2:$E$564,2,FALSE)),0)</f>
        <v>0</v>
      </c>
    </row>
    <row r="906" spans="1:26" ht="25.15" hidden="1" customHeight="1" x14ac:dyDescent="0.25">
      <c r="A906" s="112">
        <v>46248.661562499998</v>
      </c>
      <c r="B906" s="5" t="s">
        <v>637</v>
      </c>
      <c r="C906" s="5">
        <v>11546449</v>
      </c>
      <c r="D906" s="5">
        <v>716280</v>
      </c>
      <c r="E906" s="33">
        <v>36</v>
      </c>
      <c r="F906" s="60">
        <v>2500</v>
      </c>
      <c r="G906" s="60">
        <f>+OtherClients[[#This Row],[Boxes / Pieces]]*OtherClients[[#This Row],[Unit Quantity]]</f>
        <v>90000</v>
      </c>
      <c r="H906" s="60">
        <v>280</v>
      </c>
      <c r="I906" s="126" t="s">
        <v>278</v>
      </c>
      <c r="J906" s="127"/>
      <c r="K906" s="33" t="s">
        <v>278</v>
      </c>
      <c r="L906" s="125"/>
      <c r="M906" s="33" t="s">
        <v>278</v>
      </c>
      <c r="N906" s="125"/>
      <c r="O906" s="33" t="s">
        <v>278</v>
      </c>
      <c r="P906" s="125"/>
      <c r="Q906" s="33" t="s">
        <v>587</v>
      </c>
      <c r="R906" s="125"/>
      <c r="S906" s="33" t="s">
        <v>278</v>
      </c>
      <c r="T906" s="125"/>
      <c r="U906" s="33" t="s">
        <v>278</v>
      </c>
      <c r="V906" s="125"/>
      <c r="W906" s="59" t="s">
        <v>548</v>
      </c>
      <c r="X906" s="33" t="str">
        <f>+VLOOKUP(OtherClients[[#This Row],[Part]],PartControl!$A$2:$E$564,5,FALSE)</f>
        <v>INFASCO</v>
      </c>
      <c r="Y906" s="108">
        <f>IF(OtherClients[[#This Row],[Re-certified or New]]&lt;&gt;"Re-certified",IF(OtherClients[[#This Row],[Client]]="infasco",VLOOKUP(OtherClients[[#This Row],[Part]],PartControl!$A$2:$E$564,2,FALSE),OtherClients[[#This Row],[Total Quantity]]*VLOOKUP(OtherClients[[#This Row],[Part]],PartControl!$A$2:$E$564,2,FALSE)),0)</f>
        <v>106.94</v>
      </c>
      <c r="Z906" s="108">
        <f>IF(OtherClients[[#This Row],[Re-certified or New]]&lt;&gt;"Re-certified",IF(OtherClients[[#This Row],[Client]]="infasco",VLOOKUP(OtherClients[[#This Row],[Part]],PartControl!$A$2:$E$564,2,FALSE),OtherClients[[#This Row],[Total Quantity]]*VLOOKUP(OtherClients[[#This Row],[Part]],PartControl!$A$2:$E$564,2,FALSE)),0)</f>
        <v>106.94</v>
      </c>
    </row>
    <row r="907" spans="1:26" ht="25.15" hidden="1" customHeight="1" x14ac:dyDescent="0.25">
      <c r="A907" s="112">
        <v>46248.661562499998</v>
      </c>
      <c r="B907" s="5" t="s">
        <v>637</v>
      </c>
      <c r="C907" s="5">
        <v>11546449</v>
      </c>
      <c r="D907" s="5">
        <v>716287</v>
      </c>
      <c r="E907" s="33">
        <v>36</v>
      </c>
      <c r="F907" s="60">
        <v>2500</v>
      </c>
      <c r="G907" s="60">
        <f>+OtherClients[[#This Row],[Boxes / Pieces]]*OtherClients[[#This Row],[Unit Quantity]]</f>
        <v>90000</v>
      </c>
      <c r="H907" s="60">
        <v>280</v>
      </c>
      <c r="I907" s="126" t="s">
        <v>278</v>
      </c>
      <c r="J907" s="127"/>
      <c r="K907" s="33" t="s">
        <v>278</v>
      </c>
      <c r="L907" s="125"/>
      <c r="M907" s="33" t="s">
        <v>278</v>
      </c>
      <c r="N907" s="125"/>
      <c r="O907" s="33" t="s">
        <v>278</v>
      </c>
      <c r="P907" s="125"/>
      <c r="Q907" s="33" t="s">
        <v>587</v>
      </c>
      <c r="R907" s="125"/>
      <c r="S907" s="33" t="s">
        <v>278</v>
      </c>
      <c r="T907" s="125"/>
      <c r="U907" s="33" t="s">
        <v>278</v>
      </c>
      <c r="V907" s="125"/>
      <c r="W907" s="59" t="s">
        <v>548</v>
      </c>
      <c r="X907" s="33" t="str">
        <f>+VLOOKUP(OtherClients[[#This Row],[Part]],PartControl!$A$2:$E$564,5,FALSE)</f>
        <v>INFASCO</v>
      </c>
      <c r="Y907" s="108">
        <f>IF(OtherClients[[#This Row],[Re-certified or New]]&lt;&gt;"Re-certified",IF(OtherClients[[#This Row],[Client]]="infasco",VLOOKUP(OtherClients[[#This Row],[Part]],PartControl!$A$2:$E$564,2,FALSE),OtherClients[[#This Row],[Total Quantity]]*VLOOKUP(OtherClients[[#This Row],[Part]],PartControl!$A$2:$E$564,2,FALSE)),0)</f>
        <v>106.94</v>
      </c>
      <c r="Z907" s="108">
        <f>IF(OtherClients[[#This Row],[Re-certified or New]]&lt;&gt;"Re-certified",IF(OtherClients[[#This Row],[Client]]="infasco",VLOOKUP(OtherClients[[#This Row],[Part]],PartControl!$A$2:$E$564,2,FALSE),OtherClients[[#This Row],[Total Quantity]]*VLOOKUP(OtherClients[[#This Row],[Part]],PartControl!$A$2:$E$564,2,FALSE)),0)</f>
        <v>106.94</v>
      </c>
    </row>
    <row r="908" spans="1:26" ht="25.15" hidden="1" customHeight="1" x14ac:dyDescent="0.25">
      <c r="A908" s="112">
        <v>46248.661562499998</v>
      </c>
      <c r="B908" s="5" t="s">
        <v>637</v>
      </c>
      <c r="C908" s="5">
        <v>11546449</v>
      </c>
      <c r="D908" s="5">
        <v>716283</v>
      </c>
      <c r="E908" s="33">
        <v>8</v>
      </c>
      <c r="F908" s="60">
        <v>2500</v>
      </c>
      <c r="G908" s="60">
        <f>+OtherClients[[#This Row],[Boxes / Pieces]]*OtherClients[[#This Row],[Unit Quantity]]</f>
        <v>20000</v>
      </c>
      <c r="H908" s="60">
        <v>280</v>
      </c>
      <c r="I908" s="126" t="s">
        <v>278</v>
      </c>
      <c r="J908" s="127"/>
      <c r="K908" s="33" t="s">
        <v>278</v>
      </c>
      <c r="L908" s="125"/>
      <c r="M908" s="33" t="s">
        <v>278</v>
      </c>
      <c r="N908" s="125"/>
      <c r="O908" s="33" t="s">
        <v>278</v>
      </c>
      <c r="P908" s="125"/>
      <c r="Q908" s="33" t="s">
        <v>587</v>
      </c>
      <c r="R908" s="125"/>
      <c r="S908" s="33" t="s">
        <v>278</v>
      </c>
      <c r="T908" s="125"/>
      <c r="U908" s="33" t="s">
        <v>278</v>
      </c>
      <c r="V908" s="125"/>
      <c r="W908" s="59" t="s">
        <v>633</v>
      </c>
      <c r="X908" s="33" t="str">
        <f>+VLOOKUP(OtherClients[[#This Row],[Part]],PartControl!$A$2:$E$564,5,FALSE)</f>
        <v>INFASCO</v>
      </c>
      <c r="Y908" s="108">
        <f>IF(OtherClients[[#This Row],[Re-certified or New]]&lt;&gt;"Re-certified",IF(OtherClients[[#This Row],[Client]]="infasco",VLOOKUP(OtherClients[[#This Row],[Part]],PartControl!$A$2:$E$564,2,FALSE),OtherClients[[#This Row],[Total Quantity]]*VLOOKUP(OtherClients[[#This Row],[Part]],PartControl!$A$2:$E$564,2,FALSE)),0)</f>
        <v>0</v>
      </c>
      <c r="Z908" s="108">
        <f>IF(OtherClients[[#This Row],[Re-certified or New]]&lt;&gt;"Re-certified",IF(OtherClients[[#This Row],[Client]]="infasco",VLOOKUP(OtherClients[[#This Row],[Part]],PartControl!$A$2:$E$564,2,FALSE),OtherClients[[#This Row],[Total Quantity]]*VLOOKUP(OtherClients[[#This Row],[Part]],PartControl!$A$2:$E$564,2,FALSE)),0)</f>
        <v>0</v>
      </c>
    </row>
    <row r="909" spans="1:26" ht="25.15" hidden="1" customHeight="1" x14ac:dyDescent="0.25">
      <c r="A909" s="112">
        <v>46248.661562499998</v>
      </c>
      <c r="B909" s="5" t="s">
        <v>249</v>
      </c>
      <c r="C909" s="5">
        <v>11612078</v>
      </c>
      <c r="D909" s="5">
        <v>710173</v>
      </c>
      <c r="E909" s="33">
        <v>9</v>
      </c>
      <c r="F909" s="60">
        <v>1850</v>
      </c>
      <c r="G909" s="60">
        <f>+OtherClients[[#This Row],[Boxes / Pieces]]*OtherClients[[#This Row],[Unit Quantity]]</f>
        <v>16650</v>
      </c>
      <c r="H909" s="60">
        <v>4</v>
      </c>
      <c r="I909" s="126" t="s">
        <v>278</v>
      </c>
      <c r="J909" s="127"/>
      <c r="K909" s="33" t="s">
        <v>278</v>
      </c>
      <c r="L909" s="125"/>
      <c r="M909" s="33" t="s">
        <v>278</v>
      </c>
      <c r="N909" s="125"/>
      <c r="O909" s="33" t="s">
        <v>278</v>
      </c>
      <c r="P909" s="125"/>
      <c r="Q909" s="33" t="s">
        <v>587</v>
      </c>
      <c r="R909" s="125"/>
      <c r="S909" s="33" t="s">
        <v>278</v>
      </c>
      <c r="T909" s="125"/>
      <c r="U909" s="33" t="s">
        <v>278</v>
      </c>
      <c r="V909" s="125"/>
      <c r="W909" s="59" t="s">
        <v>633</v>
      </c>
      <c r="X909" s="33" t="str">
        <f>+VLOOKUP(OtherClients[[#This Row],[Part]],PartControl!$A$2:$E$564,5,FALSE)</f>
        <v>infasco</v>
      </c>
      <c r="Y909" s="108">
        <f>IF(OtherClients[[#This Row],[Re-certified or New]]&lt;&gt;"Re-certified",IF(OtherClients[[#This Row],[Client]]="infasco",VLOOKUP(OtherClients[[#This Row],[Part]],PartControl!$A$2:$E$564,2,FALSE),OtherClients[[#This Row],[Total Quantity]]*VLOOKUP(OtherClients[[#This Row],[Part]],PartControl!$A$2:$E$564,2,FALSE)),0)</f>
        <v>0</v>
      </c>
      <c r="Z909" s="108">
        <f>IF(OtherClients[[#This Row],[Re-certified or New]]&lt;&gt;"Re-certified",IF(OtherClients[[#This Row],[Client]]="infasco",VLOOKUP(OtherClients[[#This Row],[Part]],PartControl!$A$2:$E$564,2,FALSE),OtherClients[[#This Row],[Total Quantity]]*VLOOKUP(OtherClients[[#This Row],[Part]],PartControl!$A$2:$E$564,2,FALSE)),0)</f>
        <v>0</v>
      </c>
    </row>
    <row r="910" spans="1:26" ht="25.15" hidden="1" customHeight="1" x14ac:dyDescent="0.25">
      <c r="A910" s="112">
        <v>46248.661562499998</v>
      </c>
      <c r="B910" s="5" t="s">
        <v>342</v>
      </c>
      <c r="C910" s="5">
        <v>11546449</v>
      </c>
      <c r="D910" s="5">
        <v>715756</v>
      </c>
      <c r="E910" s="33">
        <f>35-12</f>
        <v>23</v>
      </c>
      <c r="F910" s="60">
        <v>2500</v>
      </c>
      <c r="G910" s="60">
        <f>+OtherClients[[#This Row],[Boxes / Pieces]]*OtherClients[[#This Row],[Unit Quantity]]</f>
        <v>57500</v>
      </c>
      <c r="H910" s="60" t="s">
        <v>811</v>
      </c>
      <c r="I910" s="126" t="s">
        <v>278</v>
      </c>
      <c r="J910" s="127"/>
      <c r="K910" s="33" t="s">
        <v>278</v>
      </c>
      <c r="L910" s="125"/>
      <c r="M910" s="33" t="s">
        <v>278</v>
      </c>
      <c r="N910" s="125"/>
      <c r="O910" s="33" t="s">
        <v>278</v>
      </c>
      <c r="P910" s="125"/>
      <c r="Q910" s="33" t="s">
        <v>587</v>
      </c>
      <c r="R910" s="125"/>
      <c r="S910" s="33" t="s">
        <v>278</v>
      </c>
      <c r="T910" s="125"/>
      <c r="U910" s="33" t="s">
        <v>278</v>
      </c>
      <c r="V910" s="125"/>
      <c r="W910" s="59" t="s">
        <v>548</v>
      </c>
      <c r="X910" s="33" t="str">
        <f>+VLOOKUP(OtherClients[[#This Row],[Part]],PartControl!$A$2:$E$564,5,FALSE)</f>
        <v>INFASCO</v>
      </c>
      <c r="Y910" s="108">
        <f>IF(OtherClients[[#This Row],[Re-certified or New]]&lt;&gt;"Re-certified",IF(OtherClients[[#This Row],[Client]]="infasco",VLOOKUP(OtherClients[[#This Row],[Part]],PartControl!$A$2:$E$564,2,FALSE),OtherClients[[#This Row],[Total Quantity]]*VLOOKUP(OtherClients[[#This Row],[Part]],PartControl!$A$2:$E$564,2,FALSE)),0)</f>
        <v>106.94</v>
      </c>
      <c r="Z910" s="108">
        <f>IF(OtherClients[[#This Row],[Re-certified or New]]&lt;&gt;"Re-certified",IF(OtherClients[[#This Row],[Client]]="infasco",VLOOKUP(OtherClients[[#This Row],[Part]],PartControl!$A$2:$E$564,2,FALSE),OtherClients[[#This Row],[Total Quantity]]*VLOOKUP(OtherClients[[#This Row],[Part]],PartControl!$A$2:$E$564,2,FALSE)),0)</f>
        <v>106.94</v>
      </c>
    </row>
    <row r="911" spans="1:26" ht="25.15" hidden="1" customHeight="1" x14ac:dyDescent="0.25">
      <c r="A911" s="112">
        <v>46248.661562499998</v>
      </c>
      <c r="B911" s="5" t="s">
        <v>342</v>
      </c>
      <c r="C911" s="5" t="s">
        <v>795</v>
      </c>
      <c r="D911" s="5">
        <v>716097</v>
      </c>
      <c r="E911" s="33">
        <v>34</v>
      </c>
      <c r="F911" s="60">
        <v>800</v>
      </c>
      <c r="G911" s="60">
        <f>+OtherClients[[#This Row],[Boxes / Pieces]]*OtherClients[[#This Row],[Unit Quantity]]</f>
        <v>27200</v>
      </c>
      <c r="H911" s="60" t="s">
        <v>811</v>
      </c>
      <c r="I911" s="126" t="s">
        <v>278</v>
      </c>
      <c r="J911" s="127"/>
      <c r="K911" s="33" t="s">
        <v>278</v>
      </c>
      <c r="L911" s="125"/>
      <c r="M911" s="33" t="s">
        <v>278</v>
      </c>
      <c r="N911" s="125"/>
      <c r="O911" s="33" t="s">
        <v>278</v>
      </c>
      <c r="P911" s="125"/>
      <c r="Q911" s="33" t="s">
        <v>587</v>
      </c>
      <c r="R911" s="125"/>
      <c r="S911" s="33" t="s">
        <v>278</v>
      </c>
      <c r="T911" s="125"/>
      <c r="U911" s="33" t="s">
        <v>278</v>
      </c>
      <c r="V911" s="125"/>
      <c r="W911" s="59" t="s">
        <v>548</v>
      </c>
      <c r="X911" s="33" t="str">
        <f>+VLOOKUP(OtherClients[[#This Row],[Part]],PartControl!$A$2:$E$564,5,FALSE)</f>
        <v>infasco</v>
      </c>
      <c r="Y911" s="108">
        <f>IF(OtherClients[[#This Row],[Re-certified or New]]&lt;&gt;"Re-certified",IF(OtherClients[[#This Row],[Client]]="infasco",VLOOKUP(OtherClients[[#This Row],[Part]],PartControl!$A$2:$E$564,2,FALSE),OtherClients[[#This Row],[Total Quantity]]*VLOOKUP(OtherClients[[#This Row],[Part]],PartControl!$A$2:$E$564,2,FALSE)),0)</f>
        <v>280.16000000000003</v>
      </c>
      <c r="Z911" s="108">
        <f>IF(OtherClients[[#This Row],[Re-certified or New]]&lt;&gt;"Re-certified",IF(OtherClients[[#This Row],[Client]]="infasco",VLOOKUP(OtherClients[[#This Row],[Part]],PartControl!$A$2:$E$564,2,FALSE),OtherClients[[#This Row],[Total Quantity]]*VLOOKUP(OtherClients[[#This Row],[Part]],PartControl!$A$2:$E$564,2,FALSE)),0)</f>
        <v>280.16000000000003</v>
      </c>
    </row>
    <row r="912" spans="1:26" ht="25.15" hidden="1" customHeight="1" x14ac:dyDescent="0.25">
      <c r="A912" s="112">
        <v>46248.661562499998</v>
      </c>
      <c r="B912" s="5" t="s">
        <v>342</v>
      </c>
      <c r="C912" s="5">
        <v>11546449</v>
      </c>
      <c r="D912" s="5">
        <v>715755</v>
      </c>
      <c r="E912" s="33">
        <v>37</v>
      </c>
      <c r="F912" s="60">
        <v>2500</v>
      </c>
      <c r="G912" s="60">
        <f>+OtherClients[[#This Row],[Boxes / Pieces]]*OtherClients[[#This Row],[Unit Quantity]]</f>
        <v>92500</v>
      </c>
      <c r="H912" s="60" t="s">
        <v>811</v>
      </c>
      <c r="I912" s="126" t="s">
        <v>278</v>
      </c>
      <c r="J912" s="127"/>
      <c r="K912" s="33" t="s">
        <v>278</v>
      </c>
      <c r="L912" s="125"/>
      <c r="M912" s="33" t="s">
        <v>278</v>
      </c>
      <c r="N912" s="125"/>
      <c r="O912" s="33" t="s">
        <v>278</v>
      </c>
      <c r="P912" s="125"/>
      <c r="Q912" s="33" t="s">
        <v>587</v>
      </c>
      <c r="R912" s="125"/>
      <c r="S912" s="33" t="s">
        <v>278</v>
      </c>
      <c r="T912" s="125"/>
      <c r="U912" s="33" t="s">
        <v>278</v>
      </c>
      <c r="V912" s="125"/>
      <c r="W912" s="59" t="s">
        <v>548</v>
      </c>
      <c r="X912" s="33" t="str">
        <f>+VLOOKUP(OtherClients[[#This Row],[Part]],PartControl!$A$2:$E$564,5,FALSE)</f>
        <v>INFASCO</v>
      </c>
      <c r="Y912" s="108">
        <f>IF(OtherClients[[#This Row],[Re-certified or New]]&lt;&gt;"Re-certified",IF(OtherClients[[#This Row],[Client]]="infasco",VLOOKUP(OtherClients[[#This Row],[Part]],PartControl!$A$2:$E$564,2,FALSE),OtherClients[[#This Row],[Total Quantity]]*VLOOKUP(OtherClients[[#This Row],[Part]],PartControl!$A$2:$E$564,2,FALSE)),0)</f>
        <v>106.94</v>
      </c>
      <c r="Z912" s="108">
        <f>IF(OtherClients[[#This Row],[Re-certified or New]]&lt;&gt;"Re-certified",IF(OtherClients[[#This Row],[Client]]="infasco",VLOOKUP(OtherClients[[#This Row],[Part]],PartControl!$A$2:$E$564,2,FALSE),OtherClients[[#This Row],[Total Quantity]]*VLOOKUP(OtherClients[[#This Row],[Part]],PartControl!$A$2:$E$564,2,FALSE)),0)</f>
        <v>106.94</v>
      </c>
    </row>
    <row r="913" spans="1:26" ht="25.15" hidden="1" customHeight="1" x14ac:dyDescent="0.25">
      <c r="A913" s="112">
        <v>46248.661562499998</v>
      </c>
      <c r="B913" s="5" t="s">
        <v>342</v>
      </c>
      <c r="C913" s="5">
        <v>11547059</v>
      </c>
      <c r="D913" s="5">
        <v>714713</v>
      </c>
      <c r="E913" s="33">
        <v>48</v>
      </c>
      <c r="F913" s="60">
        <v>550</v>
      </c>
      <c r="G913" s="60">
        <f>+OtherClients[[#This Row],[Boxes / Pieces]]*OtherClients[[#This Row],[Unit Quantity]]</f>
        <v>26400</v>
      </c>
      <c r="H913" s="60" t="s">
        <v>811</v>
      </c>
      <c r="I913" s="126" t="s">
        <v>278</v>
      </c>
      <c r="J913" s="127"/>
      <c r="K913" s="33" t="s">
        <v>278</v>
      </c>
      <c r="L913" s="125"/>
      <c r="M913" s="33" t="s">
        <v>278</v>
      </c>
      <c r="N913" s="125"/>
      <c r="O913" s="33" t="s">
        <v>278</v>
      </c>
      <c r="P913" s="125"/>
      <c r="Q913" s="33" t="s">
        <v>587</v>
      </c>
      <c r="R913" s="125"/>
      <c r="S913" s="33" t="s">
        <v>278</v>
      </c>
      <c r="T913" s="125"/>
      <c r="U913" s="33" t="s">
        <v>278</v>
      </c>
      <c r="V913" s="125"/>
      <c r="W913" s="59" t="s">
        <v>548</v>
      </c>
      <c r="X913" s="33" t="str">
        <f>+VLOOKUP(OtherClients[[#This Row],[Part]],PartControl!$A$2:$E$564,5,FALSE)</f>
        <v>infasco</v>
      </c>
      <c r="Y913" s="108">
        <f>IF(OtherClients[[#This Row],[Re-certified or New]]&lt;&gt;"Re-certified",IF(OtherClients[[#This Row],[Client]]="infasco",VLOOKUP(OtherClients[[#This Row],[Part]],PartControl!$A$2:$E$564,2,FALSE),OtherClients[[#This Row],[Total Quantity]]*VLOOKUP(OtherClients[[#This Row],[Part]],PartControl!$A$2:$E$564,2,FALSE)),0)</f>
        <v>135.07999999999998</v>
      </c>
      <c r="Z913" s="108">
        <f>IF(OtherClients[[#This Row],[Re-certified or New]]&lt;&gt;"Re-certified",IF(OtherClients[[#This Row],[Client]]="infasco",VLOOKUP(OtherClients[[#This Row],[Part]],PartControl!$A$2:$E$564,2,FALSE),OtherClients[[#This Row],[Total Quantity]]*VLOOKUP(OtherClients[[#This Row],[Part]],PartControl!$A$2:$E$564,2,FALSE)),0)</f>
        <v>135.07999999999998</v>
      </c>
    </row>
    <row r="914" spans="1:26" ht="25.15" hidden="1" customHeight="1" x14ac:dyDescent="0.25">
      <c r="A914" s="112">
        <v>46248.661562499998</v>
      </c>
      <c r="B914" s="5" t="s">
        <v>342</v>
      </c>
      <c r="C914" s="5">
        <v>11547059</v>
      </c>
      <c r="D914" s="5">
        <v>714711</v>
      </c>
      <c r="E914" s="33">
        <v>34</v>
      </c>
      <c r="F914" s="60">
        <v>550</v>
      </c>
      <c r="G914" s="60">
        <f>+OtherClients[[#This Row],[Boxes / Pieces]]*OtherClients[[#This Row],[Unit Quantity]]</f>
        <v>18700</v>
      </c>
      <c r="H914" s="60" t="s">
        <v>811</v>
      </c>
      <c r="I914" s="126" t="s">
        <v>278</v>
      </c>
      <c r="J914" s="127"/>
      <c r="K914" s="33" t="s">
        <v>278</v>
      </c>
      <c r="L914" s="125"/>
      <c r="M914" s="33" t="s">
        <v>278</v>
      </c>
      <c r="N914" s="125"/>
      <c r="O914" s="33" t="s">
        <v>278</v>
      </c>
      <c r="P914" s="125"/>
      <c r="Q914" s="33" t="s">
        <v>587</v>
      </c>
      <c r="R914" s="125"/>
      <c r="S914" s="33" t="s">
        <v>278</v>
      </c>
      <c r="T914" s="125"/>
      <c r="U914" s="33" t="s">
        <v>278</v>
      </c>
      <c r="V914" s="125"/>
      <c r="W914" s="59" t="s">
        <v>548</v>
      </c>
      <c r="X914" s="33" t="str">
        <f>+VLOOKUP(OtherClients[[#This Row],[Part]],PartControl!$A$2:$E$564,5,FALSE)</f>
        <v>infasco</v>
      </c>
      <c r="Y914" s="108">
        <f>IF(OtherClients[[#This Row],[Re-certified or New]]&lt;&gt;"Re-certified",IF(OtherClients[[#This Row],[Client]]="infasco",VLOOKUP(OtherClients[[#This Row],[Part]],PartControl!$A$2:$E$564,2,FALSE),OtherClients[[#This Row],[Total Quantity]]*VLOOKUP(OtherClients[[#This Row],[Part]],PartControl!$A$2:$E$564,2,FALSE)),0)</f>
        <v>135.07999999999998</v>
      </c>
      <c r="Z914" s="108">
        <f>IF(OtherClients[[#This Row],[Re-certified or New]]&lt;&gt;"Re-certified",IF(OtherClients[[#This Row],[Client]]="infasco",VLOOKUP(OtherClients[[#This Row],[Part]],PartControl!$A$2:$E$564,2,FALSE),OtherClients[[#This Row],[Total Quantity]]*VLOOKUP(OtherClients[[#This Row],[Part]],PartControl!$A$2:$E$564,2,FALSE)),0)</f>
        <v>135.07999999999998</v>
      </c>
    </row>
    <row r="915" spans="1:26" ht="25.15" hidden="1" customHeight="1" x14ac:dyDescent="0.25">
      <c r="A915" s="112">
        <v>46248.661562499998</v>
      </c>
      <c r="B915" s="5" t="s">
        <v>342</v>
      </c>
      <c r="C915" s="5" t="s">
        <v>843</v>
      </c>
      <c r="D915" s="5">
        <v>714684</v>
      </c>
      <c r="E915" s="33">
        <v>33</v>
      </c>
      <c r="F915" s="60">
        <v>220</v>
      </c>
      <c r="G915" s="60">
        <f>+OtherClients[[#This Row],[Boxes / Pieces]]*OtherClients[[#This Row],[Unit Quantity]]</f>
        <v>7260</v>
      </c>
      <c r="H915" s="60" t="s">
        <v>811</v>
      </c>
      <c r="I915" s="126" t="s">
        <v>278</v>
      </c>
      <c r="J915" s="127"/>
      <c r="K915" s="33" t="s">
        <v>278</v>
      </c>
      <c r="L915" s="125"/>
      <c r="M915" s="33" t="s">
        <v>278</v>
      </c>
      <c r="N915" s="125"/>
      <c r="O915" s="33" t="s">
        <v>278</v>
      </c>
      <c r="P915" s="125"/>
      <c r="Q915" s="33" t="s">
        <v>587</v>
      </c>
      <c r="R915" s="125"/>
      <c r="S915" s="33" t="s">
        <v>278</v>
      </c>
      <c r="T915" s="125"/>
      <c r="U915" s="33" t="s">
        <v>278</v>
      </c>
      <c r="V915" s="125"/>
      <c r="W915" s="59" t="s">
        <v>548</v>
      </c>
      <c r="X915" s="33" t="str">
        <f>+VLOOKUP(OtherClients[[#This Row],[Part]],PartControl!$A$2:$E$564,5,FALSE)</f>
        <v>infasco</v>
      </c>
      <c r="Y915" s="108">
        <f>IF(OtherClients[[#This Row],[Re-certified or New]]&lt;&gt;"Re-certified",IF(OtherClients[[#This Row],[Client]]="infasco",VLOOKUP(OtherClients[[#This Row],[Part]],PartControl!$A$2:$E$564,2,FALSE),OtherClients[[#This Row],[Total Quantity]]*VLOOKUP(OtherClients[[#This Row],[Part]],PartControl!$A$2:$E$564,2,FALSE)),0)</f>
        <v>106.94</v>
      </c>
      <c r="Z915" s="108">
        <f>IF(OtherClients[[#This Row],[Re-certified or New]]&lt;&gt;"Re-certified",IF(OtherClients[[#This Row],[Client]]="infasco",VLOOKUP(OtherClients[[#This Row],[Part]],PartControl!$A$2:$E$564,2,FALSE),OtherClients[[#This Row],[Total Quantity]]*VLOOKUP(OtherClients[[#This Row],[Part]],PartControl!$A$2:$E$564,2,FALSE)),0)</f>
        <v>106.94</v>
      </c>
    </row>
    <row r="916" spans="1:26" ht="25.15" hidden="1" customHeight="1" x14ac:dyDescent="0.25">
      <c r="A916" s="112">
        <v>46248.661562499998</v>
      </c>
      <c r="B916" s="5" t="s">
        <v>342</v>
      </c>
      <c r="C916" s="5">
        <v>82246</v>
      </c>
      <c r="D916" s="5">
        <v>716665</v>
      </c>
      <c r="E916" s="33">
        <v>27</v>
      </c>
      <c r="F916" s="60">
        <v>250</v>
      </c>
      <c r="G916" s="60">
        <f>+OtherClients[[#This Row],[Boxes / Pieces]]*OtherClients[[#This Row],[Unit Quantity]]</f>
        <v>6750</v>
      </c>
      <c r="H916" s="60" t="s">
        <v>811</v>
      </c>
      <c r="I916" s="126" t="s">
        <v>278</v>
      </c>
      <c r="J916" s="127"/>
      <c r="K916" s="33" t="s">
        <v>278</v>
      </c>
      <c r="L916" s="125"/>
      <c r="M916" s="33" t="s">
        <v>278</v>
      </c>
      <c r="N916" s="125"/>
      <c r="O916" s="33" t="s">
        <v>278</v>
      </c>
      <c r="P916" s="125"/>
      <c r="Q916" s="33" t="s">
        <v>587</v>
      </c>
      <c r="R916" s="125"/>
      <c r="S916" s="33" t="s">
        <v>278</v>
      </c>
      <c r="T916" s="125"/>
      <c r="U916" s="33" t="s">
        <v>278</v>
      </c>
      <c r="V916" s="125"/>
      <c r="W916" s="59" t="s">
        <v>548</v>
      </c>
      <c r="X916" s="33" t="str">
        <f>+VLOOKUP(OtherClients[[#This Row],[Part]],PartControl!$A$2:$E$564,5,FALSE)</f>
        <v>INFASCO</v>
      </c>
      <c r="Y916" s="108">
        <f>IF(OtherClients[[#This Row],[Re-certified or New]]&lt;&gt;"Re-certified",IF(OtherClients[[#This Row],[Client]]="infasco",VLOOKUP(OtherClients[[#This Row],[Part]],PartControl!$A$2:$E$564,2,FALSE),OtherClients[[#This Row],[Total Quantity]]*VLOOKUP(OtherClients[[#This Row],[Part]],PartControl!$A$2:$E$564,2,FALSE)),0)</f>
        <v>280.15999999999997</v>
      </c>
      <c r="Z916" s="108">
        <f>IF(OtherClients[[#This Row],[Re-certified or New]]&lt;&gt;"Re-certified",IF(OtherClients[[#This Row],[Client]]="infasco",VLOOKUP(OtherClients[[#This Row],[Part]],PartControl!$A$2:$E$564,2,FALSE),OtherClients[[#This Row],[Total Quantity]]*VLOOKUP(OtherClients[[#This Row],[Part]],PartControl!$A$2:$E$564,2,FALSE)),0)</f>
        <v>280.15999999999997</v>
      </c>
    </row>
    <row r="917" spans="1:26" ht="25.15" hidden="1" customHeight="1" x14ac:dyDescent="0.25">
      <c r="A917" s="112">
        <v>46248.661562499998</v>
      </c>
      <c r="B917" s="5" t="s">
        <v>342</v>
      </c>
      <c r="C917" s="5" t="s">
        <v>732</v>
      </c>
      <c r="D917" s="5">
        <v>708736</v>
      </c>
      <c r="E917" s="33">
        <v>2</v>
      </c>
      <c r="F917" s="60">
        <v>1000</v>
      </c>
      <c r="G917" s="60">
        <f>+OtherClients[[#This Row],[Boxes / Pieces]]*OtherClients[[#This Row],[Unit Quantity]]</f>
        <v>2000</v>
      </c>
      <c r="H917" s="60" t="s">
        <v>811</v>
      </c>
      <c r="I917" s="126" t="s">
        <v>278</v>
      </c>
      <c r="J917" s="127"/>
      <c r="K917" s="33" t="s">
        <v>278</v>
      </c>
      <c r="L917" s="125"/>
      <c r="M917" s="33" t="s">
        <v>278</v>
      </c>
      <c r="N917" s="125"/>
      <c r="O917" s="33" t="s">
        <v>278</v>
      </c>
      <c r="P917" s="125"/>
      <c r="Q917" s="33" t="s">
        <v>587</v>
      </c>
      <c r="R917" s="125"/>
      <c r="S917" s="33" t="s">
        <v>278</v>
      </c>
      <c r="T917" s="125"/>
      <c r="U917" s="33" t="s">
        <v>278</v>
      </c>
      <c r="V917" s="125"/>
      <c r="W917" s="59" t="s">
        <v>633</v>
      </c>
      <c r="X917" s="33" t="str">
        <f>+VLOOKUP(OtherClients[[#This Row],[Part]],PartControl!$A$2:$E$564,5,FALSE)</f>
        <v>infasco</v>
      </c>
      <c r="Y917" s="108">
        <f>IF(OtherClients[[#This Row],[Re-certified or New]]&lt;&gt;"Re-certified",IF(OtherClients[[#This Row],[Client]]="infasco",VLOOKUP(OtherClients[[#This Row],[Part]],PartControl!$A$2:$E$564,2,FALSE),OtherClients[[#This Row],[Total Quantity]]*VLOOKUP(OtherClients[[#This Row],[Part]],PartControl!$A$2:$E$564,2,FALSE)),0)</f>
        <v>0</v>
      </c>
      <c r="Z917" s="108">
        <f>IF(OtherClients[[#This Row],[Re-certified or New]]&lt;&gt;"Re-certified",IF(OtherClients[[#This Row],[Client]]="infasco",VLOOKUP(OtherClients[[#This Row],[Part]],PartControl!$A$2:$E$564,2,FALSE),OtherClients[[#This Row],[Total Quantity]]*VLOOKUP(OtherClients[[#This Row],[Part]],PartControl!$A$2:$E$564,2,FALSE)),0)</f>
        <v>0</v>
      </c>
    </row>
    <row r="918" spans="1:26" ht="25.15" hidden="1" customHeight="1" x14ac:dyDescent="0.25">
      <c r="A918" s="112">
        <v>46248.661562499998</v>
      </c>
      <c r="B918" s="5" t="s">
        <v>343</v>
      </c>
      <c r="C918" s="5" t="s">
        <v>809</v>
      </c>
      <c r="D918" s="5">
        <v>713232</v>
      </c>
      <c r="E918" s="33">
        <v>36</v>
      </c>
      <c r="F918" s="60">
        <v>450</v>
      </c>
      <c r="G918" s="60">
        <f>+OtherClients[[#This Row],[Boxes / Pieces]]*OtherClients[[#This Row],[Unit Quantity]]</f>
        <v>16200</v>
      </c>
      <c r="H918" s="60" t="s">
        <v>757</v>
      </c>
      <c r="I918" s="126" t="s">
        <v>278</v>
      </c>
      <c r="J918" s="127"/>
      <c r="K918" s="33" t="s">
        <v>278</v>
      </c>
      <c r="L918" s="125"/>
      <c r="M918" s="33" t="s">
        <v>278</v>
      </c>
      <c r="N918" s="125"/>
      <c r="O918" s="33" t="s">
        <v>278</v>
      </c>
      <c r="P918" s="125"/>
      <c r="Q918" s="33" t="s">
        <v>587</v>
      </c>
      <c r="R918" s="125"/>
      <c r="S918" s="33" t="s">
        <v>278</v>
      </c>
      <c r="T918" s="125"/>
      <c r="U918" s="33" t="s">
        <v>278</v>
      </c>
      <c r="V918" s="125"/>
      <c r="W918" s="59" t="s">
        <v>548</v>
      </c>
      <c r="X918" s="33" t="str">
        <f>+VLOOKUP(OtherClients[[#This Row],[Part]],PartControl!$A$2:$E$564,5,FALSE)</f>
        <v>infasco</v>
      </c>
      <c r="Y918" s="108">
        <f>IF(OtherClients[[#This Row],[Re-certified or New]]&lt;&gt;"Re-certified",IF(OtherClients[[#This Row],[Client]]="infasco",VLOOKUP(OtherClients[[#This Row],[Part]],PartControl!$A$2:$E$564,2,FALSE),OtherClients[[#This Row],[Total Quantity]]*VLOOKUP(OtherClients[[#This Row],[Part]],PartControl!$A$2:$E$564,2,FALSE)),0)</f>
        <v>106.94</v>
      </c>
      <c r="Z918" s="108">
        <f>IF(OtherClients[[#This Row],[Re-certified or New]]&lt;&gt;"Re-certified",IF(OtherClients[[#This Row],[Client]]="infasco",VLOOKUP(OtherClients[[#This Row],[Part]],PartControl!$A$2:$E$564,2,FALSE),OtherClients[[#This Row],[Total Quantity]]*VLOOKUP(OtherClients[[#This Row],[Part]],PartControl!$A$2:$E$564,2,FALSE)),0)</f>
        <v>106.94</v>
      </c>
    </row>
    <row r="919" spans="1:26" ht="25.15" hidden="1" customHeight="1" x14ac:dyDescent="0.25">
      <c r="A919" s="112">
        <v>46248.661562499998</v>
      </c>
      <c r="B919" s="5" t="s">
        <v>343</v>
      </c>
      <c r="C919" s="5" t="s">
        <v>843</v>
      </c>
      <c r="D919" s="5">
        <v>714689</v>
      </c>
      <c r="E919" s="33">
        <v>36</v>
      </c>
      <c r="F919" s="60">
        <v>220</v>
      </c>
      <c r="G919" s="60">
        <f>+OtherClients[[#This Row],[Boxes / Pieces]]*OtherClients[[#This Row],[Unit Quantity]]</f>
        <v>7920</v>
      </c>
      <c r="H919" s="60" t="s">
        <v>757</v>
      </c>
      <c r="I919" s="126" t="s">
        <v>278</v>
      </c>
      <c r="J919" s="127"/>
      <c r="K919" s="33" t="s">
        <v>278</v>
      </c>
      <c r="L919" s="125"/>
      <c r="M919" s="33" t="s">
        <v>278</v>
      </c>
      <c r="N919" s="125"/>
      <c r="O919" s="33" t="s">
        <v>278</v>
      </c>
      <c r="P919" s="125"/>
      <c r="Q919" s="33" t="s">
        <v>587</v>
      </c>
      <c r="R919" s="125"/>
      <c r="S919" s="33" t="s">
        <v>278</v>
      </c>
      <c r="T919" s="125"/>
      <c r="U919" s="33" t="s">
        <v>278</v>
      </c>
      <c r="V919" s="125"/>
      <c r="W919" s="59" t="s">
        <v>548</v>
      </c>
      <c r="X919" s="33" t="str">
        <f>+VLOOKUP(OtherClients[[#This Row],[Part]],PartControl!$A$2:$E$564,5,FALSE)</f>
        <v>infasco</v>
      </c>
      <c r="Y919" s="108">
        <f>IF(OtherClients[[#This Row],[Re-certified or New]]&lt;&gt;"Re-certified",IF(OtherClients[[#This Row],[Client]]="infasco",VLOOKUP(OtherClients[[#This Row],[Part]],PartControl!$A$2:$E$564,2,FALSE),OtherClients[[#This Row],[Total Quantity]]*VLOOKUP(OtherClients[[#This Row],[Part]],PartControl!$A$2:$E$564,2,FALSE)),0)</f>
        <v>106.94</v>
      </c>
      <c r="Z919" s="108">
        <f>IF(OtherClients[[#This Row],[Re-certified or New]]&lt;&gt;"Re-certified",IF(OtherClients[[#This Row],[Client]]="infasco",VLOOKUP(OtherClients[[#This Row],[Part]],PartControl!$A$2:$E$564,2,FALSE),OtherClients[[#This Row],[Total Quantity]]*VLOOKUP(OtherClients[[#This Row],[Part]],PartControl!$A$2:$E$564,2,FALSE)),0)</f>
        <v>106.94</v>
      </c>
    </row>
    <row r="920" spans="1:26" ht="25.15" hidden="1" customHeight="1" x14ac:dyDescent="0.25">
      <c r="A920" s="112">
        <v>46248.661562499998</v>
      </c>
      <c r="B920" s="5" t="s">
        <v>343</v>
      </c>
      <c r="C920" s="5" t="s">
        <v>843</v>
      </c>
      <c r="D920" s="5">
        <v>714685</v>
      </c>
      <c r="E920" s="33">
        <v>21</v>
      </c>
      <c r="F920" s="60">
        <v>220</v>
      </c>
      <c r="G920" s="60">
        <f>+OtherClients[[#This Row],[Boxes / Pieces]]*OtherClients[[#This Row],[Unit Quantity]]</f>
        <v>4620</v>
      </c>
      <c r="H920" s="60" t="s">
        <v>757</v>
      </c>
      <c r="I920" s="126" t="s">
        <v>278</v>
      </c>
      <c r="J920" s="127"/>
      <c r="K920" s="33" t="s">
        <v>278</v>
      </c>
      <c r="L920" s="125"/>
      <c r="M920" s="33" t="s">
        <v>278</v>
      </c>
      <c r="N920" s="125"/>
      <c r="O920" s="33" t="s">
        <v>278</v>
      </c>
      <c r="P920" s="125"/>
      <c r="Q920" s="33" t="s">
        <v>587</v>
      </c>
      <c r="R920" s="125"/>
      <c r="S920" s="33" t="s">
        <v>278</v>
      </c>
      <c r="T920" s="125"/>
      <c r="U920" s="33" t="s">
        <v>278</v>
      </c>
      <c r="V920" s="125"/>
      <c r="W920" s="59" t="s">
        <v>548</v>
      </c>
      <c r="X920" s="33" t="str">
        <f>+VLOOKUP(OtherClients[[#This Row],[Part]],PartControl!$A$2:$E$564,5,FALSE)</f>
        <v>infasco</v>
      </c>
      <c r="Y920" s="108">
        <f>IF(OtherClients[[#This Row],[Re-certified or New]]&lt;&gt;"Re-certified",IF(OtherClients[[#This Row],[Client]]="infasco",VLOOKUP(OtherClients[[#This Row],[Part]],PartControl!$A$2:$E$564,2,FALSE),OtherClients[[#This Row],[Total Quantity]]*VLOOKUP(OtherClients[[#This Row],[Part]],PartControl!$A$2:$E$564,2,FALSE)),0)</f>
        <v>106.94</v>
      </c>
      <c r="Z920" s="108">
        <f>IF(OtherClients[[#This Row],[Re-certified or New]]&lt;&gt;"Re-certified",IF(OtherClients[[#This Row],[Client]]="infasco",VLOOKUP(OtherClients[[#This Row],[Part]],PartControl!$A$2:$E$564,2,FALSE),OtherClients[[#This Row],[Total Quantity]]*VLOOKUP(OtherClients[[#This Row],[Part]],PartControl!$A$2:$E$564,2,FALSE)),0)</f>
        <v>106.94</v>
      </c>
    </row>
    <row r="921" spans="1:26" ht="25.15" hidden="1" customHeight="1" x14ac:dyDescent="0.25">
      <c r="A921" s="112">
        <v>46248.661562499998</v>
      </c>
      <c r="B921" s="5" t="s">
        <v>343</v>
      </c>
      <c r="C921" s="5">
        <v>82246</v>
      </c>
      <c r="D921" s="5">
        <v>716668</v>
      </c>
      <c r="E921" s="33">
        <v>29</v>
      </c>
      <c r="F921" s="60">
        <v>250</v>
      </c>
      <c r="G921" s="60">
        <f>+OtherClients[[#This Row],[Boxes / Pieces]]*OtherClients[[#This Row],[Unit Quantity]]</f>
        <v>7250</v>
      </c>
      <c r="H921" s="60" t="s">
        <v>757</v>
      </c>
      <c r="I921" s="126" t="s">
        <v>278</v>
      </c>
      <c r="J921" s="127"/>
      <c r="K921" s="33" t="s">
        <v>278</v>
      </c>
      <c r="L921" s="125"/>
      <c r="M921" s="33" t="s">
        <v>278</v>
      </c>
      <c r="N921" s="125"/>
      <c r="O921" s="33" t="s">
        <v>278</v>
      </c>
      <c r="P921" s="125"/>
      <c r="Q921" s="33" t="s">
        <v>587</v>
      </c>
      <c r="R921" s="125"/>
      <c r="S921" s="33" t="s">
        <v>278</v>
      </c>
      <c r="T921" s="125"/>
      <c r="U921" s="33" t="s">
        <v>278</v>
      </c>
      <c r="V921" s="125"/>
      <c r="W921" s="59" t="s">
        <v>548</v>
      </c>
      <c r="X921" s="33" t="str">
        <f>+VLOOKUP(OtherClients[[#This Row],[Part]],PartControl!$A$2:$E$564,5,FALSE)</f>
        <v>INFASCO</v>
      </c>
      <c r="Y921" s="108">
        <f>IF(OtherClients[[#This Row],[Re-certified or New]]&lt;&gt;"Re-certified",IF(OtherClients[[#This Row],[Client]]="infasco",VLOOKUP(OtherClients[[#This Row],[Part]],PartControl!$A$2:$E$564,2,FALSE),OtherClients[[#This Row],[Total Quantity]]*VLOOKUP(OtherClients[[#This Row],[Part]],PartControl!$A$2:$E$564,2,FALSE)),0)</f>
        <v>280.15999999999997</v>
      </c>
      <c r="Z921" s="108">
        <f>IF(OtherClients[[#This Row],[Re-certified or New]]&lt;&gt;"Re-certified",IF(OtherClients[[#This Row],[Client]]="infasco",VLOOKUP(OtherClients[[#This Row],[Part]],PartControl!$A$2:$E$564,2,FALSE),OtherClients[[#This Row],[Total Quantity]]*VLOOKUP(OtherClients[[#This Row],[Part]],PartControl!$A$2:$E$564,2,FALSE)),0)</f>
        <v>280.15999999999997</v>
      </c>
    </row>
    <row r="922" spans="1:26" ht="25.15" hidden="1" customHeight="1" x14ac:dyDescent="0.25">
      <c r="A922" s="112">
        <v>46248.661562499998</v>
      </c>
      <c r="B922" s="5" t="s">
        <v>343</v>
      </c>
      <c r="C922" s="5" t="s">
        <v>862</v>
      </c>
      <c r="D922" s="5">
        <v>715799</v>
      </c>
      <c r="E922" s="33">
        <v>6</v>
      </c>
      <c r="F922" s="60">
        <v>4500</v>
      </c>
      <c r="G922" s="60">
        <f>+OtherClients[[#This Row],[Boxes / Pieces]]*OtherClients[[#This Row],[Unit Quantity]]</f>
        <v>27000</v>
      </c>
      <c r="H922" s="60" t="s">
        <v>757</v>
      </c>
      <c r="I922" s="126" t="s">
        <v>278</v>
      </c>
      <c r="J922" s="127"/>
      <c r="K922" s="33" t="s">
        <v>278</v>
      </c>
      <c r="L922" s="125"/>
      <c r="M922" s="33" t="s">
        <v>278</v>
      </c>
      <c r="N922" s="125"/>
      <c r="O922" s="33" t="s">
        <v>278</v>
      </c>
      <c r="P922" s="125"/>
      <c r="Q922" s="33" t="s">
        <v>587</v>
      </c>
      <c r="R922" s="125"/>
      <c r="S922" s="33" t="s">
        <v>278</v>
      </c>
      <c r="T922" s="125"/>
      <c r="U922" s="33" t="s">
        <v>278</v>
      </c>
      <c r="V922" s="125"/>
      <c r="W922" s="59" t="s">
        <v>548</v>
      </c>
      <c r="X922" s="33" t="str">
        <f>+VLOOKUP(OtherClients[[#This Row],[Part]],PartControl!$A$2:$E$564,5,FALSE)</f>
        <v>infasco</v>
      </c>
      <c r="Y922" s="108">
        <f>IF(OtherClients[[#This Row],[Re-certified or New]]&lt;&gt;"Re-certified",IF(OtherClients[[#This Row],[Client]]="infasco",VLOOKUP(OtherClients[[#This Row],[Part]],PartControl!$A$2:$E$564,2,FALSE),OtherClients[[#This Row],[Total Quantity]]*VLOOKUP(OtherClients[[#This Row],[Part]],PartControl!$A$2:$E$564,2,FALSE)),0)</f>
        <v>106.94</v>
      </c>
      <c r="Z922" s="108">
        <f>IF(OtherClients[[#This Row],[Re-certified or New]]&lt;&gt;"Re-certified",IF(OtherClients[[#This Row],[Client]]="infasco",VLOOKUP(OtherClients[[#This Row],[Part]],PartControl!$A$2:$E$564,2,FALSE),OtherClients[[#This Row],[Total Quantity]]*VLOOKUP(OtherClients[[#This Row],[Part]],PartControl!$A$2:$E$564,2,FALSE)),0)</f>
        <v>106.94</v>
      </c>
    </row>
    <row r="923" spans="1:26" ht="25.15" hidden="1" customHeight="1" x14ac:dyDescent="0.25">
      <c r="A923" s="112">
        <v>46248.661562499998</v>
      </c>
      <c r="B923" s="5" t="s">
        <v>343</v>
      </c>
      <c r="C923" s="5" t="s">
        <v>795</v>
      </c>
      <c r="D923" s="5">
        <v>716096</v>
      </c>
      <c r="E923" s="33">
        <v>26</v>
      </c>
      <c r="F923" s="60">
        <v>800</v>
      </c>
      <c r="G923" s="60">
        <f>+OtherClients[[#This Row],[Boxes / Pieces]]*OtherClients[[#This Row],[Unit Quantity]]</f>
        <v>20800</v>
      </c>
      <c r="H923" s="60" t="s">
        <v>757</v>
      </c>
      <c r="I923" s="126" t="s">
        <v>278</v>
      </c>
      <c r="J923" s="127"/>
      <c r="K923" s="33" t="s">
        <v>278</v>
      </c>
      <c r="L923" s="125"/>
      <c r="M923" s="33" t="s">
        <v>278</v>
      </c>
      <c r="N923" s="125"/>
      <c r="O923" s="33" t="s">
        <v>278</v>
      </c>
      <c r="P923" s="125"/>
      <c r="Q923" s="33" t="s">
        <v>587</v>
      </c>
      <c r="R923" s="125"/>
      <c r="S923" s="33" t="s">
        <v>278</v>
      </c>
      <c r="T923" s="125"/>
      <c r="U923" s="33" t="s">
        <v>278</v>
      </c>
      <c r="V923" s="125"/>
      <c r="W923" s="59" t="s">
        <v>548</v>
      </c>
      <c r="X923" s="33" t="str">
        <f>+VLOOKUP(OtherClients[[#This Row],[Part]],PartControl!$A$2:$E$564,5,FALSE)</f>
        <v>infasco</v>
      </c>
      <c r="Y923" s="108">
        <f>IF(OtherClients[[#This Row],[Re-certified or New]]&lt;&gt;"Re-certified",IF(OtherClients[[#This Row],[Client]]="infasco",VLOOKUP(OtherClients[[#This Row],[Part]],PartControl!$A$2:$E$564,2,FALSE),OtherClients[[#This Row],[Total Quantity]]*VLOOKUP(OtherClients[[#This Row],[Part]],PartControl!$A$2:$E$564,2,FALSE)),0)</f>
        <v>280.16000000000003</v>
      </c>
      <c r="Z923" s="108">
        <f>IF(OtherClients[[#This Row],[Re-certified or New]]&lt;&gt;"Re-certified",IF(OtherClients[[#This Row],[Client]]="infasco",VLOOKUP(OtherClients[[#This Row],[Part]],PartControl!$A$2:$E$564,2,FALSE),OtherClients[[#This Row],[Total Quantity]]*VLOOKUP(OtherClients[[#This Row],[Part]],PartControl!$A$2:$E$564,2,FALSE)),0)</f>
        <v>280.16000000000003</v>
      </c>
    </row>
    <row r="924" spans="1:26" ht="25.15" hidden="1" customHeight="1" x14ac:dyDescent="0.25">
      <c r="A924" s="112">
        <v>46248.661562499998</v>
      </c>
      <c r="B924" s="5" t="s">
        <v>343</v>
      </c>
      <c r="C924" s="5" t="s">
        <v>878</v>
      </c>
      <c r="D924" s="5">
        <v>713790</v>
      </c>
      <c r="E924" s="33">
        <v>1</v>
      </c>
      <c r="F924" s="60">
        <v>11000</v>
      </c>
      <c r="G924" s="60">
        <f>+OtherClients[[#This Row],[Boxes / Pieces]]*OtherClients[[#This Row],[Unit Quantity]]</f>
        <v>11000</v>
      </c>
      <c r="H924" s="60" t="s">
        <v>757</v>
      </c>
      <c r="I924" s="126" t="s">
        <v>278</v>
      </c>
      <c r="J924" s="127"/>
      <c r="K924" s="33" t="s">
        <v>278</v>
      </c>
      <c r="L924" s="125"/>
      <c r="M924" s="33" t="s">
        <v>278</v>
      </c>
      <c r="N924" s="125"/>
      <c r="O924" s="33" t="s">
        <v>278</v>
      </c>
      <c r="P924" s="125"/>
      <c r="Q924" s="33" t="s">
        <v>587</v>
      </c>
      <c r="R924" s="125"/>
      <c r="S924" s="33" t="s">
        <v>278</v>
      </c>
      <c r="T924" s="125"/>
      <c r="U924" s="33" t="s">
        <v>278</v>
      </c>
      <c r="V924" s="125"/>
      <c r="W924" s="59" t="s">
        <v>548</v>
      </c>
      <c r="X924" s="33" t="e">
        <f>+VLOOKUP(OtherClients[[#This Row],[Part]],PartControl!$A$2:$E$564,5,FALSE)</f>
        <v>#N/A</v>
      </c>
      <c r="Y924" s="108" t="e">
        <f>IF(OtherClients[[#This Row],[Re-certified or New]]&lt;&gt;"Re-certified",IF(OtherClients[[#This Row],[Client]]="infasco",VLOOKUP(OtherClients[[#This Row],[Part]],PartControl!$A$2:$E$564,2,FALSE),OtherClients[[#This Row],[Total Quantity]]*VLOOKUP(OtherClients[[#This Row],[Part]],PartControl!$A$2:$E$564,2,FALSE)),0)</f>
        <v>#N/A</v>
      </c>
      <c r="Z924" s="108" t="e">
        <f>IF(OtherClients[[#This Row],[Re-certified or New]]&lt;&gt;"Re-certified",IF(OtherClients[[#This Row],[Client]]="infasco",VLOOKUP(OtherClients[[#This Row],[Part]],PartControl!$A$2:$E$564,2,FALSE),OtherClients[[#This Row],[Total Quantity]]*VLOOKUP(OtherClients[[#This Row],[Part]],PartControl!$A$2:$E$564,2,FALSE)),0)</f>
        <v>#N/A</v>
      </c>
    </row>
    <row r="925" spans="1:26" ht="25.15" hidden="1" customHeight="1" x14ac:dyDescent="0.25">
      <c r="A925" s="112">
        <v>46248.661562499998</v>
      </c>
      <c r="B925" s="5" t="s">
        <v>343</v>
      </c>
      <c r="C925" s="5" t="s">
        <v>878</v>
      </c>
      <c r="D925" s="5">
        <v>713306</v>
      </c>
      <c r="E925" s="33">
        <v>1</v>
      </c>
      <c r="F925" s="60">
        <v>11000</v>
      </c>
      <c r="G925" s="60">
        <f>+OtherClients[[#This Row],[Boxes / Pieces]]*OtherClients[[#This Row],[Unit Quantity]]</f>
        <v>11000</v>
      </c>
      <c r="H925" s="60" t="s">
        <v>757</v>
      </c>
      <c r="I925" s="126" t="s">
        <v>278</v>
      </c>
      <c r="J925" s="127"/>
      <c r="K925" s="33" t="s">
        <v>278</v>
      </c>
      <c r="L925" s="125"/>
      <c r="M925" s="33" t="s">
        <v>278</v>
      </c>
      <c r="N925" s="125"/>
      <c r="O925" s="33" t="s">
        <v>278</v>
      </c>
      <c r="P925" s="125"/>
      <c r="Q925" s="33" t="s">
        <v>587</v>
      </c>
      <c r="R925" s="125"/>
      <c r="S925" s="33" t="s">
        <v>278</v>
      </c>
      <c r="T925" s="125"/>
      <c r="U925" s="33" t="s">
        <v>278</v>
      </c>
      <c r="V925" s="125"/>
      <c r="W925" s="59" t="s">
        <v>548</v>
      </c>
      <c r="X925" s="33" t="e">
        <f>+VLOOKUP(OtherClients[[#This Row],[Part]],PartControl!$A$2:$E$564,5,FALSE)</f>
        <v>#N/A</v>
      </c>
      <c r="Y925" s="108" t="e">
        <f>IF(OtherClients[[#This Row],[Re-certified or New]]&lt;&gt;"Re-certified",IF(OtherClients[[#This Row],[Client]]="infasco",VLOOKUP(OtherClients[[#This Row],[Part]],PartControl!$A$2:$E$564,2,FALSE),OtherClients[[#This Row],[Total Quantity]]*VLOOKUP(OtherClients[[#This Row],[Part]],PartControl!$A$2:$E$564,2,FALSE)),0)</f>
        <v>#N/A</v>
      </c>
      <c r="Z925" s="108" t="e">
        <f>IF(OtherClients[[#This Row],[Re-certified or New]]&lt;&gt;"Re-certified",IF(OtherClients[[#This Row],[Client]]="infasco",VLOOKUP(OtherClients[[#This Row],[Part]],PartControl!$A$2:$E$564,2,FALSE),OtherClients[[#This Row],[Total Quantity]]*VLOOKUP(OtherClients[[#This Row],[Part]],PartControl!$A$2:$E$564,2,FALSE)),0)</f>
        <v>#N/A</v>
      </c>
    </row>
    <row r="926" spans="1:26" ht="25.15" hidden="1" customHeight="1" x14ac:dyDescent="0.25">
      <c r="A926" s="112">
        <v>46248.661562499998</v>
      </c>
      <c r="B926" s="5" t="s">
        <v>343</v>
      </c>
      <c r="C926" s="5">
        <v>11610126</v>
      </c>
      <c r="D926" s="5">
        <v>715789</v>
      </c>
      <c r="E926" s="33">
        <v>30</v>
      </c>
      <c r="F926" s="60">
        <v>1200</v>
      </c>
      <c r="G926" s="60">
        <f>+OtherClients[[#This Row],[Boxes / Pieces]]*OtherClients[[#This Row],[Unit Quantity]]</f>
        <v>36000</v>
      </c>
      <c r="H926" s="60" t="s">
        <v>757</v>
      </c>
      <c r="I926" s="126" t="s">
        <v>278</v>
      </c>
      <c r="J926" s="127"/>
      <c r="K926" s="33" t="s">
        <v>278</v>
      </c>
      <c r="L926" s="125"/>
      <c r="M926" s="33" t="s">
        <v>278</v>
      </c>
      <c r="N926" s="125"/>
      <c r="O926" s="33" t="s">
        <v>278</v>
      </c>
      <c r="P926" s="125"/>
      <c r="Q926" s="33" t="s">
        <v>587</v>
      </c>
      <c r="R926" s="125"/>
      <c r="S926" s="33" t="s">
        <v>278</v>
      </c>
      <c r="T926" s="125"/>
      <c r="U926" s="33" t="s">
        <v>278</v>
      </c>
      <c r="V926" s="125"/>
      <c r="W926" s="59" t="s">
        <v>548</v>
      </c>
      <c r="X926" s="33" t="str">
        <f>+VLOOKUP(OtherClients[[#This Row],[Part]],PartControl!$A$2:$E$564,5,FALSE)</f>
        <v>infasco</v>
      </c>
      <c r="Y926" s="108">
        <f>IF(OtherClients[[#This Row],[Re-certified or New]]&lt;&gt;"Re-certified",IF(OtherClients[[#This Row],[Client]]="infasco",VLOOKUP(OtherClients[[#This Row],[Part]],PartControl!$A$2:$E$564,2,FALSE),OtherClients[[#This Row],[Total Quantity]]*VLOOKUP(OtherClients[[#This Row],[Part]],PartControl!$A$2:$E$564,2,FALSE)),0)</f>
        <v>106.94</v>
      </c>
      <c r="Z926" s="108">
        <f>IF(OtherClients[[#This Row],[Re-certified or New]]&lt;&gt;"Re-certified",IF(OtherClients[[#This Row],[Client]]="infasco",VLOOKUP(OtherClients[[#This Row],[Part]],PartControl!$A$2:$E$564,2,FALSE),OtherClients[[#This Row],[Total Quantity]]*VLOOKUP(OtherClients[[#This Row],[Part]],PartControl!$A$2:$E$564,2,FALSE)),0)</f>
        <v>106.94</v>
      </c>
    </row>
    <row r="927" spans="1:26" ht="25.15" hidden="1" customHeight="1" x14ac:dyDescent="0.25">
      <c r="A927" s="112">
        <v>46248.661562499998</v>
      </c>
      <c r="B927" s="5" t="s">
        <v>344</v>
      </c>
      <c r="C927" s="5" t="s">
        <v>795</v>
      </c>
      <c r="D927" s="5">
        <v>716099</v>
      </c>
      <c r="E927" s="33">
        <v>14</v>
      </c>
      <c r="F927" s="60">
        <v>800</v>
      </c>
      <c r="G927" s="60">
        <f>+OtherClients[[#This Row],[Boxes / Pieces]]*OtherClients[[#This Row],[Unit Quantity]]</f>
        <v>11200</v>
      </c>
      <c r="H927" s="60" t="s">
        <v>816</v>
      </c>
      <c r="I927" s="126" t="s">
        <v>278</v>
      </c>
      <c r="J927" s="127"/>
      <c r="K927" s="33" t="s">
        <v>278</v>
      </c>
      <c r="L927" s="125"/>
      <c r="M927" s="33" t="s">
        <v>278</v>
      </c>
      <c r="N927" s="125"/>
      <c r="O927" s="33" t="s">
        <v>278</v>
      </c>
      <c r="P927" s="125"/>
      <c r="Q927" s="33" t="s">
        <v>587</v>
      </c>
      <c r="R927" s="125"/>
      <c r="S927" s="33" t="s">
        <v>278</v>
      </c>
      <c r="T927" s="125"/>
      <c r="U927" s="33" t="s">
        <v>278</v>
      </c>
      <c r="V927" s="125"/>
      <c r="W927" s="128"/>
      <c r="X927" s="33" t="str">
        <f>+VLOOKUP(OtherClients[[#This Row],[Part]],PartControl!$A$2:$E$564,5,FALSE)</f>
        <v>infasco</v>
      </c>
      <c r="Y927" s="108">
        <f>IF(OtherClients[[#This Row],[Re-certified or New]]&lt;&gt;"Re-certified",IF(OtherClients[[#This Row],[Client]]="infasco",VLOOKUP(OtherClients[[#This Row],[Part]],PartControl!$A$2:$E$564,2,FALSE),OtherClients[[#This Row],[Total Quantity]]*VLOOKUP(OtherClients[[#This Row],[Part]],PartControl!$A$2:$E$564,2,FALSE)),0)</f>
        <v>280.16000000000003</v>
      </c>
      <c r="Z927" s="108">
        <f>IF(OtherClients[[#This Row],[Re-certified or New]]&lt;&gt;"Re-certified",IF(OtherClients[[#This Row],[Client]]="infasco",VLOOKUP(OtherClients[[#This Row],[Part]],PartControl!$A$2:$E$564,2,FALSE),OtherClients[[#This Row],[Total Quantity]]*VLOOKUP(OtherClients[[#This Row],[Part]],PartControl!$A$2:$E$564,2,FALSE)),0)</f>
        <v>280.16000000000003</v>
      </c>
    </row>
    <row r="928" spans="1:26" ht="25.15" hidden="1" customHeight="1" x14ac:dyDescent="0.25">
      <c r="A928" s="112">
        <v>46248.661562499998</v>
      </c>
      <c r="B928" s="5" t="s">
        <v>344</v>
      </c>
      <c r="C928" s="5" t="s">
        <v>878</v>
      </c>
      <c r="D928" s="5">
        <v>713305</v>
      </c>
      <c r="E928" s="33">
        <v>1</v>
      </c>
      <c r="F928" s="60">
        <v>11000</v>
      </c>
      <c r="G928" s="60">
        <f>+OtherClients[[#This Row],[Boxes / Pieces]]*OtherClients[[#This Row],[Unit Quantity]]</f>
        <v>11000</v>
      </c>
      <c r="H928" s="60" t="s">
        <v>816</v>
      </c>
      <c r="I928" s="126" t="s">
        <v>278</v>
      </c>
      <c r="J928" s="127"/>
      <c r="K928" s="33" t="s">
        <v>278</v>
      </c>
      <c r="L928" s="125"/>
      <c r="M928" s="33" t="s">
        <v>278</v>
      </c>
      <c r="N928" s="125"/>
      <c r="O928" s="33" t="s">
        <v>278</v>
      </c>
      <c r="P928" s="125"/>
      <c r="Q928" s="33" t="s">
        <v>587</v>
      </c>
      <c r="R928" s="125"/>
      <c r="S928" s="33" t="s">
        <v>278</v>
      </c>
      <c r="T928" s="125"/>
      <c r="U928" s="33" t="s">
        <v>278</v>
      </c>
      <c r="V928" s="125"/>
      <c r="W928" s="59" t="s">
        <v>548</v>
      </c>
      <c r="X928" s="33" t="e">
        <f>+VLOOKUP(OtherClients[[#This Row],[Part]],PartControl!$A$2:$E$564,5,FALSE)</f>
        <v>#N/A</v>
      </c>
      <c r="Y928" s="108" t="e">
        <f>IF(OtherClients[[#This Row],[Re-certified or New]]&lt;&gt;"Re-certified",IF(OtherClients[[#This Row],[Client]]="infasco",VLOOKUP(OtherClients[[#This Row],[Part]],PartControl!$A$2:$E$564,2,FALSE),OtherClients[[#This Row],[Total Quantity]]*VLOOKUP(OtherClients[[#This Row],[Part]],PartControl!$A$2:$E$564,2,FALSE)),0)</f>
        <v>#N/A</v>
      </c>
      <c r="Z928" s="108" t="e">
        <f>IF(OtherClients[[#This Row],[Re-certified or New]]&lt;&gt;"Re-certified",IF(OtherClients[[#This Row],[Client]]="infasco",VLOOKUP(OtherClients[[#This Row],[Part]],PartControl!$A$2:$E$564,2,FALSE),OtherClients[[#This Row],[Total Quantity]]*VLOOKUP(OtherClients[[#This Row],[Part]],PartControl!$A$2:$E$564,2,FALSE)),0)</f>
        <v>#N/A</v>
      </c>
    </row>
    <row r="929" spans="1:26" ht="25.15" hidden="1" customHeight="1" x14ac:dyDescent="0.25">
      <c r="A929" s="112">
        <v>46248.661562499998</v>
      </c>
      <c r="B929" s="5" t="s">
        <v>344</v>
      </c>
      <c r="C929" s="5" t="s">
        <v>878</v>
      </c>
      <c r="D929" s="5">
        <v>713309</v>
      </c>
      <c r="E929" s="33">
        <v>1</v>
      </c>
      <c r="F929" s="60">
        <v>16820</v>
      </c>
      <c r="G929" s="60">
        <f>+OtherClients[[#This Row],[Boxes / Pieces]]*OtherClients[[#This Row],[Unit Quantity]]</f>
        <v>16820</v>
      </c>
      <c r="H929" s="60" t="s">
        <v>816</v>
      </c>
      <c r="I929" s="126" t="s">
        <v>278</v>
      </c>
      <c r="J929" s="127"/>
      <c r="K929" s="33" t="s">
        <v>278</v>
      </c>
      <c r="L929" s="125"/>
      <c r="M929" s="33" t="s">
        <v>278</v>
      </c>
      <c r="N929" s="125"/>
      <c r="O929" s="33" t="s">
        <v>278</v>
      </c>
      <c r="P929" s="125"/>
      <c r="Q929" s="33" t="s">
        <v>587</v>
      </c>
      <c r="R929" s="125"/>
      <c r="S929" s="33" t="s">
        <v>278</v>
      </c>
      <c r="T929" s="125"/>
      <c r="U929" s="33" t="s">
        <v>278</v>
      </c>
      <c r="V929" s="125"/>
      <c r="W929" s="59" t="s">
        <v>548</v>
      </c>
      <c r="X929" s="33" t="e">
        <f>+VLOOKUP(OtherClients[[#This Row],[Part]],PartControl!$A$2:$E$564,5,FALSE)</f>
        <v>#N/A</v>
      </c>
      <c r="Y929" s="108" t="e">
        <f>IF(OtherClients[[#This Row],[Re-certified or New]]&lt;&gt;"Re-certified",IF(OtherClients[[#This Row],[Client]]="infasco",VLOOKUP(OtherClients[[#This Row],[Part]],PartControl!$A$2:$E$564,2,FALSE),OtherClients[[#This Row],[Total Quantity]]*VLOOKUP(OtherClients[[#This Row],[Part]],PartControl!$A$2:$E$564,2,FALSE)),0)</f>
        <v>#N/A</v>
      </c>
      <c r="Z929" s="108" t="e">
        <f>IF(OtherClients[[#This Row],[Re-certified or New]]&lt;&gt;"Re-certified",IF(OtherClients[[#This Row],[Client]]="infasco",VLOOKUP(OtherClients[[#This Row],[Part]],PartControl!$A$2:$E$564,2,FALSE),OtherClients[[#This Row],[Total Quantity]]*VLOOKUP(OtherClients[[#This Row],[Part]],PartControl!$A$2:$E$564,2,FALSE)),0)</f>
        <v>#N/A</v>
      </c>
    </row>
    <row r="930" spans="1:26" ht="25.15" hidden="1" customHeight="1" x14ac:dyDescent="0.25">
      <c r="A930" s="112">
        <v>46248.661562499998</v>
      </c>
      <c r="B930" s="5" t="s">
        <v>344</v>
      </c>
      <c r="C930" s="5" t="s">
        <v>349</v>
      </c>
      <c r="D930" s="5">
        <v>715801</v>
      </c>
      <c r="E930" s="33">
        <v>36</v>
      </c>
      <c r="F930" s="60">
        <v>1900</v>
      </c>
      <c r="G930" s="60">
        <f>+OtherClients[[#This Row],[Boxes / Pieces]]*OtherClients[[#This Row],[Unit Quantity]]</f>
        <v>68400</v>
      </c>
      <c r="H930" s="60" t="s">
        <v>816</v>
      </c>
      <c r="I930" s="126" t="s">
        <v>278</v>
      </c>
      <c r="J930" s="127"/>
      <c r="K930" s="33" t="s">
        <v>278</v>
      </c>
      <c r="L930" s="125"/>
      <c r="M930" s="33" t="s">
        <v>278</v>
      </c>
      <c r="N930" s="125"/>
      <c r="O930" s="33" t="s">
        <v>278</v>
      </c>
      <c r="P930" s="125"/>
      <c r="Q930" s="33" t="s">
        <v>587</v>
      </c>
      <c r="R930" s="125"/>
      <c r="S930" s="33" t="s">
        <v>278</v>
      </c>
      <c r="T930" s="125"/>
      <c r="U930" s="33" t="s">
        <v>278</v>
      </c>
      <c r="V930" s="125"/>
      <c r="W930" s="59" t="s">
        <v>548</v>
      </c>
      <c r="X930" s="33" t="str">
        <f>+VLOOKUP(OtherClients[[#This Row],[Part]],PartControl!$A$2:$E$564,5,FALSE)</f>
        <v>infasco</v>
      </c>
      <c r="Y930" s="108">
        <f>IF(OtherClients[[#This Row],[Re-certified or New]]&lt;&gt;"Re-certified",IF(OtherClients[[#This Row],[Client]]="infasco",VLOOKUP(OtherClients[[#This Row],[Part]],PartControl!$A$2:$E$564,2,FALSE),OtherClients[[#This Row],[Total Quantity]]*VLOOKUP(OtherClients[[#This Row],[Part]],PartControl!$A$2:$E$564,2,FALSE)),0)</f>
        <v>106.94</v>
      </c>
      <c r="Z930" s="108">
        <f>IF(OtherClients[[#This Row],[Re-certified or New]]&lt;&gt;"Re-certified",IF(OtherClients[[#This Row],[Client]]="infasco",VLOOKUP(OtherClients[[#This Row],[Part]],PartControl!$A$2:$E$564,2,FALSE),OtherClients[[#This Row],[Total Quantity]]*VLOOKUP(OtherClients[[#This Row],[Part]],PartControl!$A$2:$E$564,2,FALSE)),0)</f>
        <v>106.94</v>
      </c>
    </row>
    <row r="931" spans="1:26" ht="25.15" hidden="1" customHeight="1" x14ac:dyDescent="0.25">
      <c r="A931" s="112">
        <v>46248.661562499998</v>
      </c>
      <c r="B931" s="5" t="s">
        <v>344</v>
      </c>
      <c r="C931" s="5">
        <v>11546449</v>
      </c>
      <c r="D931" s="5">
        <v>715753</v>
      </c>
      <c r="E931" s="33">
        <v>37</v>
      </c>
      <c r="F931" s="60">
        <v>2500</v>
      </c>
      <c r="G931" s="60">
        <f>+OtherClients[[#This Row],[Boxes / Pieces]]*OtherClients[[#This Row],[Unit Quantity]]</f>
        <v>92500</v>
      </c>
      <c r="H931" s="60" t="s">
        <v>816</v>
      </c>
      <c r="I931" s="126" t="s">
        <v>278</v>
      </c>
      <c r="J931" s="127"/>
      <c r="K931" s="33" t="s">
        <v>278</v>
      </c>
      <c r="L931" s="125"/>
      <c r="M931" s="33" t="s">
        <v>278</v>
      </c>
      <c r="N931" s="125"/>
      <c r="O931" s="33" t="s">
        <v>278</v>
      </c>
      <c r="P931" s="125"/>
      <c r="Q931" s="33" t="s">
        <v>587</v>
      </c>
      <c r="R931" s="125"/>
      <c r="S931" s="33" t="s">
        <v>278</v>
      </c>
      <c r="T931" s="125"/>
      <c r="U931" s="33" t="s">
        <v>278</v>
      </c>
      <c r="V931" s="125"/>
      <c r="W931" s="59" t="s">
        <v>548</v>
      </c>
      <c r="X931" s="33" t="str">
        <f>+VLOOKUP(OtherClients[[#This Row],[Part]],PartControl!$A$2:$E$564,5,FALSE)</f>
        <v>INFASCO</v>
      </c>
      <c r="Y931" s="108">
        <f>IF(OtherClients[[#This Row],[Re-certified or New]]&lt;&gt;"Re-certified",IF(OtherClients[[#This Row],[Client]]="infasco",VLOOKUP(OtherClients[[#This Row],[Part]],PartControl!$A$2:$E$564,2,FALSE),OtherClients[[#This Row],[Total Quantity]]*VLOOKUP(OtherClients[[#This Row],[Part]],PartControl!$A$2:$E$564,2,FALSE)),0)</f>
        <v>106.94</v>
      </c>
      <c r="Z931" s="108">
        <f>IF(OtherClients[[#This Row],[Re-certified or New]]&lt;&gt;"Re-certified",IF(OtherClients[[#This Row],[Client]]="infasco",VLOOKUP(OtherClients[[#This Row],[Part]],PartControl!$A$2:$E$564,2,FALSE),OtherClients[[#This Row],[Total Quantity]]*VLOOKUP(OtherClients[[#This Row],[Part]],PartControl!$A$2:$E$564,2,FALSE)),0)</f>
        <v>106.94</v>
      </c>
    </row>
    <row r="932" spans="1:26" ht="25.15" hidden="1" customHeight="1" x14ac:dyDescent="0.25">
      <c r="A932" s="112">
        <v>46248.661562499998</v>
      </c>
      <c r="B932" s="5" t="s">
        <v>344</v>
      </c>
      <c r="C932" s="5" t="s">
        <v>843</v>
      </c>
      <c r="D932" s="5">
        <v>714682</v>
      </c>
      <c r="E932" s="33">
        <v>36</v>
      </c>
      <c r="F932" s="60">
        <v>220</v>
      </c>
      <c r="G932" s="60">
        <f>+OtherClients[[#This Row],[Boxes / Pieces]]*OtherClients[[#This Row],[Unit Quantity]]</f>
        <v>7920</v>
      </c>
      <c r="H932" s="60" t="s">
        <v>816</v>
      </c>
      <c r="I932" s="126" t="s">
        <v>278</v>
      </c>
      <c r="J932" s="127"/>
      <c r="K932" s="33" t="s">
        <v>278</v>
      </c>
      <c r="L932" s="125"/>
      <c r="M932" s="33" t="s">
        <v>278</v>
      </c>
      <c r="N932" s="125"/>
      <c r="O932" s="33" t="s">
        <v>278</v>
      </c>
      <c r="P932" s="125"/>
      <c r="Q932" s="33" t="s">
        <v>587</v>
      </c>
      <c r="R932" s="125"/>
      <c r="S932" s="33" t="s">
        <v>278</v>
      </c>
      <c r="T932" s="125"/>
      <c r="U932" s="33" t="s">
        <v>278</v>
      </c>
      <c r="V932" s="125"/>
      <c r="W932" s="59" t="s">
        <v>548</v>
      </c>
      <c r="X932" s="33" t="str">
        <f>+VLOOKUP(OtherClients[[#This Row],[Part]],PartControl!$A$2:$E$564,5,FALSE)</f>
        <v>infasco</v>
      </c>
      <c r="Y932" s="108">
        <f>IF(OtherClients[[#This Row],[Re-certified or New]]&lt;&gt;"Re-certified",IF(OtherClients[[#This Row],[Client]]="infasco",VLOOKUP(OtherClients[[#This Row],[Part]],PartControl!$A$2:$E$564,2,FALSE),OtherClients[[#This Row],[Total Quantity]]*VLOOKUP(OtherClients[[#This Row],[Part]],PartControl!$A$2:$E$564,2,FALSE)),0)</f>
        <v>106.94</v>
      </c>
      <c r="Z932" s="108">
        <f>IF(OtherClients[[#This Row],[Re-certified or New]]&lt;&gt;"Re-certified",IF(OtherClients[[#This Row],[Client]]="infasco",VLOOKUP(OtherClients[[#This Row],[Part]],PartControl!$A$2:$E$564,2,FALSE),OtherClients[[#This Row],[Total Quantity]]*VLOOKUP(OtherClients[[#This Row],[Part]],PartControl!$A$2:$E$564,2,FALSE)),0)</f>
        <v>106.94</v>
      </c>
    </row>
    <row r="933" spans="1:26" ht="25.15" hidden="1" customHeight="1" x14ac:dyDescent="0.25">
      <c r="A933" s="112">
        <v>46248.661562499998</v>
      </c>
      <c r="B933" s="5" t="s">
        <v>344</v>
      </c>
      <c r="C933" s="5" t="s">
        <v>843</v>
      </c>
      <c r="D933" s="5">
        <v>714688</v>
      </c>
      <c r="E933" s="33">
        <v>36</v>
      </c>
      <c r="F933" s="60">
        <v>220</v>
      </c>
      <c r="G933" s="60">
        <f>+OtherClients[[#This Row],[Boxes / Pieces]]*OtherClients[[#This Row],[Unit Quantity]]</f>
        <v>7920</v>
      </c>
      <c r="H933" s="60" t="s">
        <v>816</v>
      </c>
      <c r="I933" s="126" t="s">
        <v>278</v>
      </c>
      <c r="J933" s="127"/>
      <c r="K933" s="33" t="s">
        <v>278</v>
      </c>
      <c r="L933" s="125"/>
      <c r="M933" s="33" t="s">
        <v>278</v>
      </c>
      <c r="N933" s="125"/>
      <c r="O933" s="33" t="s">
        <v>278</v>
      </c>
      <c r="P933" s="125"/>
      <c r="Q933" s="33" t="s">
        <v>587</v>
      </c>
      <c r="R933" s="125"/>
      <c r="S933" s="33" t="s">
        <v>278</v>
      </c>
      <c r="T933" s="125"/>
      <c r="U933" s="33" t="s">
        <v>278</v>
      </c>
      <c r="V933" s="125"/>
      <c r="W933" s="59" t="s">
        <v>548</v>
      </c>
      <c r="X933" s="33" t="str">
        <f>+VLOOKUP(OtherClients[[#This Row],[Part]],PartControl!$A$2:$E$564,5,FALSE)</f>
        <v>infasco</v>
      </c>
      <c r="Y933" s="108">
        <f>IF(OtherClients[[#This Row],[Re-certified or New]]&lt;&gt;"Re-certified",IF(OtherClients[[#This Row],[Client]]="infasco",VLOOKUP(OtherClients[[#This Row],[Part]],PartControl!$A$2:$E$564,2,FALSE),OtherClients[[#This Row],[Total Quantity]]*VLOOKUP(OtherClients[[#This Row],[Part]],PartControl!$A$2:$E$564,2,FALSE)),0)</f>
        <v>106.94</v>
      </c>
      <c r="Z933" s="108">
        <f>IF(OtherClients[[#This Row],[Re-certified or New]]&lt;&gt;"Re-certified",IF(OtherClients[[#This Row],[Client]]="infasco",VLOOKUP(OtherClients[[#This Row],[Part]],PartControl!$A$2:$E$564,2,FALSE),OtherClients[[#This Row],[Total Quantity]]*VLOOKUP(OtherClients[[#This Row],[Part]],PartControl!$A$2:$E$564,2,FALSE)),0)</f>
        <v>106.94</v>
      </c>
    </row>
    <row r="934" spans="1:26" ht="25.15" hidden="1" customHeight="1" x14ac:dyDescent="0.25">
      <c r="A934" s="112">
        <v>46248.661562499998</v>
      </c>
      <c r="B934" s="5" t="s">
        <v>344</v>
      </c>
      <c r="C934" s="5" t="s">
        <v>843</v>
      </c>
      <c r="D934" s="5">
        <v>714687</v>
      </c>
      <c r="E934" s="33">
        <v>28</v>
      </c>
      <c r="F934" s="60">
        <v>220</v>
      </c>
      <c r="G934" s="60">
        <f>+OtherClients[[#This Row],[Boxes / Pieces]]*OtherClients[[#This Row],[Unit Quantity]]</f>
        <v>6160</v>
      </c>
      <c r="H934" s="60" t="s">
        <v>816</v>
      </c>
      <c r="I934" s="126" t="s">
        <v>278</v>
      </c>
      <c r="J934" s="127"/>
      <c r="K934" s="33" t="s">
        <v>278</v>
      </c>
      <c r="L934" s="125"/>
      <c r="M934" s="33" t="s">
        <v>278</v>
      </c>
      <c r="N934" s="125"/>
      <c r="O934" s="33" t="s">
        <v>278</v>
      </c>
      <c r="P934" s="125"/>
      <c r="Q934" s="33" t="s">
        <v>587</v>
      </c>
      <c r="R934" s="125"/>
      <c r="S934" s="33" t="s">
        <v>278</v>
      </c>
      <c r="T934" s="125"/>
      <c r="U934" s="33" t="s">
        <v>278</v>
      </c>
      <c r="V934" s="125"/>
      <c r="W934" s="59" t="s">
        <v>548</v>
      </c>
      <c r="X934" s="33" t="str">
        <f>+VLOOKUP(OtherClients[[#This Row],[Part]],PartControl!$A$2:$E$564,5,FALSE)</f>
        <v>infasco</v>
      </c>
      <c r="Y934" s="108">
        <f>IF(OtherClients[[#This Row],[Re-certified or New]]&lt;&gt;"Re-certified",IF(OtherClients[[#This Row],[Client]]="infasco",VLOOKUP(OtherClients[[#This Row],[Part]],PartControl!$A$2:$E$564,2,FALSE),OtherClients[[#This Row],[Total Quantity]]*VLOOKUP(OtherClients[[#This Row],[Part]],PartControl!$A$2:$E$564,2,FALSE)),0)</f>
        <v>106.94</v>
      </c>
      <c r="Z934" s="108">
        <f>IF(OtherClients[[#This Row],[Re-certified or New]]&lt;&gt;"Re-certified",IF(OtherClients[[#This Row],[Client]]="infasco",VLOOKUP(OtherClients[[#This Row],[Part]],PartControl!$A$2:$E$564,2,FALSE),OtherClients[[#This Row],[Total Quantity]]*VLOOKUP(OtherClients[[#This Row],[Part]],PartControl!$A$2:$E$564,2,FALSE)),0)</f>
        <v>106.94</v>
      </c>
    </row>
    <row r="935" spans="1:26" ht="25.15" hidden="1" customHeight="1" x14ac:dyDescent="0.25">
      <c r="A935" s="112">
        <v>46248.661562499998</v>
      </c>
      <c r="B935" s="5" t="s">
        <v>344</v>
      </c>
      <c r="C935" s="5">
        <v>82246</v>
      </c>
      <c r="D935" s="5">
        <v>716666</v>
      </c>
      <c r="E935" s="33">
        <v>31</v>
      </c>
      <c r="F935" s="60">
        <v>250</v>
      </c>
      <c r="G935" s="60">
        <f>+OtherClients[[#This Row],[Boxes / Pieces]]*OtherClients[[#This Row],[Unit Quantity]]</f>
        <v>7750</v>
      </c>
      <c r="H935" s="60" t="s">
        <v>816</v>
      </c>
      <c r="I935" s="126" t="s">
        <v>278</v>
      </c>
      <c r="J935" s="127"/>
      <c r="K935" s="33" t="s">
        <v>278</v>
      </c>
      <c r="L935" s="125"/>
      <c r="M935" s="33" t="s">
        <v>278</v>
      </c>
      <c r="N935" s="125"/>
      <c r="O935" s="33" t="s">
        <v>278</v>
      </c>
      <c r="P935" s="125"/>
      <c r="Q935" s="33" t="s">
        <v>587</v>
      </c>
      <c r="R935" s="125"/>
      <c r="S935" s="33" t="s">
        <v>278</v>
      </c>
      <c r="T935" s="125"/>
      <c r="U935" s="33" t="s">
        <v>278</v>
      </c>
      <c r="V935" s="125"/>
      <c r="W935" s="59" t="s">
        <v>548</v>
      </c>
      <c r="X935" s="33" t="str">
        <f>+VLOOKUP(OtherClients[[#This Row],[Part]],PartControl!$A$2:$E$564,5,FALSE)</f>
        <v>INFASCO</v>
      </c>
      <c r="Y935" s="108">
        <f>IF(OtherClients[[#This Row],[Re-certified or New]]&lt;&gt;"Re-certified",IF(OtherClients[[#This Row],[Client]]="infasco",VLOOKUP(OtherClients[[#This Row],[Part]],PartControl!$A$2:$E$564,2,FALSE),OtherClients[[#This Row],[Total Quantity]]*VLOOKUP(OtherClients[[#This Row],[Part]],PartControl!$A$2:$E$564,2,FALSE)),0)</f>
        <v>280.15999999999997</v>
      </c>
      <c r="Z935" s="108">
        <f>IF(OtherClients[[#This Row],[Re-certified or New]]&lt;&gt;"Re-certified",IF(OtherClients[[#This Row],[Client]]="infasco",VLOOKUP(OtherClients[[#This Row],[Part]],PartControl!$A$2:$E$564,2,FALSE),OtherClients[[#This Row],[Total Quantity]]*VLOOKUP(OtherClients[[#This Row],[Part]],PartControl!$A$2:$E$564,2,FALSE)),0)</f>
        <v>280.15999999999997</v>
      </c>
    </row>
    <row r="936" spans="1:26" ht="25.15" hidden="1" customHeight="1" x14ac:dyDescent="0.25">
      <c r="A936" s="112">
        <v>46248.661562499998</v>
      </c>
      <c r="B936" s="5" t="s">
        <v>345</v>
      </c>
      <c r="C936" s="5">
        <v>11609746</v>
      </c>
      <c r="D936" s="5">
        <v>714016</v>
      </c>
      <c r="E936" s="33">
        <v>29</v>
      </c>
      <c r="F936" s="60">
        <v>2200</v>
      </c>
      <c r="G936" s="60">
        <f>+OtherClients[[#This Row],[Boxes / Pieces]]*OtherClients[[#This Row],[Unit Quantity]]</f>
        <v>63800</v>
      </c>
      <c r="H936" s="60" t="s">
        <v>849</v>
      </c>
      <c r="I936" s="126" t="s">
        <v>278</v>
      </c>
      <c r="J936" s="127"/>
      <c r="K936" s="33" t="s">
        <v>278</v>
      </c>
      <c r="L936" s="125"/>
      <c r="M936" s="33" t="s">
        <v>278</v>
      </c>
      <c r="N936" s="125"/>
      <c r="O936" s="33" t="s">
        <v>278</v>
      </c>
      <c r="P936" s="125"/>
      <c r="Q936" s="33" t="s">
        <v>587</v>
      </c>
      <c r="R936" s="125"/>
      <c r="S936" s="33" t="s">
        <v>278</v>
      </c>
      <c r="T936" s="125"/>
      <c r="U936" s="33" t="s">
        <v>278</v>
      </c>
      <c r="V936" s="125"/>
      <c r="W936" s="59" t="s">
        <v>548</v>
      </c>
      <c r="X936" s="33" t="str">
        <f>+VLOOKUP(OtherClients[[#This Row],[Part]],PartControl!$A$2:$E$564,5,FALSE)</f>
        <v>infasco</v>
      </c>
      <c r="Y936" s="108">
        <f>IF(OtherClients[[#This Row],[Re-certified or New]]&lt;&gt;"Re-certified",IF(OtherClients[[#This Row],[Client]]="infasco",VLOOKUP(OtherClients[[#This Row],[Part]],PartControl!$A$2:$E$564,2,FALSE),OtherClients[[#This Row],[Total Quantity]]*VLOOKUP(OtherClients[[#This Row],[Part]],PartControl!$A$2:$E$564,2,FALSE)),0)</f>
        <v>106.94</v>
      </c>
      <c r="Z936" s="108">
        <f>IF(OtherClients[[#This Row],[Re-certified or New]]&lt;&gt;"Re-certified",IF(OtherClients[[#This Row],[Client]]="infasco",VLOOKUP(OtherClients[[#This Row],[Part]],PartControl!$A$2:$E$564,2,FALSE),OtherClients[[#This Row],[Total Quantity]]*VLOOKUP(OtherClients[[#This Row],[Part]],PartControl!$A$2:$E$564,2,FALSE)),0)</f>
        <v>106.94</v>
      </c>
    </row>
    <row r="937" spans="1:26" ht="25.15" hidden="1" customHeight="1" x14ac:dyDescent="0.25">
      <c r="A937" s="112">
        <v>46248.661562499998</v>
      </c>
      <c r="B937" s="5" t="s">
        <v>345</v>
      </c>
      <c r="C937" s="5" t="s">
        <v>809</v>
      </c>
      <c r="D937" s="5">
        <v>713236</v>
      </c>
      <c r="E937" s="33">
        <v>43</v>
      </c>
      <c r="F937" s="60">
        <v>450</v>
      </c>
      <c r="G937" s="60">
        <f>+OtherClients[[#This Row],[Boxes / Pieces]]*OtherClients[[#This Row],[Unit Quantity]]</f>
        <v>19350</v>
      </c>
      <c r="H937" s="60" t="s">
        <v>849</v>
      </c>
      <c r="I937" s="126" t="s">
        <v>278</v>
      </c>
      <c r="J937" s="127"/>
      <c r="K937" s="33" t="s">
        <v>278</v>
      </c>
      <c r="L937" s="125"/>
      <c r="M937" s="33" t="s">
        <v>278</v>
      </c>
      <c r="N937" s="125"/>
      <c r="O937" s="33" t="s">
        <v>278</v>
      </c>
      <c r="P937" s="125"/>
      <c r="Q937" s="33" t="s">
        <v>587</v>
      </c>
      <c r="R937" s="125"/>
      <c r="S937" s="33" t="s">
        <v>278</v>
      </c>
      <c r="T937" s="125"/>
      <c r="U937" s="33" t="s">
        <v>278</v>
      </c>
      <c r="V937" s="125"/>
      <c r="W937" s="59" t="s">
        <v>548</v>
      </c>
      <c r="X937" s="33" t="str">
        <f>+VLOOKUP(OtherClients[[#This Row],[Part]],PartControl!$A$2:$E$564,5,FALSE)</f>
        <v>infasco</v>
      </c>
      <c r="Y937" s="108">
        <f>IF(OtherClients[[#This Row],[Re-certified or New]]&lt;&gt;"Re-certified",IF(OtherClients[[#This Row],[Client]]="infasco",VLOOKUP(OtherClients[[#This Row],[Part]],PartControl!$A$2:$E$564,2,FALSE),OtherClients[[#This Row],[Total Quantity]]*VLOOKUP(OtherClients[[#This Row],[Part]],PartControl!$A$2:$E$564,2,FALSE)),0)</f>
        <v>106.94</v>
      </c>
      <c r="Z937" s="108">
        <f>IF(OtherClients[[#This Row],[Re-certified or New]]&lt;&gt;"Re-certified",IF(OtherClients[[#This Row],[Client]]="infasco",VLOOKUP(OtherClients[[#This Row],[Part]],PartControl!$A$2:$E$564,2,FALSE),OtherClients[[#This Row],[Total Quantity]]*VLOOKUP(OtherClients[[#This Row],[Part]],PartControl!$A$2:$E$564,2,FALSE)),0)</f>
        <v>106.94</v>
      </c>
    </row>
    <row r="938" spans="1:26" ht="25.15" hidden="1" customHeight="1" x14ac:dyDescent="0.25">
      <c r="A938" s="112">
        <v>46248.661562499998</v>
      </c>
      <c r="B938" s="5" t="s">
        <v>345</v>
      </c>
      <c r="C938" s="5">
        <v>11610126</v>
      </c>
      <c r="D938" s="5">
        <v>715788</v>
      </c>
      <c r="E938" s="33">
        <v>27</v>
      </c>
      <c r="F938" s="60">
        <v>1200</v>
      </c>
      <c r="G938" s="60">
        <f>+OtherClients[[#This Row],[Boxes / Pieces]]*OtherClients[[#This Row],[Unit Quantity]]</f>
        <v>32400</v>
      </c>
      <c r="H938" s="60" t="s">
        <v>849</v>
      </c>
      <c r="I938" s="126" t="s">
        <v>278</v>
      </c>
      <c r="J938" s="127"/>
      <c r="K938" s="33" t="s">
        <v>278</v>
      </c>
      <c r="L938" s="125"/>
      <c r="M938" s="33" t="s">
        <v>278</v>
      </c>
      <c r="N938" s="125"/>
      <c r="O938" s="33" t="s">
        <v>278</v>
      </c>
      <c r="P938" s="125"/>
      <c r="Q938" s="33" t="s">
        <v>587</v>
      </c>
      <c r="R938" s="125"/>
      <c r="S938" s="33" t="s">
        <v>278</v>
      </c>
      <c r="T938" s="125"/>
      <c r="U938" s="33" t="s">
        <v>278</v>
      </c>
      <c r="V938" s="125"/>
      <c r="W938" s="59" t="s">
        <v>548</v>
      </c>
      <c r="X938" s="33" t="str">
        <f>+VLOOKUP(OtherClients[[#This Row],[Part]],PartControl!$A$2:$E$564,5,FALSE)</f>
        <v>infasco</v>
      </c>
      <c r="Y938" s="108">
        <f>IF(OtherClients[[#This Row],[Re-certified or New]]&lt;&gt;"Re-certified",IF(OtherClients[[#This Row],[Client]]="infasco",VLOOKUP(OtherClients[[#This Row],[Part]],PartControl!$A$2:$E$564,2,FALSE),OtherClients[[#This Row],[Total Quantity]]*VLOOKUP(OtherClients[[#This Row],[Part]],PartControl!$A$2:$E$564,2,FALSE)),0)</f>
        <v>106.94</v>
      </c>
      <c r="Z938" s="108">
        <f>IF(OtherClients[[#This Row],[Re-certified or New]]&lt;&gt;"Re-certified",IF(OtherClients[[#This Row],[Client]]="infasco",VLOOKUP(OtherClients[[#This Row],[Part]],PartControl!$A$2:$E$564,2,FALSE),OtherClients[[#This Row],[Total Quantity]]*VLOOKUP(OtherClients[[#This Row],[Part]],PartControl!$A$2:$E$564,2,FALSE)),0)</f>
        <v>106.94</v>
      </c>
    </row>
    <row r="939" spans="1:26" ht="25.15" hidden="1" customHeight="1" x14ac:dyDescent="0.25">
      <c r="A939" s="112">
        <v>46248.661562499998</v>
      </c>
      <c r="B939" s="5" t="s">
        <v>345</v>
      </c>
      <c r="C939" s="5" t="s">
        <v>809</v>
      </c>
      <c r="D939" s="5">
        <v>713240</v>
      </c>
      <c r="E939" s="33">
        <f>36+5</f>
        <v>41</v>
      </c>
      <c r="F939" s="60">
        <v>450</v>
      </c>
      <c r="G939" s="60">
        <f>+OtherClients[[#This Row],[Boxes / Pieces]]*OtherClients[[#This Row],[Unit Quantity]]</f>
        <v>18450</v>
      </c>
      <c r="H939" s="60" t="s">
        <v>849</v>
      </c>
      <c r="I939" s="126" t="s">
        <v>278</v>
      </c>
      <c r="J939" s="127"/>
      <c r="K939" s="33" t="s">
        <v>278</v>
      </c>
      <c r="L939" s="125"/>
      <c r="M939" s="33" t="s">
        <v>278</v>
      </c>
      <c r="N939" s="125"/>
      <c r="O939" s="33" t="s">
        <v>278</v>
      </c>
      <c r="P939" s="125"/>
      <c r="Q939" s="33" t="s">
        <v>587</v>
      </c>
      <c r="R939" s="125"/>
      <c r="S939" s="33" t="s">
        <v>278</v>
      </c>
      <c r="T939" s="125"/>
      <c r="U939" s="33" t="s">
        <v>278</v>
      </c>
      <c r="V939" s="125"/>
      <c r="W939" s="59" t="s">
        <v>548</v>
      </c>
      <c r="X939" s="33" t="str">
        <f>+VLOOKUP(OtherClients[[#This Row],[Part]],PartControl!$A$2:$E$564,5,FALSE)</f>
        <v>infasco</v>
      </c>
      <c r="Y939" s="108">
        <f>IF(OtherClients[[#This Row],[Re-certified or New]]&lt;&gt;"Re-certified",IF(OtherClients[[#This Row],[Client]]="infasco",VLOOKUP(OtherClients[[#This Row],[Part]],PartControl!$A$2:$E$564,2,FALSE),OtherClients[[#This Row],[Total Quantity]]*VLOOKUP(OtherClients[[#This Row],[Part]],PartControl!$A$2:$E$564,2,FALSE)),0)</f>
        <v>106.94</v>
      </c>
      <c r="Z939" s="108">
        <f>IF(OtherClients[[#This Row],[Re-certified or New]]&lt;&gt;"Re-certified",IF(OtherClients[[#This Row],[Client]]="infasco",VLOOKUP(OtherClients[[#This Row],[Part]],PartControl!$A$2:$E$564,2,FALSE),OtherClients[[#This Row],[Total Quantity]]*VLOOKUP(OtherClients[[#This Row],[Part]],PartControl!$A$2:$E$564,2,FALSE)),0)</f>
        <v>106.94</v>
      </c>
    </row>
    <row r="940" spans="1:26" ht="25.15" hidden="1" customHeight="1" x14ac:dyDescent="0.25">
      <c r="A940" s="112">
        <v>46248.661562499998</v>
      </c>
      <c r="B940" s="5" t="s">
        <v>345</v>
      </c>
      <c r="C940" s="5">
        <v>11546566</v>
      </c>
      <c r="D940" s="5">
        <v>715791</v>
      </c>
      <c r="E940" s="33">
        <v>27</v>
      </c>
      <c r="F940" s="60">
        <v>1800</v>
      </c>
      <c r="G940" s="60">
        <f>+OtherClients[[#This Row],[Boxes / Pieces]]*OtherClients[[#This Row],[Unit Quantity]]</f>
        <v>48600</v>
      </c>
      <c r="H940" s="60" t="s">
        <v>849</v>
      </c>
      <c r="I940" s="126" t="s">
        <v>278</v>
      </c>
      <c r="J940" s="127"/>
      <c r="K940" s="33" t="s">
        <v>278</v>
      </c>
      <c r="L940" s="125"/>
      <c r="M940" s="33" t="s">
        <v>278</v>
      </c>
      <c r="N940" s="125"/>
      <c r="O940" s="33" t="s">
        <v>278</v>
      </c>
      <c r="P940" s="125"/>
      <c r="Q940" s="33" t="s">
        <v>587</v>
      </c>
      <c r="R940" s="125"/>
      <c r="S940" s="33" t="s">
        <v>278</v>
      </c>
      <c r="T940" s="125"/>
      <c r="U940" s="33" t="s">
        <v>278</v>
      </c>
      <c r="V940" s="125"/>
      <c r="W940" s="59" t="s">
        <v>548</v>
      </c>
      <c r="X940" s="33" t="str">
        <f>+VLOOKUP(OtherClients[[#This Row],[Part]],PartControl!$A$2:$E$564,5,FALSE)</f>
        <v>infasco</v>
      </c>
      <c r="Y940" s="108">
        <f>IF(OtherClients[[#This Row],[Re-certified or New]]&lt;&gt;"Re-certified",IF(OtherClients[[#This Row],[Client]]="infasco",VLOOKUP(OtherClients[[#This Row],[Part]],PartControl!$A$2:$E$564,2,FALSE),OtherClients[[#This Row],[Total Quantity]]*VLOOKUP(OtherClients[[#This Row],[Part]],PartControl!$A$2:$E$564,2,FALSE)),0)</f>
        <v>135.07999999999998</v>
      </c>
      <c r="Z940" s="108">
        <f>IF(OtherClients[[#This Row],[Re-certified or New]]&lt;&gt;"Re-certified",IF(OtherClients[[#This Row],[Client]]="infasco",VLOOKUP(OtherClients[[#This Row],[Part]],PartControl!$A$2:$E$564,2,FALSE),OtherClients[[#This Row],[Total Quantity]]*VLOOKUP(OtherClients[[#This Row],[Part]],PartControl!$A$2:$E$564,2,FALSE)),0)</f>
        <v>135.07999999999998</v>
      </c>
    </row>
    <row r="941" spans="1:26" ht="25.15" hidden="1" customHeight="1" x14ac:dyDescent="0.25">
      <c r="A941" s="112">
        <v>46248.661562499998</v>
      </c>
      <c r="B941" s="5" t="s">
        <v>345</v>
      </c>
      <c r="C941" s="5" t="s">
        <v>843</v>
      </c>
      <c r="D941" s="5">
        <v>714681</v>
      </c>
      <c r="E941" s="33">
        <v>35</v>
      </c>
      <c r="F941" s="60">
        <v>220</v>
      </c>
      <c r="G941" s="60">
        <f>+OtherClients[[#This Row],[Boxes / Pieces]]*OtherClients[[#This Row],[Unit Quantity]]</f>
        <v>7700</v>
      </c>
      <c r="H941" s="60" t="s">
        <v>849</v>
      </c>
      <c r="I941" s="126" t="s">
        <v>278</v>
      </c>
      <c r="J941" s="127"/>
      <c r="K941" s="33" t="s">
        <v>278</v>
      </c>
      <c r="L941" s="125"/>
      <c r="M941" s="33" t="s">
        <v>278</v>
      </c>
      <c r="N941" s="125"/>
      <c r="O941" s="33" t="s">
        <v>278</v>
      </c>
      <c r="P941" s="125"/>
      <c r="Q941" s="33" t="s">
        <v>587</v>
      </c>
      <c r="R941" s="125"/>
      <c r="S941" s="33" t="s">
        <v>278</v>
      </c>
      <c r="T941" s="125"/>
      <c r="U941" s="33" t="s">
        <v>278</v>
      </c>
      <c r="V941" s="125"/>
      <c r="W941" s="59" t="s">
        <v>548</v>
      </c>
      <c r="X941" s="33" t="str">
        <f>+VLOOKUP(OtherClients[[#This Row],[Part]],PartControl!$A$2:$E$564,5,FALSE)</f>
        <v>infasco</v>
      </c>
      <c r="Y941" s="108">
        <f>IF(OtherClients[[#This Row],[Re-certified or New]]&lt;&gt;"Re-certified",IF(OtherClients[[#This Row],[Client]]="infasco",VLOOKUP(OtherClients[[#This Row],[Part]],PartControl!$A$2:$E$564,2,FALSE),OtherClients[[#This Row],[Total Quantity]]*VLOOKUP(OtherClients[[#This Row],[Part]],PartControl!$A$2:$E$564,2,FALSE)),0)</f>
        <v>106.94</v>
      </c>
      <c r="Z941" s="108">
        <f>IF(OtherClients[[#This Row],[Re-certified or New]]&lt;&gt;"Re-certified",IF(OtherClients[[#This Row],[Client]]="infasco",VLOOKUP(OtherClients[[#This Row],[Part]],PartControl!$A$2:$E$564,2,FALSE),OtherClients[[#This Row],[Total Quantity]]*VLOOKUP(OtherClients[[#This Row],[Part]],PartControl!$A$2:$E$564,2,FALSE)),0)</f>
        <v>106.94</v>
      </c>
    </row>
    <row r="942" spans="1:26" ht="25.15" hidden="1" customHeight="1" x14ac:dyDescent="0.25">
      <c r="A942" s="112">
        <v>46248.661562499998</v>
      </c>
      <c r="B942" s="5" t="s">
        <v>345</v>
      </c>
      <c r="C942" s="5">
        <v>82246</v>
      </c>
      <c r="D942" s="5">
        <v>716667</v>
      </c>
      <c r="E942" s="33">
        <v>31</v>
      </c>
      <c r="F942" s="60">
        <v>250</v>
      </c>
      <c r="G942" s="60">
        <f>+OtherClients[[#This Row],[Boxes / Pieces]]*OtherClients[[#This Row],[Unit Quantity]]</f>
        <v>7750</v>
      </c>
      <c r="H942" s="60" t="s">
        <v>849</v>
      </c>
      <c r="I942" s="126" t="s">
        <v>278</v>
      </c>
      <c r="J942" s="127"/>
      <c r="K942" s="33" t="s">
        <v>278</v>
      </c>
      <c r="L942" s="125"/>
      <c r="M942" s="33" t="s">
        <v>278</v>
      </c>
      <c r="N942" s="125"/>
      <c r="O942" s="33" t="s">
        <v>278</v>
      </c>
      <c r="P942" s="125"/>
      <c r="Q942" s="33" t="s">
        <v>587</v>
      </c>
      <c r="R942" s="125"/>
      <c r="S942" s="33" t="s">
        <v>278</v>
      </c>
      <c r="T942" s="125"/>
      <c r="U942" s="33" t="s">
        <v>278</v>
      </c>
      <c r="V942" s="125"/>
      <c r="W942" s="59" t="s">
        <v>548</v>
      </c>
      <c r="X942" s="33" t="str">
        <f>+VLOOKUP(OtherClients[[#This Row],[Part]],PartControl!$A$2:$E$564,5,FALSE)</f>
        <v>INFASCO</v>
      </c>
      <c r="Y942" s="108">
        <f>IF(OtherClients[[#This Row],[Re-certified or New]]&lt;&gt;"Re-certified",IF(OtherClients[[#This Row],[Client]]="infasco",VLOOKUP(OtherClients[[#This Row],[Part]],PartControl!$A$2:$E$564,2,FALSE),OtherClients[[#This Row],[Total Quantity]]*VLOOKUP(OtherClients[[#This Row],[Part]],PartControl!$A$2:$E$564,2,FALSE)),0)</f>
        <v>280.15999999999997</v>
      </c>
      <c r="Z942" s="108">
        <f>IF(OtherClients[[#This Row],[Re-certified or New]]&lt;&gt;"Re-certified",IF(OtherClients[[#This Row],[Client]]="infasco",VLOOKUP(OtherClients[[#This Row],[Part]],PartControl!$A$2:$E$564,2,FALSE),OtherClients[[#This Row],[Total Quantity]]*VLOOKUP(OtherClients[[#This Row],[Part]],PartControl!$A$2:$E$564,2,FALSE)),0)</f>
        <v>280.15999999999997</v>
      </c>
    </row>
    <row r="943" spans="1:26" ht="25.15" hidden="1" customHeight="1" x14ac:dyDescent="0.25">
      <c r="A943" s="112">
        <v>46248.661562499998</v>
      </c>
      <c r="B943" s="5" t="s">
        <v>346</v>
      </c>
      <c r="C943" s="5">
        <v>11546449</v>
      </c>
      <c r="D943" s="5">
        <v>715754</v>
      </c>
      <c r="E943" s="33">
        <v>7</v>
      </c>
      <c r="F943" s="60">
        <v>2500</v>
      </c>
      <c r="G943" s="60">
        <f>+OtherClients[[#This Row],[Boxes / Pieces]]*OtherClients[[#This Row],[Unit Quantity]]</f>
        <v>17500</v>
      </c>
      <c r="H943" s="60" t="s">
        <v>871</v>
      </c>
      <c r="I943" s="126" t="s">
        <v>278</v>
      </c>
      <c r="J943" s="127"/>
      <c r="K943" s="33" t="s">
        <v>278</v>
      </c>
      <c r="L943" s="125"/>
      <c r="M943" s="33" t="s">
        <v>278</v>
      </c>
      <c r="N943" s="125"/>
      <c r="O943" s="33" t="s">
        <v>278</v>
      </c>
      <c r="P943" s="125"/>
      <c r="Q943" s="33" t="s">
        <v>587</v>
      </c>
      <c r="R943" s="125"/>
      <c r="S943" s="33" t="s">
        <v>278</v>
      </c>
      <c r="T943" s="125"/>
      <c r="U943" s="33" t="s">
        <v>278</v>
      </c>
      <c r="V943" s="125"/>
      <c r="W943" s="59" t="s">
        <v>548</v>
      </c>
      <c r="X943" s="33" t="str">
        <f>+VLOOKUP(OtherClients[[#This Row],[Part]],PartControl!$A$2:$E$564,5,FALSE)</f>
        <v>INFASCO</v>
      </c>
      <c r="Y943" s="108">
        <f>IF(OtherClients[[#This Row],[Re-certified or New]]&lt;&gt;"Re-certified",IF(OtherClients[[#This Row],[Client]]="infasco",VLOOKUP(OtherClients[[#This Row],[Part]],PartControl!$A$2:$E$564,2,FALSE),OtherClients[[#This Row],[Total Quantity]]*VLOOKUP(OtherClients[[#This Row],[Part]],PartControl!$A$2:$E$564,2,FALSE)),0)</f>
        <v>106.94</v>
      </c>
      <c r="Z943" s="108">
        <f>IF(OtherClients[[#This Row],[Re-certified or New]]&lt;&gt;"Re-certified",IF(OtherClients[[#This Row],[Client]]="infasco",VLOOKUP(OtherClients[[#This Row],[Part]],PartControl!$A$2:$E$564,2,FALSE),OtherClients[[#This Row],[Total Quantity]]*VLOOKUP(OtherClients[[#This Row],[Part]],PartControl!$A$2:$E$564,2,FALSE)),0)</f>
        <v>106.94</v>
      </c>
    </row>
    <row r="944" spans="1:26" ht="25.15" hidden="1" customHeight="1" x14ac:dyDescent="0.25">
      <c r="A944" s="112">
        <v>46248.661562499998</v>
      </c>
      <c r="B944" s="5" t="s">
        <v>346</v>
      </c>
      <c r="C944" s="5" t="s">
        <v>878</v>
      </c>
      <c r="D944" s="5">
        <v>713310</v>
      </c>
      <c r="E944" s="33">
        <v>1</v>
      </c>
      <c r="F944" s="60">
        <v>15695</v>
      </c>
      <c r="G944" s="60">
        <f>+OtherClients[[#This Row],[Boxes / Pieces]]*OtherClients[[#This Row],[Unit Quantity]]</f>
        <v>15695</v>
      </c>
      <c r="H944" s="60" t="s">
        <v>871</v>
      </c>
      <c r="I944" s="126" t="s">
        <v>278</v>
      </c>
      <c r="J944" s="127"/>
      <c r="K944" s="33" t="s">
        <v>278</v>
      </c>
      <c r="L944" s="125"/>
      <c r="M944" s="33" t="s">
        <v>278</v>
      </c>
      <c r="N944" s="125"/>
      <c r="O944" s="33" t="s">
        <v>278</v>
      </c>
      <c r="P944" s="125"/>
      <c r="Q944" s="33" t="s">
        <v>587</v>
      </c>
      <c r="R944" s="125"/>
      <c r="S944" s="33" t="s">
        <v>278</v>
      </c>
      <c r="T944" s="125"/>
      <c r="U944" s="33" t="s">
        <v>278</v>
      </c>
      <c r="V944" s="125"/>
      <c r="W944" s="59" t="s">
        <v>548</v>
      </c>
      <c r="X944" s="33" t="e">
        <f>+VLOOKUP(OtherClients[[#This Row],[Part]],PartControl!$A$2:$E$564,5,FALSE)</f>
        <v>#N/A</v>
      </c>
      <c r="Y944" s="108" t="e">
        <f>IF(OtherClients[[#This Row],[Re-certified or New]]&lt;&gt;"Re-certified",IF(OtherClients[[#This Row],[Client]]="infasco",VLOOKUP(OtherClients[[#This Row],[Part]],PartControl!$A$2:$E$564,2,FALSE),OtherClients[[#This Row],[Total Quantity]]*VLOOKUP(OtherClients[[#This Row],[Part]],PartControl!$A$2:$E$564,2,FALSE)),0)</f>
        <v>#N/A</v>
      </c>
      <c r="Z944" s="108" t="e">
        <f>IF(OtherClients[[#This Row],[Re-certified or New]]&lt;&gt;"Re-certified",IF(OtherClients[[#This Row],[Client]]="infasco",VLOOKUP(OtherClients[[#This Row],[Part]],PartControl!$A$2:$E$564,2,FALSE),OtherClients[[#This Row],[Total Quantity]]*VLOOKUP(OtherClients[[#This Row],[Part]],PartControl!$A$2:$E$564,2,FALSE)),0)</f>
        <v>#N/A</v>
      </c>
    </row>
    <row r="945" spans="1:26" ht="25.15" hidden="1" customHeight="1" x14ac:dyDescent="0.25">
      <c r="A945" s="112">
        <v>46248.661562499998</v>
      </c>
      <c r="B945" s="5" t="s">
        <v>346</v>
      </c>
      <c r="C945" s="5" t="s">
        <v>878</v>
      </c>
      <c r="D945" s="5">
        <v>713304</v>
      </c>
      <c r="E945" s="33">
        <v>1</v>
      </c>
      <c r="F945" s="60">
        <v>11000</v>
      </c>
      <c r="G945" s="60">
        <f>+OtherClients[[#This Row],[Boxes / Pieces]]*OtherClients[[#This Row],[Unit Quantity]]</f>
        <v>11000</v>
      </c>
      <c r="H945" s="60" t="s">
        <v>871</v>
      </c>
      <c r="I945" s="126" t="s">
        <v>278</v>
      </c>
      <c r="J945" s="127"/>
      <c r="K945" s="33" t="s">
        <v>278</v>
      </c>
      <c r="L945" s="125"/>
      <c r="M945" s="33" t="s">
        <v>278</v>
      </c>
      <c r="N945" s="125"/>
      <c r="O945" s="33" t="s">
        <v>278</v>
      </c>
      <c r="P945" s="125"/>
      <c r="Q945" s="33" t="s">
        <v>587</v>
      </c>
      <c r="R945" s="125"/>
      <c r="S945" s="33" t="s">
        <v>278</v>
      </c>
      <c r="T945" s="125"/>
      <c r="U945" s="33" t="s">
        <v>278</v>
      </c>
      <c r="V945" s="125"/>
      <c r="W945" s="59" t="s">
        <v>548</v>
      </c>
      <c r="X945" s="33" t="e">
        <f>+VLOOKUP(OtherClients[[#This Row],[Part]],PartControl!$A$2:$E$564,5,FALSE)</f>
        <v>#N/A</v>
      </c>
      <c r="Y945" s="108" t="e">
        <f>IF(OtherClients[[#This Row],[Re-certified or New]]&lt;&gt;"Re-certified",IF(OtherClients[[#This Row],[Client]]="infasco",VLOOKUP(OtherClients[[#This Row],[Part]],PartControl!$A$2:$E$564,2,FALSE),OtherClients[[#This Row],[Total Quantity]]*VLOOKUP(OtherClients[[#This Row],[Part]],PartControl!$A$2:$E$564,2,FALSE)),0)</f>
        <v>#N/A</v>
      </c>
      <c r="Z945" s="108" t="e">
        <f>IF(OtherClients[[#This Row],[Re-certified or New]]&lt;&gt;"Re-certified",IF(OtherClients[[#This Row],[Client]]="infasco",VLOOKUP(OtherClients[[#This Row],[Part]],PartControl!$A$2:$E$564,2,FALSE),OtherClients[[#This Row],[Total Quantity]]*VLOOKUP(OtherClients[[#This Row],[Part]],PartControl!$A$2:$E$564,2,FALSE)),0)</f>
        <v>#N/A</v>
      </c>
    </row>
    <row r="946" spans="1:26" ht="25.15" hidden="1" customHeight="1" x14ac:dyDescent="0.25">
      <c r="A946" s="112">
        <v>46248.661562499998</v>
      </c>
      <c r="B946" s="5" t="s">
        <v>346</v>
      </c>
      <c r="C946" s="5" t="s">
        <v>878</v>
      </c>
      <c r="D946" s="5">
        <v>713311</v>
      </c>
      <c r="E946" s="33">
        <v>1</v>
      </c>
      <c r="F946" s="60">
        <v>11000</v>
      </c>
      <c r="G946" s="60">
        <f>+OtherClients[[#This Row],[Boxes / Pieces]]*OtherClients[[#This Row],[Unit Quantity]]</f>
        <v>11000</v>
      </c>
      <c r="H946" s="60" t="s">
        <v>871</v>
      </c>
      <c r="I946" s="126" t="s">
        <v>278</v>
      </c>
      <c r="J946" s="127"/>
      <c r="K946" s="33" t="s">
        <v>278</v>
      </c>
      <c r="L946" s="125"/>
      <c r="M946" s="33" t="s">
        <v>278</v>
      </c>
      <c r="N946" s="125"/>
      <c r="O946" s="33" t="s">
        <v>278</v>
      </c>
      <c r="P946" s="125"/>
      <c r="Q946" s="33" t="s">
        <v>587</v>
      </c>
      <c r="R946" s="125"/>
      <c r="S946" s="33" t="s">
        <v>278</v>
      </c>
      <c r="T946" s="125"/>
      <c r="U946" s="33" t="s">
        <v>278</v>
      </c>
      <c r="V946" s="125"/>
      <c r="W946" s="59" t="s">
        <v>548</v>
      </c>
      <c r="X946" s="33" t="e">
        <f>+VLOOKUP(OtherClients[[#This Row],[Part]],PartControl!$A$2:$E$564,5,FALSE)</f>
        <v>#N/A</v>
      </c>
      <c r="Y946" s="108" t="e">
        <f>IF(OtherClients[[#This Row],[Re-certified or New]]&lt;&gt;"Re-certified",IF(OtherClients[[#This Row],[Client]]="infasco",VLOOKUP(OtherClients[[#This Row],[Part]],PartControl!$A$2:$E$564,2,FALSE),OtherClients[[#This Row],[Total Quantity]]*VLOOKUP(OtherClients[[#This Row],[Part]],PartControl!$A$2:$E$564,2,FALSE)),0)</f>
        <v>#N/A</v>
      </c>
      <c r="Z946" s="108" t="e">
        <f>IF(OtherClients[[#This Row],[Re-certified or New]]&lt;&gt;"Re-certified",IF(OtherClients[[#This Row],[Client]]="infasco",VLOOKUP(OtherClients[[#This Row],[Part]],PartControl!$A$2:$E$564,2,FALSE),OtherClients[[#This Row],[Total Quantity]]*VLOOKUP(OtherClients[[#This Row],[Part]],PartControl!$A$2:$E$564,2,FALSE)),0)</f>
        <v>#N/A</v>
      </c>
    </row>
    <row r="947" spans="1:26" ht="25.15" hidden="1" customHeight="1" x14ac:dyDescent="0.25">
      <c r="A947" s="112">
        <v>46248.661562499998</v>
      </c>
      <c r="B947" s="5" t="s">
        <v>346</v>
      </c>
      <c r="C947" s="5" t="s">
        <v>349</v>
      </c>
      <c r="D947" s="5">
        <v>715800</v>
      </c>
      <c r="E947" s="33">
        <v>30</v>
      </c>
      <c r="F947" s="60">
        <v>1900</v>
      </c>
      <c r="G947" s="60">
        <f>+OtherClients[[#This Row],[Boxes / Pieces]]*OtherClients[[#This Row],[Unit Quantity]]</f>
        <v>57000</v>
      </c>
      <c r="H947" s="60" t="s">
        <v>871</v>
      </c>
      <c r="I947" s="126" t="s">
        <v>278</v>
      </c>
      <c r="J947" s="127"/>
      <c r="K947" s="33" t="s">
        <v>278</v>
      </c>
      <c r="L947" s="125"/>
      <c r="M947" s="33" t="s">
        <v>278</v>
      </c>
      <c r="N947" s="125"/>
      <c r="O947" s="33" t="s">
        <v>278</v>
      </c>
      <c r="P947" s="125"/>
      <c r="Q947" s="33" t="s">
        <v>587</v>
      </c>
      <c r="R947" s="125"/>
      <c r="S947" s="33" t="s">
        <v>278</v>
      </c>
      <c r="T947" s="125"/>
      <c r="U947" s="33" t="s">
        <v>278</v>
      </c>
      <c r="V947" s="125"/>
      <c r="W947" s="59" t="s">
        <v>548</v>
      </c>
      <c r="X947" s="33" t="str">
        <f>+VLOOKUP(OtherClients[[#This Row],[Part]],PartControl!$A$2:$E$564,5,FALSE)</f>
        <v>infasco</v>
      </c>
      <c r="Y947" s="108">
        <f>IF(OtherClients[[#This Row],[Re-certified or New]]&lt;&gt;"Re-certified",IF(OtherClients[[#This Row],[Client]]="infasco",VLOOKUP(OtherClients[[#This Row],[Part]],PartControl!$A$2:$E$564,2,FALSE),OtherClients[[#This Row],[Total Quantity]]*VLOOKUP(OtherClients[[#This Row],[Part]],PartControl!$A$2:$E$564,2,FALSE)),0)</f>
        <v>106.94</v>
      </c>
      <c r="Z947" s="108">
        <f>IF(OtherClients[[#This Row],[Re-certified or New]]&lt;&gt;"Re-certified",IF(OtherClients[[#This Row],[Client]]="infasco",VLOOKUP(OtherClients[[#This Row],[Part]],PartControl!$A$2:$E$564,2,FALSE),OtherClients[[#This Row],[Total Quantity]]*VLOOKUP(OtherClients[[#This Row],[Part]],PartControl!$A$2:$E$564,2,FALSE)),0)</f>
        <v>106.94</v>
      </c>
    </row>
    <row r="948" spans="1:26" ht="25.15" hidden="1" customHeight="1" x14ac:dyDescent="0.25">
      <c r="A948" s="112">
        <v>46248.661562499998</v>
      </c>
      <c r="B948" s="5" t="s">
        <v>346</v>
      </c>
      <c r="C948" s="5">
        <v>11547059</v>
      </c>
      <c r="D948" s="5">
        <v>714710</v>
      </c>
      <c r="E948" s="33">
        <v>48</v>
      </c>
      <c r="F948" s="60">
        <v>550</v>
      </c>
      <c r="G948" s="60">
        <f>+OtherClients[[#This Row],[Boxes / Pieces]]*OtherClients[[#This Row],[Unit Quantity]]</f>
        <v>26400</v>
      </c>
      <c r="H948" s="60" t="s">
        <v>871</v>
      </c>
      <c r="I948" s="126" t="s">
        <v>278</v>
      </c>
      <c r="J948" s="127"/>
      <c r="K948" s="33" t="s">
        <v>278</v>
      </c>
      <c r="L948" s="125"/>
      <c r="M948" s="33" t="s">
        <v>278</v>
      </c>
      <c r="N948" s="125"/>
      <c r="O948" s="33" t="s">
        <v>278</v>
      </c>
      <c r="P948" s="125"/>
      <c r="Q948" s="33" t="s">
        <v>587</v>
      </c>
      <c r="R948" s="125"/>
      <c r="S948" s="33" t="s">
        <v>278</v>
      </c>
      <c r="T948" s="125"/>
      <c r="U948" s="33" t="s">
        <v>278</v>
      </c>
      <c r="V948" s="125"/>
      <c r="W948" s="59" t="s">
        <v>548</v>
      </c>
      <c r="X948" s="33" t="str">
        <f>+VLOOKUP(OtherClients[[#This Row],[Part]],PartControl!$A$2:$E$564,5,FALSE)</f>
        <v>infasco</v>
      </c>
      <c r="Y948" s="108">
        <f>IF(OtherClients[[#This Row],[Re-certified or New]]&lt;&gt;"Re-certified",IF(OtherClients[[#This Row],[Client]]="infasco",VLOOKUP(OtherClients[[#This Row],[Part]],PartControl!$A$2:$E$564,2,FALSE),OtherClients[[#This Row],[Total Quantity]]*VLOOKUP(OtherClients[[#This Row],[Part]],PartControl!$A$2:$E$564,2,FALSE)),0)</f>
        <v>135.07999999999998</v>
      </c>
      <c r="Z948" s="108">
        <f>IF(OtherClients[[#This Row],[Re-certified or New]]&lt;&gt;"Re-certified",IF(OtherClients[[#This Row],[Client]]="infasco",VLOOKUP(OtherClients[[#This Row],[Part]],PartControl!$A$2:$E$564,2,FALSE),OtherClients[[#This Row],[Total Quantity]]*VLOOKUP(OtherClients[[#This Row],[Part]],PartControl!$A$2:$E$564,2,FALSE)),0)</f>
        <v>135.07999999999998</v>
      </c>
    </row>
    <row r="949" spans="1:26" ht="25.15" hidden="1" customHeight="1" x14ac:dyDescent="0.25">
      <c r="A949" s="112">
        <v>46248.661562499998</v>
      </c>
      <c r="B949" s="5" t="s">
        <v>346</v>
      </c>
      <c r="C949" s="5">
        <v>11547059</v>
      </c>
      <c r="D949" s="5">
        <v>714712</v>
      </c>
      <c r="E949" s="33">
        <v>32</v>
      </c>
      <c r="F949" s="60">
        <v>550</v>
      </c>
      <c r="G949" s="60">
        <f>+OtherClients[[#This Row],[Boxes / Pieces]]*OtherClients[[#This Row],[Unit Quantity]]</f>
        <v>17600</v>
      </c>
      <c r="H949" s="60" t="s">
        <v>871</v>
      </c>
      <c r="I949" s="126" t="s">
        <v>278</v>
      </c>
      <c r="J949" s="127"/>
      <c r="K949" s="33" t="s">
        <v>278</v>
      </c>
      <c r="L949" s="125"/>
      <c r="M949" s="33" t="s">
        <v>278</v>
      </c>
      <c r="N949" s="125"/>
      <c r="O949" s="33" t="s">
        <v>278</v>
      </c>
      <c r="P949" s="125"/>
      <c r="Q949" s="33" t="s">
        <v>587</v>
      </c>
      <c r="R949" s="125"/>
      <c r="S949" s="33" t="s">
        <v>278</v>
      </c>
      <c r="T949" s="125"/>
      <c r="U949" s="33" t="s">
        <v>278</v>
      </c>
      <c r="V949" s="125"/>
      <c r="W949" s="59" t="s">
        <v>548</v>
      </c>
      <c r="X949" s="33" t="str">
        <f>+VLOOKUP(OtherClients[[#This Row],[Part]],PartControl!$A$2:$E$564,5,FALSE)</f>
        <v>infasco</v>
      </c>
      <c r="Y949" s="108">
        <f>IF(OtherClients[[#This Row],[Re-certified or New]]&lt;&gt;"Re-certified",IF(OtherClients[[#This Row],[Client]]="infasco",VLOOKUP(OtherClients[[#This Row],[Part]],PartControl!$A$2:$E$564,2,FALSE),OtherClients[[#This Row],[Total Quantity]]*VLOOKUP(OtherClients[[#This Row],[Part]],PartControl!$A$2:$E$564,2,FALSE)),0)</f>
        <v>135.07999999999998</v>
      </c>
      <c r="Z949" s="108">
        <f>IF(OtherClients[[#This Row],[Re-certified or New]]&lt;&gt;"Re-certified",IF(OtherClients[[#This Row],[Client]]="infasco",VLOOKUP(OtherClients[[#This Row],[Part]],PartControl!$A$2:$E$564,2,FALSE),OtherClients[[#This Row],[Total Quantity]]*VLOOKUP(OtherClients[[#This Row],[Part]],PartControl!$A$2:$E$564,2,FALSE)),0)</f>
        <v>135.07999999999998</v>
      </c>
    </row>
    <row r="950" spans="1:26" ht="25.15" hidden="1" customHeight="1" x14ac:dyDescent="0.25">
      <c r="A950" s="112">
        <v>46248.661562499998</v>
      </c>
      <c r="B950" s="5" t="s">
        <v>346</v>
      </c>
      <c r="C950" s="5" t="s">
        <v>843</v>
      </c>
      <c r="D950" s="5">
        <v>714686</v>
      </c>
      <c r="E950" s="33">
        <v>36</v>
      </c>
      <c r="F950" s="60">
        <v>220</v>
      </c>
      <c r="G950" s="60">
        <f>+OtherClients[[#This Row],[Boxes / Pieces]]*OtherClients[[#This Row],[Unit Quantity]]</f>
        <v>7920</v>
      </c>
      <c r="H950" s="60" t="s">
        <v>871</v>
      </c>
      <c r="I950" s="126" t="s">
        <v>278</v>
      </c>
      <c r="J950" s="127"/>
      <c r="K950" s="33" t="s">
        <v>278</v>
      </c>
      <c r="L950" s="125"/>
      <c r="M950" s="33" t="s">
        <v>278</v>
      </c>
      <c r="N950" s="125"/>
      <c r="O950" s="33" t="s">
        <v>278</v>
      </c>
      <c r="P950" s="125"/>
      <c r="Q950" s="33" t="s">
        <v>587</v>
      </c>
      <c r="R950" s="125"/>
      <c r="S950" s="33" t="s">
        <v>278</v>
      </c>
      <c r="T950" s="125"/>
      <c r="U950" s="33" t="s">
        <v>278</v>
      </c>
      <c r="V950" s="125"/>
      <c r="W950" s="59" t="s">
        <v>548</v>
      </c>
      <c r="X950" s="33" t="str">
        <f>+VLOOKUP(OtherClients[[#This Row],[Part]],PartControl!$A$2:$E$564,5,FALSE)</f>
        <v>infasco</v>
      </c>
      <c r="Y950" s="108">
        <f>IF(OtherClients[[#This Row],[Re-certified or New]]&lt;&gt;"Re-certified",IF(OtherClients[[#This Row],[Client]]="infasco",VLOOKUP(OtherClients[[#This Row],[Part]],PartControl!$A$2:$E$564,2,FALSE),OtherClients[[#This Row],[Total Quantity]]*VLOOKUP(OtherClients[[#This Row],[Part]],PartControl!$A$2:$E$564,2,FALSE)),0)</f>
        <v>106.94</v>
      </c>
      <c r="Z950" s="108">
        <f>IF(OtherClients[[#This Row],[Re-certified or New]]&lt;&gt;"Re-certified",IF(OtherClients[[#This Row],[Client]]="infasco",VLOOKUP(OtherClients[[#This Row],[Part]],PartControl!$A$2:$E$564,2,FALSE),OtherClients[[#This Row],[Total Quantity]]*VLOOKUP(OtherClients[[#This Row],[Part]],PartControl!$A$2:$E$564,2,FALSE)),0)</f>
        <v>106.94</v>
      </c>
    </row>
    <row r="951" spans="1:26" ht="25.15" hidden="1" customHeight="1" x14ac:dyDescent="0.25">
      <c r="A951" s="112">
        <v>46248.661562499998</v>
      </c>
      <c r="B951" s="5" t="s">
        <v>346</v>
      </c>
      <c r="C951" s="5" t="s">
        <v>843</v>
      </c>
      <c r="D951" s="5">
        <v>714683</v>
      </c>
      <c r="E951" s="33">
        <v>38</v>
      </c>
      <c r="F951" s="60">
        <v>220</v>
      </c>
      <c r="G951" s="60">
        <f>+OtherClients[[#This Row],[Boxes / Pieces]]*OtherClients[[#This Row],[Unit Quantity]]</f>
        <v>8360</v>
      </c>
      <c r="H951" s="60" t="s">
        <v>871</v>
      </c>
      <c r="I951" s="126" t="s">
        <v>278</v>
      </c>
      <c r="J951" s="127"/>
      <c r="K951" s="33" t="s">
        <v>278</v>
      </c>
      <c r="L951" s="125"/>
      <c r="M951" s="33" t="s">
        <v>278</v>
      </c>
      <c r="N951" s="125"/>
      <c r="O951" s="33" t="s">
        <v>278</v>
      </c>
      <c r="P951" s="125"/>
      <c r="Q951" s="33" t="s">
        <v>587</v>
      </c>
      <c r="R951" s="125"/>
      <c r="S951" s="33" t="s">
        <v>278</v>
      </c>
      <c r="T951" s="125"/>
      <c r="U951" s="33" t="s">
        <v>278</v>
      </c>
      <c r="V951" s="125"/>
      <c r="W951" s="59" t="s">
        <v>548</v>
      </c>
      <c r="X951" s="33" t="str">
        <f>+VLOOKUP(OtherClients[[#This Row],[Part]],PartControl!$A$2:$E$564,5,FALSE)</f>
        <v>infasco</v>
      </c>
      <c r="Y951" s="108">
        <f>IF(OtherClients[[#This Row],[Re-certified or New]]&lt;&gt;"Re-certified",IF(OtherClients[[#This Row],[Client]]="infasco",VLOOKUP(OtherClients[[#This Row],[Part]],PartControl!$A$2:$E$564,2,FALSE),OtherClients[[#This Row],[Total Quantity]]*VLOOKUP(OtherClients[[#This Row],[Part]],PartControl!$A$2:$E$564,2,FALSE)),0)</f>
        <v>106.94</v>
      </c>
      <c r="Z951" s="108">
        <f>IF(OtherClients[[#This Row],[Re-certified or New]]&lt;&gt;"Re-certified",IF(OtherClients[[#This Row],[Client]]="infasco",VLOOKUP(OtherClients[[#This Row],[Part]],PartControl!$A$2:$E$564,2,FALSE),OtherClients[[#This Row],[Total Quantity]]*VLOOKUP(OtherClients[[#This Row],[Part]],PartControl!$A$2:$E$564,2,FALSE)),0)</f>
        <v>106.94</v>
      </c>
    </row>
    <row r="952" spans="1:26" ht="25.15" hidden="1" customHeight="1" x14ac:dyDescent="0.25">
      <c r="A952" s="112">
        <v>46248.661562499998</v>
      </c>
      <c r="B952" s="5" t="s">
        <v>346</v>
      </c>
      <c r="C952" s="5" t="s">
        <v>732</v>
      </c>
      <c r="D952" s="5">
        <v>705483</v>
      </c>
      <c r="E952" s="33">
        <v>2</v>
      </c>
      <c r="F952" s="60">
        <v>1000</v>
      </c>
      <c r="G952" s="60">
        <f>+OtherClients[[#This Row],[Boxes / Pieces]]*OtherClients[[#This Row],[Unit Quantity]]</f>
        <v>2000</v>
      </c>
      <c r="H952" s="60" t="s">
        <v>871</v>
      </c>
      <c r="I952" s="126" t="s">
        <v>278</v>
      </c>
      <c r="J952" s="127"/>
      <c r="K952" s="33" t="s">
        <v>278</v>
      </c>
      <c r="L952" s="125"/>
      <c r="M952" s="33" t="s">
        <v>278</v>
      </c>
      <c r="N952" s="125"/>
      <c r="O952" s="33" t="s">
        <v>278</v>
      </c>
      <c r="P952" s="125"/>
      <c r="Q952" s="33" t="s">
        <v>587</v>
      </c>
      <c r="R952" s="125"/>
      <c r="S952" s="33" t="s">
        <v>278</v>
      </c>
      <c r="T952" s="125"/>
      <c r="U952" s="33" t="s">
        <v>278</v>
      </c>
      <c r="V952" s="125"/>
      <c r="W952" s="59" t="s">
        <v>633</v>
      </c>
      <c r="X952" s="33" t="str">
        <f>+VLOOKUP(OtherClients[[#This Row],[Part]],PartControl!$A$2:$E$564,5,FALSE)</f>
        <v>infasco</v>
      </c>
      <c r="Y952" s="108">
        <f>IF(OtherClients[[#This Row],[Re-certified or New]]&lt;&gt;"Re-certified",IF(OtherClients[[#This Row],[Client]]="infasco",VLOOKUP(OtherClients[[#This Row],[Part]],PartControl!$A$2:$E$564,2,FALSE),OtherClients[[#This Row],[Total Quantity]]*VLOOKUP(OtherClients[[#This Row],[Part]],PartControl!$A$2:$E$564,2,FALSE)),0)</f>
        <v>0</v>
      </c>
      <c r="Z952" s="108">
        <f>IF(OtherClients[[#This Row],[Re-certified or New]]&lt;&gt;"Re-certified",IF(OtherClients[[#This Row],[Client]]="infasco",VLOOKUP(OtherClients[[#This Row],[Part]],PartControl!$A$2:$E$564,2,FALSE),OtherClients[[#This Row],[Total Quantity]]*VLOOKUP(OtherClients[[#This Row],[Part]],PartControl!$A$2:$E$564,2,FALSE)),0)</f>
        <v>0</v>
      </c>
    </row>
    <row r="953" spans="1:26" ht="25.15" hidden="1" customHeight="1" x14ac:dyDescent="0.25">
      <c r="A953" s="112">
        <v>46248.661562499998</v>
      </c>
      <c r="B953" s="5" t="s">
        <v>347</v>
      </c>
      <c r="C953" s="5" t="s">
        <v>732</v>
      </c>
      <c r="D953" s="5">
        <v>710829</v>
      </c>
      <c r="E953" s="33">
        <v>9</v>
      </c>
      <c r="F953" s="60">
        <v>1000</v>
      </c>
      <c r="G953" s="60">
        <f>+OtherClients[[#This Row],[Boxes / Pieces]]*OtherClients[[#This Row],[Unit Quantity]]</f>
        <v>9000</v>
      </c>
      <c r="H953" s="60">
        <v>279</v>
      </c>
      <c r="I953" s="126" t="s">
        <v>278</v>
      </c>
      <c r="J953" s="127"/>
      <c r="K953" s="33" t="s">
        <v>278</v>
      </c>
      <c r="L953" s="125"/>
      <c r="M953" s="33" t="s">
        <v>278</v>
      </c>
      <c r="N953" s="125"/>
      <c r="O953" s="33" t="s">
        <v>278</v>
      </c>
      <c r="P953" s="125"/>
      <c r="Q953" s="33" t="s">
        <v>587</v>
      </c>
      <c r="R953" s="125"/>
      <c r="S953" s="33" t="s">
        <v>278</v>
      </c>
      <c r="T953" s="125"/>
      <c r="U953" s="33" t="s">
        <v>278</v>
      </c>
      <c r="V953" s="125"/>
      <c r="W953" s="59" t="s">
        <v>548</v>
      </c>
      <c r="X953" s="33" t="str">
        <f>+VLOOKUP(OtherClients[[#This Row],[Part]],PartControl!$A$2:$E$564,5,FALSE)</f>
        <v>infasco</v>
      </c>
      <c r="Y953" s="108">
        <f>IF(OtherClients[[#This Row],[Re-certified or New]]&lt;&gt;"Re-certified",IF(OtherClients[[#This Row],[Client]]="infasco",VLOOKUP(OtherClients[[#This Row],[Part]],PartControl!$A$2:$E$564,2,FALSE),OtherClients[[#This Row],[Total Quantity]]*VLOOKUP(OtherClients[[#This Row],[Part]],PartControl!$A$2:$E$564,2,FALSE)),0)</f>
        <v>213.88</v>
      </c>
      <c r="Z953" s="108">
        <f>IF(OtherClients[[#This Row],[Re-certified or New]]&lt;&gt;"Re-certified",IF(OtherClients[[#This Row],[Client]]="infasco",VLOOKUP(OtherClients[[#This Row],[Part]],PartControl!$A$2:$E$564,2,FALSE),OtherClients[[#This Row],[Total Quantity]]*VLOOKUP(OtherClients[[#This Row],[Part]],PartControl!$A$2:$E$564,2,FALSE)),0)</f>
        <v>213.88</v>
      </c>
    </row>
    <row r="954" spans="1:26" ht="25.15" hidden="1" customHeight="1" x14ac:dyDescent="0.25">
      <c r="A954" s="112">
        <v>46248.661562499998</v>
      </c>
      <c r="B954" s="5" t="s">
        <v>347</v>
      </c>
      <c r="C954" s="5" t="s">
        <v>809</v>
      </c>
      <c r="D954" s="5">
        <v>713230</v>
      </c>
      <c r="E954" s="33">
        <v>36</v>
      </c>
      <c r="F954" s="60">
        <v>450</v>
      </c>
      <c r="G954" s="60">
        <f>+OtherClients[[#This Row],[Boxes / Pieces]]*OtherClients[[#This Row],[Unit Quantity]]</f>
        <v>16200</v>
      </c>
      <c r="H954" s="60">
        <v>279</v>
      </c>
      <c r="I954" s="126" t="s">
        <v>278</v>
      </c>
      <c r="J954" s="127"/>
      <c r="K954" s="33" t="s">
        <v>278</v>
      </c>
      <c r="L954" s="125"/>
      <c r="M954" s="33" t="s">
        <v>278</v>
      </c>
      <c r="N954" s="125"/>
      <c r="O954" s="33" t="s">
        <v>278</v>
      </c>
      <c r="P954" s="125"/>
      <c r="Q954" s="33" t="s">
        <v>587</v>
      </c>
      <c r="R954" s="125"/>
      <c r="S954" s="33" t="s">
        <v>278</v>
      </c>
      <c r="T954" s="125"/>
      <c r="U954" s="33" t="s">
        <v>278</v>
      </c>
      <c r="V954" s="125"/>
      <c r="W954" s="59" t="s">
        <v>548</v>
      </c>
      <c r="X954" s="33" t="str">
        <f>+VLOOKUP(OtherClients[[#This Row],[Part]],PartControl!$A$2:$E$564,5,FALSE)</f>
        <v>infasco</v>
      </c>
      <c r="Y954" s="108">
        <f>IF(OtherClients[[#This Row],[Re-certified or New]]&lt;&gt;"Re-certified",IF(OtherClients[[#This Row],[Client]]="infasco",VLOOKUP(OtherClients[[#This Row],[Part]],PartControl!$A$2:$E$564,2,FALSE),OtherClients[[#This Row],[Total Quantity]]*VLOOKUP(OtherClients[[#This Row],[Part]],PartControl!$A$2:$E$564,2,FALSE)),0)</f>
        <v>106.94</v>
      </c>
      <c r="Z954" s="108">
        <f>IF(OtherClients[[#This Row],[Re-certified or New]]&lt;&gt;"Re-certified",IF(OtherClients[[#This Row],[Client]]="infasco",VLOOKUP(OtherClients[[#This Row],[Part]],PartControl!$A$2:$E$564,2,FALSE),OtherClients[[#This Row],[Total Quantity]]*VLOOKUP(OtherClients[[#This Row],[Part]],PartControl!$A$2:$E$564,2,FALSE)),0)</f>
        <v>106.94</v>
      </c>
    </row>
    <row r="955" spans="1:26" ht="25.15" hidden="1" customHeight="1" x14ac:dyDescent="0.25">
      <c r="A955" s="112">
        <v>46248.661562499998</v>
      </c>
      <c r="B955" s="5" t="s">
        <v>347</v>
      </c>
      <c r="C955" s="5" t="s">
        <v>843</v>
      </c>
      <c r="D955" s="5">
        <v>714680</v>
      </c>
      <c r="E955" s="33">
        <v>30</v>
      </c>
      <c r="F955" s="60">
        <v>220</v>
      </c>
      <c r="G955" s="60">
        <f>+OtherClients[[#This Row],[Boxes / Pieces]]*OtherClients[[#This Row],[Unit Quantity]]</f>
        <v>6600</v>
      </c>
      <c r="H955" s="60">
        <v>279</v>
      </c>
      <c r="I955" s="126" t="s">
        <v>278</v>
      </c>
      <c r="J955" s="127"/>
      <c r="K955" s="33" t="s">
        <v>278</v>
      </c>
      <c r="L955" s="125"/>
      <c r="M955" s="33" t="s">
        <v>278</v>
      </c>
      <c r="N955" s="125"/>
      <c r="O955" s="33" t="s">
        <v>278</v>
      </c>
      <c r="P955" s="125"/>
      <c r="Q955" s="33" t="s">
        <v>587</v>
      </c>
      <c r="R955" s="125"/>
      <c r="S955" s="33" t="s">
        <v>278</v>
      </c>
      <c r="T955" s="125"/>
      <c r="U955" s="33" t="s">
        <v>278</v>
      </c>
      <c r="V955" s="125"/>
      <c r="W955" s="59" t="s">
        <v>633</v>
      </c>
      <c r="X955" s="33" t="str">
        <f>+VLOOKUP(OtherClients[[#This Row],[Part]],PartControl!$A$2:$E$564,5,FALSE)</f>
        <v>infasco</v>
      </c>
      <c r="Y955" s="108">
        <f>IF(OtherClients[[#This Row],[Re-certified or New]]&lt;&gt;"Re-certified",IF(OtherClients[[#This Row],[Client]]="infasco",VLOOKUP(OtherClients[[#This Row],[Part]],PartControl!$A$2:$E$564,2,FALSE),OtherClients[[#This Row],[Total Quantity]]*VLOOKUP(OtherClients[[#This Row],[Part]],PartControl!$A$2:$E$564,2,FALSE)),0)</f>
        <v>0</v>
      </c>
      <c r="Z955" s="108">
        <f>IF(OtherClients[[#This Row],[Re-certified or New]]&lt;&gt;"Re-certified",IF(OtherClients[[#This Row],[Client]]="infasco",VLOOKUP(OtherClients[[#This Row],[Part]],PartControl!$A$2:$E$564,2,FALSE),OtherClients[[#This Row],[Total Quantity]]*VLOOKUP(OtherClients[[#This Row],[Part]],PartControl!$A$2:$E$564,2,FALSE)),0)</f>
        <v>0</v>
      </c>
    </row>
    <row r="956" spans="1:26" ht="25.15" hidden="1" customHeight="1" x14ac:dyDescent="0.25">
      <c r="A956" s="112">
        <v>46251.685324074075</v>
      </c>
      <c r="B956" s="5" t="s">
        <v>246</v>
      </c>
      <c r="C956" s="5" t="s">
        <v>732</v>
      </c>
      <c r="D956" s="5">
        <v>712370</v>
      </c>
      <c r="E956" s="33">
        <v>6</v>
      </c>
      <c r="F956" s="60">
        <v>1000</v>
      </c>
      <c r="G956" s="60">
        <v>6000</v>
      </c>
      <c r="H956" s="60">
        <v>272</v>
      </c>
      <c r="I956" s="126" t="s">
        <v>278</v>
      </c>
      <c r="J956" s="127"/>
      <c r="K956" s="33" t="s">
        <v>278</v>
      </c>
      <c r="L956" s="125"/>
      <c r="M956" s="33" t="s">
        <v>278</v>
      </c>
      <c r="N956" s="125"/>
      <c r="O956" s="33" t="s">
        <v>278</v>
      </c>
      <c r="P956" s="125"/>
      <c r="Q956" s="33" t="s">
        <v>587</v>
      </c>
      <c r="R956" s="125"/>
      <c r="S956" s="33" t="s">
        <v>278</v>
      </c>
      <c r="T956" s="125"/>
      <c r="U956" s="33" t="s">
        <v>278</v>
      </c>
      <c r="V956" s="125"/>
      <c r="W956" s="128" t="s">
        <v>548</v>
      </c>
      <c r="X956" s="33" t="str">
        <f>+VLOOKUP(OtherClients[[#This Row],[Part]],PartControl!$A$2:$E$564,5,FALSE)</f>
        <v>infasco</v>
      </c>
      <c r="Y956" s="125">
        <v>213.88</v>
      </c>
      <c r="Z956" s="108">
        <f>IF(OtherClients[[#This Row],[Re-certified or New]]&lt;&gt;"Re-certified",IF(OtherClients[[#This Row],[Client]]="infasco",VLOOKUP(OtherClients[[#This Row],[Part]],PartControl!$A$2:$E$564,2,FALSE),OtherClients[[#This Row],[Total Quantity]]*VLOOKUP(OtherClients[[#This Row],[Part]],PartControl!$A$2:$E$564,2,FALSE)),0)</f>
        <v>213.88</v>
      </c>
    </row>
    <row r="957" spans="1:26" ht="25.15" hidden="1" customHeight="1" x14ac:dyDescent="0.25">
      <c r="A957" s="112">
        <v>46251.685324074075</v>
      </c>
      <c r="B957" s="5" t="s">
        <v>246</v>
      </c>
      <c r="C957" s="5" t="s">
        <v>732</v>
      </c>
      <c r="D957" s="5">
        <v>710402</v>
      </c>
      <c r="E957" s="33">
        <v>47</v>
      </c>
      <c r="F957" s="60">
        <v>1000</v>
      </c>
      <c r="G957" s="60">
        <f>+OtherClients[[#This Row],[Boxes / Pieces]]*OtherClients[[#This Row],[Unit Quantity]]</f>
        <v>47000</v>
      </c>
      <c r="H957" s="60">
        <v>272</v>
      </c>
      <c r="I957" s="126" t="s">
        <v>278</v>
      </c>
      <c r="J957" s="127"/>
      <c r="K957" s="33" t="s">
        <v>278</v>
      </c>
      <c r="L957" s="125"/>
      <c r="M957" s="33" t="s">
        <v>278</v>
      </c>
      <c r="N957" s="125"/>
      <c r="O957" s="33" t="s">
        <v>278</v>
      </c>
      <c r="P957" s="125"/>
      <c r="Q957" s="33" t="s">
        <v>587</v>
      </c>
      <c r="R957" s="125"/>
      <c r="S957" s="33" t="s">
        <v>278</v>
      </c>
      <c r="T957" s="125"/>
      <c r="U957" s="33" t="s">
        <v>278</v>
      </c>
      <c r="V957" s="125"/>
      <c r="W957" s="59" t="s">
        <v>548</v>
      </c>
      <c r="X957" s="33" t="str">
        <f>+VLOOKUP(OtherClients[[#This Row],[Part]],PartControl!$A$2:$E$564,5,FALSE)</f>
        <v>infasco</v>
      </c>
      <c r="Y957" s="108">
        <f>IF(OtherClients[[#This Row],[Re-certified or New]]&lt;&gt;"Re-certified",IF(OtherClients[[#This Row],[Client]]="infasco",VLOOKUP(OtherClients[[#This Row],[Part]],PartControl!$A$2:$E$564,2,FALSE),OtherClients[[#This Row],[Total Quantity]]*VLOOKUP(OtherClients[[#This Row],[Part]],PartControl!$A$2:$E$564,2,FALSE)),0)</f>
        <v>213.88</v>
      </c>
      <c r="Z957" s="108">
        <f>IF(OtherClients[[#This Row],[Re-certified or New]]&lt;&gt;"Re-certified",IF(OtherClients[[#This Row],[Client]]="infasco",VLOOKUP(OtherClients[[#This Row],[Part]],PartControl!$A$2:$E$564,2,FALSE),OtherClients[[#This Row],[Total Quantity]]*VLOOKUP(OtherClients[[#This Row],[Part]],PartControl!$A$2:$E$564,2,FALSE)),0)</f>
        <v>213.88</v>
      </c>
    </row>
    <row r="958" spans="1:26" ht="25.15" hidden="1" customHeight="1" x14ac:dyDescent="0.25">
      <c r="A958" s="112">
        <v>46251.685324074075</v>
      </c>
      <c r="B958" s="5" t="s">
        <v>252</v>
      </c>
      <c r="C958" s="5">
        <v>11561645</v>
      </c>
      <c r="D958" s="5">
        <v>714428</v>
      </c>
      <c r="E958" s="33">
        <f>32-3</f>
        <v>29</v>
      </c>
      <c r="F958" s="60">
        <v>4000</v>
      </c>
      <c r="G958" s="60">
        <f>+OtherClients[[#This Row],[Boxes / Pieces]]*OtherClients[[#This Row],[Unit Quantity]]</f>
        <v>116000</v>
      </c>
      <c r="H958" s="60">
        <v>275</v>
      </c>
      <c r="I958" s="126" t="s">
        <v>278</v>
      </c>
      <c r="J958" s="127"/>
      <c r="K958" s="33" t="s">
        <v>278</v>
      </c>
      <c r="L958" s="125"/>
      <c r="M958" s="33" t="s">
        <v>278</v>
      </c>
      <c r="N958" s="125"/>
      <c r="O958" s="33" t="s">
        <v>278</v>
      </c>
      <c r="P958" s="125"/>
      <c r="Q958" s="33" t="s">
        <v>587</v>
      </c>
      <c r="R958" s="125"/>
      <c r="S958" s="33" t="s">
        <v>278</v>
      </c>
      <c r="T958" s="125"/>
      <c r="U958" s="33" t="s">
        <v>278</v>
      </c>
      <c r="V958" s="125"/>
      <c r="W958" s="59" t="s">
        <v>548</v>
      </c>
      <c r="X958" s="33" t="str">
        <f>+VLOOKUP(OtherClients[[#This Row],[Part]],PartControl!$A$2:$E$564,5,FALSE)</f>
        <v>infasco</v>
      </c>
      <c r="Y958" s="108">
        <f>IF(OtherClients[[#This Row],[Re-certified or New]]&lt;&gt;"Re-certified",IF(OtherClients[[#This Row],[Client]]="infasco",VLOOKUP(OtherClients[[#This Row],[Part]],PartControl!$A$2:$E$564,2,FALSE),OtherClients[[#This Row],[Total Quantity]]*VLOOKUP(OtherClients[[#This Row],[Part]],PartControl!$A$2:$E$564,2,FALSE)),0)</f>
        <v>106.94</v>
      </c>
      <c r="Z958" s="108">
        <f>IF(OtherClients[[#This Row],[Re-certified or New]]&lt;&gt;"Re-certified",IF(OtherClients[[#This Row],[Client]]="infasco",VLOOKUP(OtherClients[[#This Row],[Part]],PartControl!$A$2:$E$564,2,FALSE),OtherClients[[#This Row],[Total Quantity]]*VLOOKUP(OtherClients[[#This Row],[Part]],PartControl!$A$2:$E$564,2,FALSE)),0)</f>
        <v>106.94</v>
      </c>
    </row>
    <row r="959" spans="1:26" ht="25.15" hidden="1" customHeight="1" x14ac:dyDescent="0.25">
      <c r="A959" s="112">
        <v>46251.685324074075</v>
      </c>
      <c r="B959" s="5" t="s">
        <v>238</v>
      </c>
      <c r="C959" s="5">
        <v>11546463</v>
      </c>
      <c r="D959" s="5">
        <v>716598</v>
      </c>
      <c r="E959" s="33">
        <v>9</v>
      </c>
      <c r="F959" s="60">
        <v>450</v>
      </c>
      <c r="G959" s="60">
        <f>+OtherClients[[#This Row],[Boxes / Pieces]]*OtherClients[[#This Row],[Unit Quantity]]</f>
        <v>4050</v>
      </c>
      <c r="H959" s="60">
        <v>275</v>
      </c>
      <c r="I959" s="126" t="s">
        <v>278</v>
      </c>
      <c r="J959" s="127"/>
      <c r="K959" s="33" t="s">
        <v>278</v>
      </c>
      <c r="L959" s="125"/>
      <c r="M959" s="33" t="s">
        <v>278</v>
      </c>
      <c r="N959" s="125"/>
      <c r="O959" s="33" t="s">
        <v>278</v>
      </c>
      <c r="P959" s="125"/>
      <c r="Q959" s="33" t="s">
        <v>587</v>
      </c>
      <c r="R959" s="125"/>
      <c r="S959" s="33" t="s">
        <v>278</v>
      </c>
      <c r="T959" s="125"/>
      <c r="U959" s="33" t="s">
        <v>278</v>
      </c>
      <c r="V959" s="125"/>
      <c r="W959" s="59" t="s">
        <v>548</v>
      </c>
      <c r="X959" s="33" t="str">
        <f>+VLOOKUP(OtherClients[[#This Row],[Part]],PartControl!$A$2:$E$564,5,FALSE)</f>
        <v>infasco</v>
      </c>
      <c r="Y959" s="108">
        <f>IF(OtherClients[[#This Row],[Re-certified or New]]&lt;&gt;"Re-certified",IF(OtherClients[[#This Row],[Client]]="infasco",VLOOKUP(OtherClients[[#This Row],[Part]],PartControl!$A$2:$E$564,2,FALSE),OtherClients[[#This Row],[Total Quantity]]*VLOOKUP(OtherClients[[#This Row],[Part]],PartControl!$A$2:$E$564,2,FALSE)),0)</f>
        <v>106.94</v>
      </c>
      <c r="Z959" s="108">
        <f>IF(OtherClients[[#This Row],[Re-certified or New]]&lt;&gt;"Re-certified",IF(OtherClients[[#This Row],[Client]]="infasco",VLOOKUP(OtherClients[[#This Row],[Part]],PartControl!$A$2:$E$564,2,FALSE),OtherClients[[#This Row],[Total Quantity]]*VLOOKUP(OtherClients[[#This Row],[Part]],PartControl!$A$2:$E$564,2,FALSE)),0)</f>
        <v>106.94</v>
      </c>
    </row>
    <row r="960" spans="1:26" ht="25.15" hidden="1" customHeight="1" x14ac:dyDescent="0.25">
      <c r="A960" s="112">
        <v>46251.685324074075</v>
      </c>
      <c r="B960" s="5" t="s">
        <v>238</v>
      </c>
      <c r="C960" s="5">
        <v>11546463</v>
      </c>
      <c r="D960" s="5">
        <v>716600</v>
      </c>
      <c r="E960" s="33">
        <v>27</v>
      </c>
      <c r="F960" s="60">
        <v>450</v>
      </c>
      <c r="G960" s="60">
        <f>+OtherClients[[#This Row],[Boxes / Pieces]]*OtherClients[[#This Row],[Unit Quantity]]</f>
        <v>12150</v>
      </c>
      <c r="H960" s="60">
        <v>275</v>
      </c>
      <c r="I960" s="126" t="s">
        <v>278</v>
      </c>
      <c r="J960" s="127"/>
      <c r="K960" s="33" t="s">
        <v>278</v>
      </c>
      <c r="L960" s="125"/>
      <c r="M960" s="33" t="s">
        <v>278</v>
      </c>
      <c r="N960" s="125"/>
      <c r="O960" s="33" t="s">
        <v>278</v>
      </c>
      <c r="P960" s="125"/>
      <c r="Q960" s="33" t="s">
        <v>587</v>
      </c>
      <c r="R960" s="125"/>
      <c r="S960" s="33" t="s">
        <v>278</v>
      </c>
      <c r="T960" s="125"/>
      <c r="U960" s="33" t="s">
        <v>278</v>
      </c>
      <c r="V960" s="125"/>
      <c r="W960" s="59" t="s">
        <v>548</v>
      </c>
      <c r="X960" s="33" t="str">
        <f>+VLOOKUP(OtherClients[[#This Row],[Part]],PartControl!$A$2:$E$564,5,FALSE)</f>
        <v>infasco</v>
      </c>
      <c r="Y960" s="108">
        <f>IF(OtherClients[[#This Row],[Re-certified or New]]&lt;&gt;"Re-certified",IF(OtherClients[[#This Row],[Client]]="infasco",VLOOKUP(OtherClients[[#This Row],[Part]],PartControl!$A$2:$E$564,2,FALSE),OtherClients[[#This Row],[Total Quantity]]*VLOOKUP(OtherClients[[#This Row],[Part]],PartControl!$A$2:$E$564,2,FALSE)),0)</f>
        <v>106.94</v>
      </c>
      <c r="Z960" s="108">
        <f>IF(OtherClients[[#This Row],[Re-certified or New]]&lt;&gt;"Re-certified",IF(OtherClients[[#This Row],[Client]]="infasco",VLOOKUP(OtherClients[[#This Row],[Part]],PartControl!$A$2:$E$564,2,FALSE),OtherClients[[#This Row],[Total Quantity]]*VLOOKUP(OtherClients[[#This Row],[Part]],PartControl!$A$2:$E$564,2,FALSE)),0)</f>
        <v>106.94</v>
      </c>
    </row>
    <row r="961" spans="1:26" ht="25.15" hidden="1" customHeight="1" x14ac:dyDescent="0.25">
      <c r="A961" s="112">
        <v>46251.685324074075</v>
      </c>
      <c r="B961" s="5" t="s">
        <v>238</v>
      </c>
      <c r="C961" s="5">
        <v>11546463</v>
      </c>
      <c r="D961" s="5">
        <v>716597</v>
      </c>
      <c r="E961" s="33">
        <v>42</v>
      </c>
      <c r="F961" s="60">
        <v>450</v>
      </c>
      <c r="G961" s="60">
        <f>+OtherClients[[#This Row],[Boxes / Pieces]]*OtherClients[[#This Row],[Unit Quantity]]</f>
        <v>18900</v>
      </c>
      <c r="H961" s="60">
        <v>275</v>
      </c>
      <c r="I961" s="126" t="s">
        <v>278</v>
      </c>
      <c r="J961" s="127"/>
      <c r="K961" s="33" t="s">
        <v>278</v>
      </c>
      <c r="L961" s="125"/>
      <c r="M961" s="33" t="s">
        <v>278</v>
      </c>
      <c r="N961" s="125"/>
      <c r="O961" s="33" t="s">
        <v>278</v>
      </c>
      <c r="P961" s="125"/>
      <c r="Q961" s="33" t="s">
        <v>587</v>
      </c>
      <c r="R961" s="125"/>
      <c r="S961" s="33" t="s">
        <v>278</v>
      </c>
      <c r="T961" s="125"/>
      <c r="U961" s="33" t="s">
        <v>278</v>
      </c>
      <c r="V961" s="125"/>
      <c r="W961" s="59" t="s">
        <v>548</v>
      </c>
      <c r="X961" s="33" t="str">
        <f>+VLOOKUP(OtherClients[[#This Row],[Part]],PartControl!$A$2:$E$564,5,FALSE)</f>
        <v>infasco</v>
      </c>
      <c r="Y961" s="108">
        <f>IF(OtherClients[[#This Row],[Re-certified or New]]&lt;&gt;"Re-certified",IF(OtherClients[[#This Row],[Client]]="infasco",VLOOKUP(OtherClients[[#This Row],[Part]],PartControl!$A$2:$E$564,2,FALSE),OtherClients[[#This Row],[Total Quantity]]*VLOOKUP(OtherClients[[#This Row],[Part]],PartControl!$A$2:$E$564,2,FALSE)),0)</f>
        <v>106.94</v>
      </c>
      <c r="Z961" s="108">
        <f>IF(OtherClients[[#This Row],[Re-certified or New]]&lt;&gt;"Re-certified",IF(OtherClients[[#This Row],[Client]]="infasco",VLOOKUP(OtherClients[[#This Row],[Part]],PartControl!$A$2:$E$564,2,FALSE),OtherClients[[#This Row],[Total Quantity]]*VLOOKUP(OtherClients[[#This Row],[Part]],PartControl!$A$2:$E$564,2,FALSE)),0)</f>
        <v>106.94</v>
      </c>
    </row>
    <row r="962" spans="1:26" ht="25.15" hidden="1" customHeight="1" x14ac:dyDescent="0.25">
      <c r="A962" s="112">
        <v>46251.685324074075</v>
      </c>
      <c r="B962" s="5" t="s">
        <v>238</v>
      </c>
      <c r="C962" s="5">
        <v>11549170</v>
      </c>
      <c r="D962" s="5">
        <v>714640</v>
      </c>
      <c r="E962" s="33">
        <v>12</v>
      </c>
      <c r="F962" s="60">
        <v>400</v>
      </c>
      <c r="G962" s="60">
        <f>+OtherClients[[#This Row],[Boxes / Pieces]]*OtherClients[[#This Row],[Unit Quantity]]</f>
        <v>4800</v>
      </c>
      <c r="H962" s="60">
        <v>275</v>
      </c>
      <c r="I962" s="126" t="s">
        <v>278</v>
      </c>
      <c r="J962" s="127"/>
      <c r="K962" s="33" t="s">
        <v>278</v>
      </c>
      <c r="L962" s="125"/>
      <c r="M962" s="33" t="s">
        <v>278</v>
      </c>
      <c r="N962" s="125"/>
      <c r="O962" s="33" t="s">
        <v>278</v>
      </c>
      <c r="P962" s="125"/>
      <c r="Q962" s="33" t="s">
        <v>587</v>
      </c>
      <c r="R962" s="125"/>
      <c r="S962" s="33" t="s">
        <v>278</v>
      </c>
      <c r="T962" s="125"/>
      <c r="U962" s="33" t="s">
        <v>278</v>
      </c>
      <c r="V962" s="125"/>
      <c r="W962" s="59" t="s">
        <v>633</v>
      </c>
      <c r="X962" s="33" t="str">
        <f>+VLOOKUP(OtherClients[[#This Row],[Part]],PartControl!$A$2:$E$564,5,FALSE)</f>
        <v>INFASCO</v>
      </c>
      <c r="Y962" s="108">
        <f>IF(OtherClients[[#This Row],[Re-certified or New]]&lt;&gt;"Re-certified",IF(OtherClients[[#This Row],[Client]]="infasco",VLOOKUP(OtherClients[[#This Row],[Part]],PartControl!$A$2:$E$564,2,FALSE),OtherClients[[#This Row],[Total Quantity]]*VLOOKUP(OtherClients[[#This Row],[Part]],PartControl!$A$2:$E$564,2,FALSE)),0)</f>
        <v>0</v>
      </c>
      <c r="Z962" s="108">
        <f>IF(OtherClients[[#This Row],[Re-certified or New]]&lt;&gt;"Re-certified",IF(OtherClients[[#This Row],[Client]]="infasco",VLOOKUP(OtherClients[[#This Row],[Part]],PartControl!$A$2:$E$564,2,FALSE),OtherClients[[#This Row],[Total Quantity]]*VLOOKUP(OtherClients[[#This Row],[Part]],PartControl!$A$2:$E$564,2,FALSE)),0)</f>
        <v>0</v>
      </c>
    </row>
    <row r="963" spans="1:26" ht="25.15" hidden="1" customHeight="1" x14ac:dyDescent="0.25">
      <c r="A963" s="112">
        <v>46251.685324074075</v>
      </c>
      <c r="B963" s="5" t="s">
        <v>233</v>
      </c>
      <c r="C963" s="5">
        <v>11546545</v>
      </c>
      <c r="D963" s="5">
        <v>716262</v>
      </c>
      <c r="E963" s="33">
        <f>36-24</f>
        <v>12</v>
      </c>
      <c r="F963" s="60">
        <v>2500</v>
      </c>
      <c r="G963" s="60">
        <f>+OtherClients[[#This Row],[Boxes / Pieces]]*OtherClients[[#This Row],[Unit Quantity]]</f>
        <v>30000</v>
      </c>
      <c r="H963" s="60">
        <v>275</v>
      </c>
      <c r="I963" s="126" t="s">
        <v>278</v>
      </c>
      <c r="J963" s="127"/>
      <c r="K963" s="33" t="s">
        <v>278</v>
      </c>
      <c r="L963" s="125"/>
      <c r="M963" s="33" t="s">
        <v>278</v>
      </c>
      <c r="N963" s="125"/>
      <c r="O963" s="33" t="s">
        <v>278</v>
      </c>
      <c r="P963" s="125"/>
      <c r="Q963" s="33" t="s">
        <v>587</v>
      </c>
      <c r="R963" s="125"/>
      <c r="S963" s="33" t="s">
        <v>278</v>
      </c>
      <c r="T963" s="125"/>
      <c r="U963" s="33" t="s">
        <v>278</v>
      </c>
      <c r="V963" s="125"/>
      <c r="W963" s="59" t="s">
        <v>548</v>
      </c>
      <c r="X963" s="33" t="str">
        <f>+VLOOKUP(OtherClients[[#This Row],[Part]],PartControl!$A$2:$E$564,5,FALSE)</f>
        <v>infasco</v>
      </c>
      <c r="Y963" s="108">
        <f>IF(OtherClients[[#This Row],[Re-certified or New]]&lt;&gt;"Re-certified",IF(OtherClients[[#This Row],[Client]]="infasco",VLOOKUP(OtherClients[[#This Row],[Part]],PartControl!$A$2:$E$564,2,FALSE),OtherClients[[#This Row],[Total Quantity]]*VLOOKUP(OtherClients[[#This Row],[Part]],PartControl!$A$2:$E$564,2,FALSE)),0)</f>
        <v>106.94</v>
      </c>
      <c r="Z963" s="108">
        <f>IF(OtherClients[[#This Row],[Re-certified or New]]&lt;&gt;"Re-certified",IF(OtherClients[[#This Row],[Client]]="infasco",VLOOKUP(OtherClients[[#This Row],[Part]],PartControl!$A$2:$E$564,2,FALSE),OtherClients[[#This Row],[Total Quantity]]*VLOOKUP(OtherClients[[#This Row],[Part]],PartControl!$A$2:$E$564,2,FALSE)),0)</f>
        <v>106.94</v>
      </c>
    </row>
    <row r="964" spans="1:26" ht="25.15" hidden="1" customHeight="1" x14ac:dyDescent="0.25">
      <c r="A964" s="112">
        <v>46251.685324074075</v>
      </c>
      <c r="B964" s="5" t="s">
        <v>233</v>
      </c>
      <c r="C964" s="5" t="s">
        <v>663</v>
      </c>
      <c r="D964" s="5">
        <v>714690</v>
      </c>
      <c r="E964" s="33">
        <v>18</v>
      </c>
      <c r="F964" s="60">
        <v>3000</v>
      </c>
      <c r="G964" s="60">
        <f>+OtherClients[[#This Row],[Boxes / Pieces]]*OtherClients[[#This Row],[Unit Quantity]]</f>
        <v>54000</v>
      </c>
      <c r="H964" s="60">
        <v>275</v>
      </c>
      <c r="I964" s="126" t="s">
        <v>278</v>
      </c>
      <c r="J964" s="127"/>
      <c r="K964" s="33" t="s">
        <v>278</v>
      </c>
      <c r="L964" s="125"/>
      <c r="M964" s="33" t="s">
        <v>278</v>
      </c>
      <c r="N964" s="125"/>
      <c r="O964" s="33" t="s">
        <v>278</v>
      </c>
      <c r="P964" s="125"/>
      <c r="Q964" s="33" t="s">
        <v>587</v>
      </c>
      <c r="R964" s="125"/>
      <c r="S964" s="33" t="s">
        <v>278</v>
      </c>
      <c r="T964" s="125"/>
      <c r="U964" s="33" t="s">
        <v>278</v>
      </c>
      <c r="V964" s="125"/>
      <c r="W964" s="59" t="s">
        <v>633</v>
      </c>
      <c r="X964" s="33" t="str">
        <f>+VLOOKUP(OtherClients[[#This Row],[Part]],PartControl!$A$2:$E$564,5,FALSE)</f>
        <v>infasco</v>
      </c>
      <c r="Y964" s="108">
        <f>IF(OtherClients[[#This Row],[Re-certified or New]]&lt;&gt;"Re-certified",IF(OtherClients[[#This Row],[Client]]="infasco",VLOOKUP(OtherClients[[#This Row],[Part]],PartControl!$A$2:$E$564,2,FALSE),OtherClients[[#This Row],[Total Quantity]]*VLOOKUP(OtherClients[[#This Row],[Part]],PartControl!$A$2:$E$564,2,FALSE)),0)</f>
        <v>0</v>
      </c>
      <c r="Z964" s="108">
        <f>IF(OtherClients[[#This Row],[Re-certified or New]]&lt;&gt;"Re-certified",IF(OtherClients[[#This Row],[Client]]="infasco",VLOOKUP(OtherClients[[#This Row],[Part]],PartControl!$A$2:$E$564,2,FALSE),OtherClients[[#This Row],[Total Quantity]]*VLOOKUP(OtherClients[[#This Row],[Part]],PartControl!$A$2:$E$564,2,FALSE)),0)</f>
        <v>0</v>
      </c>
    </row>
    <row r="965" spans="1:26" ht="25.15" hidden="1" customHeight="1" x14ac:dyDescent="0.25">
      <c r="A965" s="112">
        <v>46251.685324074075</v>
      </c>
      <c r="B965" s="5" t="s">
        <v>234</v>
      </c>
      <c r="C965" s="5">
        <v>11546545</v>
      </c>
      <c r="D965" s="5">
        <v>716260</v>
      </c>
      <c r="E965" s="33">
        <f>36-18</f>
        <v>18</v>
      </c>
      <c r="F965" s="60">
        <v>2500</v>
      </c>
      <c r="G965" s="60">
        <f>+OtherClients[[#This Row],[Boxes / Pieces]]*OtherClients[[#This Row],[Unit Quantity]]</f>
        <v>45000</v>
      </c>
      <c r="H965" s="60">
        <v>275</v>
      </c>
      <c r="I965" s="126" t="s">
        <v>278</v>
      </c>
      <c r="J965" s="127"/>
      <c r="K965" s="33" t="s">
        <v>278</v>
      </c>
      <c r="L965" s="125"/>
      <c r="M965" s="33" t="s">
        <v>278</v>
      </c>
      <c r="N965" s="125"/>
      <c r="O965" s="33" t="s">
        <v>278</v>
      </c>
      <c r="P965" s="125"/>
      <c r="Q965" s="33" t="s">
        <v>587</v>
      </c>
      <c r="R965" s="125"/>
      <c r="S965" s="33" t="s">
        <v>278</v>
      </c>
      <c r="T965" s="125"/>
      <c r="U965" s="33" t="s">
        <v>278</v>
      </c>
      <c r="V965" s="125"/>
      <c r="W965" s="59" t="s">
        <v>548</v>
      </c>
      <c r="X965" s="33" t="str">
        <f>+VLOOKUP(OtherClients[[#This Row],[Part]],PartControl!$A$2:$E$564,5,FALSE)</f>
        <v>infasco</v>
      </c>
      <c r="Y965" s="108">
        <f>IF(OtherClients[[#This Row],[Re-certified or New]]&lt;&gt;"Re-certified",IF(OtherClients[[#This Row],[Client]]="infasco",VLOOKUP(OtherClients[[#This Row],[Part]],PartControl!$A$2:$E$564,2,FALSE),OtherClients[[#This Row],[Total Quantity]]*VLOOKUP(OtherClients[[#This Row],[Part]],PartControl!$A$2:$E$564,2,FALSE)),0)</f>
        <v>106.94</v>
      </c>
      <c r="Z965" s="108">
        <f>IF(OtherClients[[#This Row],[Re-certified or New]]&lt;&gt;"Re-certified",IF(OtherClients[[#This Row],[Client]]="infasco",VLOOKUP(OtherClients[[#This Row],[Part]],PartControl!$A$2:$E$564,2,FALSE),OtherClients[[#This Row],[Total Quantity]]*VLOOKUP(OtherClients[[#This Row],[Part]],PartControl!$A$2:$E$564,2,FALSE)),0)</f>
        <v>106.94</v>
      </c>
    </row>
    <row r="966" spans="1:26" ht="25.15" hidden="1" customHeight="1" x14ac:dyDescent="0.25">
      <c r="A966" s="112">
        <v>46251.685324074075</v>
      </c>
      <c r="B966" s="5" t="s">
        <v>234</v>
      </c>
      <c r="C966" s="5">
        <v>11546449</v>
      </c>
      <c r="D966" s="5">
        <v>716282</v>
      </c>
      <c r="E966" s="33">
        <v>18</v>
      </c>
      <c r="F966" s="60">
        <v>2500</v>
      </c>
      <c r="G966" s="60">
        <f>+OtherClients[[#This Row],[Boxes / Pieces]]*OtherClients[[#This Row],[Unit Quantity]]</f>
        <v>45000</v>
      </c>
      <c r="H966" s="60">
        <v>275</v>
      </c>
      <c r="I966" s="126" t="s">
        <v>278</v>
      </c>
      <c r="J966" s="127"/>
      <c r="K966" s="33" t="s">
        <v>278</v>
      </c>
      <c r="L966" s="125"/>
      <c r="M966" s="33" t="s">
        <v>278</v>
      </c>
      <c r="N966" s="125"/>
      <c r="O966" s="33" t="s">
        <v>278</v>
      </c>
      <c r="P966" s="125"/>
      <c r="Q966" s="33" t="s">
        <v>587</v>
      </c>
      <c r="R966" s="125"/>
      <c r="S966" s="33" t="s">
        <v>278</v>
      </c>
      <c r="T966" s="125"/>
      <c r="U966" s="33" t="s">
        <v>278</v>
      </c>
      <c r="V966" s="125"/>
      <c r="W966" s="59" t="s">
        <v>633</v>
      </c>
      <c r="X966" s="33" t="str">
        <f>+VLOOKUP(OtherClients[[#This Row],[Part]],PartControl!$A$2:$E$564,5,FALSE)</f>
        <v>INFASCO</v>
      </c>
      <c r="Y966" s="108">
        <f>IF(OtherClients[[#This Row],[Re-certified or New]]&lt;&gt;"Re-certified",IF(OtherClients[[#This Row],[Client]]="infasco",VLOOKUP(OtherClients[[#This Row],[Part]],PartControl!$A$2:$E$564,2,FALSE),OtherClients[[#This Row],[Total Quantity]]*VLOOKUP(OtherClients[[#This Row],[Part]],PartControl!$A$2:$E$564,2,FALSE)),0)</f>
        <v>0</v>
      </c>
      <c r="Z966" s="108">
        <f>IF(OtherClients[[#This Row],[Re-certified or New]]&lt;&gt;"Re-certified",IF(OtherClients[[#This Row],[Client]]="infasco",VLOOKUP(OtherClients[[#This Row],[Part]],PartControl!$A$2:$E$564,2,FALSE),OtherClients[[#This Row],[Total Quantity]]*VLOOKUP(OtherClients[[#This Row],[Part]],PartControl!$A$2:$E$564,2,FALSE)),0)</f>
        <v>0</v>
      </c>
    </row>
    <row r="967" spans="1:26" ht="25.15" hidden="1" customHeight="1" x14ac:dyDescent="0.25">
      <c r="A967" s="112">
        <v>46251.685324074075</v>
      </c>
      <c r="B967" s="5" t="s">
        <v>232</v>
      </c>
      <c r="C967" s="5">
        <v>11546545</v>
      </c>
      <c r="D967" s="5">
        <v>716265</v>
      </c>
      <c r="E967" s="33">
        <f>30-9</f>
        <v>21</v>
      </c>
      <c r="F967" s="60">
        <v>2500</v>
      </c>
      <c r="G967" s="60">
        <f>+OtherClients[[#This Row],[Boxes / Pieces]]*OtherClients[[#This Row],[Unit Quantity]]</f>
        <v>52500</v>
      </c>
      <c r="H967" s="60">
        <v>275</v>
      </c>
      <c r="I967" s="126" t="s">
        <v>278</v>
      </c>
      <c r="J967" s="127"/>
      <c r="K967" s="33" t="s">
        <v>278</v>
      </c>
      <c r="L967" s="125"/>
      <c r="M967" s="33" t="s">
        <v>278</v>
      </c>
      <c r="N967" s="125"/>
      <c r="O967" s="33" t="s">
        <v>278</v>
      </c>
      <c r="P967" s="125"/>
      <c r="Q967" s="33" t="s">
        <v>587</v>
      </c>
      <c r="R967" s="125"/>
      <c r="S967" s="33" t="s">
        <v>278</v>
      </c>
      <c r="T967" s="125"/>
      <c r="U967" s="33" t="s">
        <v>278</v>
      </c>
      <c r="V967" s="125"/>
      <c r="W967" s="59" t="s">
        <v>548</v>
      </c>
      <c r="X967" s="33" t="str">
        <f>+VLOOKUP(OtherClients[[#This Row],[Part]],PartControl!$A$2:$E$564,5,FALSE)</f>
        <v>infasco</v>
      </c>
      <c r="Y967" s="108">
        <f>IF(OtherClients[[#This Row],[Re-certified or New]]&lt;&gt;"Re-certified",IF(OtherClients[[#This Row],[Client]]="infasco",VLOOKUP(OtherClients[[#This Row],[Part]],PartControl!$A$2:$E$564,2,FALSE),OtherClients[[#This Row],[Total Quantity]]*VLOOKUP(OtherClients[[#This Row],[Part]],PartControl!$A$2:$E$564,2,FALSE)),0)</f>
        <v>106.94</v>
      </c>
      <c r="Z967" s="108">
        <f>IF(OtherClients[[#This Row],[Re-certified or New]]&lt;&gt;"Re-certified",IF(OtherClients[[#This Row],[Client]]="infasco",VLOOKUP(OtherClients[[#This Row],[Part]],PartControl!$A$2:$E$564,2,FALSE),OtherClients[[#This Row],[Total Quantity]]*VLOOKUP(OtherClients[[#This Row],[Part]],PartControl!$A$2:$E$564,2,FALSE)),0)</f>
        <v>106.94</v>
      </c>
    </row>
    <row r="968" spans="1:26" ht="25.15" hidden="1" customHeight="1" x14ac:dyDescent="0.25">
      <c r="A968" s="112">
        <v>46251.685324074075</v>
      </c>
      <c r="B968" s="5" t="s">
        <v>232</v>
      </c>
      <c r="C968" s="5">
        <v>11546449</v>
      </c>
      <c r="D968" s="5">
        <v>716273</v>
      </c>
      <c r="E968" s="33">
        <v>22</v>
      </c>
      <c r="F968" s="60">
        <v>2500</v>
      </c>
      <c r="G968" s="60">
        <f>+OtherClients[[#This Row],[Boxes / Pieces]]*OtherClients[[#This Row],[Unit Quantity]]</f>
        <v>55000</v>
      </c>
      <c r="H968" s="60">
        <v>275</v>
      </c>
      <c r="I968" s="126" t="s">
        <v>278</v>
      </c>
      <c r="J968" s="127"/>
      <c r="K968" s="33" t="s">
        <v>278</v>
      </c>
      <c r="L968" s="125"/>
      <c r="M968" s="33" t="s">
        <v>278</v>
      </c>
      <c r="N968" s="125"/>
      <c r="O968" s="33" t="s">
        <v>278</v>
      </c>
      <c r="P968" s="125"/>
      <c r="Q968" s="33" t="s">
        <v>587</v>
      </c>
      <c r="R968" s="125"/>
      <c r="S968" s="33" t="s">
        <v>278</v>
      </c>
      <c r="T968" s="125"/>
      <c r="U968" s="33" t="s">
        <v>278</v>
      </c>
      <c r="V968" s="125"/>
      <c r="W968" s="59" t="s">
        <v>633</v>
      </c>
      <c r="X968" s="33" t="str">
        <f>+VLOOKUP(OtherClients[[#This Row],[Part]],PartControl!$A$2:$E$564,5,FALSE)</f>
        <v>INFASCO</v>
      </c>
      <c r="Y968" s="108">
        <f>IF(OtherClients[[#This Row],[Re-certified or New]]&lt;&gt;"Re-certified",IF(OtherClients[[#This Row],[Client]]="infasco",VLOOKUP(OtherClients[[#This Row],[Part]],PartControl!$A$2:$E$564,2,FALSE),OtherClients[[#This Row],[Total Quantity]]*VLOOKUP(OtherClients[[#This Row],[Part]],PartControl!$A$2:$E$564,2,FALSE)),0)</f>
        <v>0</v>
      </c>
      <c r="Z968" s="108">
        <f>IF(OtherClients[[#This Row],[Re-certified or New]]&lt;&gt;"Re-certified",IF(OtherClients[[#This Row],[Client]]="infasco",VLOOKUP(OtherClients[[#This Row],[Part]],PartControl!$A$2:$E$564,2,FALSE),OtherClients[[#This Row],[Total Quantity]]*VLOOKUP(OtherClients[[#This Row],[Part]],PartControl!$A$2:$E$564,2,FALSE)),0)</f>
        <v>0</v>
      </c>
    </row>
    <row r="969" spans="1:26" ht="25.15" hidden="1" customHeight="1" x14ac:dyDescent="0.25">
      <c r="A969" s="112">
        <v>46251.685324074075</v>
      </c>
      <c r="B969" s="5" t="s">
        <v>242</v>
      </c>
      <c r="C969" s="5">
        <v>11549168</v>
      </c>
      <c r="D969" s="5">
        <v>714305</v>
      </c>
      <c r="E969" s="33">
        <f>44-12</f>
        <v>32</v>
      </c>
      <c r="F969" s="60">
        <v>1000</v>
      </c>
      <c r="G969" s="60">
        <f>+OtherClients[[#This Row],[Boxes / Pieces]]*OtherClients[[#This Row],[Unit Quantity]]</f>
        <v>32000</v>
      </c>
      <c r="H969" s="60">
        <v>275</v>
      </c>
      <c r="I969" s="126" t="s">
        <v>278</v>
      </c>
      <c r="J969" s="127"/>
      <c r="K969" s="33" t="s">
        <v>278</v>
      </c>
      <c r="L969" s="125"/>
      <c r="M969" s="33" t="s">
        <v>278</v>
      </c>
      <c r="N969" s="125"/>
      <c r="O969" s="33" t="s">
        <v>278</v>
      </c>
      <c r="P969" s="125"/>
      <c r="Q969" s="33" t="s">
        <v>587</v>
      </c>
      <c r="R969" s="125"/>
      <c r="S969" s="33" t="s">
        <v>278</v>
      </c>
      <c r="T969" s="125"/>
      <c r="U969" s="33" t="s">
        <v>278</v>
      </c>
      <c r="V969" s="125"/>
      <c r="W969" s="59" t="s">
        <v>548</v>
      </c>
      <c r="X969" s="33" t="str">
        <f>+VLOOKUP(OtherClients[[#This Row],[Part]],PartControl!$A$2:$E$564,5,FALSE)</f>
        <v>INFASCO</v>
      </c>
      <c r="Y969" s="108">
        <f>IF(OtherClients[[#This Row],[Re-certified or New]]&lt;&gt;"Re-certified",IF(OtherClients[[#This Row],[Client]]="infasco",VLOOKUP(OtherClients[[#This Row],[Part]],PartControl!$A$2:$E$564,2,FALSE),OtherClients[[#This Row],[Total Quantity]]*VLOOKUP(OtherClients[[#This Row],[Part]],PartControl!$A$2:$E$564,2,FALSE)),0)</f>
        <v>106.94</v>
      </c>
      <c r="Z969" s="108">
        <f>IF(OtherClients[[#This Row],[Re-certified or New]]&lt;&gt;"Re-certified",IF(OtherClients[[#This Row],[Client]]="infasco",VLOOKUP(OtherClients[[#This Row],[Part]],PartControl!$A$2:$E$564,2,FALSE),OtherClients[[#This Row],[Total Quantity]]*VLOOKUP(OtherClients[[#This Row],[Part]],PartControl!$A$2:$E$564,2,FALSE)),0)</f>
        <v>106.94</v>
      </c>
    </row>
    <row r="970" spans="1:26" ht="25.15" hidden="1" customHeight="1" x14ac:dyDescent="0.25">
      <c r="A970" s="112">
        <v>46251.685324074075</v>
      </c>
      <c r="B970" s="5" t="s">
        <v>242</v>
      </c>
      <c r="C970" s="5">
        <v>11549170</v>
      </c>
      <c r="D970" s="5">
        <v>715782</v>
      </c>
      <c r="E970" s="33">
        <v>36</v>
      </c>
      <c r="F970" s="60">
        <v>400</v>
      </c>
      <c r="G970" s="60">
        <f>+OtherClients[[#This Row],[Boxes / Pieces]]*OtherClients[[#This Row],[Unit Quantity]]</f>
        <v>14400</v>
      </c>
      <c r="H970" s="60">
        <v>275</v>
      </c>
      <c r="I970" s="126" t="s">
        <v>278</v>
      </c>
      <c r="J970" s="127"/>
      <c r="K970" s="33" t="s">
        <v>278</v>
      </c>
      <c r="L970" s="125"/>
      <c r="M970" s="33" t="s">
        <v>278</v>
      </c>
      <c r="N970" s="125"/>
      <c r="O970" s="33" t="s">
        <v>278</v>
      </c>
      <c r="P970" s="125"/>
      <c r="Q970" s="33" t="s">
        <v>587</v>
      </c>
      <c r="R970" s="125"/>
      <c r="S970" s="33" t="s">
        <v>278</v>
      </c>
      <c r="T970" s="125"/>
      <c r="U970" s="33" t="s">
        <v>278</v>
      </c>
      <c r="V970" s="125"/>
      <c r="W970" s="59" t="s">
        <v>548</v>
      </c>
      <c r="X970" s="33" t="str">
        <f>+VLOOKUP(OtherClients[[#This Row],[Part]],PartControl!$A$2:$E$564,5,FALSE)</f>
        <v>INFASCO</v>
      </c>
      <c r="Y970" s="108">
        <f>IF(OtherClients[[#This Row],[Re-certified or New]]&lt;&gt;"Re-certified",IF(OtherClients[[#This Row],[Client]]="infasco",VLOOKUP(OtherClients[[#This Row],[Part]],PartControl!$A$2:$E$564,2,FALSE),OtherClients[[#This Row],[Total Quantity]]*VLOOKUP(OtherClients[[#This Row],[Part]],PartControl!$A$2:$E$564,2,FALSE)),0)</f>
        <v>106.94</v>
      </c>
      <c r="Z970" s="108">
        <f>IF(OtherClients[[#This Row],[Re-certified or New]]&lt;&gt;"Re-certified",IF(OtherClients[[#This Row],[Client]]="infasco",VLOOKUP(OtherClients[[#This Row],[Part]],PartControl!$A$2:$E$564,2,FALSE),OtherClients[[#This Row],[Total Quantity]]*VLOOKUP(OtherClients[[#This Row],[Part]],PartControl!$A$2:$E$564,2,FALSE)),0)</f>
        <v>106.94</v>
      </c>
    </row>
    <row r="971" spans="1:26" ht="25.15" hidden="1" customHeight="1" x14ac:dyDescent="0.25">
      <c r="A971" s="112">
        <v>46251.685324074075</v>
      </c>
      <c r="B971" s="5" t="s">
        <v>863</v>
      </c>
      <c r="C971" s="5" t="s">
        <v>835</v>
      </c>
      <c r="D971" s="5">
        <v>715866</v>
      </c>
      <c r="E971" s="33">
        <f>27-10</f>
        <v>17</v>
      </c>
      <c r="F971" s="60">
        <v>660</v>
      </c>
      <c r="G971" s="60">
        <f>+OtherClients[[#This Row],[Boxes / Pieces]]*OtherClients[[#This Row],[Unit Quantity]]</f>
        <v>11220</v>
      </c>
      <c r="H971" s="60">
        <v>275</v>
      </c>
      <c r="I971" s="126" t="s">
        <v>278</v>
      </c>
      <c r="J971" s="127"/>
      <c r="K971" s="33" t="s">
        <v>278</v>
      </c>
      <c r="L971" s="125"/>
      <c r="M971" s="33" t="s">
        <v>278</v>
      </c>
      <c r="N971" s="125"/>
      <c r="O971" s="33" t="s">
        <v>278</v>
      </c>
      <c r="P971" s="125"/>
      <c r="Q971" s="33" t="s">
        <v>587</v>
      </c>
      <c r="R971" s="125"/>
      <c r="S971" s="33" t="s">
        <v>278</v>
      </c>
      <c r="T971" s="125"/>
      <c r="U971" s="33" t="s">
        <v>278</v>
      </c>
      <c r="V971" s="125"/>
      <c r="W971" s="59" t="s">
        <v>548</v>
      </c>
      <c r="X971" s="33" t="str">
        <f>+VLOOKUP(OtherClients[[#This Row],[Part]],PartControl!$A$2:$E$564,5,FALSE)</f>
        <v>infasco</v>
      </c>
      <c r="Y971" s="108">
        <f>IF(OtherClients[[#This Row],[Re-certified or New]]&lt;&gt;"Re-certified",IF(OtherClients[[#This Row],[Client]]="infasco",VLOOKUP(OtherClients[[#This Row],[Part]],PartControl!$A$2:$E$564,2,FALSE),OtherClients[[#This Row],[Total Quantity]]*VLOOKUP(OtherClients[[#This Row],[Part]],PartControl!$A$2:$E$564,2,FALSE)),0)</f>
        <v>135.08000000000001</v>
      </c>
      <c r="Z971" s="108">
        <f>IF(OtherClients[[#This Row],[Re-certified or New]]&lt;&gt;"Re-certified",IF(OtherClients[[#This Row],[Client]]="infasco",VLOOKUP(OtherClients[[#This Row],[Part]],PartControl!$A$2:$E$564,2,FALSE),OtherClients[[#This Row],[Total Quantity]]*VLOOKUP(OtherClients[[#This Row],[Part]],PartControl!$A$2:$E$564,2,FALSE)),0)</f>
        <v>135.08000000000001</v>
      </c>
    </row>
    <row r="972" spans="1:26" ht="25.15" hidden="1" customHeight="1" x14ac:dyDescent="0.25">
      <c r="A972" s="112">
        <v>46251.685324074075</v>
      </c>
      <c r="B972" s="5" t="s">
        <v>863</v>
      </c>
      <c r="C972" s="5" t="s">
        <v>835</v>
      </c>
      <c r="D972" s="5">
        <v>715865</v>
      </c>
      <c r="E972" s="33">
        <v>12</v>
      </c>
      <c r="F972" s="60">
        <v>660</v>
      </c>
      <c r="G972" s="60">
        <f>+OtherClients[[#This Row],[Boxes / Pieces]]*OtherClients[[#This Row],[Unit Quantity]]</f>
        <v>7920</v>
      </c>
      <c r="H972" s="60">
        <v>275</v>
      </c>
      <c r="I972" s="126" t="s">
        <v>278</v>
      </c>
      <c r="J972" s="127"/>
      <c r="K972" s="33" t="s">
        <v>278</v>
      </c>
      <c r="L972" s="125"/>
      <c r="M972" s="33" t="s">
        <v>278</v>
      </c>
      <c r="N972" s="125"/>
      <c r="O972" s="33" t="s">
        <v>278</v>
      </c>
      <c r="P972" s="125"/>
      <c r="Q972" s="33" t="s">
        <v>587</v>
      </c>
      <c r="R972" s="125"/>
      <c r="S972" s="33" t="s">
        <v>278</v>
      </c>
      <c r="T972" s="125"/>
      <c r="U972" s="33" t="s">
        <v>278</v>
      </c>
      <c r="V972" s="125"/>
      <c r="W972" s="59" t="s">
        <v>633</v>
      </c>
      <c r="X972" s="33" t="str">
        <f>+VLOOKUP(OtherClients[[#This Row],[Part]],PartControl!$A$2:$E$564,5,FALSE)</f>
        <v>infasco</v>
      </c>
      <c r="Y972" s="108">
        <f>IF(OtherClients[[#This Row],[Re-certified or New]]&lt;&gt;"Re-certified",IF(OtherClients[[#This Row],[Client]]="infasco",VLOOKUP(OtherClients[[#This Row],[Part]],PartControl!$A$2:$E$564,2,FALSE),OtherClients[[#This Row],[Total Quantity]]*VLOOKUP(OtherClients[[#This Row],[Part]],PartControl!$A$2:$E$564,2,FALSE)),0)</f>
        <v>0</v>
      </c>
      <c r="Z972" s="108">
        <f>IF(OtherClients[[#This Row],[Re-certified or New]]&lt;&gt;"Re-certified",IF(OtherClients[[#This Row],[Client]]="infasco",VLOOKUP(OtherClients[[#This Row],[Part]],PartControl!$A$2:$E$564,2,FALSE),OtherClients[[#This Row],[Total Quantity]]*VLOOKUP(OtherClients[[#This Row],[Part]],PartControl!$A$2:$E$564,2,FALSE)),0)</f>
        <v>0</v>
      </c>
    </row>
    <row r="973" spans="1:26" ht="25.15" hidden="1" customHeight="1" x14ac:dyDescent="0.25">
      <c r="A973" s="112">
        <v>46251.685324074075</v>
      </c>
      <c r="B973" s="5" t="s">
        <v>236</v>
      </c>
      <c r="C973" s="5">
        <v>11546545</v>
      </c>
      <c r="D973" s="5">
        <v>716263</v>
      </c>
      <c r="E973" s="33">
        <f>36+3-21</f>
        <v>18</v>
      </c>
      <c r="F973" s="60">
        <v>2500</v>
      </c>
      <c r="G973" s="60">
        <f>+OtherClients[[#This Row],[Boxes / Pieces]]*OtherClients[[#This Row],[Unit Quantity]]</f>
        <v>45000</v>
      </c>
      <c r="H973" s="60">
        <v>290</v>
      </c>
      <c r="I973" s="126" t="s">
        <v>278</v>
      </c>
      <c r="J973" s="127"/>
      <c r="K973" s="33" t="s">
        <v>278</v>
      </c>
      <c r="L973" s="125"/>
      <c r="M973" s="33" t="s">
        <v>278</v>
      </c>
      <c r="N973" s="125"/>
      <c r="O973" s="33" t="s">
        <v>278</v>
      </c>
      <c r="P973" s="125"/>
      <c r="Q973" s="33" t="s">
        <v>587</v>
      </c>
      <c r="R973" s="125"/>
      <c r="S973" s="33" t="s">
        <v>278</v>
      </c>
      <c r="T973" s="125"/>
      <c r="U973" s="33" t="s">
        <v>278</v>
      </c>
      <c r="V973" s="125"/>
      <c r="W973" s="59" t="s">
        <v>548</v>
      </c>
      <c r="X973" s="33" t="str">
        <f>+VLOOKUP(OtherClients[[#This Row],[Part]],PartControl!$A$2:$E$564,5,FALSE)</f>
        <v>infasco</v>
      </c>
      <c r="Y973" s="108">
        <f>IF(OtherClients[[#This Row],[Re-certified or New]]&lt;&gt;"Re-certified",IF(OtherClients[[#This Row],[Client]]="infasco",VLOOKUP(OtherClients[[#This Row],[Part]],PartControl!$A$2:$E$564,2,FALSE),OtherClients[[#This Row],[Total Quantity]]*VLOOKUP(OtherClients[[#This Row],[Part]],PartControl!$A$2:$E$564,2,FALSE)),0)</f>
        <v>106.94</v>
      </c>
      <c r="Z973" s="108">
        <f>IF(OtherClients[[#This Row],[Re-certified or New]]&lt;&gt;"Re-certified",IF(OtherClients[[#This Row],[Client]]="infasco",VLOOKUP(OtherClients[[#This Row],[Part]],PartControl!$A$2:$E$564,2,FALSE),OtherClients[[#This Row],[Total Quantity]]*VLOOKUP(OtherClients[[#This Row],[Part]],PartControl!$A$2:$E$564,2,FALSE)),0)</f>
        <v>106.94</v>
      </c>
    </row>
    <row r="974" spans="1:26" ht="25.15" hidden="1" customHeight="1" x14ac:dyDescent="0.25">
      <c r="A974" s="112">
        <v>46251.685324074075</v>
      </c>
      <c r="B974" s="5" t="s">
        <v>236</v>
      </c>
      <c r="C974" s="5">
        <v>11546449</v>
      </c>
      <c r="D974" s="5">
        <v>716276</v>
      </c>
      <c r="E974" s="33">
        <v>17</v>
      </c>
      <c r="F974" s="60">
        <v>2500</v>
      </c>
      <c r="G974" s="60">
        <f>+OtherClients[[#This Row],[Boxes / Pieces]]*OtherClients[[#This Row],[Unit Quantity]]</f>
        <v>42500</v>
      </c>
      <c r="H974" s="60">
        <v>290</v>
      </c>
      <c r="I974" s="126" t="s">
        <v>278</v>
      </c>
      <c r="J974" s="127"/>
      <c r="K974" s="33" t="s">
        <v>278</v>
      </c>
      <c r="L974" s="125"/>
      <c r="M974" s="33" t="s">
        <v>278</v>
      </c>
      <c r="N974" s="125"/>
      <c r="O974" s="33" t="s">
        <v>278</v>
      </c>
      <c r="P974" s="125"/>
      <c r="Q974" s="33" t="s">
        <v>587</v>
      </c>
      <c r="R974" s="125"/>
      <c r="S974" s="33" t="s">
        <v>278</v>
      </c>
      <c r="T974" s="125"/>
      <c r="U974" s="33" t="s">
        <v>278</v>
      </c>
      <c r="V974" s="125"/>
      <c r="W974" s="59" t="s">
        <v>548</v>
      </c>
      <c r="X974" s="33" t="str">
        <f>+VLOOKUP(OtherClients[[#This Row],[Part]],PartControl!$A$2:$E$564,5,FALSE)</f>
        <v>INFASCO</v>
      </c>
      <c r="Y974" s="108">
        <f>IF(OtherClients[[#This Row],[Re-certified or New]]&lt;&gt;"Re-certified",IF(OtherClients[[#This Row],[Client]]="infasco",VLOOKUP(OtherClients[[#This Row],[Part]],PartControl!$A$2:$E$564,2,FALSE),OtherClients[[#This Row],[Total Quantity]]*VLOOKUP(OtherClients[[#This Row],[Part]],PartControl!$A$2:$E$564,2,FALSE)),0)</f>
        <v>106.94</v>
      </c>
      <c r="Z974" s="108">
        <f>IF(OtherClients[[#This Row],[Re-certified or New]]&lt;&gt;"Re-certified",IF(OtherClients[[#This Row],[Client]]="infasco",VLOOKUP(OtherClients[[#This Row],[Part]],PartControl!$A$2:$E$564,2,FALSE),OtherClients[[#This Row],[Total Quantity]]*VLOOKUP(OtherClients[[#This Row],[Part]],PartControl!$A$2:$E$564,2,FALSE)),0)</f>
        <v>106.94</v>
      </c>
    </row>
    <row r="975" spans="1:26" ht="25.15" hidden="1" customHeight="1" x14ac:dyDescent="0.25">
      <c r="A975" s="112">
        <v>46251.685324074075</v>
      </c>
      <c r="B975" s="5" t="s">
        <v>239</v>
      </c>
      <c r="C975" s="5" t="s">
        <v>705</v>
      </c>
      <c r="D975" s="5">
        <v>714094</v>
      </c>
      <c r="E975" s="33">
        <v>32</v>
      </c>
      <c r="F975" s="60">
        <v>450</v>
      </c>
      <c r="G975" s="60">
        <f>+OtherClients[[#This Row],[Boxes / Pieces]]*OtherClients[[#This Row],[Unit Quantity]]</f>
        <v>14400</v>
      </c>
      <c r="H975" s="60">
        <v>290</v>
      </c>
      <c r="I975" s="126" t="s">
        <v>278</v>
      </c>
      <c r="J975" s="127"/>
      <c r="K975" s="33" t="s">
        <v>278</v>
      </c>
      <c r="L975" s="125"/>
      <c r="M975" s="33" t="s">
        <v>278</v>
      </c>
      <c r="N975" s="125"/>
      <c r="O975" s="33" t="s">
        <v>278</v>
      </c>
      <c r="P975" s="125"/>
      <c r="Q975" s="33" t="s">
        <v>587</v>
      </c>
      <c r="R975" s="125"/>
      <c r="S975" s="33" t="s">
        <v>278</v>
      </c>
      <c r="T975" s="125"/>
      <c r="U975" s="33" t="s">
        <v>278</v>
      </c>
      <c r="V975" s="125"/>
      <c r="W975" s="59" t="s">
        <v>548</v>
      </c>
      <c r="X975" s="33" t="str">
        <f>+VLOOKUP(OtherClients[[#This Row],[Part]],PartControl!$A$2:$E$564,5,FALSE)</f>
        <v>infasco</v>
      </c>
      <c r="Y975" s="108">
        <f>IF(OtherClients[[#This Row],[Re-certified or New]]&lt;&gt;"Re-certified",IF(OtherClients[[#This Row],[Client]]="infasco",VLOOKUP(OtherClients[[#This Row],[Part]],PartControl!$A$2:$E$564,2,FALSE),OtherClients[[#This Row],[Total Quantity]]*VLOOKUP(OtherClients[[#This Row],[Part]],PartControl!$A$2:$E$564,2,FALSE)),0)</f>
        <v>106.94</v>
      </c>
      <c r="Z975" s="108">
        <f>IF(OtherClients[[#This Row],[Re-certified or New]]&lt;&gt;"Re-certified",IF(OtherClients[[#This Row],[Client]]="infasco",VLOOKUP(OtherClients[[#This Row],[Part]],PartControl!$A$2:$E$564,2,FALSE),OtherClients[[#This Row],[Total Quantity]]*VLOOKUP(OtherClients[[#This Row],[Part]],PartControl!$A$2:$E$564,2,FALSE)),0)</f>
        <v>106.94</v>
      </c>
    </row>
    <row r="976" spans="1:26" ht="25.15" hidden="1" customHeight="1" x14ac:dyDescent="0.25">
      <c r="A976" s="112">
        <v>46251.685324074075</v>
      </c>
      <c r="B976" s="5" t="s">
        <v>239</v>
      </c>
      <c r="C976" s="5">
        <v>11549170</v>
      </c>
      <c r="D976" s="5">
        <v>715818</v>
      </c>
      <c r="E976" s="33">
        <v>36</v>
      </c>
      <c r="F976" s="60">
        <v>400</v>
      </c>
      <c r="G976" s="60">
        <f>+OtherClients[[#This Row],[Boxes / Pieces]]*OtherClients[[#This Row],[Unit Quantity]]</f>
        <v>14400</v>
      </c>
      <c r="H976" s="60">
        <v>290</v>
      </c>
      <c r="I976" s="126" t="s">
        <v>278</v>
      </c>
      <c r="J976" s="127"/>
      <c r="K976" s="33" t="s">
        <v>278</v>
      </c>
      <c r="L976" s="125"/>
      <c r="M976" s="33" t="s">
        <v>278</v>
      </c>
      <c r="N976" s="125"/>
      <c r="O976" s="33" t="s">
        <v>278</v>
      </c>
      <c r="P976" s="125"/>
      <c r="Q976" s="33" t="s">
        <v>587</v>
      </c>
      <c r="R976" s="125"/>
      <c r="S976" s="33" t="s">
        <v>278</v>
      </c>
      <c r="T976" s="125"/>
      <c r="U976" s="33" t="s">
        <v>278</v>
      </c>
      <c r="V976" s="125"/>
      <c r="W976" s="59" t="s">
        <v>548</v>
      </c>
      <c r="X976" s="33" t="str">
        <f>+VLOOKUP(OtherClients[[#This Row],[Part]],PartControl!$A$2:$E$564,5,FALSE)</f>
        <v>INFASCO</v>
      </c>
      <c r="Y976" s="108">
        <f>IF(OtherClients[[#This Row],[Re-certified or New]]&lt;&gt;"Re-certified",IF(OtherClients[[#This Row],[Client]]="infasco",VLOOKUP(OtherClients[[#This Row],[Part]],PartControl!$A$2:$E$564,2,FALSE),OtherClients[[#This Row],[Total Quantity]]*VLOOKUP(OtherClients[[#This Row],[Part]],PartControl!$A$2:$E$564,2,FALSE)),0)</f>
        <v>106.94</v>
      </c>
      <c r="Z976" s="108">
        <f>IF(OtherClients[[#This Row],[Re-certified or New]]&lt;&gt;"Re-certified",IF(OtherClients[[#This Row],[Client]]="infasco",VLOOKUP(OtherClients[[#This Row],[Part]],PartControl!$A$2:$E$564,2,FALSE),OtherClients[[#This Row],[Total Quantity]]*VLOOKUP(OtherClients[[#This Row],[Part]],PartControl!$A$2:$E$564,2,FALSE)),0)</f>
        <v>106.94</v>
      </c>
    </row>
    <row r="977" spans="1:26" ht="25.15" hidden="1" customHeight="1" x14ac:dyDescent="0.25">
      <c r="A977" s="112">
        <v>46251.685324074075</v>
      </c>
      <c r="B977" s="5" t="s">
        <v>239</v>
      </c>
      <c r="C977" s="5">
        <v>11549170</v>
      </c>
      <c r="D977" s="5">
        <v>715827</v>
      </c>
      <c r="E977" s="33">
        <v>36</v>
      </c>
      <c r="F977" s="60">
        <v>400</v>
      </c>
      <c r="G977" s="60">
        <f>+OtherClients[[#This Row],[Boxes / Pieces]]*OtherClients[[#This Row],[Unit Quantity]]</f>
        <v>14400</v>
      </c>
      <c r="H977" s="60">
        <v>290</v>
      </c>
      <c r="I977" s="126" t="s">
        <v>278</v>
      </c>
      <c r="J977" s="127"/>
      <c r="K977" s="33" t="s">
        <v>278</v>
      </c>
      <c r="L977" s="125"/>
      <c r="M977" s="33" t="s">
        <v>278</v>
      </c>
      <c r="N977" s="125"/>
      <c r="O977" s="33" t="s">
        <v>278</v>
      </c>
      <c r="P977" s="125"/>
      <c r="Q977" s="33" t="s">
        <v>587</v>
      </c>
      <c r="R977" s="125"/>
      <c r="S977" s="33" t="s">
        <v>278</v>
      </c>
      <c r="T977" s="125"/>
      <c r="U977" s="33" t="s">
        <v>278</v>
      </c>
      <c r="V977" s="125"/>
      <c r="W977" s="59" t="s">
        <v>548</v>
      </c>
      <c r="X977" s="33" t="str">
        <f>+VLOOKUP(OtherClients[[#This Row],[Part]],PartControl!$A$2:$E$564,5,FALSE)</f>
        <v>INFASCO</v>
      </c>
      <c r="Y977" s="108">
        <f>IF(OtherClients[[#This Row],[Re-certified or New]]&lt;&gt;"Re-certified",IF(OtherClients[[#This Row],[Client]]="infasco",VLOOKUP(OtherClients[[#This Row],[Part]],PartControl!$A$2:$E$564,2,FALSE),OtherClients[[#This Row],[Total Quantity]]*VLOOKUP(OtherClients[[#This Row],[Part]],PartControl!$A$2:$E$564,2,FALSE)),0)</f>
        <v>106.94</v>
      </c>
      <c r="Z977" s="108">
        <f>IF(OtherClients[[#This Row],[Re-certified or New]]&lt;&gt;"Re-certified",IF(OtherClients[[#This Row],[Client]]="infasco",VLOOKUP(OtherClients[[#This Row],[Part]],PartControl!$A$2:$E$564,2,FALSE),OtherClients[[#This Row],[Total Quantity]]*VLOOKUP(OtherClients[[#This Row],[Part]],PartControl!$A$2:$E$564,2,FALSE)),0)</f>
        <v>106.94</v>
      </c>
    </row>
    <row r="978" spans="1:26" ht="25.15" hidden="1" customHeight="1" x14ac:dyDescent="0.25">
      <c r="A978" s="112">
        <v>46251.685324074075</v>
      </c>
      <c r="B978" s="5" t="s">
        <v>239</v>
      </c>
      <c r="C978" s="5">
        <v>11549170</v>
      </c>
      <c r="D978" s="5">
        <v>714366</v>
      </c>
      <c r="E978" s="33">
        <v>36</v>
      </c>
      <c r="F978" s="60">
        <v>400</v>
      </c>
      <c r="G978" s="60">
        <f>+OtherClients[[#This Row],[Boxes / Pieces]]*OtherClients[[#This Row],[Unit Quantity]]</f>
        <v>14400</v>
      </c>
      <c r="H978" s="60">
        <v>290</v>
      </c>
      <c r="I978" s="126" t="s">
        <v>278</v>
      </c>
      <c r="J978" s="127"/>
      <c r="K978" s="33" t="s">
        <v>278</v>
      </c>
      <c r="L978" s="125"/>
      <c r="M978" s="33" t="s">
        <v>278</v>
      </c>
      <c r="N978" s="125"/>
      <c r="O978" s="33" t="s">
        <v>278</v>
      </c>
      <c r="P978" s="125"/>
      <c r="Q978" s="33" t="s">
        <v>587</v>
      </c>
      <c r="R978" s="125"/>
      <c r="S978" s="33" t="s">
        <v>278</v>
      </c>
      <c r="T978" s="125"/>
      <c r="U978" s="33" t="s">
        <v>278</v>
      </c>
      <c r="V978" s="125"/>
      <c r="W978" s="59" t="s">
        <v>548</v>
      </c>
      <c r="X978" s="33" t="str">
        <f>+VLOOKUP(OtherClients[[#This Row],[Part]],PartControl!$A$2:$E$564,5,FALSE)</f>
        <v>INFASCO</v>
      </c>
      <c r="Y978" s="108">
        <f>IF(OtherClients[[#This Row],[Re-certified or New]]&lt;&gt;"Re-certified",IF(OtherClients[[#This Row],[Client]]="infasco",VLOOKUP(OtherClients[[#This Row],[Part]],PartControl!$A$2:$E$564,2,FALSE),OtherClients[[#This Row],[Total Quantity]]*VLOOKUP(OtherClients[[#This Row],[Part]],PartControl!$A$2:$E$564,2,FALSE)),0)</f>
        <v>106.94</v>
      </c>
      <c r="Z978" s="108">
        <f>IF(OtherClients[[#This Row],[Re-certified or New]]&lt;&gt;"Re-certified",IF(OtherClients[[#This Row],[Client]]="infasco",VLOOKUP(OtherClients[[#This Row],[Part]],PartControl!$A$2:$E$564,2,FALSE),OtherClients[[#This Row],[Total Quantity]]*VLOOKUP(OtherClients[[#This Row],[Part]],PartControl!$A$2:$E$564,2,FALSE)),0)</f>
        <v>106.94</v>
      </c>
    </row>
    <row r="979" spans="1:26" ht="25.15" hidden="1" customHeight="1" x14ac:dyDescent="0.25">
      <c r="A979" s="112">
        <v>46251.685324074075</v>
      </c>
      <c r="B979" s="5" t="s">
        <v>235</v>
      </c>
      <c r="C979" s="5" t="s">
        <v>651</v>
      </c>
      <c r="D979" s="5">
        <v>716103</v>
      </c>
      <c r="E979" s="33">
        <v>25</v>
      </c>
      <c r="F979" s="60">
        <v>800</v>
      </c>
      <c r="G979" s="60">
        <f>+OtherClients[[#This Row],[Boxes / Pieces]]*OtherClients[[#This Row],[Unit Quantity]]</f>
        <v>20000</v>
      </c>
      <c r="H979" s="60">
        <v>290</v>
      </c>
      <c r="I979" s="126" t="s">
        <v>278</v>
      </c>
      <c r="J979" s="127"/>
      <c r="K979" s="33" t="s">
        <v>278</v>
      </c>
      <c r="L979" s="125"/>
      <c r="M979" s="33" t="s">
        <v>278</v>
      </c>
      <c r="N979" s="125"/>
      <c r="O979" s="33" t="s">
        <v>278</v>
      </c>
      <c r="P979" s="125"/>
      <c r="Q979" s="33" t="s">
        <v>587</v>
      </c>
      <c r="R979" s="125"/>
      <c r="S979" s="33" t="s">
        <v>278</v>
      </c>
      <c r="T979" s="125"/>
      <c r="U979" s="33" t="s">
        <v>278</v>
      </c>
      <c r="V979" s="125"/>
      <c r="W979" s="59" t="s">
        <v>548</v>
      </c>
      <c r="X979" s="33" t="str">
        <f>+VLOOKUP(OtherClients[[#This Row],[Part]],PartControl!$A$2:$E$564,5,FALSE)</f>
        <v>infasco</v>
      </c>
      <c r="Y979" s="108">
        <f>IF(OtherClients[[#This Row],[Re-certified or New]]&lt;&gt;"Re-certified",IF(OtherClients[[#This Row],[Client]]="infasco",VLOOKUP(OtherClients[[#This Row],[Part]],PartControl!$A$2:$E$564,2,FALSE),OtherClients[[#This Row],[Total Quantity]]*VLOOKUP(OtherClients[[#This Row],[Part]],PartControl!$A$2:$E$564,2,FALSE)),0)</f>
        <v>280.15999999999997</v>
      </c>
      <c r="Z979" s="108">
        <f>IF(OtherClients[[#This Row],[Re-certified or New]]&lt;&gt;"Re-certified",IF(OtherClients[[#This Row],[Client]]="infasco",VLOOKUP(OtherClients[[#This Row],[Part]],PartControl!$A$2:$E$564,2,FALSE),OtherClients[[#This Row],[Total Quantity]]*VLOOKUP(OtherClients[[#This Row],[Part]],PartControl!$A$2:$E$564,2,FALSE)),0)</f>
        <v>280.15999999999997</v>
      </c>
    </row>
    <row r="980" spans="1:26" ht="25.15" hidden="1" customHeight="1" x14ac:dyDescent="0.25">
      <c r="A980" s="112">
        <v>46251.685324074075</v>
      </c>
      <c r="B980" s="5" t="s">
        <v>235</v>
      </c>
      <c r="C980" s="5" t="s">
        <v>651</v>
      </c>
      <c r="D980" s="5">
        <v>716102</v>
      </c>
      <c r="E980" s="33">
        <v>2</v>
      </c>
      <c r="F980" s="60">
        <v>800</v>
      </c>
      <c r="G980" s="60">
        <f>+OtherClients[[#This Row],[Boxes / Pieces]]*OtherClients[[#This Row],[Unit Quantity]]</f>
        <v>1600</v>
      </c>
      <c r="H980" s="60">
        <v>290</v>
      </c>
      <c r="I980" s="126" t="s">
        <v>278</v>
      </c>
      <c r="J980" s="127"/>
      <c r="K980" s="33" t="s">
        <v>278</v>
      </c>
      <c r="L980" s="125"/>
      <c r="M980" s="33" t="s">
        <v>278</v>
      </c>
      <c r="N980" s="125"/>
      <c r="O980" s="33" t="s">
        <v>278</v>
      </c>
      <c r="P980" s="125"/>
      <c r="Q980" s="33" t="s">
        <v>587</v>
      </c>
      <c r="R980" s="125"/>
      <c r="S980" s="33" t="s">
        <v>278</v>
      </c>
      <c r="T980" s="125"/>
      <c r="U980" s="33" t="s">
        <v>278</v>
      </c>
      <c r="V980" s="125"/>
      <c r="W980" s="59" t="s">
        <v>633</v>
      </c>
      <c r="X980" s="33" t="str">
        <f>+VLOOKUP(OtherClients[[#This Row],[Part]],PartControl!$A$2:$E$564,5,FALSE)</f>
        <v>infasco</v>
      </c>
      <c r="Y980" s="108">
        <f>IF(OtherClients[[#This Row],[Re-certified or New]]&lt;&gt;"Re-certified",IF(OtherClients[[#This Row],[Client]]="infasco",VLOOKUP(OtherClients[[#This Row],[Part]],PartControl!$A$2:$E$564,2,FALSE),OtherClients[[#This Row],[Total Quantity]]*VLOOKUP(OtherClients[[#This Row],[Part]],PartControl!$A$2:$E$564,2,FALSE)),0)</f>
        <v>0</v>
      </c>
      <c r="Z980" s="108">
        <f>IF(OtherClients[[#This Row],[Re-certified or New]]&lt;&gt;"Re-certified",IF(OtherClients[[#This Row],[Client]]="infasco",VLOOKUP(OtherClients[[#This Row],[Part]],PartControl!$A$2:$E$564,2,FALSE),OtherClients[[#This Row],[Total Quantity]]*VLOOKUP(OtherClients[[#This Row],[Part]],PartControl!$A$2:$E$564,2,FALSE)),0)</f>
        <v>0</v>
      </c>
    </row>
    <row r="981" spans="1:26" ht="25.15" hidden="1" customHeight="1" x14ac:dyDescent="0.25">
      <c r="A981" s="112">
        <v>46251.685324074075</v>
      </c>
      <c r="B981" s="5" t="s">
        <v>250</v>
      </c>
      <c r="C981" s="5" t="s">
        <v>312</v>
      </c>
      <c r="D981" s="5">
        <v>716163</v>
      </c>
      <c r="E981" s="33">
        <v>31</v>
      </c>
      <c r="F981" s="60">
        <v>750</v>
      </c>
      <c r="G981" s="60">
        <f>+OtherClients[[#This Row],[Boxes / Pieces]]*OtherClients[[#This Row],[Unit Quantity]]</f>
        <v>23250</v>
      </c>
      <c r="H981" s="60">
        <v>290</v>
      </c>
      <c r="I981" s="126" t="s">
        <v>278</v>
      </c>
      <c r="J981" s="127"/>
      <c r="K981" s="33" t="s">
        <v>278</v>
      </c>
      <c r="L981" s="125"/>
      <c r="M981" s="33" t="s">
        <v>278</v>
      </c>
      <c r="N981" s="125"/>
      <c r="O981" s="33" t="s">
        <v>278</v>
      </c>
      <c r="P981" s="125"/>
      <c r="Q981" s="33" t="s">
        <v>587</v>
      </c>
      <c r="R981" s="125"/>
      <c r="S981" s="33" t="s">
        <v>278</v>
      </c>
      <c r="T981" s="125"/>
      <c r="U981" s="33" t="s">
        <v>278</v>
      </c>
      <c r="V981" s="125"/>
      <c r="W981" s="59" t="s">
        <v>633</v>
      </c>
      <c r="X981" s="33" t="str">
        <f>+VLOOKUP(OtherClients[[#This Row],[Part]],PartControl!$A$2:$E$564,5,FALSE)</f>
        <v>infasco</v>
      </c>
      <c r="Y981" s="108">
        <f>IF(OtherClients[[#This Row],[Re-certified or New]]&lt;&gt;"Re-certified",IF(OtherClients[[#This Row],[Client]]="infasco",VLOOKUP(OtherClients[[#This Row],[Part]],PartControl!$A$2:$E$564,2,FALSE),OtherClients[[#This Row],[Total Quantity]]*VLOOKUP(OtherClients[[#This Row],[Part]],PartControl!$A$2:$E$564,2,FALSE)),0)</f>
        <v>0</v>
      </c>
      <c r="Z981" s="108">
        <f>IF(OtherClients[[#This Row],[Re-certified or New]]&lt;&gt;"Re-certified",IF(OtherClients[[#This Row],[Client]]="infasco",VLOOKUP(OtherClients[[#This Row],[Part]],PartControl!$A$2:$E$564,2,FALSE),OtherClients[[#This Row],[Total Quantity]]*VLOOKUP(OtherClients[[#This Row],[Part]],PartControl!$A$2:$E$564,2,FALSE)),0)</f>
        <v>0</v>
      </c>
    </row>
    <row r="982" spans="1:26" ht="25.15" hidden="1" customHeight="1" x14ac:dyDescent="0.25">
      <c r="A982" s="112">
        <v>46251.685324074075</v>
      </c>
      <c r="B982" s="5" t="s">
        <v>237</v>
      </c>
      <c r="C982" s="5">
        <v>11549170</v>
      </c>
      <c r="D982" s="5">
        <v>714641</v>
      </c>
      <c r="E982" s="33">
        <v>6</v>
      </c>
      <c r="F982" s="60">
        <v>400</v>
      </c>
      <c r="G982" s="60">
        <f>+OtherClients[[#This Row],[Boxes / Pieces]]*OtherClients[[#This Row],[Unit Quantity]]</f>
        <v>2400</v>
      </c>
      <c r="H982" s="60">
        <v>290</v>
      </c>
      <c r="I982" s="126" t="s">
        <v>278</v>
      </c>
      <c r="J982" s="127"/>
      <c r="K982" s="33" t="s">
        <v>278</v>
      </c>
      <c r="L982" s="125"/>
      <c r="M982" s="33" t="s">
        <v>278</v>
      </c>
      <c r="N982" s="125"/>
      <c r="O982" s="33" t="s">
        <v>278</v>
      </c>
      <c r="P982" s="125"/>
      <c r="Q982" s="33" t="s">
        <v>587</v>
      </c>
      <c r="R982" s="125"/>
      <c r="S982" s="33" t="s">
        <v>278</v>
      </c>
      <c r="T982" s="125"/>
      <c r="U982" s="33" t="s">
        <v>278</v>
      </c>
      <c r="V982" s="125"/>
      <c r="W982" s="59" t="s">
        <v>633</v>
      </c>
      <c r="X982" s="33" t="str">
        <f>+VLOOKUP(OtherClients[[#This Row],[Part]],PartControl!$A$2:$E$564,5,FALSE)</f>
        <v>INFASCO</v>
      </c>
      <c r="Y982" s="108">
        <f>IF(OtherClients[[#This Row],[Re-certified or New]]&lt;&gt;"Re-certified",IF(OtherClients[[#This Row],[Client]]="infasco",VLOOKUP(OtherClients[[#This Row],[Part]],PartControl!$A$2:$E$564,2,FALSE),OtherClients[[#This Row],[Total Quantity]]*VLOOKUP(OtherClients[[#This Row],[Part]],PartControl!$A$2:$E$564,2,FALSE)),0)</f>
        <v>0</v>
      </c>
      <c r="Z982" s="108">
        <f>IF(OtherClients[[#This Row],[Re-certified or New]]&lt;&gt;"Re-certified",IF(OtherClients[[#This Row],[Client]]="infasco",VLOOKUP(OtherClients[[#This Row],[Part]],PartControl!$A$2:$E$564,2,FALSE),OtherClients[[#This Row],[Total Quantity]]*VLOOKUP(OtherClients[[#This Row],[Part]],PartControl!$A$2:$E$564,2,FALSE)),0)</f>
        <v>0</v>
      </c>
    </row>
    <row r="983" spans="1:26" ht="25.15" hidden="1" customHeight="1" x14ac:dyDescent="0.25">
      <c r="A983" s="112">
        <v>46251.685324074075</v>
      </c>
      <c r="B983" s="5" t="s">
        <v>237</v>
      </c>
      <c r="C983" s="5">
        <v>11549170</v>
      </c>
      <c r="D983" s="5">
        <v>714307</v>
      </c>
      <c r="E983" s="33">
        <f>37-2</f>
        <v>35</v>
      </c>
      <c r="F983" s="60">
        <v>1000</v>
      </c>
      <c r="G983" s="60">
        <f>+OtherClients[[#This Row],[Boxes / Pieces]]*OtherClients[[#This Row],[Unit Quantity]]</f>
        <v>35000</v>
      </c>
      <c r="H983" s="60">
        <v>290</v>
      </c>
      <c r="I983" s="126" t="s">
        <v>278</v>
      </c>
      <c r="J983" s="127"/>
      <c r="K983" s="33" t="s">
        <v>278</v>
      </c>
      <c r="L983" s="125"/>
      <c r="M983" s="33" t="s">
        <v>278</v>
      </c>
      <c r="N983" s="125"/>
      <c r="O983" s="33" t="s">
        <v>278</v>
      </c>
      <c r="P983" s="125"/>
      <c r="Q983" s="33" t="s">
        <v>587</v>
      </c>
      <c r="R983" s="125"/>
      <c r="S983" s="33" t="s">
        <v>278</v>
      </c>
      <c r="T983" s="125"/>
      <c r="U983" s="33" t="s">
        <v>278</v>
      </c>
      <c r="V983" s="125"/>
      <c r="W983" s="59" t="s">
        <v>548</v>
      </c>
      <c r="X983" s="33" t="str">
        <f>+VLOOKUP(OtherClients[[#This Row],[Part]],PartControl!$A$2:$E$564,5,FALSE)</f>
        <v>INFASCO</v>
      </c>
      <c r="Y983" s="108">
        <f>IF(OtherClients[[#This Row],[Re-certified or New]]&lt;&gt;"Re-certified",IF(OtherClients[[#This Row],[Client]]="infasco",VLOOKUP(OtherClients[[#This Row],[Part]],PartControl!$A$2:$E$564,2,FALSE),OtherClients[[#This Row],[Total Quantity]]*VLOOKUP(OtherClients[[#This Row],[Part]],PartControl!$A$2:$E$564,2,FALSE)),0)</f>
        <v>106.94</v>
      </c>
      <c r="Z983" s="108">
        <f>IF(OtherClients[[#This Row],[Re-certified or New]]&lt;&gt;"Re-certified",IF(OtherClients[[#This Row],[Client]]="infasco",VLOOKUP(OtherClients[[#This Row],[Part]],PartControl!$A$2:$E$564,2,FALSE),OtherClients[[#This Row],[Total Quantity]]*VLOOKUP(OtherClients[[#This Row],[Part]],PartControl!$A$2:$E$564,2,FALSE)),0)</f>
        <v>106.94</v>
      </c>
    </row>
    <row r="984" spans="1:26" ht="25.15" hidden="1" customHeight="1" x14ac:dyDescent="0.25">
      <c r="A984" s="112">
        <v>46251.685324074075</v>
      </c>
      <c r="B984" s="5" t="s">
        <v>237</v>
      </c>
      <c r="C984" s="5">
        <v>11549170</v>
      </c>
      <c r="D984" s="5">
        <v>714372</v>
      </c>
      <c r="E984" s="33">
        <v>36</v>
      </c>
      <c r="F984" s="60">
        <v>400</v>
      </c>
      <c r="G984" s="60">
        <f>+OtherClients[[#This Row],[Boxes / Pieces]]*OtherClients[[#This Row],[Unit Quantity]]</f>
        <v>14400</v>
      </c>
      <c r="H984" s="60">
        <v>290</v>
      </c>
      <c r="I984" s="126" t="s">
        <v>278</v>
      </c>
      <c r="J984" s="127"/>
      <c r="K984" s="33" t="s">
        <v>278</v>
      </c>
      <c r="L984" s="125"/>
      <c r="M984" s="33" t="s">
        <v>278</v>
      </c>
      <c r="N984" s="125"/>
      <c r="O984" s="33" t="s">
        <v>278</v>
      </c>
      <c r="P984" s="125"/>
      <c r="Q984" s="33" t="s">
        <v>587</v>
      </c>
      <c r="R984" s="125"/>
      <c r="S984" s="33" t="s">
        <v>278</v>
      </c>
      <c r="T984" s="125"/>
      <c r="U984" s="33" t="s">
        <v>278</v>
      </c>
      <c r="V984" s="125"/>
      <c r="W984" s="59" t="s">
        <v>548</v>
      </c>
      <c r="X984" s="33" t="str">
        <f>+VLOOKUP(OtherClients[[#This Row],[Part]],PartControl!$A$2:$E$564,5,FALSE)</f>
        <v>INFASCO</v>
      </c>
      <c r="Y984" s="108">
        <f>IF(OtherClients[[#This Row],[Re-certified or New]]&lt;&gt;"Re-certified",IF(OtherClients[[#This Row],[Client]]="infasco",VLOOKUP(OtherClients[[#This Row],[Part]],PartControl!$A$2:$E$564,2,FALSE),OtherClients[[#This Row],[Total Quantity]]*VLOOKUP(OtherClients[[#This Row],[Part]],PartControl!$A$2:$E$564,2,FALSE)),0)</f>
        <v>106.94</v>
      </c>
      <c r="Z984" s="108">
        <f>IF(OtherClients[[#This Row],[Re-certified or New]]&lt;&gt;"Re-certified",IF(OtherClients[[#This Row],[Client]]="infasco",VLOOKUP(OtherClients[[#This Row],[Part]],PartControl!$A$2:$E$564,2,FALSE),OtherClients[[#This Row],[Total Quantity]]*VLOOKUP(OtherClients[[#This Row],[Part]],PartControl!$A$2:$E$564,2,FALSE)),0)</f>
        <v>106.94</v>
      </c>
    </row>
    <row r="985" spans="1:26" ht="25.15" hidden="1" customHeight="1" x14ac:dyDescent="0.25">
      <c r="A985" s="112">
        <v>46251.685324074075</v>
      </c>
      <c r="B985" s="5" t="s">
        <v>237</v>
      </c>
      <c r="C985" s="5">
        <v>11549170</v>
      </c>
      <c r="D985" s="5">
        <v>715825</v>
      </c>
      <c r="E985" s="33">
        <v>36</v>
      </c>
      <c r="F985" s="60">
        <v>400</v>
      </c>
      <c r="G985" s="60">
        <f>+OtherClients[[#This Row],[Boxes / Pieces]]*OtherClients[[#This Row],[Unit Quantity]]</f>
        <v>14400</v>
      </c>
      <c r="H985" s="60">
        <v>290</v>
      </c>
      <c r="I985" s="126" t="s">
        <v>278</v>
      </c>
      <c r="J985" s="127"/>
      <c r="K985" s="33" t="s">
        <v>278</v>
      </c>
      <c r="L985" s="125"/>
      <c r="M985" s="33" t="s">
        <v>278</v>
      </c>
      <c r="N985" s="125"/>
      <c r="O985" s="33" t="s">
        <v>278</v>
      </c>
      <c r="P985" s="125"/>
      <c r="Q985" s="33" t="s">
        <v>587</v>
      </c>
      <c r="R985" s="125"/>
      <c r="S985" s="33" t="s">
        <v>278</v>
      </c>
      <c r="T985" s="125"/>
      <c r="U985" s="33" t="s">
        <v>278</v>
      </c>
      <c r="V985" s="125"/>
      <c r="W985" s="59" t="s">
        <v>548</v>
      </c>
      <c r="X985" s="33" t="str">
        <f>+VLOOKUP(OtherClients[[#This Row],[Part]],PartControl!$A$2:$E$564,5,FALSE)</f>
        <v>INFASCO</v>
      </c>
      <c r="Y985" s="108">
        <f>IF(OtherClients[[#This Row],[Re-certified or New]]&lt;&gt;"Re-certified",IF(OtherClients[[#This Row],[Client]]="infasco",VLOOKUP(OtherClients[[#This Row],[Part]],PartControl!$A$2:$E$564,2,FALSE),OtherClients[[#This Row],[Total Quantity]]*VLOOKUP(OtherClients[[#This Row],[Part]],PartControl!$A$2:$E$564,2,FALSE)),0)</f>
        <v>106.94</v>
      </c>
      <c r="Z985" s="108">
        <f>IF(OtherClients[[#This Row],[Re-certified or New]]&lt;&gt;"Re-certified",IF(OtherClients[[#This Row],[Client]]="infasco",VLOOKUP(OtherClients[[#This Row],[Part]],PartControl!$A$2:$E$564,2,FALSE),OtherClients[[#This Row],[Total Quantity]]*VLOOKUP(OtherClients[[#This Row],[Part]],PartControl!$A$2:$E$564,2,FALSE)),0)</f>
        <v>106.94</v>
      </c>
    </row>
    <row r="986" spans="1:26" ht="25.15" hidden="1" customHeight="1" x14ac:dyDescent="0.25">
      <c r="A986" s="112">
        <v>46251.685324074075</v>
      </c>
      <c r="B986" s="5" t="s">
        <v>237</v>
      </c>
      <c r="C986" s="5">
        <v>11549170</v>
      </c>
      <c r="D986" s="5">
        <v>714628</v>
      </c>
      <c r="E986" s="33">
        <v>36</v>
      </c>
      <c r="F986" s="60">
        <v>400</v>
      </c>
      <c r="G986" s="60">
        <f>+OtherClients[[#This Row],[Boxes / Pieces]]*OtherClients[[#This Row],[Unit Quantity]]</f>
        <v>14400</v>
      </c>
      <c r="H986" s="60">
        <v>290</v>
      </c>
      <c r="I986" s="126" t="s">
        <v>278</v>
      </c>
      <c r="J986" s="127"/>
      <c r="K986" s="33" t="s">
        <v>278</v>
      </c>
      <c r="L986" s="125"/>
      <c r="M986" s="33" t="s">
        <v>278</v>
      </c>
      <c r="N986" s="125"/>
      <c r="O986" s="33" t="s">
        <v>278</v>
      </c>
      <c r="P986" s="125"/>
      <c r="Q986" s="33" t="s">
        <v>587</v>
      </c>
      <c r="R986" s="125"/>
      <c r="S986" s="33" t="s">
        <v>278</v>
      </c>
      <c r="T986" s="125"/>
      <c r="U986" s="33" t="s">
        <v>278</v>
      </c>
      <c r="V986" s="125"/>
      <c r="W986" s="59" t="s">
        <v>548</v>
      </c>
      <c r="X986" s="33" t="str">
        <f>+VLOOKUP(OtherClients[[#This Row],[Part]],PartControl!$A$2:$E$564,5,FALSE)</f>
        <v>INFASCO</v>
      </c>
      <c r="Y986" s="108">
        <f>IF(OtherClients[[#This Row],[Re-certified or New]]&lt;&gt;"Re-certified",IF(OtherClients[[#This Row],[Client]]="infasco",VLOOKUP(OtherClients[[#This Row],[Part]],PartControl!$A$2:$E$564,2,FALSE),OtherClients[[#This Row],[Total Quantity]]*VLOOKUP(OtherClients[[#This Row],[Part]],PartControl!$A$2:$E$564,2,FALSE)),0)</f>
        <v>106.94</v>
      </c>
      <c r="Z986" s="108">
        <f>IF(OtherClients[[#This Row],[Re-certified or New]]&lt;&gt;"Re-certified",IF(OtherClients[[#This Row],[Client]]="infasco",VLOOKUP(OtherClients[[#This Row],[Part]],PartControl!$A$2:$E$564,2,FALSE),OtherClients[[#This Row],[Total Quantity]]*VLOOKUP(OtherClients[[#This Row],[Part]],PartControl!$A$2:$E$564,2,FALSE)),0)</f>
        <v>106.94</v>
      </c>
    </row>
    <row r="987" spans="1:26" ht="25.15" hidden="1" customHeight="1" x14ac:dyDescent="0.25">
      <c r="A987" s="112">
        <v>46251.685324074075</v>
      </c>
      <c r="B987" s="5" t="s">
        <v>240</v>
      </c>
      <c r="C987" s="5" t="s">
        <v>810</v>
      </c>
      <c r="D987" s="5">
        <v>714519</v>
      </c>
      <c r="E987" s="33">
        <v>16</v>
      </c>
      <c r="F987" s="60">
        <v>660</v>
      </c>
      <c r="G987" s="60">
        <f>+OtherClients[[#This Row],[Boxes / Pieces]]*OtherClients[[#This Row],[Unit Quantity]]</f>
        <v>10560</v>
      </c>
      <c r="H987" s="60">
        <v>290</v>
      </c>
      <c r="I987" s="126" t="s">
        <v>278</v>
      </c>
      <c r="J987" s="127"/>
      <c r="K987" s="33" t="s">
        <v>278</v>
      </c>
      <c r="L987" s="125"/>
      <c r="M987" s="33" t="s">
        <v>278</v>
      </c>
      <c r="N987" s="125"/>
      <c r="O987" s="33" t="s">
        <v>278</v>
      </c>
      <c r="P987" s="125"/>
      <c r="Q987" s="33" t="s">
        <v>587</v>
      </c>
      <c r="R987" s="125"/>
      <c r="S987" s="33" t="s">
        <v>278</v>
      </c>
      <c r="T987" s="125"/>
      <c r="U987" s="33" t="s">
        <v>278</v>
      </c>
      <c r="V987" s="125"/>
      <c r="W987" s="59" t="s">
        <v>548</v>
      </c>
      <c r="X987" s="33" t="str">
        <f>+VLOOKUP(OtherClients[[#This Row],[Part]],PartControl!$A$2:$E$564,5,FALSE)</f>
        <v>INFASCO</v>
      </c>
      <c r="Y987" s="108">
        <f>IF(OtherClients[[#This Row],[Re-certified or New]]&lt;&gt;"Re-certified",IF(OtherClients[[#This Row],[Client]]="infasco",VLOOKUP(OtherClients[[#This Row],[Part]],PartControl!$A$2:$E$564,2,FALSE),OtherClients[[#This Row],[Total Quantity]]*VLOOKUP(OtherClients[[#This Row],[Part]],PartControl!$A$2:$E$564,2,FALSE)),0)</f>
        <v>106.94</v>
      </c>
      <c r="Z987" s="108">
        <f>IF(OtherClients[[#This Row],[Re-certified or New]]&lt;&gt;"Re-certified",IF(OtherClients[[#This Row],[Client]]="infasco",VLOOKUP(OtherClients[[#This Row],[Part]],PartControl!$A$2:$E$564,2,FALSE),OtherClients[[#This Row],[Total Quantity]]*VLOOKUP(OtherClients[[#This Row],[Part]],PartControl!$A$2:$E$564,2,FALSE)),0)</f>
        <v>106.94</v>
      </c>
    </row>
    <row r="988" spans="1:26" ht="25.15" hidden="1" customHeight="1" x14ac:dyDescent="0.25">
      <c r="A988" s="112">
        <v>46251.685324074075</v>
      </c>
      <c r="B988" s="5" t="s">
        <v>240</v>
      </c>
      <c r="C988" s="5">
        <v>11549170</v>
      </c>
      <c r="D988" s="5">
        <v>714371</v>
      </c>
      <c r="E988" s="33">
        <v>36</v>
      </c>
      <c r="F988" s="60">
        <v>400</v>
      </c>
      <c r="G988" s="60">
        <f>+OtherClients[[#This Row],[Boxes / Pieces]]*OtherClients[[#This Row],[Unit Quantity]]</f>
        <v>14400</v>
      </c>
      <c r="H988" s="60">
        <v>290</v>
      </c>
      <c r="I988" s="126" t="s">
        <v>278</v>
      </c>
      <c r="J988" s="127"/>
      <c r="K988" s="33" t="s">
        <v>278</v>
      </c>
      <c r="L988" s="125"/>
      <c r="M988" s="33" t="s">
        <v>278</v>
      </c>
      <c r="N988" s="125"/>
      <c r="O988" s="33" t="s">
        <v>278</v>
      </c>
      <c r="P988" s="125"/>
      <c r="Q988" s="33" t="s">
        <v>587</v>
      </c>
      <c r="R988" s="125"/>
      <c r="S988" s="33" t="s">
        <v>278</v>
      </c>
      <c r="T988" s="125"/>
      <c r="U988" s="33" t="s">
        <v>278</v>
      </c>
      <c r="V988" s="125"/>
      <c r="W988" s="59" t="s">
        <v>548</v>
      </c>
      <c r="X988" s="33" t="str">
        <f>+VLOOKUP(OtherClients[[#This Row],[Part]],PartControl!$A$2:$E$564,5,FALSE)</f>
        <v>INFASCO</v>
      </c>
      <c r="Y988" s="108">
        <f>IF(OtherClients[[#This Row],[Re-certified or New]]&lt;&gt;"Re-certified",IF(OtherClients[[#This Row],[Client]]="infasco",VLOOKUP(OtherClients[[#This Row],[Part]],PartControl!$A$2:$E$564,2,FALSE),OtherClients[[#This Row],[Total Quantity]]*VLOOKUP(OtherClients[[#This Row],[Part]],PartControl!$A$2:$E$564,2,FALSE)),0)</f>
        <v>106.94</v>
      </c>
      <c r="Z988" s="108">
        <f>IF(OtherClients[[#This Row],[Re-certified or New]]&lt;&gt;"Re-certified",IF(OtherClients[[#This Row],[Client]]="infasco",VLOOKUP(OtherClients[[#This Row],[Part]],PartControl!$A$2:$E$564,2,FALSE),OtherClients[[#This Row],[Total Quantity]]*VLOOKUP(OtherClients[[#This Row],[Part]],PartControl!$A$2:$E$564,2,FALSE)),0)</f>
        <v>106.94</v>
      </c>
    </row>
    <row r="989" spans="1:26" ht="25.15" hidden="1" customHeight="1" x14ac:dyDescent="0.25">
      <c r="A989" s="112">
        <v>46251.685324074075</v>
      </c>
      <c r="B989" s="5" t="s">
        <v>240</v>
      </c>
      <c r="C989" s="5">
        <v>11549170</v>
      </c>
      <c r="D989" s="5">
        <v>715824</v>
      </c>
      <c r="E989" s="33">
        <v>36</v>
      </c>
      <c r="F989" s="60">
        <v>400</v>
      </c>
      <c r="G989" s="60">
        <f>+OtherClients[[#This Row],[Boxes / Pieces]]*OtherClients[[#This Row],[Unit Quantity]]</f>
        <v>14400</v>
      </c>
      <c r="H989" s="60">
        <v>290</v>
      </c>
      <c r="I989" s="126" t="s">
        <v>278</v>
      </c>
      <c r="J989" s="127"/>
      <c r="K989" s="33" t="s">
        <v>278</v>
      </c>
      <c r="L989" s="125"/>
      <c r="M989" s="33" t="s">
        <v>278</v>
      </c>
      <c r="N989" s="125"/>
      <c r="O989" s="33" t="s">
        <v>278</v>
      </c>
      <c r="P989" s="125"/>
      <c r="Q989" s="33" t="s">
        <v>587</v>
      </c>
      <c r="R989" s="125"/>
      <c r="S989" s="33" t="s">
        <v>278</v>
      </c>
      <c r="T989" s="125"/>
      <c r="U989" s="33" t="s">
        <v>278</v>
      </c>
      <c r="V989" s="125"/>
      <c r="W989" s="59" t="s">
        <v>548</v>
      </c>
      <c r="X989" s="33" t="str">
        <f>+VLOOKUP(OtherClients[[#This Row],[Part]],PartControl!$A$2:$E$564,5,FALSE)</f>
        <v>INFASCO</v>
      </c>
      <c r="Y989" s="108">
        <f>IF(OtherClients[[#This Row],[Re-certified or New]]&lt;&gt;"Re-certified",IF(OtherClients[[#This Row],[Client]]="infasco",VLOOKUP(OtherClients[[#This Row],[Part]],PartControl!$A$2:$E$564,2,FALSE),OtherClients[[#This Row],[Total Quantity]]*VLOOKUP(OtherClients[[#This Row],[Part]],PartControl!$A$2:$E$564,2,FALSE)),0)</f>
        <v>106.94</v>
      </c>
      <c r="Z989" s="108">
        <f>IF(OtherClients[[#This Row],[Re-certified or New]]&lt;&gt;"Re-certified",IF(OtherClients[[#This Row],[Client]]="infasco",VLOOKUP(OtherClients[[#This Row],[Part]],PartControl!$A$2:$E$564,2,FALSE),OtherClients[[#This Row],[Total Quantity]]*VLOOKUP(OtherClients[[#This Row],[Part]],PartControl!$A$2:$E$564,2,FALSE)),0)</f>
        <v>106.94</v>
      </c>
    </row>
    <row r="990" spans="1:26" ht="25.15" hidden="1" customHeight="1" x14ac:dyDescent="0.25">
      <c r="A990" s="112">
        <v>46251.685324074075</v>
      </c>
      <c r="B990" s="5" t="s">
        <v>240</v>
      </c>
      <c r="C990" s="5">
        <v>11549170</v>
      </c>
      <c r="D990" s="5">
        <v>714630</v>
      </c>
      <c r="E990" s="33">
        <v>30</v>
      </c>
      <c r="F990" s="60">
        <v>400</v>
      </c>
      <c r="G990" s="60">
        <f>+OtherClients[[#This Row],[Boxes / Pieces]]*OtherClients[[#This Row],[Unit Quantity]]</f>
        <v>12000</v>
      </c>
      <c r="H990" s="60">
        <v>290</v>
      </c>
      <c r="I990" s="126" t="s">
        <v>278</v>
      </c>
      <c r="J990" s="127"/>
      <c r="K990" s="33" t="s">
        <v>278</v>
      </c>
      <c r="L990" s="125"/>
      <c r="M990" s="33" t="s">
        <v>278</v>
      </c>
      <c r="N990" s="125"/>
      <c r="O990" s="33" t="s">
        <v>278</v>
      </c>
      <c r="P990" s="125"/>
      <c r="Q990" s="33" t="s">
        <v>587</v>
      </c>
      <c r="R990" s="125"/>
      <c r="S990" s="33" t="s">
        <v>278</v>
      </c>
      <c r="T990" s="125"/>
      <c r="U990" s="33" t="s">
        <v>278</v>
      </c>
      <c r="V990" s="125"/>
      <c r="W990" s="59" t="s">
        <v>633</v>
      </c>
      <c r="X990" s="33" t="str">
        <f>+VLOOKUP(OtherClients[[#This Row],[Part]],PartControl!$A$2:$E$564,5,FALSE)</f>
        <v>INFASCO</v>
      </c>
      <c r="Y990" s="108">
        <f>IF(OtherClients[[#This Row],[Re-certified or New]]&lt;&gt;"Re-certified",IF(OtherClients[[#This Row],[Client]]="infasco",VLOOKUP(OtherClients[[#This Row],[Part]],PartControl!$A$2:$E$564,2,FALSE),OtherClients[[#This Row],[Total Quantity]]*VLOOKUP(OtherClients[[#This Row],[Part]],PartControl!$A$2:$E$564,2,FALSE)),0)</f>
        <v>0</v>
      </c>
      <c r="Z990" s="108">
        <f>IF(OtherClients[[#This Row],[Re-certified or New]]&lt;&gt;"Re-certified",IF(OtherClients[[#This Row],[Client]]="infasco",VLOOKUP(OtherClients[[#This Row],[Part]],PartControl!$A$2:$E$564,2,FALSE),OtherClients[[#This Row],[Total Quantity]]*VLOOKUP(OtherClients[[#This Row],[Part]],PartControl!$A$2:$E$564,2,FALSE)),0)</f>
        <v>0</v>
      </c>
    </row>
    <row r="991" spans="1:26" ht="25.15" hidden="1" customHeight="1" x14ac:dyDescent="0.25">
      <c r="A991" s="112">
        <v>46251.685324074075</v>
      </c>
      <c r="B991" s="5" t="s">
        <v>251</v>
      </c>
      <c r="C991" s="5">
        <v>11549168</v>
      </c>
      <c r="D991" s="5">
        <v>714306</v>
      </c>
      <c r="E991" s="33">
        <v>26</v>
      </c>
      <c r="F991" s="60">
        <v>1000</v>
      </c>
      <c r="G991" s="60">
        <f>+OtherClients[[#This Row],[Boxes / Pieces]]*OtherClients[[#This Row],[Unit Quantity]]</f>
        <v>26000</v>
      </c>
      <c r="H991" s="60">
        <v>292</v>
      </c>
      <c r="I991" s="126" t="s">
        <v>278</v>
      </c>
      <c r="J991" s="127"/>
      <c r="K991" s="33" t="s">
        <v>278</v>
      </c>
      <c r="L991" s="125"/>
      <c r="M991" s="33" t="s">
        <v>278</v>
      </c>
      <c r="N991" s="125"/>
      <c r="O991" s="33" t="s">
        <v>278</v>
      </c>
      <c r="P991" s="125"/>
      <c r="Q991" s="33" t="s">
        <v>587</v>
      </c>
      <c r="R991" s="125"/>
      <c r="S991" s="33" t="s">
        <v>278</v>
      </c>
      <c r="T991" s="125"/>
      <c r="U991" s="33" t="s">
        <v>278</v>
      </c>
      <c r="V991" s="125"/>
      <c r="W991" s="59" t="s">
        <v>548</v>
      </c>
      <c r="X991" s="33" t="str">
        <f>+VLOOKUP(OtherClients[[#This Row],[Part]],PartControl!$A$2:$E$564,5,FALSE)</f>
        <v>INFASCO</v>
      </c>
      <c r="Y991" s="108">
        <f>IF(OtherClients[[#This Row],[Re-certified or New]]&lt;&gt;"Re-certified",IF(OtherClients[[#This Row],[Client]]="infasco",VLOOKUP(OtherClients[[#This Row],[Part]],PartControl!$A$2:$E$564,2,FALSE),OtherClients[[#This Row],[Total Quantity]]*VLOOKUP(OtherClients[[#This Row],[Part]],PartControl!$A$2:$E$564,2,FALSE)),0)</f>
        <v>106.94</v>
      </c>
      <c r="Z991" s="108">
        <f>IF(OtherClients[[#This Row],[Re-certified or New]]&lt;&gt;"Re-certified",IF(OtherClients[[#This Row],[Client]]="infasco",VLOOKUP(OtherClients[[#This Row],[Part]],PartControl!$A$2:$E$564,2,FALSE),OtherClients[[#This Row],[Total Quantity]]*VLOOKUP(OtherClients[[#This Row],[Part]],PartControl!$A$2:$E$564,2,FALSE)),0)</f>
        <v>106.94</v>
      </c>
    </row>
    <row r="992" spans="1:26" ht="25.15" hidden="1" customHeight="1" x14ac:dyDescent="0.25">
      <c r="A992" s="112">
        <v>46251.685324074075</v>
      </c>
      <c r="B992" s="5" t="s">
        <v>246</v>
      </c>
      <c r="C992" s="5" t="s">
        <v>700</v>
      </c>
      <c r="D992" s="5">
        <v>714531</v>
      </c>
      <c r="E992" s="33">
        <v>15</v>
      </c>
      <c r="F992" s="60">
        <v>1000</v>
      </c>
      <c r="G992" s="60">
        <f>+OtherClients[[#This Row],[Boxes / Pieces]]*OtherClients[[#This Row],[Unit Quantity]]</f>
        <v>15000</v>
      </c>
      <c r="H992" s="60">
        <v>292</v>
      </c>
      <c r="I992" s="126" t="s">
        <v>278</v>
      </c>
      <c r="J992" s="127"/>
      <c r="K992" s="33" t="s">
        <v>278</v>
      </c>
      <c r="L992" s="125"/>
      <c r="M992" s="33" t="s">
        <v>278</v>
      </c>
      <c r="N992" s="125"/>
      <c r="O992" s="33" t="s">
        <v>278</v>
      </c>
      <c r="P992" s="125"/>
      <c r="Q992" s="33" t="s">
        <v>587</v>
      </c>
      <c r="R992" s="125"/>
      <c r="S992" s="33" t="s">
        <v>278</v>
      </c>
      <c r="T992" s="125"/>
      <c r="U992" s="33" t="s">
        <v>278</v>
      </c>
      <c r="V992" s="125"/>
      <c r="W992" s="59" t="s">
        <v>633</v>
      </c>
      <c r="X992" s="33" t="str">
        <f>+VLOOKUP(OtherClients[[#This Row],[Part]],PartControl!$A$2:$E$564,5,FALSE)</f>
        <v>infasco</v>
      </c>
      <c r="Y992" s="108">
        <f>IF(OtherClients[[#This Row],[Re-certified or New]]&lt;&gt;"Re-certified",IF(OtherClients[[#This Row],[Client]]="infasco",VLOOKUP(OtherClients[[#This Row],[Part]],PartControl!$A$2:$E$564,2,FALSE),OtherClients[[#This Row],[Total Quantity]]*VLOOKUP(OtherClients[[#This Row],[Part]],PartControl!$A$2:$E$564,2,FALSE)),0)</f>
        <v>0</v>
      </c>
      <c r="Z992" s="108">
        <f>IF(OtherClients[[#This Row],[Re-certified or New]]&lt;&gt;"Re-certified",IF(OtherClients[[#This Row],[Client]]="infasco",VLOOKUP(OtherClients[[#This Row],[Part]],PartControl!$A$2:$E$564,2,FALSE),OtherClients[[#This Row],[Total Quantity]]*VLOOKUP(OtherClients[[#This Row],[Part]],PartControl!$A$2:$E$564,2,FALSE)),0)</f>
        <v>0</v>
      </c>
    </row>
    <row r="993" spans="1:26" ht="25.15" hidden="1" customHeight="1" x14ac:dyDescent="0.25">
      <c r="A993" s="112">
        <v>46251.685324074075</v>
      </c>
      <c r="B993" s="5" t="s">
        <v>623</v>
      </c>
      <c r="C993" s="5">
        <v>11546463</v>
      </c>
      <c r="D993" s="5">
        <v>716594</v>
      </c>
      <c r="E993" s="33">
        <f>26-10</f>
        <v>16</v>
      </c>
      <c r="F993" s="60">
        <v>450</v>
      </c>
      <c r="G993" s="60">
        <f>+OtherClients[[#This Row],[Boxes / Pieces]]*OtherClients[[#This Row],[Unit Quantity]]</f>
        <v>7200</v>
      </c>
      <c r="H993" s="60">
        <v>292</v>
      </c>
      <c r="I993" s="126" t="s">
        <v>278</v>
      </c>
      <c r="J993" s="127"/>
      <c r="K993" s="33" t="s">
        <v>278</v>
      </c>
      <c r="L993" s="125"/>
      <c r="M993" s="33" t="s">
        <v>278</v>
      </c>
      <c r="N993" s="125"/>
      <c r="O993" s="33" t="s">
        <v>278</v>
      </c>
      <c r="P993" s="125"/>
      <c r="Q993" s="33" t="s">
        <v>587</v>
      </c>
      <c r="R993" s="125"/>
      <c r="S993" s="33" t="s">
        <v>278</v>
      </c>
      <c r="T993" s="125"/>
      <c r="U993" s="33" t="s">
        <v>278</v>
      </c>
      <c r="V993" s="125"/>
      <c r="W993" s="59" t="s">
        <v>548</v>
      </c>
      <c r="X993" s="33" t="str">
        <f>+VLOOKUP(OtherClients[[#This Row],[Part]],PartControl!$A$2:$E$564,5,FALSE)</f>
        <v>infasco</v>
      </c>
      <c r="Y993" s="108">
        <f>IF(OtherClients[[#This Row],[Re-certified or New]]&lt;&gt;"Re-certified",IF(OtherClients[[#This Row],[Client]]="infasco",VLOOKUP(OtherClients[[#This Row],[Part]],PartControl!$A$2:$E$564,2,FALSE),OtherClients[[#This Row],[Total Quantity]]*VLOOKUP(OtherClients[[#This Row],[Part]],PartControl!$A$2:$E$564,2,FALSE)),0)</f>
        <v>106.94</v>
      </c>
      <c r="Z993" s="108">
        <f>IF(OtherClients[[#This Row],[Re-certified or New]]&lt;&gt;"Re-certified",IF(OtherClients[[#This Row],[Client]]="infasco",VLOOKUP(OtherClients[[#This Row],[Part]],PartControl!$A$2:$E$564,2,FALSE),OtherClients[[#This Row],[Total Quantity]]*VLOOKUP(OtherClients[[#This Row],[Part]],PartControl!$A$2:$E$564,2,FALSE)),0)</f>
        <v>106.94</v>
      </c>
    </row>
    <row r="994" spans="1:26" ht="25.15" hidden="1" customHeight="1" x14ac:dyDescent="0.25">
      <c r="A994" s="112">
        <v>46251.685324074075</v>
      </c>
      <c r="B994" s="5" t="s">
        <v>623</v>
      </c>
      <c r="C994" s="5">
        <v>11546463</v>
      </c>
      <c r="D994" s="5">
        <v>716599</v>
      </c>
      <c r="E994" s="33">
        <f>10+27</f>
        <v>37</v>
      </c>
      <c r="F994" s="60">
        <v>450</v>
      </c>
      <c r="G994" s="60">
        <f>+OtherClients[[#This Row],[Boxes / Pieces]]*OtherClients[[#This Row],[Unit Quantity]]</f>
        <v>16650</v>
      </c>
      <c r="H994" s="60">
        <v>292</v>
      </c>
      <c r="I994" s="126" t="s">
        <v>278</v>
      </c>
      <c r="J994" s="127"/>
      <c r="K994" s="33" t="s">
        <v>278</v>
      </c>
      <c r="L994" s="125"/>
      <c r="M994" s="33" t="s">
        <v>278</v>
      </c>
      <c r="N994" s="125"/>
      <c r="O994" s="33" t="s">
        <v>278</v>
      </c>
      <c r="P994" s="125"/>
      <c r="Q994" s="33" t="s">
        <v>587</v>
      </c>
      <c r="R994" s="125"/>
      <c r="S994" s="33" t="s">
        <v>278</v>
      </c>
      <c r="T994" s="125"/>
      <c r="U994" s="33" t="s">
        <v>278</v>
      </c>
      <c r="V994" s="125"/>
      <c r="W994" s="59" t="s">
        <v>548</v>
      </c>
      <c r="X994" s="33" t="str">
        <f>+VLOOKUP(OtherClients[[#This Row],[Part]],PartControl!$A$2:$E$564,5,FALSE)</f>
        <v>infasco</v>
      </c>
      <c r="Y994" s="108">
        <f>IF(OtherClients[[#This Row],[Re-certified or New]]&lt;&gt;"Re-certified",IF(OtherClients[[#This Row],[Client]]="infasco",VLOOKUP(OtherClients[[#This Row],[Part]],PartControl!$A$2:$E$564,2,FALSE),OtherClients[[#This Row],[Total Quantity]]*VLOOKUP(OtherClients[[#This Row],[Part]],PartControl!$A$2:$E$564,2,FALSE)),0)</f>
        <v>106.94</v>
      </c>
      <c r="Z994" s="108">
        <f>IF(OtherClients[[#This Row],[Re-certified or New]]&lt;&gt;"Re-certified",IF(OtherClients[[#This Row],[Client]]="infasco",VLOOKUP(OtherClients[[#This Row],[Part]],PartControl!$A$2:$E$564,2,FALSE),OtherClients[[#This Row],[Total Quantity]]*VLOOKUP(OtherClients[[#This Row],[Part]],PartControl!$A$2:$E$564,2,FALSE)),0)</f>
        <v>106.94</v>
      </c>
    </row>
    <row r="995" spans="1:26" ht="25.15" hidden="1" customHeight="1" x14ac:dyDescent="0.25">
      <c r="A995" s="112">
        <v>46251.685324074075</v>
      </c>
      <c r="B995" s="5" t="s">
        <v>623</v>
      </c>
      <c r="C995" s="5" t="s">
        <v>703</v>
      </c>
      <c r="D995" s="5">
        <v>715730</v>
      </c>
      <c r="E995" s="33">
        <v>36</v>
      </c>
      <c r="F995" s="60">
        <v>700</v>
      </c>
      <c r="G995" s="60">
        <f>+OtherClients[[#This Row],[Boxes / Pieces]]*OtherClients[[#This Row],[Unit Quantity]]</f>
        <v>25200</v>
      </c>
      <c r="H995" s="60">
        <v>292</v>
      </c>
      <c r="I995" s="126" t="s">
        <v>278</v>
      </c>
      <c r="J995" s="127"/>
      <c r="K995" s="33" t="s">
        <v>278</v>
      </c>
      <c r="L995" s="125"/>
      <c r="M995" s="33" t="s">
        <v>278</v>
      </c>
      <c r="N995" s="125"/>
      <c r="O995" s="33" t="s">
        <v>278</v>
      </c>
      <c r="P995" s="125"/>
      <c r="Q995" s="33" t="s">
        <v>587</v>
      </c>
      <c r="R995" s="125"/>
      <c r="S995" s="33" t="s">
        <v>278</v>
      </c>
      <c r="T995" s="125"/>
      <c r="U995" s="33" t="s">
        <v>278</v>
      </c>
      <c r="V995" s="125"/>
      <c r="W995" s="59" t="s">
        <v>548</v>
      </c>
      <c r="X995" s="33" t="str">
        <f>+VLOOKUP(OtherClients[[#This Row],[Part]],PartControl!$A$2:$E$564,5,FALSE)</f>
        <v>infasco</v>
      </c>
      <c r="Y995" s="108">
        <f>IF(OtherClients[[#This Row],[Re-certified or New]]&lt;&gt;"Re-certified",IF(OtherClients[[#This Row],[Client]]="infasco",VLOOKUP(OtherClients[[#This Row],[Part]],PartControl!$A$2:$E$564,2,FALSE),OtherClients[[#This Row],[Total Quantity]]*VLOOKUP(OtherClients[[#This Row],[Part]],PartControl!$A$2:$E$564,2,FALSE)),0)</f>
        <v>106.94</v>
      </c>
      <c r="Z995" s="108">
        <f>IF(OtherClients[[#This Row],[Re-certified or New]]&lt;&gt;"Re-certified",IF(OtherClients[[#This Row],[Client]]="infasco",VLOOKUP(OtherClients[[#This Row],[Part]],PartControl!$A$2:$E$564,2,FALSE),OtherClients[[#This Row],[Total Quantity]]*VLOOKUP(OtherClients[[#This Row],[Part]],PartControl!$A$2:$E$564,2,FALSE)),0)</f>
        <v>106.94</v>
      </c>
    </row>
    <row r="996" spans="1:26" ht="25.15" hidden="1" customHeight="1" x14ac:dyDescent="0.25">
      <c r="A996" s="112">
        <v>46251.685324074075</v>
      </c>
      <c r="B996" s="5" t="s">
        <v>623</v>
      </c>
      <c r="C996" s="5" t="s">
        <v>703</v>
      </c>
      <c r="D996" s="5">
        <v>715728</v>
      </c>
      <c r="E996" s="33">
        <v>20</v>
      </c>
      <c r="F996" s="60">
        <v>700</v>
      </c>
      <c r="G996" s="60">
        <f>+OtherClients[[#This Row],[Boxes / Pieces]]*OtherClients[[#This Row],[Unit Quantity]]</f>
        <v>14000</v>
      </c>
      <c r="H996" s="60">
        <v>292</v>
      </c>
      <c r="I996" s="126" t="s">
        <v>278</v>
      </c>
      <c r="J996" s="127"/>
      <c r="K996" s="33" t="s">
        <v>278</v>
      </c>
      <c r="L996" s="125"/>
      <c r="M996" s="33" t="s">
        <v>278</v>
      </c>
      <c r="N996" s="125"/>
      <c r="O996" s="33" t="s">
        <v>278</v>
      </c>
      <c r="P996" s="125"/>
      <c r="Q996" s="33" t="s">
        <v>587</v>
      </c>
      <c r="R996" s="125"/>
      <c r="S996" s="33" t="s">
        <v>278</v>
      </c>
      <c r="T996" s="125"/>
      <c r="U996" s="33" t="s">
        <v>278</v>
      </c>
      <c r="V996" s="125"/>
      <c r="W996" s="59" t="s">
        <v>633</v>
      </c>
      <c r="X996" s="33" t="str">
        <f>+VLOOKUP(OtherClients[[#This Row],[Part]],PartControl!$A$2:$E$564,5,FALSE)</f>
        <v>infasco</v>
      </c>
      <c r="Y996" s="108">
        <f>IF(OtherClients[[#This Row],[Re-certified or New]]&lt;&gt;"Re-certified",IF(OtherClients[[#This Row],[Client]]="infasco",VLOOKUP(OtherClients[[#This Row],[Part]],PartControl!$A$2:$E$564,2,FALSE),OtherClients[[#This Row],[Total Quantity]]*VLOOKUP(OtherClients[[#This Row],[Part]],PartControl!$A$2:$E$564,2,FALSE)),0)</f>
        <v>0</v>
      </c>
      <c r="Z996" s="108">
        <f>IF(OtherClients[[#This Row],[Re-certified or New]]&lt;&gt;"Re-certified",IF(OtherClients[[#This Row],[Client]]="infasco",VLOOKUP(OtherClients[[#This Row],[Part]],PartControl!$A$2:$E$564,2,FALSE),OtherClients[[#This Row],[Total Quantity]]*VLOOKUP(OtherClients[[#This Row],[Part]],PartControl!$A$2:$E$564,2,FALSE)),0)</f>
        <v>0</v>
      </c>
    </row>
    <row r="997" spans="1:26" ht="25.15" hidden="1" customHeight="1" x14ac:dyDescent="0.25">
      <c r="A997" s="112">
        <v>46251.685324074075</v>
      </c>
      <c r="B997" s="5" t="s">
        <v>243</v>
      </c>
      <c r="C997" s="5" t="s">
        <v>707</v>
      </c>
      <c r="D997" s="5">
        <v>714703</v>
      </c>
      <c r="E997" s="33">
        <v>36</v>
      </c>
      <c r="F997" s="60">
        <v>1900</v>
      </c>
      <c r="G997" s="60">
        <f>+OtherClients[[#This Row],[Boxes / Pieces]]*OtherClients[[#This Row],[Unit Quantity]]</f>
        <v>68400</v>
      </c>
      <c r="H997" s="60">
        <v>292</v>
      </c>
      <c r="I997" s="126" t="s">
        <v>278</v>
      </c>
      <c r="J997" s="127"/>
      <c r="K997" s="33" t="s">
        <v>278</v>
      </c>
      <c r="L997" s="125"/>
      <c r="M997" s="33" t="s">
        <v>278</v>
      </c>
      <c r="N997" s="125"/>
      <c r="O997" s="33" t="s">
        <v>278</v>
      </c>
      <c r="P997" s="125"/>
      <c r="Q997" s="33" t="s">
        <v>587</v>
      </c>
      <c r="R997" s="125"/>
      <c r="S997" s="33" t="s">
        <v>278</v>
      </c>
      <c r="T997" s="125"/>
      <c r="U997" s="33" t="s">
        <v>278</v>
      </c>
      <c r="V997" s="125"/>
      <c r="W997" s="59" t="s">
        <v>548</v>
      </c>
      <c r="X997" s="33" t="str">
        <f>+VLOOKUP(OtherClients[[#This Row],[Part]],PartControl!$A$2:$E$564,5,FALSE)</f>
        <v>infasco</v>
      </c>
      <c r="Y997" s="108">
        <f>IF(OtherClients[[#This Row],[Re-certified or New]]&lt;&gt;"Re-certified",IF(OtherClients[[#This Row],[Client]]="infasco",VLOOKUP(OtherClients[[#This Row],[Part]],PartControl!$A$2:$E$564,2,FALSE),OtherClients[[#This Row],[Total Quantity]]*VLOOKUP(OtherClients[[#This Row],[Part]],PartControl!$A$2:$E$564,2,FALSE)),0)</f>
        <v>106.94</v>
      </c>
      <c r="Z997" s="108">
        <f>IF(OtherClients[[#This Row],[Re-certified or New]]&lt;&gt;"Re-certified",IF(OtherClients[[#This Row],[Client]]="infasco",VLOOKUP(OtherClients[[#This Row],[Part]],PartControl!$A$2:$E$564,2,FALSE),OtherClients[[#This Row],[Total Quantity]]*VLOOKUP(OtherClients[[#This Row],[Part]],PartControl!$A$2:$E$564,2,FALSE)),0)</f>
        <v>106.94</v>
      </c>
    </row>
    <row r="998" spans="1:26" ht="25.15" hidden="1" customHeight="1" x14ac:dyDescent="0.25">
      <c r="A998" s="112">
        <v>46251.685324074075</v>
      </c>
      <c r="B998" s="5" t="s">
        <v>243</v>
      </c>
      <c r="C998" s="5" t="s">
        <v>707</v>
      </c>
      <c r="D998" s="5">
        <v>714702</v>
      </c>
      <c r="E998" s="33">
        <v>5</v>
      </c>
      <c r="F998" s="60">
        <v>1900</v>
      </c>
      <c r="G998" s="60">
        <f>+OtherClients[[#This Row],[Boxes / Pieces]]*OtherClients[[#This Row],[Unit Quantity]]</f>
        <v>9500</v>
      </c>
      <c r="H998" s="60">
        <v>292</v>
      </c>
      <c r="I998" s="126" t="s">
        <v>278</v>
      </c>
      <c r="J998" s="127"/>
      <c r="K998" s="33" t="s">
        <v>278</v>
      </c>
      <c r="L998" s="125"/>
      <c r="M998" s="33" t="s">
        <v>278</v>
      </c>
      <c r="N998" s="125"/>
      <c r="O998" s="33" t="s">
        <v>278</v>
      </c>
      <c r="P998" s="125"/>
      <c r="Q998" s="33" t="s">
        <v>587</v>
      </c>
      <c r="R998" s="125"/>
      <c r="S998" s="33" t="s">
        <v>278</v>
      </c>
      <c r="T998" s="125"/>
      <c r="U998" s="33" t="s">
        <v>278</v>
      </c>
      <c r="V998" s="125"/>
      <c r="W998" s="59" t="s">
        <v>633</v>
      </c>
      <c r="X998" s="33" t="str">
        <f>+VLOOKUP(OtherClients[[#This Row],[Part]],PartControl!$A$2:$E$564,5,FALSE)</f>
        <v>infasco</v>
      </c>
      <c r="Y998" s="108">
        <f>IF(OtherClients[[#This Row],[Re-certified or New]]&lt;&gt;"Re-certified",IF(OtherClients[[#This Row],[Client]]="infasco",VLOOKUP(OtherClients[[#This Row],[Part]],PartControl!$A$2:$E$564,2,FALSE),OtherClients[[#This Row],[Total Quantity]]*VLOOKUP(OtherClients[[#This Row],[Part]],PartControl!$A$2:$E$564,2,FALSE)),0)</f>
        <v>0</v>
      </c>
      <c r="Z998" s="108">
        <f>IF(OtherClients[[#This Row],[Re-certified or New]]&lt;&gt;"Re-certified",IF(OtherClients[[#This Row],[Client]]="infasco",VLOOKUP(OtherClients[[#This Row],[Part]],PartControl!$A$2:$E$564,2,FALSE),OtherClients[[#This Row],[Total Quantity]]*VLOOKUP(OtherClients[[#This Row],[Part]],PartControl!$A$2:$E$564,2,FALSE)),0)</f>
        <v>0</v>
      </c>
    </row>
    <row r="999" spans="1:26" ht="25.15" hidden="1" customHeight="1" x14ac:dyDescent="0.25">
      <c r="A999" s="112">
        <v>46251.685324074075</v>
      </c>
      <c r="B999" s="5" t="s">
        <v>624</v>
      </c>
      <c r="C999" s="5" t="s">
        <v>705</v>
      </c>
      <c r="D999" s="5">
        <v>714176</v>
      </c>
      <c r="E999" s="33">
        <v>36</v>
      </c>
      <c r="F999" s="60">
        <v>450</v>
      </c>
      <c r="G999" s="60">
        <f>+OtherClients[[#This Row],[Boxes / Pieces]]*OtherClients[[#This Row],[Unit Quantity]]</f>
        <v>16200</v>
      </c>
      <c r="H999" s="60">
        <v>292</v>
      </c>
      <c r="I999" s="126" t="s">
        <v>278</v>
      </c>
      <c r="J999" s="127"/>
      <c r="K999" s="33" t="s">
        <v>278</v>
      </c>
      <c r="L999" s="125"/>
      <c r="M999" s="33" t="s">
        <v>278</v>
      </c>
      <c r="N999" s="125"/>
      <c r="O999" s="33" t="s">
        <v>278</v>
      </c>
      <c r="P999" s="125"/>
      <c r="Q999" s="33" t="s">
        <v>587</v>
      </c>
      <c r="R999" s="125"/>
      <c r="S999" s="33" t="s">
        <v>278</v>
      </c>
      <c r="T999" s="125"/>
      <c r="U999" s="33" t="s">
        <v>278</v>
      </c>
      <c r="V999" s="125"/>
      <c r="W999" s="59" t="s">
        <v>548</v>
      </c>
      <c r="X999" s="33" t="str">
        <f>+VLOOKUP(OtherClients[[#This Row],[Part]],PartControl!$A$2:$E$564,5,FALSE)</f>
        <v>infasco</v>
      </c>
      <c r="Y999" s="108">
        <f>IF(OtherClients[[#This Row],[Re-certified or New]]&lt;&gt;"Re-certified",IF(OtherClients[[#This Row],[Client]]="infasco",VLOOKUP(OtherClients[[#This Row],[Part]],PartControl!$A$2:$E$564,2,FALSE),OtherClients[[#This Row],[Total Quantity]]*VLOOKUP(OtherClients[[#This Row],[Part]],PartControl!$A$2:$E$564,2,FALSE)),0)</f>
        <v>106.94</v>
      </c>
      <c r="Z999" s="108">
        <f>IF(OtherClients[[#This Row],[Re-certified or New]]&lt;&gt;"Re-certified",IF(OtherClients[[#This Row],[Client]]="infasco",VLOOKUP(OtherClients[[#This Row],[Part]],PartControl!$A$2:$E$564,2,FALSE),OtherClients[[#This Row],[Total Quantity]]*VLOOKUP(OtherClients[[#This Row],[Part]],PartControl!$A$2:$E$564,2,FALSE)),0)</f>
        <v>106.94</v>
      </c>
    </row>
    <row r="1000" spans="1:26" ht="25.15" hidden="1" customHeight="1" x14ac:dyDescent="0.25">
      <c r="A1000" s="112">
        <v>46251.685324074075</v>
      </c>
      <c r="B1000" s="5" t="s">
        <v>624</v>
      </c>
      <c r="C1000" s="5" t="s">
        <v>705</v>
      </c>
      <c r="D1000" s="5">
        <v>714177</v>
      </c>
      <c r="E1000" s="33">
        <v>32</v>
      </c>
      <c r="F1000" s="60">
        <v>450</v>
      </c>
      <c r="G1000" s="60">
        <f>+OtherClients[[#This Row],[Boxes / Pieces]]*OtherClients[[#This Row],[Unit Quantity]]</f>
        <v>14400</v>
      </c>
      <c r="H1000" s="60">
        <v>292</v>
      </c>
      <c r="I1000" s="126" t="s">
        <v>278</v>
      </c>
      <c r="J1000" s="127"/>
      <c r="K1000" s="33" t="s">
        <v>278</v>
      </c>
      <c r="L1000" s="125"/>
      <c r="M1000" s="33" t="s">
        <v>278</v>
      </c>
      <c r="N1000" s="125"/>
      <c r="O1000" s="33" t="s">
        <v>278</v>
      </c>
      <c r="P1000" s="125"/>
      <c r="Q1000" s="33" t="s">
        <v>587</v>
      </c>
      <c r="R1000" s="125"/>
      <c r="S1000" s="33" t="s">
        <v>278</v>
      </c>
      <c r="T1000" s="125"/>
      <c r="U1000" s="33" t="s">
        <v>278</v>
      </c>
      <c r="V1000" s="125"/>
      <c r="W1000" s="59" t="s">
        <v>548</v>
      </c>
      <c r="X1000" s="33" t="str">
        <f>+VLOOKUP(OtherClients[[#This Row],[Part]],PartControl!$A$2:$E$564,5,FALSE)</f>
        <v>infasco</v>
      </c>
      <c r="Y1000" s="108">
        <f>IF(OtherClients[[#This Row],[Re-certified or New]]&lt;&gt;"Re-certified",IF(OtherClients[[#This Row],[Client]]="infasco",VLOOKUP(OtherClients[[#This Row],[Part]],PartControl!$A$2:$E$564,2,FALSE),OtherClients[[#This Row],[Total Quantity]]*VLOOKUP(OtherClients[[#This Row],[Part]],PartControl!$A$2:$E$564,2,FALSE)),0)</f>
        <v>106.94</v>
      </c>
      <c r="Z1000" s="108">
        <f>IF(OtherClients[[#This Row],[Re-certified or New]]&lt;&gt;"Re-certified",IF(OtherClients[[#This Row],[Client]]="infasco",VLOOKUP(OtherClients[[#This Row],[Part]],PartControl!$A$2:$E$564,2,FALSE),OtherClients[[#This Row],[Total Quantity]]*VLOOKUP(OtherClients[[#This Row],[Part]],PartControl!$A$2:$E$564,2,FALSE)),0)</f>
        <v>106.94</v>
      </c>
    </row>
    <row r="1001" spans="1:26" ht="25.15" hidden="1" customHeight="1" x14ac:dyDescent="0.25">
      <c r="A1001" s="112">
        <v>46251.685324074075</v>
      </c>
      <c r="B1001" s="5" t="s">
        <v>624</v>
      </c>
      <c r="C1001" s="5">
        <v>11549170</v>
      </c>
      <c r="D1001" s="5">
        <v>715828</v>
      </c>
      <c r="E1001" s="33">
        <v>36</v>
      </c>
      <c r="F1001" s="60">
        <v>400</v>
      </c>
      <c r="G1001" s="60">
        <f>+OtherClients[[#This Row],[Boxes / Pieces]]*OtherClients[[#This Row],[Unit Quantity]]</f>
        <v>14400</v>
      </c>
      <c r="H1001" s="60">
        <v>292</v>
      </c>
      <c r="I1001" s="126" t="s">
        <v>278</v>
      </c>
      <c r="J1001" s="127"/>
      <c r="K1001" s="33" t="s">
        <v>278</v>
      </c>
      <c r="L1001" s="125"/>
      <c r="M1001" s="33" t="s">
        <v>278</v>
      </c>
      <c r="N1001" s="125"/>
      <c r="O1001" s="33" t="s">
        <v>278</v>
      </c>
      <c r="P1001" s="125"/>
      <c r="Q1001" s="33" t="s">
        <v>587</v>
      </c>
      <c r="R1001" s="125"/>
      <c r="S1001" s="33" t="s">
        <v>278</v>
      </c>
      <c r="T1001" s="125"/>
      <c r="U1001" s="33" t="s">
        <v>278</v>
      </c>
      <c r="V1001" s="125"/>
      <c r="W1001" s="59" t="s">
        <v>548</v>
      </c>
      <c r="X1001" s="33" t="str">
        <f>+VLOOKUP(OtherClients[[#This Row],[Part]],PartControl!$A$2:$E$564,5,FALSE)</f>
        <v>INFASCO</v>
      </c>
      <c r="Y1001" s="108">
        <f>IF(OtherClients[[#This Row],[Re-certified or New]]&lt;&gt;"Re-certified",IF(OtherClients[[#This Row],[Client]]="infasco",VLOOKUP(OtherClients[[#This Row],[Part]],PartControl!$A$2:$E$564,2,FALSE),OtherClients[[#This Row],[Total Quantity]]*VLOOKUP(OtherClients[[#This Row],[Part]],PartControl!$A$2:$E$564,2,FALSE)),0)</f>
        <v>106.94</v>
      </c>
      <c r="Z1001" s="108">
        <f>IF(OtherClients[[#This Row],[Re-certified or New]]&lt;&gt;"Re-certified",IF(OtherClients[[#This Row],[Client]]="infasco",VLOOKUP(OtherClients[[#This Row],[Part]],PartControl!$A$2:$E$564,2,FALSE),OtherClients[[#This Row],[Total Quantity]]*VLOOKUP(OtherClients[[#This Row],[Part]],PartControl!$A$2:$E$564,2,FALSE)),0)</f>
        <v>106.94</v>
      </c>
    </row>
    <row r="1002" spans="1:26" ht="25.15" hidden="1" customHeight="1" x14ac:dyDescent="0.25">
      <c r="A1002" s="112">
        <v>46251.685324074075</v>
      </c>
      <c r="B1002" s="5" t="s">
        <v>624</v>
      </c>
      <c r="C1002" s="5">
        <v>11549170</v>
      </c>
      <c r="D1002" s="5">
        <v>715777</v>
      </c>
      <c r="E1002" s="33">
        <v>36</v>
      </c>
      <c r="F1002" s="60">
        <v>400</v>
      </c>
      <c r="G1002" s="60">
        <f>+OtherClients[[#This Row],[Boxes / Pieces]]*OtherClients[[#This Row],[Unit Quantity]]</f>
        <v>14400</v>
      </c>
      <c r="H1002" s="60">
        <v>292</v>
      </c>
      <c r="I1002" s="126" t="s">
        <v>278</v>
      </c>
      <c r="J1002" s="127"/>
      <c r="K1002" s="33" t="s">
        <v>278</v>
      </c>
      <c r="L1002" s="125"/>
      <c r="M1002" s="33" t="s">
        <v>278</v>
      </c>
      <c r="N1002" s="125"/>
      <c r="O1002" s="33" t="s">
        <v>278</v>
      </c>
      <c r="P1002" s="125"/>
      <c r="Q1002" s="33" t="s">
        <v>587</v>
      </c>
      <c r="R1002" s="125"/>
      <c r="S1002" s="33" t="s">
        <v>278</v>
      </c>
      <c r="T1002" s="125"/>
      <c r="U1002" s="33" t="s">
        <v>278</v>
      </c>
      <c r="V1002" s="125"/>
      <c r="W1002" s="59" t="s">
        <v>548</v>
      </c>
      <c r="X1002" s="33" t="str">
        <f>+VLOOKUP(OtherClients[[#This Row],[Part]],PartControl!$A$2:$E$564,5,FALSE)</f>
        <v>INFASCO</v>
      </c>
      <c r="Y1002" s="108">
        <f>IF(OtherClients[[#This Row],[Re-certified or New]]&lt;&gt;"Re-certified",IF(OtherClients[[#This Row],[Client]]="infasco",VLOOKUP(OtherClients[[#This Row],[Part]],PartControl!$A$2:$E$564,2,FALSE),OtherClients[[#This Row],[Total Quantity]]*VLOOKUP(OtherClients[[#This Row],[Part]],PartControl!$A$2:$E$564,2,FALSE)),0)</f>
        <v>106.94</v>
      </c>
      <c r="Z1002" s="108">
        <f>IF(OtherClients[[#This Row],[Re-certified or New]]&lt;&gt;"Re-certified",IF(OtherClients[[#This Row],[Client]]="infasco",VLOOKUP(OtherClients[[#This Row],[Part]],PartControl!$A$2:$E$564,2,FALSE),OtherClients[[#This Row],[Total Quantity]]*VLOOKUP(OtherClients[[#This Row],[Part]],PartControl!$A$2:$E$564,2,FALSE)),0)</f>
        <v>106.94</v>
      </c>
    </row>
    <row r="1003" spans="1:26" ht="25.15" hidden="1" customHeight="1" x14ac:dyDescent="0.25">
      <c r="A1003" s="112">
        <v>46251.685324074075</v>
      </c>
      <c r="B1003" s="113" t="s">
        <v>624</v>
      </c>
      <c r="C1003" s="113">
        <v>11549170</v>
      </c>
      <c r="D1003" s="113">
        <v>714365</v>
      </c>
      <c r="E1003" s="114">
        <v>15</v>
      </c>
      <c r="F1003" s="115">
        <v>400</v>
      </c>
      <c r="G1003" s="115">
        <f>+OtherClients[[#This Row],[Boxes / Pieces]]*OtherClients[[#This Row],[Unit Quantity]]</f>
        <v>6000</v>
      </c>
      <c r="H1003" s="60">
        <v>292</v>
      </c>
      <c r="I1003" s="126" t="s">
        <v>278</v>
      </c>
      <c r="J1003" s="127"/>
      <c r="K1003" s="33" t="s">
        <v>278</v>
      </c>
      <c r="L1003" s="125"/>
      <c r="M1003" s="33" t="s">
        <v>278</v>
      </c>
      <c r="N1003" s="125"/>
      <c r="O1003" s="33" t="s">
        <v>278</v>
      </c>
      <c r="P1003" s="125"/>
      <c r="Q1003" s="33" t="s">
        <v>587</v>
      </c>
      <c r="R1003" s="125"/>
      <c r="S1003" s="33" t="s">
        <v>278</v>
      </c>
      <c r="T1003" s="125"/>
      <c r="U1003" s="33" t="s">
        <v>278</v>
      </c>
      <c r="V1003" s="125"/>
      <c r="W1003" s="59" t="s">
        <v>633</v>
      </c>
      <c r="X1003" s="33" t="str">
        <f>+VLOOKUP(OtherClients[[#This Row],[Part]],PartControl!$A$2:$E$564,5,FALSE)</f>
        <v>INFASCO</v>
      </c>
      <c r="Y1003" s="108">
        <f>IF(OtherClients[[#This Row],[Re-certified or New]]&lt;&gt;"Re-certified",IF(OtherClients[[#This Row],[Client]]="infasco",VLOOKUP(OtherClients[[#This Row],[Part]],PartControl!$A$2:$E$564,2,FALSE),OtherClients[[#This Row],[Total Quantity]]*VLOOKUP(OtherClients[[#This Row],[Part]],PartControl!$A$2:$E$564,2,FALSE)),0)</f>
        <v>0</v>
      </c>
      <c r="Z1003" s="108">
        <f>IF(OtherClients[[#This Row],[Re-certified or New]]&lt;&gt;"Re-certified",IF(OtherClients[[#This Row],[Client]]="infasco",VLOOKUP(OtherClients[[#This Row],[Part]],PartControl!$A$2:$E$564,2,FALSE),OtherClients[[#This Row],[Total Quantity]]*VLOOKUP(OtherClients[[#This Row],[Part]],PartControl!$A$2:$E$564,2,FALSE)),0)</f>
        <v>0</v>
      </c>
    </row>
    <row r="1004" spans="1:26" ht="25.15" hidden="1" customHeight="1" x14ac:dyDescent="0.25">
      <c r="A1004" s="112">
        <v>46251.685324074075</v>
      </c>
      <c r="B1004" s="5" t="s">
        <v>244</v>
      </c>
      <c r="C1004" s="5" t="s">
        <v>644</v>
      </c>
      <c r="D1004" s="5">
        <v>715606</v>
      </c>
      <c r="E1004" s="33">
        <v>21</v>
      </c>
      <c r="F1004" s="60">
        <v>2200</v>
      </c>
      <c r="G1004" s="60">
        <f>+OtherClients[[#This Row],[Boxes / Pieces]]*OtherClients[[#This Row],[Unit Quantity]]</f>
        <v>46200</v>
      </c>
      <c r="H1004" s="60">
        <v>292</v>
      </c>
      <c r="I1004" s="126" t="s">
        <v>278</v>
      </c>
      <c r="J1004" s="127"/>
      <c r="K1004" s="33" t="s">
        <v>278</v>
      </c>
      <c r="L1004" s="125"/>
      <c r="M1004" s="33" t="s">
        <v>278</v>
      </c>
      <c r="N1004" s="125"/>
      <c r="O1004" s="33" t="s">
        <v>278</v>
      </c>
      <c r="P1004" s="125"/>
      <c r="Q1004" s="33" t="s">
        <v>587</v>
      </c>
      <c r="R1004" s="125"/>
      <c r="S1004" s="33" t="s">
        <v>278</v>
      </c>
      <c r="T1004" s="125"/>
      <c r="U1004" s="33" t="s">
        <v>278</v>
      </c>
      <c r="V1004" s="125"/>
      <c r="W1004" s="59" t="s">
        <v>633</v>
      </c>
      <c r="X1004" s="33" t="str">
        <f>+VLOOKUP(OtherClients[[#This Row],[Part]],PartControl!$A$2:$E$564,5,FALSE)</f>
        <v>infasco</v>
      </c>
      <c r="Y1004" s="108">
        <f>IF(OtherClients[[#This Row],[Re-certified or New]]&lt;&gt;"Re-certified",IF(OtherClients[[#This Row],[Client]]="infasco",VLOOKUP(OtherClients[[#This Row],[Part]],PartControl!$A$2:$E$564,2,FALSE),OtherClients[[#This Row],[Total Quantity]]*VLOOKUP(OtherClients[[#This Row],[Part]],PartControl!$A$2:$E$564,2,FALSE)),0)</f>
        <v>0</v>
      </c>
      <c r="Z1004" s="108">
        <f>IF(OtherClients[[#This Row],[Re-certified or New]]&lt;&gt;"Re-certified",IF(OtherClients[[#This Row],[Client]]="infasco",VLOOKUP(OtherClients[[#This Row],[Part]],PartControl!$A$2:$E$564,2,FALSE),OtherClients[[#This Row],[Total Quantity]]*VLOOKUP(OtherClients[[#This Row],[Part]],PartControl!$A$2:$E$564,2,FALSE)),0)</f>
        <v>0</v>
      </c>
    </row>
    <row r="1005" spans="1:26" ht="25.15" hidden="1" customHeight="1" x14ac:dyDescent="0.25">
      <c r="A1005" s="112">
        <v>46251.685324074075</v>
      </c>
      <c r="B1005" s="5" t="s">
        <v>245</v>
      </c>
      <c r="C1005" s="5">
        <v>11546377</v>
      </c>
      <c r="D1005" s="5">
        <v>716616</v>
      </c>
      <c r="E1005" s="33">
        <f>19-4</f>
        <v>15</v>
      </c>
      <c r="F1005" s="60">
        <v>2150</v>
      </c>
      <c r="G1005" s="60">
        <f>+OtherClients[[#This Row],[Boxes / Pieces]]*OtherClients[[#This Row],[Unit Quantity]]</f>
        <v>32250</v>
      </c>
      <c r="H1005" s="60">
        <v>292</v>
      </c>
      <c r="I1005" s="126" t="s">
        <v>278</v>
      </c>
      <c r="J1005" s="127"/>
      <c r="K1005" s="33" t="s">
        <v>278</v>
      </c>
      <c r="L1005" s="125"/>
      <c r="M1005" s="33" t="s">
        <v>278</v>
      </c>
      <c r="N1005" s="125"/>
      <c r="O1005" s="33" t="s">
        <v>278</v>
      </c>
      <c r="P1005" s="125"/>
      <c r="Q1005" s="33" t="s">
        <v>587</v>
      </c>
      <c r="R1005" s="125"/>
      <c r="S1005" s="33" t="s">
        <v>278</v>
      </c>
      <c r="T1005" s="125"/>
      <c r="U1005" s="33" t="s">
        <v>278</v>
      </c>
      <c r="V1005" s="125"/>
      <c r="W1005" s="59" t="s">
        <v>548</v>
      </c>
      <c r="X1005" s="33" t="str">
        <f>+VLOOKUP(OtherClients[[#This Row],[Part]],PartControl!$A$2:$E$564,5,FALSE)</f>
        <v>INFASCO</v>
      </c>
      <c r="Y1005" s="108">
        <f>IF(OtherClients[[#This Row],[Re-certified or New]]&lt;&gt;"Re-certified",IF(OtherClients[[#This Row],[Client]]="infasco",VLOOKUP(OtherClients[[#This Row],[Part]],PartControl!$A$2:$E$564,2,FALSE),OtherClients[[#This Row],[Total Quantity]]*VLOOKUP(OtherClients[[#This Row],[Part]],PartControl!$A$2:$E$564,2,FALSE)),0)</f>
        <v>106.94</v>
      </c>
      <c r="Z1005" s="108">
        <f>IF(OtherClients[[#This Row],[Re-certified or New]]&lt;&gt;"Re-certified",IF(OtherClients[[#This Row],[Client]]="infasco",VLOOKUP(OtherClients[[#This Row],[Part]],PartControl!$A$2:$E$564,2,FALSE),OtherClients[[#This Row],[Total Quantity]]*VLOOKUP(OtherClients[[#This Row],[Part]],PartControl!$A$2:$E$564,2,FALSE)),0)</f>
        <v>106.94</v>
      </c>
    </row>
    <row r="1006" spans="1:26" ht="25.15" hidden="1" customHeight="1" x14ac:dyDescent="0.25">
      <c r="A1006" s="112">
        <v>46251.685324074075</v>
      </c>
      <c r="B1006" s="5" t="s">
        <v>245</v>
      </c>
      <c r="C1006" s="5" t="s">
        <v>706</v>
      </c>
      <c r="D1006" s="5">
        <v>714536</v>
      </c>
      <c r="E1006" s="33">
        <v>5</v>
      </c>
      <c r="F1006" s="60">
        <v>1900</v>
      </c>
      <c r="G1006" s="60">
        <f>+OtherClients[[#This Row],[Boxes / Pieces]]*OtherClients[[#This Row],[Unit Quantity]]</f>
        <v>9500</v>
      </c>
      <c r="H1006" s="60">
        <v>292</v>
      </c>
      <c r="I1006" s="126" t="s">
        <v>278</v>
      </c>
      <c r="J1006" s="127"/>
      <c r="K1006" s="33" t="s">
        <v>278</v>
      </c>
      <c r="L1006" s="125"/>
      <c r="M1006" s="33" t="s">
        <v>278</v>
      </c>
      <c r="N1006" s="125"/>
      <c r="O1006" s="33" t="s">
        <v>278</v>
      </c>
      <c r="P1006" s="125"/>
      <c r="Q1006" s="33" t="s">
        <v>587</v>
      </c>
      <c r="R1006" s="125"/>
      <c r="S1006" s="33" t="s">
        <v>278</v>
      </c>
      <c r="T1006" s="125"/>
      <c r="U1006" s="33" t="s">
        <v>278</v>
      </c>
      <c r="V1006" s="125"/>
      <c r="W1006" s="59" t="s">
        <v>633</v>
      </c>
      <c r="X1006" s="33" t="str">
        <f>+VLOOKUP(OtherClients[[#This Row],[Part]],PartControl!$A$2:$E$564,5,FALSE)</f>
        <v>infasco</v>
      </c>
      <c r="Y1006" s="108">
        <f>IF(OtherClients[[#This Row],[Re-certified or New]]&lt;&gt;"Re-certified",IF(OtherClients[[#This Row],[Client]]="infasco",VLOOKUP(OtherClients[[#This Row],[Part]],PartControl!$A$2:$E$564,2,FALSE),OtherClients[[#This Row],[Total Quantity]]*VLOOKUP(OtherClients[[#This Row],[Part]],PartControl!$A$2:$E$564,2,FALSE)),0)</f>
        <v>0</v>
      </c>
      <c r="Z1006" s="108">
        <f>IF(OtherClients[[#This Row],[Re-certified or New]]&lt;&gt;"Re-certified",IF(OtherClients[[#This Row],[Client]]="infasco",VLOOKUP(OtherClients[[#This Row],[Part]],PartControl!$A$2:$E$564,2,FALSE),OtherClients[[#This Row],[Total Quantity]]*VLOOKUP(OtherClients[[#This Row],[Part]],PartControl!$A$2:$E$564,2,FALSE)),0)</f>
        <v>0</v>
      </c>
    </row>
    <row r="1007" spans="1:26" ht="25.15" hidden="1" customHeight="1" x14ac:dyDescent="0.25">
      <c r="A1007" s="112">
        <v>46251.685324074075</v>
      </c>
      <c r="B1007" s="5" t="s">
        <v>342</v>
      </c>
      <c r="C1007" s="5" t="s">
        <v>732</v>
      </c>
      <c r="D1007" s="5">
        <v>708736</v>
      </c>
      <c r="E1007" s="33">
        <f>36+8-2</f>
        <v>42</v>
      </c>
      <c r="F1007" s="60">
        <v>1000</v>
      </c>
      <c r="G1007" s="60">
        <f>+OtherClients[[#This Row],[Boxes / Pieces]]*OtherClients[[#This Row],[Unit Quantity]]</f>
        <v>42000</v>
      </c>
      <c r="H1007" s="60">
        <v>157</v>
      </c>
      <c r="I1007" s="126" t="s">
        <v>278</v>
      </c>
      <c r="J1007" s="127"/>
      <c r="K1007" s="33" t="s">
        <v>278</v>
      </c>
      <c r="L1007" s="125"/>
      <c r="M1007" s="33" t="s">
        <v>278</v>
      </c>
      <c r="N1007" s="125"/>
      <c r="O1007" s="33" t="s">
        <v>278</v>
      </c>
      <c r="P1007" s="125"/>
      <c r="Q1007" s="33" t="s">
        <v>587</v>
      </c>
      <c r="R1007" s="125"/>
      <c r="S1007" s="33" t="s">
        <v>278</v>
      </c>
      <c r="T1007" s="125"/>
      <c r="U1007" s="33" t="s">
        <v>278</v>
      </c>
      <c r="V1007" s="125"/>
      <c r="W1007" s="59" t="s">
        <v>548</v>
      </c>
      <c r="X1007" s="33" t="str">
        <f>+VLOOKUP(OtherClients[[#This Row],[Part]],PartControl!$A$2:$E$564,5,FALSE)</f>
        <v>infasco</v>
      </c>
      <c r="Y1007" s="108">
        <f>IF(OtherClients[[#This Row],[Re-certified or New]]&lt;&gt;"Re-certified",IF(OtherClients[[#This Row],[Client]]="infasco",VLOOKUP(OtherClients[[#This Row],[Part]],PartControl!$A$2:$E$564,2,FALSE),OtherClients[[#This Row],[Total Quantity]]*VLOOKUP(OtherClients[[#This Row],[Part]],PartControl!$A$2:$E$564,2,FALSE)),0)</f>
        <v>213.88</v>
      </c>
      <c r="Z1007" s="108">
        <f>IF(OtherClients[[#This Row],[Re-certified or New]]&lt;&gt;"Re-certified",IF(OtherClients[[#This Row],[Client]]="infasco",VLOOKUP(OtherClients[[#This Row],[Part]],PartControl!$A$2:$E$564,2,FALSE),OtherClients[[#This Row],[Total Quantity]]*VLOOKUP(OtherClients[[#This Row],[Part]],PartControl!$A$2:$E$564,2,FALSE)),0)</f>
        <v>213.88</v>
      </c>
    </row>
    <row r="1008" spans="1:26" ht="25.15" hidden="1" customHeight="1" x14ac:dyDescent="0.25">
      <c r="A1008" s="112">
        <v>46251.685324074075</v>
      </c>
      <c r="B1008" s="5" t="s">
        <v>342</v>
      </c>
      <c r="C1008" s="5" t="s">
        <v>17</v>
      </c>
      <c r="D1008" s="5">
        <v>716328</v>
      </c>
      <c r="E1008" s="33">
        <v>32</v>
      </c>
      <c r="F1008" s="60">
        <v>100</v>
      </c>
      <c r="G1008" s="60">
        <f>+OtherClients[[#This Row],[Boxes / Pieces]]*OtherClients[[#This Row],[Unit Quantity]]</f>
        <v>3200</v>
      </c>
      <c r="H1008" s="60">
        <v>157</v>
      </c>
      <c r="I1008" s="126" t="s">
        <v>278</v>
      </c>
      <c r="J1008" s="127"/>
      <c r="K1008" s="33" t="s">
        <v>278</v>
      </c>
      <c r="L1008" s="125"/>
      <c r="M1008" s="33" t="s">
        <v>278</v>
      </c>
      <c r="N1008" s="125"/>
      <c r="O1008" s="33" t="s">
        <v>278</v>
      </c>
      <c r="P1008" s="125"/>
      <c r="Q1008" s="33" t="s">
        <v>587</v>
      </c>
      <c r="R1008" s="125"/>
      <c r="S1008" s="33" t="s">
        <v>278</v>
      </c>
      <c r="T1008" s="125"/>
      <c r="U1008" s="33" t="s">
        <v>278</v>
      </c>
      <c r="V1008" s="125"/>
      <c r="W1008" s="59" t="s">
        <v>548</v>
      </c>
      <c r="X1008" s="33" t="str">
        <f>+VLOOKUP(OtherClients[[#This Row],[Part]],PartControl!$A$2:$E$564,5,FALSE)</f>
        <v>infasco</v>
      </c>
      <c r="Y1008" s="108">
        <f>IF(OtherClients[[#This Row],[Re-certified or New]]&lt;&gt;"Re-certified",IF(OtherClients[[#This Row],[Client]]="infasco",VLOOKUP(OtherClients[[#This Row],[Part]],PartControl!$A$2:$E$564,2,FALSE),OtherClients[[#This Row],[Total Quantity]]*VLOOKUP(OtherClients[[#This Row],[Part]],PartControl!$A$2:$E$564,2,FALSE)),0)</f>
        <v>135.07999999999998</v>
      </c>
      <c r="Z1008" s="108">
        <f>IF(OtherClients[[#This Row],[Re-certified or New]]&lt;&gt;"Re-certified",IF(OtherClients[[#This Row],[Client]]="infasco",VLOOKUP(OtherClients[[#This Row],[Part]],PartControl!$A$2:$E$564,2,FALSE),OtherClients[[#This Row],[Total Quantity]]*VLOOKUP(OtherClients[[#This Row],[Part]],PartControl!$A$2:$E$564,2,FALSE)),0)</f>
        <v>135.07999999999998</v>
      </c>
    </row>
    <row r="1009" spans="1:26" ht="25.15" hidden="1" customHeight="1" x14ac:dyDescent="0.25">
      <c r="A1009" s="112">
        <v>46251.685324074075</v>
      </c>
      <c r="B1009" s="5" t="s">
        <v>342</v>
      </c>
      <c r="C1009" s="5" t="s">
        <v>854</v>
      </c>
      <c r="D1009" s="5">
        <v>713922</v>
      </c>
      <c r="E1009" s="33">
        <v>4</v>
      </c>
      <c r="F1009" s="60">
        <v>700</v>
      </c>
      <c r="G1009" s="60">
        <f>+OtherClients[[#This Row],[Boxes / Pieces]]*OtherClients[[#This Row],[Unit Quantity]]</f>
        <v>2800</v>
      </c>
      <c r="H1009" s="60">
        <v>157</v>
      </c>
      <c r="I1009" s="126" t="s">
        <v>278</v>
      </c>
      <c r="J1009" s="127"/>
      <c r="K1009" s="33" t="s">
        <v>278</v>
      </c>
      <c r="L1009" s="125"/>
      <c r="M1009" s="33" t="s">
        <v>278</v>
      </c>
      <c r="N1009" s="125"/>
      <c r="O1009" s="33" t="s">
        <v>278</v>
      </c>
      <c r="P1009" s="125"/>
      <c r="Q1009" s="33" t="s">
        <v>587</v>
      </c>
      <c r="R1009" s="125"/>
      <c r="S1009" s="33" t="s">
        <v>278</v>
      </c>
      <c r="T1009" s="125"/>
      <c r="U1009" s="33" t="s">
        <v>278</v>
      </c>
      <c r="V1009" s="125"/>
      <c r="W1009" s="59" t="s">
        <v>633</v>
      </c>
      <c r="X1009" s="33" t="str">
        <f>+VLOOKUP(OtherClients[[#This Row],[Part]],PartControl!$A$2:$E$564,5,FALSE)</f>
        <v>infasco</v>
      </c>
      <c r="Y1009" s="108">
        <f>IF(OtherClients[[#This Row],[Re-certified or New]]&lt;&gt;"Re-certified",IF(OtherClients[[#This Row],[Client]]="infasco",VLOOKUP(OtherClients[[#This Row],[Part]],PartControl!$A$2:$E$564,2,FALSE),OtherClients[[#This Row],[Total Quantity]]*VLOOKUP(OtherClients[[#This Row],[Part]],PartControl!$A$2:$E$564,2,FALSE)),0)</f>
        <v>0</v>
      </c>
      <c r="Z1009" s="108">
        <f>IF(OtherClients[[#This Row],[Re-certified or New]]&lt;&gt;"Re-certified",IF(OtherClients[[#This Row],[Client]]="infasco",VLOOKUP(OtherClients[[#This Row],[Part]],PartControl!$A$2:$E$564,2,FALSE),OtherClients[[#This Row],[Total Quantity]]*VLOOKUP(OtherClients[[#This Row],[Part]],PartControl!$A$2:$E$564,2,FALSE)),0)</f>
        <v>0</v>
      </c>
    </row>
    <row r="1010" spans="1:26" ht="25.15" hidden="1" customHeight="1" x14ac:dyDescent="0.25">
      <c r="A1010" s="112">
        <v>46251.685324074075</v>
      </c>
      <c r="B1010" s="5" t="s">
        <v>343</v>
      </c>
      <c r="C1010" s="5" t="s">
        <v>861</v>
      </c>
      <c r="D1010" s="5">
        <v>716250</v>
      </c>
      <c r="E1010" s="33">
        <v>1</v>
      </c>
      <c r="F1010" s="60">
        <v>10154</v>
      </c>
      <c r="G1010" s="60">
        <f>+OtherClients[[#This Row],[Boxes / Pieces]]*OtherClients[[#This Row],[Unit Quantity]]</f>
        <v>10154</v>
      </c>
      <c r="H1010" s="60" t="s">
        <v>757</v>
      </c>
      <c r="I1010" s="126" t="s">
        <v>278</v>
      </c>
      <c r="J1010" s="127"/>
      <c r="K1010" s="33" t="s">
        <v>278</v>
      </c>
      <c r="L1010" s="125"/>
      <c r="M1010" s="33" t="s">
        <v>278</v>
      </c>
      <c r="N1010" s="125"/>
      <c r="O1010" s="33" t="s">
        <v>278</v>
      </c>
      <c r="P1010" s="125"/>
      <c r="Q1010" s="33" t="s">
        <v>587</v>
      </c>
      <c r="R1010" s="125"/>
      <c r="S1010" s="33" t="s">
        <v>278</v>
      </c>
      <c r="T1010" s="125"/>
      <c r="U1010" s="33" t="s">
        <v>278</v>
      </c>
      <c r="V1010" s="125"/>
      <c r="W1010" s="59" t="s">
        <v>548</v>
      </c>
      <c r="X1010" s="33" t="str">
        <f>+VLOOKUP(OtherClients[[#This Row],[Part]],PartControl!$A$2:$E$564,5,FALSE)</f>
        <v>Infasco</v>
      </c>
      <c r="Y1010" s="108">
        <f>IF(OtherClients[[#This Row],[Re-certified or New]]&lt;&gt;"Re-certified",IF(OtherClients[[#This Row],[Client]]="infasco",VLOOKUP(OtherClients[[#This Row],[Part]],PartControl!$A$2:$E$564,2,FALSE),OtherClients[[#This Row],[Total Quantity]]*VLOOKUP(OtherClients[[#This Row],[Part]],PartControl!$A$2:$E$564,2,FALSE)),0)</f>
        <v>129.44999999999999</v>
      </c>
      <c r="Z1010" s="108">
        <f>IF(OtherClients[[#This Row],[Re-certified or New]]&lt;&gt;"Re-certified",IF(OtherClients[[#This Row],[Client]]="infasco",VLOOKUP(OtherClients[[#This Row],[Part]],PartControl!$A$2:$E$564,2,FALSE),OtherClients[[#This Row],[Total Quantity]]*VLOOKUP(OtherClients[[#This Row],[Part]],PartControl!$A$2:$E$564,2,FALSE)),0)</f>
        <v>129.44999999999999</v>
      </c>
    </row>
    <row r="1011" spans="1:26" ht="25.15" hidden="1" customHeight="1" x14ac:dyDescent="0.25">
      <c r="A1011" s="112">
        <v>46251.685324074075</v>
      </c>
      <c r="B1011" s="5" t="s">
        <v>343</v>
      </c>
      <c r="C1011" s="5" t="s">
        <v>698</v>
      </c>
      <c r="D1011" s="5">
        <v>714701</v>
      </c>
      <c r="E1011" s="33">
        <v>36</v>
      </c>
      <c r="F1011" s="60">
        <v>3000</v>
      </c>
      <c r="G1011" s="60">
        <f>+OtherClients[[#This Row],[Boxes / Pieces]]*OtherClients[[#This Row],[Unit Quantity]]</f>
        <v>108000</v>
      </c>
      <c r="H1011" s="60" t="s">
        <v>757</v>
      </c>
      <c r="I1011" s="126" t="s">
        <v>278</v>
      </c>
      <c r="J1011" s="127"/>
      <c r="K1011" s="33" t="s">
        <v>278</v>
      </c>
      <c r="L1011" s="125"/>
      <c r="M1011" s="33" t="s">
        <v>278</v>
      </c>
      <c r="N1011" s="125"/>
      <c r="O1011" s="33" t="s">
        <v>278</v>
      </c>
      <c r="P1011" s="125"/>
      <c r="Q1011" s="33" t="s">
        <v>587</v>
      </c>
      <c r="R1011" s="125"/>
      <c r="S1011" s="33" t="s">
        <v>278</v>
      </c>
      <c r="T1011" s="125"/>
      <c r="U1011" s="33" t="s">
        <v>278</v>
      </c>
      <c r="V1011" s="125"/>
      <c r="W1011" s="59" t="s">
        <v>548</v>
      </c>
      <c r="X1011" s="33" t="str">
        <f>+VLOOKUP(OtherClients[[#This Row],[Part]],PartControl!$A$2:$E$564,5,FALSE)</f>
        <v>infasco</v>
      </c>
      <c r="Y1011" s="108">
        <f>IF(OtherClients[[#This Row],[Re-certified or New]]&lt;&gt;"Re-certified",IF(OtherClients[[#This Row],[Client]]="infasco",VLOOKUP(OtherClients[[#This Row],[Part]],PartControl!$A$2:$E$564,2,FALSE),OtherClients[[#This Row],[Total Quantity]]*VLOOKUP(OtherClients[[#This Row],[Part]],PartControl!$A$2:$E$564,2,FALSE)),0)</f>
        <v>106.94</v>
      </c>
      <c r="Z1011" s="108">
        <f>IF(OtherClients[[#This Row],[Re-certified or New]]&lt;&gt;"Re-certified",IF(OtherClients[[#This Row],[Client]]="infasco",VLOOKUP(OtherClients[[#This Row],[Part]],PartControl!$A$2:$E$564,2,FALSE),OtherClients[[#This Row],[Total Quantity]]*VLOOKUP(OtherClients[[#This Row],[Part]],PartControl!$A$2:$E$564,2,FALSE)),0)</f>
        <v>106.94</v>
      </c>
    </row>
    <row r="1012" spans="1:26" ht="25.15" hidden="1" customHeight="1" x14ac:dyDescent="0.25">
      <c r="A1012" s="112">
        <v>46251.685324074075</v>
      </c>
      <c r="B1012" s="5" t="s">
        <v>343</v>
      </c>
      <c r="C1012" s="5" t="s">
        <v>698</v>
      </c>
      <c r="D1012" s="5">
        <v>714699</v>
      </c>
      <c r="E1012" s="33">
        <f>36+11</f>
        <v>47</v>
      </c>
      <c r="F1012" s="60">
        <v>3000</v>
      </c>
      <c r="G1012" s="60">
        <f>+OtherClients[[#This Row],[Boxes / Pieces]]*OtherClients[[#This Row],[Unit Quantity]]</f>
        <v>141000</v>
      </c>
      <c r="H1012" s="60" t="s">
        <v>757</v>
      </c>
      <c r="I1012" s="126" t="s">
        <v>278</v>
      </c>
      <c r="J1012" s="127"/>
      <c r="K1012" s="33" t="s">
        <v>278</v>
      </c>
      <c r="L1012" s="125"/>
      <c r="M1012" s="33" t="s">
        <v>278</v>
      </c>
      <c r="N1012" s="125"/>
      <c r="O1012" s="33" t="s">
        <v>278</v>
      </c>
      <c r="P1012" s="125"/>
      <c r="Q1012" s="33" t="s">
        <v>587</v>
      </c>
      <c r="R1012" s="125"/>
      <c r="S1012" s="33" t="s">
        <v>278</v>
      </c>
      <c r="T1012" s="125"/>
      <c r="U1012" s="33" t="s">
        <v>278</v>
      </c>
      <c r="V1012" s="125"/>
      <c r="W1012" s="59" t="s">
        <v>548</v>
      </c>
      <c r="X1012" s="33" t="str">
        <f>+VLOOKUP(OtherClients[[#This Row],[Part]],PartControl!$A$2:$E$564,5,FALSE)</f>
        <v>infasco</v>
      </c>
      <c r="Y1012" s="108">
        <f>IF(OtherClients[[#This Row],[Re-certified or New]]&lt;&gt;"Re-certified",IF(OtherClients[[#This Row],[Client]]="infasco",VLOOKUP(OtherClients[[#This Row],[Part]],PartControl!$A$2:$E$564,2,FALSE),OtherClients[[#This Row],[Total Quantity]]*VLOOKUP(OtherClients[[#This Row],[Part]],PartControl!$A$2:$E$564,2,FALSE)),0)</f>
        <v>106.94</v>
      </c>
      <c r="Z1012" s="108">
        <f>IF(OtherClients[[#This Row],[Re-certified or New]]&lt;&gt;"Re-certified",IF(OtherClients[[#This Row],[Client]]="infasco",VLOOKUP(OtherClients[[#This Row],[Part]],PartControl!$A$2:$E$564,2,FALSE),OtherClients[[#This Row],[Total Quantity]]*VLOOKUP(OtherClients[[#This Row],[Part]],PartControl!$A$2:$E$564,2,FALSE)),0)</f>
        <v>106.94</v>
      </c>
    </row>
    <row r="1013" spans="1:26" ht="25.15" hidden="1" customHeight="1" x14ac:dyDescent="0.25">
      <c r="A1013" s="112">
        <v>46251.685324074075</v>
      </c>
      <c r="B1013" s="5" t="s">
        <v>343</v>
      </c>
      <c r="C1013" s="5">
        <v>11547369</v>
      </c>
      <c r="D1013" s="5">
        <v>714480</v>
      </c>
      <c r="E1013" s="33">
        <f>36+8</f>
        <v>44</v>
      </c>
      <c r="F1013" s="60">
        <v>250</v>
      </c>
      <c r="G1013" s="60">
        <f>+OtherClients[[#This Row],[Boxes / Pieces]]*OtherClients[[#This Row],[Unit Quantity]]</f>
        <v>11000</v>
      </c>
      <c r="H1013" s="60" t="s">
        <v>757</v>
      </c>
      <c r="I1013" s="126" t="s">
        <v>278</v>
      </c>
      <c r="J1013" s="127"/>
      <c r="K1013" s="33" t="s">
        <v>278</v>
      </c>
      <c r="L1013" s="125"/>
      <c r="M1013" s="33" t="s">
        <v>278</v>
      </c>
      <c r="N1013" s="125"/>
      <c r="O1013" s="33" t="s">
        <v>278</v>
      </c>
      <c r="P1013" s="125"/>
      <c r="Q1013" s="33" t="s">
        <v>587</v>
      </c>
      <c r="R1013" s="125"/>
      <c r="S1013" s="33" t="s">
        <v>278</v>
      </c>
      <c r="T1013" s="125"/>
      <c r="U1013" s="33" t="s">
        <v>278</v>
      </c>
      <c r="V1013" s="125"/>
      <c r="W1013" s="59" t="s">
        <v>548</v>
      </c>
      <c r="X1013" s="33" t="str">
        <f>+VLOOKUP(OtherClients[[#This Row],[Part]],PartControl!$A$2:$E$564,5,FALSE)</f>
        <v>Infasco</v>
      </c>
      <c r="Y1013" s="108">
        <f>IF(OtherClients[[#This Row],[Re-certified or New]]&lt;&gt;"Re-certified",IF(OtherClients[[#This Row],[Client]]="infasco",VLOOKUP(OtherClients[[#This Row],[Part]],PartControl!$A$2:$E$564,2,FALSE),OtherClients[[#This Row],[Total Quantity]]*VLOOKUP(OtherClients[[#This Row],[Part]],PartControl!$A$2:$E$564,2,FALSE)),0)</f>
        <v>106.94</v>
      </c>
      <c r="Z1013" s="108">
        <f>IF(OtherClients[[#This Row],[Re-certified or New]]&lt;&gt;"Re-certified",IF(OtherClients[[#This Row],[Client]]="infasco",VLOOKUP(OtherClients[[#This Row],[Part]],PartControl!$A$2:$E$564,2,FALSE),OtherClients[[#This Row],[Total Quantity]]*VLOOKUP(OtherClients[[#This Row],[Part]],PartControl!$A$2:$E$564,2,FALSE)),0)</f>
        <v>106.94</v>
      </c>
    </row>
    <row r="1014" spans="1:26" ht="25.15" hidden="1" customHeight="1" x14ac:dyDescent="0.25">
      <c r="A1014" s="112">
        <v>46251.685324074075</v>
      </c>
      <c r="B1014" s="5" t="s">
        <v>343</v>
      </c>
      <c r="C1014" s="5" t="s">
        <v>17</v>
      </c>
      <c r="D1014" s="5">
        <v>716326</v>
      </c>
      <c r="E1014" s="33">
        <v>36</v>
      </c>
      <c r="F1014" s="60">
        <v>100</v>
      </c>
      <c r="G1014" s="60">
        <f>+OtherClients[[#This Row],[Boxes / Pieces]]*OtherClients[[#This Row],[Unit Quantity]]</f>
        <v>3600</v>
      </c>
      <c r="H1014" s="60" t="s">
        <v>757</v>
      </c>
      <c r="I1014" s="126" t="s">
        <v>278</v>
      </c>
      <c r="J1014" s="127"/>
      <c r="K1014" s="33" t="s">
        <v>278</v>
      </c>
      <c r="L1014" s="125"/>
      <c r="M1014" s="33" t="s">
        <v>278</v>
      </c>
      <c r="N1014" s="125"/>
      <c r="O1014" s="33" t="s">
        <v>278</v>
      </c>
      <c r="P1014" s="125"/>
      <c r="Q1014" s="33" t="s">
        <v>587</v>
      </c>
      <c r="R1014" s="125"/>
      <c r="S1014" s="33" t="s">
        <v>278</v>
      </c>
      <c r="T1014" s="125"/>
      <c r="U1014" s="33" t="s">
        <v>278</v>
      </c>
      <c r="V1014" s="125"/>
      <c r="W1014" s="59" t="s">
        <v>548</v>
      </c>
      <c r="X1014" s="33" t="str">
        <f>+VLOOKUP(OtherClients[[#This Row],[Part]],PartControl!$A$2:$E$564,5,FALSE)</f>
        <v>infasco</v>
      </c>
      <c r="Y1014" s="108">
        <f>IF(OtherClients[[#This Row],[Re-certified or New]]&lt;&gt;"Re-certified",IF(OtherClients[[#This Row],[Client]]="infasco",VLOOKUP(OtherClients[[#This Row],[Part]],PartControl!$A$2:$E$564,2,FALSE),OtherClients[[#This Row],[Total Quantity]]*VLOOKUP(OtherClients[[#This Row],[Part]],PartControl!$A$2:$E$564,2,FALSE)),0)</f>
        <v>135.07999999999998</v>
      </c>
      <c r="Z1014" s="108">
        <f>IF(OtherClients[[#This Row],[Re-certified or New]]&lt;&gt;"Re-certified",IF(OtherClients[[#This Row],[Client]]="infasco",VLOOKUP(OtherClients[[#This Row],[Part]],PartControl!$A$2:$E$564,2,FALSE),OtherClients[[#This Row],[Total Quantity]]*VLOOKUP(OtherClients[[#This Row],[Part]],PartControl!$A$2:$E$564,2,FALSE)),0)</f>
        <v>135.07999999999998</v>
      </c>
    </row>
    <row r="1015" spans="1:26" ht="25.15" hidden="1" customHeight="1" x14ac:dyDescent="0.25">
      <c r="A1015" s="112">
        <v>46251.685324074075</v>
      </c>
      <c r="B1015" s="5" t="s">
        <v>343</v>
      </c>
      <c r="C1015" s="5" t="s">
        <v>17</v>
      </c>
      <c r="D1015" s="5">
        <v>716327</v>
      </c>
      <c r="E1015" s="33">
        <v>21</v>
      </c>
      <c r="F1015" s="60">
        <v>100</v>
      </c>
      <c r="G1015" s="60">
        <f>+OtherClients[[#This Row],[Boxes / Pieces]]*OtherClients[[#This Row],[Unit Quantity]]</f>
        <v>2100</v>
      </c>
      <c r="H1015" s="60" t="s">
        <v>757</v>
      </c>
      <c r="I1015" s="126" t="s">
        <v>278</v>
      </c>
      <c r="J1015" s="127"/>
      <c r="K1015" s="33" t="s">
        <v>278</v>
      </c>
      <c r="L1015" s="125"/>
      <c r="M1015" s="33" t="s">
        <v>278</v>
      </c>
      <c r="N1015" s="125"/>
      <c r="O1015" s="33" t="s">
        <v>278</v>
      </c>
      <c r="P1015" s="125"/>
      <c r="Q1015" s="33" t="s">
        <v>587</v>
      </c>
      <c r="R1015" s="125"/>
      <c r="S1015" s="33" t="s">
        <v>278</v>
      </c>
      <c r="T1015" s="125"/>
      <c r="U1015" s="33" t="s">
        <v>278</v>
      </c>
      <c r="V1015" s="125"/>
      <c r="W1015" s="59" t="s">
        <v>548</v>
      </c>
      <c r="X1015" s="33" t="str">
        <f>+VLOOKUP(OtherClients[[#This Row],[Part]],PartControl!$A$2:$E$564,5,FALSE)</f>
        <v>infasco</v>
      </c>
      <c r="Y1015" s="108">
        <f>IF(OtherClients[[#This Row],[Re-certified or New]]&lt;&gt;"Re-certified",IF(OtherClients[[#This Row],[Client]]="infasco",VLOOKUP(OtherClients[[#This Row],[Part]],PartControl!$A$2:$E$564,2,FALSE),OtherClients[[#This Row],[Total Quantity]]*VLOOKUP(OtherClients[[#This Row],[Part]],PartControl!$A$2:$E$564,2,FALSE)),0)</f>
        <v>135.07999999999998</v>
      </c>
      <c r="Z1015" s="108">
        <f>IF(OtherClients[[#This Row],[Re-certified or New]]&lt;&gt;"Re-certified",IF(OtherClients[[#This Row],[Client]]="infasco",VLOOKUP(OtherClients[[#This Row],[Part]],PartControl!$A$2:$E$564,2,FALSE),OtherClients[[#This Row],[Total Quantity]]*VLOOKUP(OtherClients[[#This Row],[Part]],PartControl!$A$2:$E$564,2,FALSE)),0)</f>
        <v>135.07999999999998</v>
      </c>
    </row>
    <row r="1016" spans="1:26" ht="25.15" hidden="1" customHeight="1" x14ac:dyDescent="0.25">
      <c r="A1016" s="112">
        <v>46251.685324074075</v>
      </c>
      <c r="B1016" s="5" t="s">
        <v>343</v>
      </c>
      <c r="C1016" s="5" t="s">
        <v>698</v>
      </c>
      <c r="D1016" s="5">
        <v>714700</v>
      </c>
      <c r="E1016" s="33">
        <f>36+5</f>
        <v>41</v>
      </c>
      <c r="F1016" s="60">
        <v>3000</v>
      </c>
      <c r="G1016" s="60">
        <f>+OtherClients[[#This Row],[Boxes / Pieces]]*OtherClients[[#This Row],[Unit Quantity]]</f>
        <v>123000</v>
      </c>
      <c r="H1016" s="60" t="s">
        <v>757</v>
      </c>
      <c r="I1016" s="126" t="s">
        <v>278</v>
      </c>
      <c r="J1016" s="127"/>
      <c r="K1016" s="33" t="s">
        <v>278</v>
      </c>
      <c r="L1016" s="125"/>
      <c r="M1016" s="33" t="s">
        <v>278</v>
      </c>
      <c r="N1016" s="125"/>
      <c r="O1016" s="33" t="s">
        <v>278</v>
      </c>
      <c r="P1016" s="125"/>
      <c r="Q1016" s="33" t="s">
        <v>587</v>
      </c>
      <c r="R1016" s="125"/>
      <c r="S1016" s="33" t="s">
        <v>278</v>
      </c>
      <c r="T1016" s="125"/>
      <c r="U1016" s="33" t="s">
        <v>278</v>
      </c>
      <c r="V1016" s="125"/>
      <c r="W1016" s="59" t="s">
        <v>548</v>
      </c>
      <c r="X1016" s="33" t="str">
        <f>+VLOOKUP(OtherClients[[#This Row],[Part]],PartControl!$A$2:$E$564,5,FALSE)</f>
        <v>infasco</v>
      </c>
      <c r="Y1016" s="108">
        <f>IF(OtherClients[[#This Row],[Re-certified or New]]&lt;&gt;"Re-certified",IF(OtherClients[[#This Row],[Client]]="infasco",VLOOKUP(OtherClients[[#This Row],[Part]],PartControl!$A$2:$E$564,2,FALSE),OtherClients[[#This Row],[Total Quantity]]*VLOOKUP(OtherClients[[#This Row],[Part]],PartControl!$A$2:$E$564,2,FALSE)),0)</f>
        <v>106.94</v>
      </c>
      <c r="Z1016" s="108">
        <f>IF(OtherClients[[#This Row],[Re-certified or New]]&lt;&gt;"Re-certified",IF(OtherClients[[#This Row],[Client]]="infasco",VLOOKUP(OtherClients[[#This Row],[Part]],PartControl!$A$2:$E$564,2,FALSE),OtherClients[[#This Row],[Total Quantity]]*VLOOKUP(OtherClients[[#This Row],[Part]],PartControl!$A$2:$E$564,2,FALSE)),0)</f>
        <v>106.94</v>
      </c>
    </row>
    <row r="1017" spans="1:26" ht="25.15" hidden="1" customHeight="1" x14ac:dyDescent="0.25">
      <c r="A1017" s="112">
        <v>46251.685324074075</v>
      </c>
      <c r="B1017" s="5" t="s">
        <v>343</v>
      </c>
      <c r="C1017" s="5">
        <v>11547369</v>
      </c>
      <c r="D1017" s="5">
        <v>714475</v>
      </c>
      <c r="E1017" s="33">
        <v>28</v>
      </c>
      <c r="F1017" s="60">
        <v>250</v>
      </c>
      <c r="G1017" s="60">
        <f>+OtherClients[[#This Row],[Boxes / Pieces]]*OtherClients[[#This Row],[Unit Quantity]]</f>
        <v>7000</v>
      </c>
      <c r="H1017" s="60" t="s">
        <v>757</v>
      </c>
      <c r="I1017" s="126" t="s">
        <v>278</v>
      </c>
      <c r="J1017" s="127"/>
      <c r="K1017" s="33" t="s">
        <v>278</v>
      </c>
      <c r="L1017" s="125"/>
      <c r="M1017" s="33" t="s">
        <v>278</v>
      </c>
      <c r="N1017" s="125"/>
      <c r="O1017" s="33" t="s">
        <v>278</v>
      </c>
      <c r="P1017" s="125"/>
      <c r="Q1017" s="33" t="s">
        <v>587</v>
      </c>
      <c r="R1017" s="125"/>
      <c r="S1017" s="33" t="s">
        <v>278</v>
      </c>
      <c r="T1017" s="125"/>
      <c r="U1017" s="33" t="s">
        <v>278</v>
      </c>
      <c r="V1017" s="125"/>
      <c r="W1017" s="59" t="s">
        <v>548</v>
      </c>
      <c r="X1017" s="33" t="str">
        <f>+VLOOKUP(OtherClients[[#This Row],[Part]],PartControl!$A$2:$E$564,5,FALSE)</f>
        <v>Infasco</v>
      </c>
      <c r="Y1017" s="108">
        <f>IF(OtherClients[[#This Row],[Re-certified or New]]&lt;&gt;"Re-certified",IF(OtherClients[[#This Row],[Client]]="infasco",VLOOKUP(OtherClients[[#This Row],[Part]],PartControl!$A$2:$E$564,2,FALSE),OtherClients[[#This Row],[Total Quantity]]*VLOOKUP(OtherClients[[#This Row],[Part]],PartControl!$A$2:$E$564,2,FALSE)),0)</f>
        <v>106.94</v>
      </c>
      <c r="Z1017" s="108">
        <f>IF(OtherClients[[#This Row],[Re-certified or New]]&lt;&gt;"Re-certified",IF(OtherClients[[#This Row],[Client]]="infasco",VLOOKUP(OtherClients[[#This Row],[Part]],PartControl!$A$2:$E$564,2,FALSE),OtherClients[[#This Row],[Total Quantity]]*VLOOKUP(OtherClients[[#This Row],[Part]],PartControl!$A$2:$E$564,2,FALSE)),0)</f>
        <v>106.94</v>
      </c>
    </row>
    <row r="1018" spans="1:26" ht="25.15" hidden="1" customHeight="1" x14ac:dyDescent="0.25">
      <c r="A1018" s="112">
        <v>46251.685324074075</v>
      </c>
      <c r="B1018" s="5" t="s">
        <v>344</v>
      </c>
      <c r="C1018" s="5" t="s">
        <v>17</v>
      </c>
      <c r="D1018" s="5">
        <v>716325</v>
      </c>
      <c r="E1018" s="33">
        <v>31</v>
      </c>
      <c r="F1018" s="60">
        <v>100</v>
      </c>
      <c r="G1018" s="60">
        <f>+OtherClients[[#This Row],[Boxes / Pieces]]*OtherClients[[#This Row],[Unit Quantity]]</f>
        <v>3100</v>
      </c>
      <c r="H1018" s="60" t="s">
        <v>816</v>
      </c>
      <c r="I1018" s="126" t="s">
        <v>278</v>
      </c>
      <c r="J1018" s="127"/>
      <c r="K1018" s="33" t="s">
        <v>278</v>
      </c>
      <c r="L1018" s="125"/>
      <c r="M1018" s="33" t="s">
        <v>278</v>
      </c>
      <c r="N1018" s="125"/>
      <c r="O1018" s="33" t="s">
        <v>278</v>
      </c>
      <c r="P1018" s="125"/>
      <c r="Q1018" s="33" t="s">
        <v>587</v>
      </c>
      <c r="R1018" s="125"/>
      <c r="S1018" s="33" t="s">
        <v>278</v>
      </c>
      <c r="T1018" s="125"/>
      <c r="U1018" s="33" t="s">
        <v>278</v>
      </c>
      <c r="V1018" s="125"/>
      <c r="W1018" s="59" t="s">
        <v>548</v>
      </c>
      <c r="X1018" s="33" t="str">
        <f>+VLOOKUP(OtherClients[[#This Row],[Part]],PartControl!$A$2:$E$564,5,FALSE)</f>
        <v>infasco</v>
      </c>
      <c r="Y1018" s="108">
        <f>IF(OtherClients[[#This Row],[Re-certified or New]]&lt;&gt;"Re-certified",IF(OtherClients[[#This Row],[Client]]="infasco",VLOOKUP(OtherClients[[#This Row],[Part]],PartControl!$A$2:$E$564,2,FALSE),OtherClients[[#This Row],[Total Quantity]]*VLOOKUP(OtherClients[[#This Row],[Part]],PartControl!$A$2:$E$564,2,FALSE)),0)</f>
        <v>135.07999999999998</v>
      </c>
      <c r="Z1018" s="108">
        <f>IF(OtherClients[[#This Row],[Re-certified or New]]&lt;&gt;"Re-certified",IF(OtherClients[[#This Row],[Client]]="infasco",VLOOKUP(OtherClients[[#This Row],[Part]],PartControl!$A$2:$E$564,2,FALSE),OtherClients[[#This Row],[Total Quantity]]*VLOOKUP(OtherClients[[#This Row],[Part]],PartControl!$A$2:$E$564,2,FALSE)),0)</f>
        <v>135.07999999999998</v>
      </c>
    </row>
    <row r="1019" spans="1:26" ht="25.15" hidden="1" customHeight="1" x14ac:dyDescent="0.25">
      <c r="A1019" s="112">
        <v>46251.685324074075</v>
      </c>
      <c r="B1019" s="5" t="s">
        <v>344</v>
      </c>
      <c r="C1019" s="5">
        <v>11547369</v>
      </c>
      <c r="D1019" s="5">
        <v>714472</v>
      </c>
      <c r="E1019" s="33">
        <v>36</v>
      </c>
      <c r="F1019" s="60">
        <v>250</v>
      </c>
      <c r="G1019" s="60">
        <f>+OtherClients[[#This Row],[Boxes / Pieces]]*OtherClients[[#This Row],[Unit Quantity]]</f>
        <v>9000</v>
      </c>
      <c r="H1019" s="60" t="s">
        <v>816</v>
      </c>
      <c r="I1019" s="126" t="s">
        <v>278</v>
      </c>
      <c r="J1019" s="127"/>
      <c r="K1019" s="33" t="s">
        <v>278</v>
      </c>
      <c r="L1019" s="125"/>
      <c r="M1019" s="33" t="s">
        <v>278</v>
      </c>
      <c r="N1019" s="125"/>
      <c r="O1019" s="33" t="s">
        <v>278</v>
      </c>
      <c r="P1019" s="125"/>
      <c r="Q1019" s="33" t="s">
        <v>587</v>
      </c>
      <c r="R1019" s="125"/>
      <c r="S1019" s="33" t="s">
        <v>278</v>
      </c>
      <c r="T1019" s="125"/>
      <c r="U1019" s="33" t="s">
        <v>278</v>
      </c>
      <c r="V1019" s="125"/>
      <c r="W1019" s="59" t="s">
        <v>548</v>
      </c>
      <c r="X1019" s="33" t="str">
        <f>+VLOOKUP(OtherClients[[#This Row],[Part]],PartControl!$A$2:$E$564,5,FALSE)</f>
        <v>Infasco</v>
      </c>
      <c r="Y1019" s="108">
        <f>IF(OtherClients[[#This Row],[Re-certified or New]]&lt;&gt;"Re-certified",IF(OtherClients[[#This Row],[Client]]="infasco",VLOOKUP(OtherClients[[#This Row],[Part]],PartControl!$A$2:$E$564,2,FALSE),OtherClients[[#This Row],[Total Quantity]]*VLOOKUP(OtherClients[[#This Row],[Part]],PartControl!$A$2:$E$564,2,FALSE)),0)</f>
        <v>106.94</v>
      </c>
      <c r="Z1019" s="108">
        <f>IF(OtherClients[[#This Row],[Re-certified or New]]&lt;&gt;"Re-certified",IF(OtherClients[[#This Row],[Client]]="infasco",VLOOKUP(OtherClients[[#This Row],[Part]],PartControl!$A$2:$E$564,2,FALSE),OtherClients[[#This Row],[Total Quantity]]*VLOOKUP(OtherClients[[#This Row],[Part]],PartControl!$A$2:$E$564,2,FALSE)),0)</f>
        <v>106.94</v>
      </c>
    </row>
    <row r="1020" spans="1:26" ht="25.15" hidden="1" customHeight="1" x14ac:dyDescent="0.25">
      <c r="A1020" s="112">
        <v>46251.685324074075</v>
      </c>
      <c r="B1020" s="5" t="s">
        <v>344</v>
      </c>
      <c r="C1020" s="5">
        <v>11547369</v>
      </c>
      <c r="D1020" s="5">
        <v>714300</v>
      </c>
      <c r="E1020" s="33">
        <v>36</v>
      </c>
      <c r="F1020" s="60">
        <v>250</v>
      </c>
      <c r="G1020" s="60">
        <f>+OtherClients[[#This Row],[Boxes / Pieces]]*OtherClients[[#This Row],[Unit Quantity]]</f>
        <v>9000</v>
      </c>
      <c r="H1020" s="60" t="s">
        <v>816</v>
      </c>
      <c r="I1020" s="126" t="s">
        <v>278</v>
      </c>
      <c r="J1020" s="127"/>
      <c r="K1020" s="33" t="s">
        <v>278</v>
      </c>
      <c r="L1020" s="125"/>
      <c r="M1020" s="33" t="s">
        <v>278</v>
      </c>
      <c r="N1020" s="125"/>
      <c r="O1020" s="33" t="s">
        <v>278</v>
      </c>
      <c r="P1020" s="125"/>
      <c r="Q1020" s="33" t="s">
        <v>587</v>
      </c>
      <c r="R1020" s="125"/>
      <c r="S1020" s="33" t="s">
        <v>278</v>
      </c>
      <c r="T1020" s="125"/>
      <c r="U1020" s="33" t="s">
        <v>278</v>
      </c>
      <c r="V1020" s="125"/>
      <c r="W1020" s="59" t="s">
        <v>548</v>
      </c>
      <c r="X1020" s="33" t="str">
        <f>+VLOOKUP(OtherClients[[#This Row],[Part]],PartControl!$A$2:$E$564,5,FALSE)</f>
        <v>Infasco</v>
      </c>
      <c r="Y1020" s="108">
        <f>IF(OtherClients[[#This Row],[Re-certified or New]]&lt;&gt;"Re-certified",IF(OtherClients[[#This Row],[Client]]="infasco",VLOOKUP(OtherClients[[#This Row],[Part]],PartControl!$A$2:$E$564,2,FALSE),OtherClients[[#This Row],[Total Quantity]]*VLOOKUP(OtherClients[[#This Row],[Part]],PartControl!$A$2:$E$564,2,FALSE)),0)</f>
        <v>106.94</v>
      </c>
      <c r="Z1020" s="108">
        <f>IF(OtherClients[[#This Row],[Re-certified or New]]&lt;&gt;"Re-certified",IF(OtherClients[[#This Row],[Client]]="infasco",VLOOKUP(OtherClients[[#This Row],[Part]],PartControl!$A$2:$E$564,2,FALSE),OtherClients[[#This Row],[Total Quantity]]*VLOOKUP(OtherClients[[#This Row],[Part]],PartControl!$A$2:$E$564,2,FALSE)),0)</f>
        <v>106.94</v>
      </c>
    </row>
    <row r="1021" spans="1:26" ht="25.15" hidden="1" customHeight="1" x14ac:dyDescent="0.25">
      <c r="A1021" s="112">
        <v>46251.685324074075</v>
      </c>
      <c r="B1021" s="5" t="s">
        <v>344</v>
      </c>
      <c r="C1021" s="5">
        <v>11547369</v>
      </c>
      <c r="D1021" s="5">
        <v>714476</v>
      </c>
      <c r="E1021" s="33">
        <v>30</v>
      </c>
      <c r="F1021" s="60">
        <v>250</v>
      </c>
      <c r="G1021" s="60">
        <f>+OtherClients[[#This Row],[Boxes / Pieces]]*OtherClients[[#This Row],[Unit Quantity]]</f>
        <v>7500</v>
      </c>
      <c r="H1021" s="60" t="s">
        <v>816</v>
      </c>
      <c r="I1021" s="126" t="s">
        <v>278</v>
      </c>
      <c r="J1021" s="127"/>
      <c r="K1021" s="33" t="s">
        <v>278</v>
      </c>
      <c r="L1021" s="125"/>
      <c r="M1021" s="33" t="s">
        <v>278</v>
      </c>
      <c r="N1021" s="125"/>
      <c r="O1021" s="33" t="s">
        <v>278</v>
      </c>
      <c r="P1021" s="125"/>
      <c r="Q1021" s="33" t="s">
        <v>587</v>
      </c>
      <c r="R1021" s="125"/>
      <c r="S1021" s="33" t="s">
        <v>278</v>
      </c>
      <c r="T1021" s="125"/>
      <c r="U1021" s="33" t="s">
        <v>278</v>
      </c>
      <c r="V1021" s="125"/>
      <c r="W1021" s="59" t="s">
        <v>633</v>
      </c>
      <c r="X1021" s="33" t="str">
        <f>+VLOOKUP(OtherClients[[#This Row],[Part]],PartControl!$A$2:$E$564,5,FALSE)</f>
        <v>Infasco</v>
      </c>
      <c r="Y1021" s="108">
        <f>IF(OtherClients[[#This Row],[Re-certified or New]]&lt;&gt;"Re-certified",IF(OtherClients[[#This Row],[Client]]="infasco",VLOOKUP(OtherClients[[#This Row],[Part]],PartControl!$A$2:$E$564,2,FALSE),OtherClients[[#This Row],[Total Quantity]]*VLOOKUP(OtherClients[[#This Row],[Part]],PartControl!$A$2:$E$564,2,FALSE)),0)</f>
        <v>0</v>
      </c>
      <c r="Z1021" s="108">
        <f>IF(OtherClients[[#This Row],[Re-certified or New]]&lt;&gt;"Re-certified",IF(OtherClients[[#This Row],[Client]]="infasco",VLOOKUP(OtherClients[[#This Row],[Part]],PartControl!$A$2:$E$564,2,FALSE),OtherClients[[#This Row],[Total Quantity]]*VLOOKUP(OtherClients[[#This Row],[Part]],PartControl!$A$2:$E$564,2,FALSE)),0)</f>
        <v>0</v>
      </c>
    </row>
    <row r="1022" spans="1:26" ht="25.15" hidden="1" customHeight="1" x14ac:dyDescent="0.25">
      <c r="A1022" s="112">
        <v>46251.685324074075</v>
      </c>
      <c r="B1022" s="5" t="s">
        <v>344</v>
      </c>
      <c r="C1022" s="5" t="s">
        <v>861</v>
      </c>
      <c r="D1022" s="5">
        <v>716248</v>
      </c>
      <c r="E1022" s="33">
        <v>1</v>
      </c>
      <c r="F1022" s="60">
        <v>9980</v>
      </c>
      <c r="G1022" s="60">
        <f>+OtherClients[[#This Row],[Boxes / Pieces]]*OtherClients[[#This Row],[Unit Quantity]]</f>
        <v>9980</v>
      </c>
      <c r="H1022" s="60" t="s">
        <v>816</v>
      </c>
      <c r="I1022" s="126" t="s">
        <v>278</v>
      </c>
      <c r="J1022" s="127"/>
      <c r="K1022" s="33" t="s">
        <v>278</v>
      </c>
      <c r="L1022" s="125"/>
      <c r="M1022" s="33" t="s">
        <v>278</v>
      </c>
      <c r="N1022" s="125"/>
      <c r="O1022" s="33" t="s">
        <v>278</v>
      </c>
      <c r="P1022" s="125"/>
      <c r="Q1022" s="33" t="s">
        <v>587</v>
      </c>
      <c r="R1022" s="125"/>
      <c r="S1022" s="33" t="s">
        <v>278</v>
      </c>
      <c r="T1022" s="125"/>
      <c r="U1022" s="33" t="s">
        <v>278</v>
      </c>
      <c r="V1022" s="125"/>
      <c r="W1022" s="59" t="s">
        <v>548</v>
      </c>
      <c r="X1022" s="33" t="str">
        <f>+VLOOKUP(OtherClients[[#This Row],[Part]],PartControl!$A$2:$E$564,5,FALSE)</f>
        <v>Infasco</v>
      </c>
      <c r="Y1022" s="108">
        <f>IF(OtherClients[[#This Row],[Re-certified or New]]&lt;&gt;"Re-certified",IF(OtherClients[[#This Row],[Client]]="infasco",VLOOKUP(OtherClients[[#This Row],[Part]],PartControl!$A$2:$E$564,2,FALSE),OtherClients[[#This Row],[Total Quantity]]*VLOOKUP(OtherClients[[#This Row],[Part]],PartControl!$A$2:$E$564,2,FALSE)),0)</f>
        <v>129.44999999999999</v>
      </c>
      <c r="Z1022" s="108">
        <f>IF(OtherClients[[#This Row],[Re-certified or New]]&lt;&gt;"Re-certified",IF(OtherClients[[#This Row],[Client]]="infasco",VLOOKUP(OtherClients[[#This Row],[Part]],PartControl!$A$2:$E$564,2,FALSE),OtherClients[[#This Row],[Total Quantity]]*VLOOKUP(OtherClients[[#This Row],[Part]],PartControl!$A$2:$E$564,2,FALSE)),0)</f>
        <v>129.44999999999999</v>
      </c>
    </row>
    <row r="1023" spans="1:26" ht="25.15" hidden="1" customHeight="1" x14ac:dyDescent="0.25">
      <c r="A1023" s="112">
        <v>46251.685324074075</v>
      </c>
      <c r="B1023" s="5" t="s">
        <v>344</v>
      </c>
      <c r="C1023" s="5" t="s">
        <v>855</v>
      </c>
      <c r="D1023" s="5">
        <v>714706</v>
      </c>
      <c r="E1023" s="33">
        <v>36</v>
      </c>
      <c r="F1023" s="60">
        <v>3500</v>
      </c>
      <c r="G1023" s="60">
        <f>+OtherClients[[#This Row],[Boxes / Pieces]]*OtherClients[[#This Row],[Unit Quantity]]</f>
        <v>126000</v>
      </c>
      <c r="H1023" s="60" t="s">
        <v>816</v>
      </c>
      <c r="I1023" s="126" t="s">
        <v>278</v>
      </c>
      <c r="J1023" s="127"/>
      <c r="K1023" s="33" t="s">
        <v>278</v>
      </c>
      <c r="L1023" s="125"/>
      <c r="M1023" s="33" t="s">
        <v>278</v>
      </c>
      <c r="N1023" s="125"/>
      <c r="O1023" s="33" t="s">
        <v>278</v>
      </c>
      <c r="P1023" s="125"/>
      <c r="Q1023" s="33" t="s">
        <v>587</v>
      </c>
      <c r="R1023" s="125"/>
      <c r="S1023" s="33" t="s">
        <v>278</v>
      </c>
      <c r="T1023" s="125"/>
      <c r="U1023" s="33" t="s">
        <v>278</v>
      </c>
      <c r="V1023" s="125"/>
      <c r="W1023" s="59" t="s">
        <v>548</v>
      </c>
      <c r="X1023" s="33" t="str">
        <f>+VLOOKUP(OtherClients[[#This Row],[Part]],PartControl!$A$2:$E$564,5,FALSE)</f>
        <v>infasco</v>
      </c>
      <c r="Y1023" s="108">
        <f>IF(OtherClients[[#This Row],[Re-certified or New]]&lt;&gt;"Re-certified",IF(OtherClients[[#This Row],[Client]]="infasco",VLOOKUP(OtherClients[[#This Row],[Part]],PartControl!$A$2:$E$564,2,FALSE),OtherClients[[#This Row],[Total Quantity]]*VLOOKUP(OtherClients[[#This Row],[Part]],PartControl!$A$2:$E$564,2,FALSE)),0)</f>
        <v>106.94</v>
      </c>
      <c r="Z1023" s="108">
        <f>IF(OtherClients[[#This Row],[Re-certified or New]]&lt;&gt;"Re-certified",IF(OtherClients[[#This Row],[Client]]="infasco",VLOOKUP(OtherClients[[#This Row],[Part]],PartControl!$A$2:$E$564,2,FALSE),OtherClients[[#This Row],[Total Quantity]]*VLOOKUP(OtherClients[[#This Row],[Part]],PartControl!$A$2:$E$564,2,FALSE)),0)</f>
        <v>106.94</v>
      </c>
    </row>
    <row r="1024" spans="1:26" ht="25.15" hidden="1" customHeight="1" x14ac:dyDescent="0.25">
      <c r="A1024" s="112">
        <v>46251.685324074075</v>
      </c>
      <c r="B1024" s="5" t="s">
        <v>344</v>
      </c>
      <c r="C1024" s="5" t="s">
        <v>855</v>
      </c>
      <c r="D1024" s="5">
        <v>714704</v>
      </c>
      <c r="E1024" s="33">
        <v>36</v>
      </c>
      <c r="F1024" s="60">
        <v>3500</v>
      </c>
      <c r="G1024" s="60">
        <f>+OtherClients[[#This Row],[Boxes / Pieces]]*OtherClients[[#This Row],[Unit Quantity]]</f>
        <v>126000</v>
      </c>
      <c r="H1024" s="60" t="s">
        <v>816</v>
      </c>
      <c r="I1024" s="126" t="s">
        <v>278</v>
      </c>
      <c r="J1024" s="127"/>
      <c r="K1024" s="33" t="s">
        <v>278</v>
      </c>
      <c r="L1024" s="125"/>
      <c r="M1024" s="33" t="s">
        <v>278</v>
      </c>
      <c r="N1024" s="125"/>
      <c r="O1024" s="33" t="s">
        <v>278</v>
      </c>
      <c r="P1024" s="125"/>
      <c r="Q1024" s="33" t="s">
        <v>587</v>
      </c>
      <c r="R1024" s="125"/>
      <c r="S1024" s="33" t="s">
        <v>278</v>
      </c>
      <c r="T1024" s="125"/>
      <c r="U1024" s="33" t="s">
        <v>278</v>
      </c>
      <c r="V1024" s="125"/>
      <c r="W1024" s="59" t="s">
        <v>548</v>
      </c>
      <c r="X1024" s="33" t="str">
        <f>+VLOOKUP(OtherClients[[#This Row],[Part]],PartControl!$A$2:$E$564,5,FALSE)</f>
        <v>infasco</v>
      </c>
      <c r="Y1024" s="108">
        <f>IF(OtherClients[[#This Row],[Re-certified or New]]&lt;&gt;"Re-certified",IF(OtherClients[[#This Row],[Client]]="infasco",VLOOKUP(OtherClients[[#This Row],[Part]],PartControl!$A$2:$E$564,2,FALSE),OtherClients[[#This Row],[Total Quantity]]*VLOOKUP(OtherClients[[#This Row],[Part]],PartControl!$A$2:$E$564,2,FALSE)),0)</f>
        <v>106.94</v>
      </c>
      <c r="Z1024" s="108">
        <f>IF(OtherClients[[#This Row],[Re-certified or New]]&lt;&gt;"Re-certified",IF(OtherClients[[#This Row],[Client]]="infasco",VLOOKUP(OtherClients[[#This Row],[Part]],PartControl!$A$2:$E$564,2,FALSE),OtherClients[[#This Row],[Total Quantity]]*VLOOKUP(OtherClients[[#This Row],[Part]],PartControl!$A$2:$E$564,2,FALSE)),0)</f>
        <v>106.94</v>
      </c>
    </row>
    <row r="1025" spans="1:26" ht="25.15" hidden="1" customHeight="1" x14ac:dyDescent="0.25">
      <c r="A1025" s="112">
        <v>46251.685324074075</v>
      </c>
      <c r="B1025" s="5" t="s">
        <v>344</v>
      </c>
      <c r="C1025" s="5" t="s">
        <v>855</v>
      </c>
      <c r="D1025" s="5">
        <v>714705</v>
      </c>
      <c r="E1025" s="33">
        <v>36</v>
      </c>
      <c r="F1025" s="60">
        <v>3500</v>
      </c>
      <c r="G1025" s="60">
        <f>+OtherClients[[#This Row],[Boxes / Pieces]]*OtherClients[[#This Row],[Unit Quantity]]</f>
        <v>126000</v>
      </c>
      <c r="H1025" s="60" t="s">
        <v>816</v>
      </c>
      <c r="I1025" s="126" t="s">
        <v>278</v>
      </c>
      <c r="J1025" s="127"/>
      <c r="K1025" s="33" t="s">
        <v>278</v>
      </c>
      <c r="L1025" s="125"/>
      <c r="M1025" s="33" t="s">
        <v>278</v>
      </c>
      <c r="N1025" s="125"/>
      <c r="O1025" s="33" t="s">
        <v>278</v>
      </c>
      <c r="P1025" s="125"/>
      <c r="Q1025" s="33" t="s">
        <v>587</v>
      </c>
      <c r="R1025" s="125"/>
      <c r="S1025" s="33" t="s">
        <v>278</v>
      </c>
      <c r="T1025" s="125"/>
      <c r="U1025" s="33" t="s">
        <v>278</v>
      </c>
      <c r="V1025" s="125"/>
      <c r="W1025" s="59" t="s">
        <v>548</v>
      </c>
      <c r="X1025" s="33" t="str">
        <f>+VLOOKUP(OtherClients[[#This Row],[Part]],PartControl!$A$2:$E$564,5,FALSE)</f>
        <v>infasco</v>
      </c>
      <c r="Y1025" s="108">
        <f>IF(OtherClients[[#This Row],[Re-certified or New]]&lt;&gt;"Re-certified",IF(OtherClients[[#This Row],[Client]]="infasco",VLOOKUP(OtherClients[[#This Row],[Part]],PartControl!$A$2:$E$564,2,FALSE),OtherClients[[#This Row],[Total Quantity]]*VLOOKUP(OtherClients[[#This Row],[Part]],PartControl!$A$2:$E$564,2,FALSE)),0)</f>
        <v>106.94</v>
      </c>
      <c r="Z1025" s="108">
        <f>IF(OtherClients[[#This Row],[Re-certified or New]]&lt;&gt;"Re-certified",IF(OtherClients[[#This Row],[Client]]="infasco",VLOOKUP(OtherClients[[#This Row],[Part]],PartControl!$A$2:$E$564,2,FALSE),OtherClients[[#This Row],[Total Quantity]]*VLOOKUP(OtherClients[[#This Row],[Part]],PartControl!$A$2:$E$564,2,FALSE)),0)</f>
        <v>106.94</v>
      </c>
    </row>
    <row r="1026" spans="1:26" ht="25.15" hidden="1" customHeight="1" x14ac:dyDescent="0.25">
      <c r="A1026" s="112">
        <v>46251.685324074075</v>
      </c>
      <c r="B1026" s="5" t="s">
        <v>344</v>
      </c>
      <c r="C1026" s="5" t="s">
        <v>855</v>
      </c>
      <c r="D1026" s="5">
        <v>714707</v>
      </c>
      <c r="E1026" s="33">
        <v>36</v>
      </c>
      <c r="F1026" s="60">
        <v>3500</v>
      </c>
      <c r="G1026" s="60">
        <f>+OtherClients[[#This Row],[Boxes / Pieces]]*OtherClients[[#This Row],[Unit Quantity]]</f>
        <v>126000</v>
      </c>
      <c r="H1026" s="60" t="s">
        <v>816</v>
      </c>
      <c r="I1026" s="126" t="s">
        <v>278</v>
      </c>
      <c r="J1026" s="127"/>
      <c r="K1026" s="33" t="s">
        <v>278</v>
      </c>
      <c r="L1026" s="125"/>
      <c r="M1026" s="33" t="s">
        <v>278</v>
      </c>
      <c r="N1026" s="125"/>
      <c r="O1026" s="33" t="s">
        <v>278</v>
      </c>
      <c r="P1026" s="125"/>
      <c r="Q1026" s="33" t="s">
        <v>587</v>
      </c>
      <c r="R1026" s="125"/>
      <c r="S1026" s="33" t="s">
        <v>278</v>
      </c>
      <c r="T1026" s="125"/>
      <c r="U1026" s="33" t="s">
        <v>278</v>
      </c>
      <c r="V1026" s="125"/>
      <c r="W1026" s="59" t="s">
        <v>548</v>
      </c>
      <c r="X1026" s="33" t="str">
        <f>+VLOOKUP(OtherClients[[#This Row],[Part]],PartControl!$A$2:$E$564,5,FALSE)</f>
        <v>infasco</v>
      </c>
      <c r="Y1026" s="108">
        <f>IF(OtherClients[[#This Row],[Re-certified or New]]&lt;&gt;"Re-certified",IF(OtherClients[[#This Row],[Client]]="infasco",VLOOKUP(OtherClients[[#This Row],[Part]],PartControl!$A$2:$E$564,2,FALSE),OtherClients[[#This Row],[Total Quantity]]*VLOOKUP(OtherClients[[#This Row],[Part]],PartControl!$A$2:$E$564,2,FALSE)),0)</f>
        <v>106.94</v>
      </c>
      <c r="Z1026" s="108">
        <f>IF(OtherClients[[#This Row],[Re-certified or New]]&lt;&gt;"Re-certified",IF(OtherClients[[#This Row],[Client]]="infasco",VLOOKUP(OtherClients[[#This Row],[Part]],PartControl!$A$2:$E$564,2,FALSE),OtherClients[[#This Row],[Total Quantity]]*VLOOKUP(OtherClients[[#This Row],[Part]],PartControl!$A$2:$E$564,2,FALSE)),0)</f>
        <v>106.94</v>
      </c>
    </row>
    <row r="1027" spans="1:26" ht="25.15" hidden="1" customHeight="1" x14ac:dyDescent="0.25">
      <c r="A1027" s="112">
        <v>46251.685324074075</v>
      </c>
      <c r="B1027" s="5" t="s">
        <v>345</v>
      </c>
      <c r="C1027" s="5" t="s">
        <v>861</v>
      </c>
      <c r="D1027" s="5">
        <v>716253</v>
      </c>
      <c r="E1027" s="33">
        <v>1</v>
      </c>
      <c r="F1027" s="60">
        <v>9250</v>
      </c>
      <c r="G1027" s="60">
        <f>+OtherClients[[#This Row],[Boxes / Pieces]]*OtherClients[[#This Row],[Unit Quantity]]</f>
        <v>9250</v>
      </c>
      <c r="H1027" s="60" t="s">
        <v>849</v>
      </c>
      <c r="I1027" s="126" t="s">
        <v>278</v>
      </c>
      <c r="J1027" s="127"/>
      <c r="K1027" s="33" t="s">
        <v>278</v>
      </c>
      <c r="L1027" s="125"/>
      <c r="M1027" s="33" t="s">
        <v>278</v>
      </c>
      <c r="N1027" s="125"/>
      <c r="O1027" s="33" t="s">
        <v>278</v>
      </c>
      <c r="P1027" s="125"/>
      <c r="Q1027" s="33" t="s">
        <v>587</v>
      </c>
      <c r="R1027" s="125"/>
      <c r="S1027" s="33" t="s">
        <v>278</v>
      </c>
      <c r="T1027" s="125"/>
      <c r="U1027" s="33" t="s">
        <v>278</v>
      </c>
      <c r="V1027" s="125"/>
      <c r="W1027" s="59" t="s">
        <v>548</v>
      </c>
      <c r="X1027" s="33" t="str">
        <f>+VLOOKUP(OtherClients[[#This Row],[Part]],PartControl!$A$2:$E$564,5,FALSE)</f>
        <v>Infasco</v>
      </c>
      <c r="Y1027" s="108">
        <f>IF(OtherClients[[#This Row],[Re-certified or New]]&lt;&gt;"Re-certified",IF(OtherClients[[#This Row],[Client]]="infasco",VLOOKUP(OtherClients[[#This Row],[Part]],PartControl!$A$2:$E$564,2,FALSE),OtherClients[[#This Row],[Total Quantity]]*VLOOKUP(OtherClients[[#This Row],[Part]],PartControl!$A$2:$E$564,2,FALSE)),0)</f>
        <v>129.44999999999999</v>
      </c>
      <c r="Z1027" s="108">
        <f>IF(OtherClients[[#This Row],[Re-certified or New]]&lt;&gt;"Re-certified",IF(OtherClients[[#This Row],[Client]]="infasco",VLOOKUP(OtherClients[[#This Row],[Part]],PartControl!$A$2:$E$564,2,FALSE),OtherClients[[#This Row],[Total Quantity]]*VLOOKUP(OtherClients[[#This Row],[Part]],PartControl!$A$2:$E$564,2,FALSE)),0)</f>
        <v>129.44999999999999</v>
      </c>
    </row>
    <row r="1028" spans="1:26" ht="25.15" hidden="1" customHeight="1" x14ac:dyDescent="0.25">
      <c r="A1028" s="112">
        <v>46251.685324074075</v>
      </c>
      <c r="B1028" s="5" t="s">
        <v>345</v>
      </c>
      <c r="C1028" s="5" t="s">
        <v>861</v>
      </c>
      <c r="D1028" s="5">
        <v>716246</v>
      </c>
      <c r="E1028" s="33">
        <v>1</v>
      </c>
      <c r="F1028" s="60">
        <v>10000</v>
      </c>
      <c r="G1028" s="60">
        <f>+OtherClients[[#This Row],[Boxes / Pieces]]*OtherClients[[#This Row],[Unit Quantity]]</f>
        <v>10000</v>
      </c>
      <c r="H1028" s="60" t="s">
        <v>849</v>
      </c>
      <c r="I1028" s="126" t="s">
        <v>278</v>
      </c>
      <c r="J1028" s="127"/>
      <c r="K1028" s="33" t="s">
        <v>278</v>
      </c>
      <c r="L1028" s="125"/>
      <c r="M1028" s="33" t="s">
        <v>278</v>
      </c>
      <c r="N1028" s="125"/>
      <c r="O1028" s="33" t="s">
        <v>278</v>
      </c>
      <c r="P1028" s="125"/>
      <c r="Q1028" s="33" t="s">
        <v>587</v>
      </c>
      <c r="R1028" s="125"/>
      <c r="S1028" s="33" t="s">
        <v>278</v>
      </c>
      <c r="T1028" s="125"/>
      <c r="U1028" s="33" t="s">
        <v>278</v>
      </c>
      <c r="V1028" s="125"/>
      <c r="W1028" s="59" t="s">
        <v>548</v>
      </c>
      <c r="X1028" s="33" t="str">
        <f>+VLOOKUP(OtherClients[[#This Row],[Part]],PartControl!$A$2:$E$564,5,FALSE)</f>
        <v>Infasco</v>
      </c>
      <c r="Y1028" s="108">
        <f>IF(OtherClients[[#This Row],[Re-certified or New]]&lt;&gt;"Re-certified",IF(OtherClients[[#This Row],[Client]]="infasco",VLOOKUP(OtherClients[[#This Row],[Part]],PartControl!$A$2:$E$564,2,FALSE),OtherClients[[#This Row],[Total Quantity]]*VLOOKUP(OtherClients[[#This Row],[Part]],PartControl!$A$2:$E$564,2,FALSE)),0)</f>
        <v>129.44999999999999</v>
      </c>
      <c r="Z1028" s="108">
        <f>IF(OtherClients[[#This Row],[Re-certified or New]]&lt;&gt;"Re-certified",IF(OtherClients[[#This Row],[Client]]="infasco",VLOOKUP(OtherClients[[#This Row],[Part]],PartControl!$A$2:$E$564,2,FALSE),OtherClients[[#This Row],[Total Quantity]]*VLOOKUP(OtherClients[[#This Row],[Part]],PartControl!$A$2:$E$564,2,FALSE)),0)</f>
        <v>129.44999999999999</v>
      </c>
    </row>
    <row r="1029" spans="1:26" ht="25.15" hidden="1" customHeight="1" x14ac:dyDescent="0.25">
      <c r="A1029" s="112">
        <v>46251.685324074075</v>
      </c>
      <c r="B1029" s="5" t="s">
        <v>345</v>
      </c>
      <c r="C1029" s="5" t="s">
        <v>854</v>
      </c>
      <c r="D1029" s="5">
        <v>713921</v>
      </c>
      <c r="E1029" s="33">
        <v>32</v>
      </c>
      <c r="F1029" s="60">
        <v>700</v>
      </c>
      <c r="G1029" s="60">
        <f>+OtherClients[[#This Row],[Boxes / Pieces]]*OtherClients[[#This Row],[Unit Quantity]]</f>
        <v>22400</v>
      </c>
      <c r="H1029" s="60" t="s">
        <v>849</v>
      </c>
      <c r="I1029" s="126" t="s">
        <v>278</v>
      </c>
      <c r="J1029" s="127"/>
      <c r="K1029" s="33" t="s">
        <v>278</v>
      </c>
      <c r="L1029" s="125"/>
      <c r="M1029" s="33" t="s">
        <v>278</v>
      </c>
      <c r="N1029" s="125"/>
      <c r="O1029" s="33" t="s">
        <v>278</v>
      </c>
      <c r="P1029" s="125"/>
      <c r="Q1029" s="33" t="s">
        <v>587</v>
      </c>
      <c r="R1029" s="125"/>
      <c r="S1029" s="33" t="s">
        <v>278</v>
      </c>
      <c r="T1029" s="125"/>
      <c r="U1029" s="33" t="s">
        <v>278</v>
      </c>
      <c r="V1029" s="125"/>
      <c r="W1029" s="59" t="s">
        <v>548</v>
      </c>
      <c r="X1029" s="33" t="str">
        <f>+VLOOKUP(OtherClients[[#This Row],[Part]],PartControl!$A$2:$E$564,5,FALSE)</f>
        <v>infasco</v>
      </c>
      <c r="Y1029" s="108">
        <f>IF(OtherClients[[#This Row],[Re-certified or New]]&lt;&gt;"Re-certified",IF(OtherClients[[#This Row],[Client]]="infasco",VLOOKUP(OtherClients[[#This Row],[Part]],PartControl!$A$2:$E$564,2,FALSE),OtherClients[[#This Row],[Total Quantity]]*VLOOKUP(OtherClients[[#This Row],[Part]],PartControl!$A$2:$E$564,2,FALSE)),0)</f>
        <v>213.88</v>
      </c>
      <c r="Z1029" s="108">
        <f>IF(OtherClients[[#This Row],[Re-certified or New]]&lt;&gt;"Re-certified",IF(OtherClients[[#This Row],[Client]]="infasco",VLOOKUP(OtherClients[[#This Row],[Part]],PartControl!$A$2:$E$564,2,FALSE),OtherClients[[#This Row],[Total Quantity]]*VLOOKUP(OtherClients[[#This Row],[Part]],PartControl!$A$2:$E$564,2,FALSE)),0)</f>
        <v>213.88</v>
      </c>
    </row>
    <row r="1030" spans="1:26" ht="25.15" hidden="1" customHeight="1" x14ac:dyDescent="0.25">
      <c r="A1030" s="112">
        <v>46251.685324074075</v>
      </c>
      <c r="B1030" s="5" t="s">
        <v>345</v>
      </c>
      <c r="C1030" s="5">
        <v>11547369</v>
      </c>
      <c r="D1030" s="5">
        <v>714481</v>
      </c>
      <c r="E1030" s="33">
        <v>36</v>
      </c>
      <c r="F1030" s="60">
        <v>250</v>
      </c>
      <c r="G1030" s="60">
        <f>+OtherClients[[#This Row],[Boxes / Pieces]]*OtherClients[[#This Row],[Unit Quantity]]</f>
        <v>9000</v>
      </c>
      <c r="H1030" s="60" t="s">
        <v>849</v>
      </c>
      <c r="I1030" s="126" t="s">
        <v>278</v>
      </c>
      <c r="J1030" s="127"/>
      <c r="K1030" s="33" t="s">
        <v>278</v>
      </c>
      <c r="L1030" s="125"/>
      <c r="M1030" s="33" t="s">
        <v>278</v>
      </c>
      <c r="N1030" s="125"/>
      <c r="O1030" s="33" t="s">
        <v>278</v>
      </c>
      <c r="P1030" s="125"/>
      <c r="Q1030" s="33" t="s">
        <v>587</v>
      </c>
      <c r="R1030" s="125"/>
      <c r="S1030" s="33" t="s">
        <v>278</v>
      </c>
      <c r="T1030" s="125"/>
      <c r="U1030" s="33" t="s">
        <v>278</v>
      </c>
      <c r="V1030" s="125"/>
      <c r="W1030" s="59" t="s">
        <v>548</v>
      </c>
      <c r="X1030" s="33" t="str">
        <f>+VLOOKUP(OtherClients[[#This Row],[Part]],PartControl!$A$2:$E$564,5,FALSE)</f>
        <v>Infasco</v>
      </c>
      <c r="Y1030" s="108">
        <f>IF(OtherClients[[#This Row],[Re-certified or New]]&lt;&gt;"Re-certified",IF(OtherClients[[#This Row],[Client]]="infasco",VLOOKUP(OtherClients[[#This Row],[Part]],PartControl!$A$2:$E$564,2,FALSE),OtherClients[[#This Row],[Total Quantity]]*VLOOKUP(OtherClients[[#This Row],[Part]],PartControl!$A$2:$E$564,2,FALSE)),0)</f>
        <v>106.94</v>
      </c>
      <c r="Z1030" s="108">
        <f>IF(OtherClients[[#This Row],[Re-certified or New]]&lt;&gt;"Re-certified",IF(OtherClients[[#This Row],[Client]]="infasco",VLOOKUP(OtherClients[[#This Row],[Part]],PartControl!$A$2:$E$564,2,FALSE),OtherClients[[#This Row],[Total Quantity]]*VLOOKUP(OtherClients[[#This Row],[Part]],PartControl!$A$2:$E$564,2,FALSE)),0)</f>
        <v>106.94</v>
      </c>
    </row>
    <row r="1031" spans="1:26" ht="25.15" hidden="1" customHeight="1" x14ac:dyDescent="0.25">
      <c r="A1031" s="112">
        <v>46251.685324074075</v>
      </c>
      <c r="B1031" s="5" t="s">
        <v>345</v>
      </c>
      <c r="C1031" s="5">
        <v>11547369</v>
      </c>
      <c r="D1031" s="5">
        <v>714479</v>
      </c>
      <c r="E1031" s="33">
        <v>51</v>
      </c>
      <c r="F1031" s="60">
        <v>250</v>
      </c>
      <c r="G1031" s="60">
        <f>+OtherClients[[#This Row],[Boxes / Pieces]]*OtherClients[[#This Row],[Unit Quantity]]</f>
        <v>12750</v>
      </c>
      <c r="H1031" s="60" t="s">
        <v>849</v>
      </c>
      <c r="I1031" s="126" t="s">
        <v>278</v>
      </c>
      <c r="J1031" s="127"/>
      <c r="K1031" s="33" t="s">
        <v>278</v>
      </c>
      <c r="L1031" s="125"/>
      <c r="M1031" s="33" t="s">
        <v>278</v>
      </c>
      <c r="N1031" s="125"/>
      <c r="O1031" s="33" t="s">
        <v>278</v>
      </c>
      <c r="P1031" s="125"/>
      <c r="Q1031" s="33" t="s">
        <v>587</v>
      </c>
      <c r="R1031" s="125"/>
      <c r="S1031" s="33" t="s">
        <v>278</v>
      </c>
      <c r="T1031" s="125"/>
      <c r="U1031" s="33" t="s">
        <v>278</v>
      </c>
      <c r="V1031" s="125"/>
      <c r="W1031" s="59" t="s">
        <v>548</v>
      </c>
      <c r="X1031" s="33" t="str">
        <f>+VLOOKUP(OtherClients[[#This Row],[Part]],PartControl!$A$2:$E$564,5,FALSE)</f>
        <v>Infasco</v>
      </c>
      <c r="Y1031" s="108">
        <f>IF(OtherClients[[#This Row],[Re-certified or New]]&lt;&gt;"Re-certified",IF(OtherClients[[#This Row],[Client]]="infasco",VLOOKUP(OtherClients[[#This Row],[Part]],PartControl!$A$2:$E$564,2,FALSE),OtherClients[[#This Row],[Total Quantity]]*VLOOKUP(OtherClients[[#This Row],[Part]],PartControl!$A$2:$E$564,2,FALSE)),0)</f>
        <v>106.94</v>
      </c>
      <c r="Z1031" s="108">
        <f>IF(OtherClients[[#This Row],[Re-certified or New]]&lt;&gt;"Re-certified",IF(OtherClients[[#This Row],[Client]]="infasco",VLOOKUP(OtherClients[[#This Row],[Part]],PartControl!$A$2:$E$564,2,FALSE),OtherClients[[#This Row],[Total Quantity]]*VLOOKUP(OtherClients[[#This Row],[Part]],PartControl!$A$2:$E$564,2,FALSE)),0)</f>
        <v>106.94</v>
      </c>
    </row>
    <row r="1032" spans="1:26" ht="25.15" hidden="1" customHeight="1" x14ac:dyDescent="0.25">
      <c r="A1032" s="112">
        <v>46251.685324074075</v>
      </c>
      <c r="B1032" s="5" t="s">
        <v>345</v>
      </c>
      <c r="C1032" s="5" t="s">
        <v>854</v>
      </c>
      <c r="D1032" s="5">
        <v>714350</v>
      </c>
      <c r="E1032" s="33">
        <v>25</v>
      </c>
      <c r="F1032" s="60">
        <v>700</v>
      </c>
      <c r="G1032" s="60">
        <f>+OtherClients[[#This Row],[Boxes / Pieces]]*OtherClients[[#This Row],[Unit Quantity]]</f>
        <v>17500</v>
      </c>
      <c r="H1032" s="60" t="s">
        <v>849</v>
      </c>
      <c r="I1032" s="126" t="s">
        <v>278</v>
      </c>
      <c r="J1032" s="127"/>
      <c r="K1032" s="33" t="s">
        <v>278</v>
      </c>
      <c r="L1032" s="125"/>
      <c r="M1032" s="33" t="s">
        <v>278</v>
      </c>
      <c r="N1032" s="125"/>
      <c r="O1032" s="33" t="s">
        <v>278</v>
      </c>
      <c r="P1032" s="125"/>
      <c r="Q1032" s="33" t="s">
        <v>587</v>
      </c>
      <c r="R1032" s="125"/>
      <c r="S1032" s="33" t="s">
        <v>278</v>
      </c>
      <c r="T1032" s="125"/>
      <c r="U1032" s="33" t="s">
        <v>278</v>
      </c>
      <c r="V1032" s="125"/>
      <c r="W1032" s="59" t="s">
        <v>548</v>
      </c>
      <c r="X1032" s="33" t="str">
        <f>+VLOOKUP(OtherClients[[#This Row],[Part]],PartControl!$A$2:$E$564,5,FALSE)</f>
        <v>infasco</v>
      </c>
      <c r="Y1032" s="108">
        <f>IF(OtherClients[[#This Row],[Re-certified or New]]&lt;&gt;"Re-certified",IF(OtherClients[[#This Row],[Client]]="infasco",VLOOKUP(OtherClients[[#This Row],[Part]],PartControl!$A$2:$E$564,2,FALSE),OtherClients[[#This Row],[Total Quantity]]*VLOOKUP(OtherClients[[#This Row],[Part]],PartControl!$A$2:$E$564,2,FALSE)),0)</f>
        <v>213.88</v>
      </c>
      <c r="Z1032" s="108">
        <f>IF(OtherClients[[#This Row],[Re-certified or New]]&lt;&gt;"Re-certified",IF(OtherClients[[#This Row],[Client]]="infasco",VLOOKUP(OtherClients[[#This Row],[Part]],PartControl!$A$2:$E$564,2,FALSE),OtherClients[[#This Row],[Total Quantity]]*VLOOKUP(OtherClients[[#This Row],[Part]],PartControl!$A$2:$E$564,2,FALSE)),0)</f>
        <v>213.88</v>
      </c>
    </row>
    <row r="1033" spans="1:26" ht="25.15" hidden="1" customHeight="1" x14ac:dyDescent="0.25">
      <c r="A1033" s="112">
        <v>46251.685324074075</v>
      </c>
      <c r="B1033" s="5" t="s">
        <v>345</v>
      </c>
      <c r="C1033" s="5" t="s">
        <v>850</v>
      </c>
      <c r="D1033" s="5">
        <v>713473</v>
      </c>
      <c r="E1033" s="33">
        <v>35</v>
      </c>
      <c r="F1033" s="60">
        <v>300</v>
      </c>
      <c r="G1033" s="60">
        <f>+OtherClients[[#This Row],[Boxes / Pieces]]*OtherClients[[#This Row],[Unit Quantity]]</f>
        <v>10500</v>
      </c>
      <c r="H1033" s="60" t="s">
        <v>849</v>
      </c>
      <c r="I1033" s="126" t="s">
        <v>278</v>
      </c>
      <c r="J1033" s="127"/>
      <c r="K1033" s="33" t="s">
        <v>278</v>
      </c>
      <c r="L1033" s="125"/>
      <c r="M1033" s="33" t="s">
        <v>278</v>
      </c>
      <c r="N1033" s="125"/>
      <c r="O1033" s="33" t="s">
        <v>278</v>
      </c>
      <c r="P1033" s="125"/>
      <c r="Q1033" s="33" t="s">
        <v>587</v>
      </c>
      <c r="R1033" s="125"/>
      <c r="S1033" s="33" t="s">
        <v>278</v>
      </c>
      <c r="T1033" s="125"/>
      <c r="U1033" s="33" t="s">
        <v>278</v>
      </c>
      <c r="V1033" s="125"/>
      <c r="W1033" s="59" t="s">
        <v>548</v>
      </c>
      <c r="X1033" s="33" t="str">
        <f>+VLOOKUP(OtherClients[[#This Row],[Part]],PartControl!$A$2:$E$564,5,FALSE)</f>
        <v>infasco</v>
      </c>
      <c r="Y1033" s="108">
        <f>IF(OtherClients[[#This Row],[Re-certified or New]]&lt;&gt;"Re-certified",IF(OtherClients[[#This Row],[Client]]="infasco",VLOOKUP(OtherClients[[#This Row],[Part]],PartControl!$A$2:$E$564,2,FALSE),OtherClients[[#This Row],[Total Quantity]]*VLOOKUP(OtherClients[[#This Row],[Part]],PartControl!$A$2:$E$564,2,FALSE)),0)</f>
        <v>106.94</v>
      </c>
      <c r="Z1033" s="108">
        <f>IF(OtherClients[[#This Row],[Re-certified or New]]&lt;&gt;"Re-certified",IF(OtherClients[[#This Row],[Client]]="infasco",VLOOKUP(OtherClients[[#This Row],[Part]],PartControl!$A$2:$E$564,2,FALSE),OtherClients[[#This Row],[Total Quantity]]*VLOOKUP(OtherClients[[#This Row],[Part]],PartControl!$A$2:$E$564,2,FALSE)),0)</f>
        <v>106.94</v>
      </c>
    </row>
    <row r="1034" spans="1:26" ht="25.15" hidden="1" customHeight="1" x14ac:dyDescent="0.25">
      <c r="A1034" s="112">
        <v>46251.685324074075</v>
      </c>
      <c r="B1034" s="5" t="s">
        <v>345</v>
      </c>
      <c r="C1034" s="5" t="s">
        <v>854</v>
      </c>
      <c r="D1034" s="5">
        <v>713920</v>
      </c>
      <c r="E1034" s="33">
        <v>4</v>
      </c>
      <c r="F1034" s="60">
        <v>700</v>
      </c>
      <c r="G1034" s="60">
        <f>+OtherClients[[#This Row],[Boxes / Pieces]]*OtherClients[[#This Row],[Unit Quantity]]</f>
        <v>2800</v>
      </c>
      <c r="H1034" s="60" t="s">
        <v>849</v>
      </c>
      <c r="I1034" s="126" t="s">
        <v>278</v>
      </c>
      <c r="J1034" s="127"/>
      <c r="K1034" s="33" t="s">
        <v>278</v>
      </c>
      <c r="L1034" s="125"/>
      <c r="M1034" s="33" t="s">
        <v>278</v>
      </c>
      <c r="N1034" s="125"/>
      <c r="O1034" s="33" t="s">
        <v>278</v>
      </c>
      <c r="P1034" s="125"/>
      <c r="Q1034" s="33" t="s">
        <v>587</v>
      </c>
      <c r="R1034" s="125"/>
      <c r="S1034" s="33" t="s">
        <v>278</v>
      </c>
      <c r="T1034" s="125"/>
      <c r="U1034" s="33" t="s">
        <v>278</v>
      </c>
      <c r="V1034" s="125"/>
      <c r="W1034" s="59" t="s">
        <v>633</v>
      </c>
      <c r="X1034" s="33" t="str">
        <f>+VLOOKUP(OtherClients[[#This Row],[Part]],PartControl!$A$2:$E$564,5,FALSE)</f>
        <v>infasco</v>
      </c>
      <c r="Y1034" s="108">
        <f>IF(OtherClients[[#This Row],[Re-certified or New]]&lt;&gt;"Re-certified",IF(OtherClients[[#This Row],[Client]]="infasco",VLOOKUP(OtherClients[[#This Row],[Part]],PartControl!$A$2:$E$564,2,FALSE),OtherClients[[#This Row],[Total Quantity]]*VLOOKUP(OtherClients[[#This Row],[Part]],PartControl!$A$2:$E$564,2,FALSE)),0)</f>
        <v>0</v>
      </c>
      <c r="Z1034" s="108">
        <f>IF(OtherClients[[#This Row],[Re-certified or New]]&lt;&gt;"Re-certified",IF(OtherClients[[#This Row],[Client]]="infasco",VLOOKUP(OtherClients[[#This Row],[Part]],PartControl!$A$2:$E$564,2,FALSE),OtherClients[[#This Row],[Total Quantity]]*VLOOKUP(OtherClients[[#This Row],[Part]],PartControl!$A$2:$E$564,2,FALSE)),0)</f>
        <v>0</v>
      </c>
    </row>
    <row r="1035" spans="1:26" ht="25.15" hidden="1" customHeight="1" x14ac:dyDescent="0.25">
      <c r="A1035" s="112">
        <v>46251.685324074075</v>
      </c>
      <c r="B1035" s="5" t="s">
        <v>346</v>
      </c>
      <c r="C1035" s="5" t="s">
        <v>732</v>
      </c>
      <c r="D1035" s="5">
        <v>705483</v>
      </c>
      <c r="E1035" s="33">
        <f>40-2</f>
        <v>38</v>
      </c>
      <c r="F1035" s="60">
        <v>1000</v>
      </c>
      <c r="G1035" s="60">
        <f>+OtherClients[[#This Row],[Boxes / Pieces]]*OtherClients[[#This Row],[Unit Quantity]]</f>
        <v>38000</v>
      </c>
      <c r="H1035" s="60">
        <v>11</v>
      </c>
      <c r="I1035" s="126" t="s">
        <v>278</v>
      </c>
      <c r="J1035" s="127"/>
      <c r="K1035" s="33" t="s">
        <v>278</v>
      </c>
      <c r="L1035" s="125"/>
      <c r="M1035" s="33" t="s">
        <v>278</v>
      </c>
      <c r="N1035" s="125"/>
      <c r="O1035" s="33" t="s">
        <v>278</v>
      </c>
      <c r="P1035" s="125"/>
      <c r="Q1035" s="33" t="s">
        <v>587</v>
      </c>
      <c r="R1035" s="125"/>
      <c r="S1035" s="33" t="s">
        <v>278</v>
      </c>
      <c r="T1035" s="125"/>
      <c r="U1035" s="33" t="s">
        <v>278</v>
      </c>
      <c r="V1035" s="125"/>
      <c r="W1035" s="59" t="s">
        <v>548</v>
      </c>
      <c r="X1035" s="33" t="str">
        <f>+VLOOKUP(OtherClients[[#This Row],[Part]],PartControl!$A$2:$E$564,5,FALSE)</f>
        <v>infasco</v>
      </c>
      <c r="Y1035" s="108">
        <f>IF(OtherClients[[#This Row],[Re-certified or New]]&lt;&gt;"Re-certified",IF(OtherClients[[#This Row],[Client]]="infasco",VLOOKUP(OtherClients[[#This Row],[Part]],PartControl!$A$2:$E$564,2,FALSE),OtherClients[[#This Row],[Total Quantity]]*VLOOKUP(OtherClients[[#This Row],[Part]],PartControl!$A$2:$E$564,2,FALSE)),0)</f>
        <v>213.88</v>
      </c>
      <c r="Z1035" s="108">
        <f>IF(OtherClients[[#This Row],[Re-certified or New]]&lt;&gt;"Re-certified",IF(OtherClients[[#This Row],[Client]]="infasco",VLOOKUP(OtherClients[[#This Row],[Part]],PartControl!$A$2:$E$564,2,FALSE),OtherClients[[#This Row],[Total Quantity]]*VLOOKUP(OtherClients[[#This Row],[Part]],PartControl!$A$2:$E$564,2,FALSE)),0)</f>
        <v>213.88</v>
      </c>
    </row>
    <row r="1036" spans="1:26" ht="25.15" hidden="1" customHeight="1" x14ac:dyDescent="0.25">
      <c r="A1036" s="112">
        <v>46251.685324074075</v>
      </c>
      <c r="B1036" s="5" t="s">
        <v>346</v>
      </c>
      <c r="C1036" s="5" t="s">
        <v>854</v>
      </c>
      <c r="D1036" s="5">
        <v>714352</v>
      </c>
      <c r="E1036" s="33">
        <v>35</v>
      </c>
      <c r="F1036" s="60">
        <v>700</v>
      </c>
      <c r="G1036" s="60">
        <f>+OtherClients[[#This Row],[Boxes / Pieces]]*OtherClients[[#This Row],[Unit Quantity]]</f>
        <v>24500</v>
      </c>
      <c r="H1036" s="60" t="s">
        <v>879</v>
      </c>
      <c r="I1036" s="126" t="s">
        <v>278</v>
      </c>
      <c r="J1036" s="127"/>
      <c r="K1036" s="33" t="s">
        <v>278</v>
      </c>
      <c r="L1036" s="125"/>
      <c r="M1036" s="33" t="s">
        <v>278</v>
      </c>
      <c r="N1036" s="125"/>
      <c r="O1036" s="33" t="s">
        <v>278</v>
      </c>
      <c r="P1036" s="125"/>
      <c r="Q1036" s="33" t="s">
        <v>587</v>
      </c>
      <c r="R1036" s="125"/>
      <c r="S1036" s="33" t="s">
        <v>278</v>
      </c>
      <c r="T1036" s="125"/>
      <c r="U1036" s="33" t="s">
        <v>278</v>
      </c>
      <c r="V1036" s="125"/>
      <c r="W1036" s="59" t="s">
        <v>548</v>
      </c>
      <c r="X1036" s="33" t="str">
        <f>+VLOOKUP(OtherClients[[#This Row],[Part]],PartControl!$A$2:$E$564,5,FALSE)</f>
        <v>infasco</v>
      </c>
      <c r="Y1036" s="108">
        <f>IF(OtherClients[[#This Row],[Re-certified or New]]&lt;&gt;"Re-certified",IF(OtherClients[[#This Row],[Client]]="infasco",VLOOKUP(OtherClients[[#This Row],[Part]],PartControl!$A$2:$E$564,2,FALSE),OtherClients[[#This Row],[Total Quantity]]*VLOOKUP(OtherClients[[#This Row],[Part]],PartControl!$A$2:$E$564,2,FALSE)),0)</f>
        <v>213.88</v>
      </c>
      <c r="Z1036" s="108">
        <f>IF(OtherClients[[#This Row],[Re-certified or New]]&lt;&gt;"Re-certified",IF(OtherClients[[#This Row],[Client]]="infasco",VLOOKUP(OtherClients[[#This Row],[Part]],PartControl!$A$2:$E$564,2,FALSE),OtherClients[[#This Row],[Total Quantity]]*VLOOKUP(OtherClients[[#This Row],[Part]],PartControl!$A$2:$E$564,2,FALSE)),0)</f>
        <v>213.88</v>
      </c>
    </row>
    <row r="1037" spans="1:26" ht="25.15" hidden="1" customHeight="1" x14ac:dyDescent="0.25">
      <c r="A1037" s="112">
        <v>46251.685324074075</v>
      </c>
      <c r="B1037" s="5" t="s">
        <v>346</v>
      </c>
      <c r="C1037" s="5" t="s">
        <v>835</v>
      </c>
      <c r="D1037" s="5">
        <v>716496</v>
      </c>
      <c r="E1037" s="33">
        <v>7</v>
      </c>
      <c r="F1037" s="60">
        <v>660</v>
      </c>
      <c r="G1037" s="60">
        <f>+OtherClients[[#This Row],[Boxes / Pieces]]*OtherClients[[#This Row],[Unit Quantity]]</f>
        <v>4620</v>
      </c>
      <c r="H1037" s="60" t="s">
        <v>879</v>
      </c>
      <c r="I1037" s="126" t="s">
        <v>278</v>
      </c>
      <c r="J1037" s="127"/>
      <c r="K1037" s="33" t="s">
        <v>278</v>
      </c>
      <c r="L1037" s="125"/>
      <c r="M1037" s="33" t="s">
        <v>278</v>
      </c>
      <c r="N1037" s="125"/>
      <c r="O1037" s="33" t="s">
        <v>278</v>
      </c>
      <c r="P1037" s="125"/>
      <c r="Q1037" s="33" t="s">
        <v>587</v>
      </c>
      <c r="R1037" s="125"/>
      <c r="S1037" s="33" t="s">
        <v>278</v>
      </c>
      <c r="T1037" s="125"/>
      <c r="U1037" s="33" t="s">
        <v>278</v>
      </c>
      <c r="V1037" s="125"/>
      <c r="W1037" s="59" t="s">
        <v>548</v>
      </c>
      <c r="X1037" s="33" t="str">
        <f>+VLOOKUP(OtherClients[[#This Row],[Part]],PartControl!$A$2:$E$564,5,FALSE)</f>
        <v>infasco</v>
      </c>
      <c r="Y1037" s="108">
        <f>IF(OtherClients[[#This Row],[Re-certified or New]]&lt;&gt;"Re-certified",IF(OtherClients[[#This Row],[Client]]="infasco",VLOOKUP(OtherClients[[#This Row],[Part]],PartControl!$A$2:$E$564,2,FALSE),OtherClients[[#This Row],[Total Quantity]]*VLOOKUP(OtherClients[[#This Row],[Part]],PartControl!$A$2:$E$564,2,FALSE)),0)</f>
        <v>135.08000000000001</v>
      </c>
      <c r="Z1037" s="108">
        <f>IF(OtherClients[[#This Row],[Re-certified or New]]&lt;&gt;"Re-certified",IF(OtherClients[[#This Row],[Client]]="infasco",VLOOKUP(OtherClients[[#This Row],[Part]],PartControl!$A$2:$E$564,2,FALSE),OtherClients[[#This Row],[Total Quantity]]*VLOOKUP(OtherClients[[#This Row],[Part]],PartControl!$A$2:$E$564,2,FALSE)),0)</f>
        <v>135.08000000000001</v>
      </c>
    </row>
    <row r="1038" spans="1:26" ht="25.15" hidden="1" customHeight="1" x14ac:dyDescent="0.25">
      <c r="A1038" s="112">
        <v>46251.685324074075</v>
      </c>
      <c r="B1038" s="5" t="s">
        <v>346</v>
      </c>
      <c r="C1038" s="5">
        <v>11547369</v>
      </c>
      <c r="D1038" s="5">
        <v>714474</v>
      </c>
      <c r="E1038" s="33">
        <v>20</v>
      </c>
      <c r="F1038" s="60">
        <v>250</v>
      </c>
      <c r="G1038" s="60">
        <f>+OtherClients[[#This Row],[Boxes / Pieces]]*OtherClients[[#This Row],[Unit Quantity]]</f>
        <v>5000</v>
      </c>
      <c r="H1038" s="60" t="s">
        <v>879</v>
      </c>
      <c r="I1038" s="126" t="s">
        <v>278</v>
      </c>
      <c r="J1038" s="127"/>
      <c r="K1038" s="33" t="s">
        <v>278</v>
      </c>
      <c r="L1038" s="125"/>
      <c r="M1038" s="33" t="s">
        <v>278</v>
      </c>
      <c r="N1038" s="125"/>
      <c r="O1038" s="33" t="s">
        <v>278</v>
      </c>
      <c r="P1038" s="125"/>
      <c r="Q1038" s="33" t="s">
        <v>587</v>
      </c>
      <c r="R1038" s="125"/>
      <c r="S1038" s="33" t="s">
        <v>278</v>
      </c>
      <c r="T1038" s="125"/>
      <c r="U1038" s="33" t="s">
        <v>278</v>
      </c>
      <c r="V1038" s="125"/>
      <c r="W1038" s="59" t="s">
        <v>633</v>
      </c>
      <c r="X1038" s="33" t="str">
        <f>+VLOOKUP(OtherClients[[#This Row],[Part]],PartControl!$A$2:$E$564,5,FALSE)</f>
        <v>Infasco</v>
      </c>
      <c r="Y1038" s="108">
        <f>IF(OtherClients[[#This Row],[Re-certified or New]]&lt;&gt;"Re-certified",IF(OtherClients[[#This Row],[Client]]="infasco",VLOOKUP(OtherClients[[#This Row],[Part]],PartControl!$A$2:$E$564,2,FALSE),OtherClients[[#This Row],[Total Quantity]]*VLOOKUP(OtherClients[[#This Row],[Part]],PartControl!$A$2:$E$564,2,FALSE)),0)</f>
        <v>0</v>
      </c>
      <c r="Z1038" s="108">
        <f>IF(OtherClients[[#This Row],[Re-certified or New]]&lt;&gt;"Re-certified",IF(OtherClients[[#This Row],[Client]]="infasco",VLOOKUP(OtherClients[[#This Row],[Part]],PartControl!$A$2:$E$564,2,FALSE),OtherClients[[#This Row],[Total Quantity]]*VLOOKUP(OtherClients[[#This Row],[Part]],PartControl!$A$2:$E$564,2,FALSE)),0)</f>
        <v>0</v>
      </c>
    </row>
    <row r="1039" spans="1:26" ht="25.15" hidden="1" customHeight="1" x14ac:dyDescent="0.25">
      <c r="A1039" s="112">
        <v>46251.685324074075</v>
      </c>
      <c r="B1039" s="5" t="s">
        <v>347</v>
      </c>
      <c r="C1039" s="5" t="s">
        <v>843</v>
      </c>
      <c r="D1039" s="5">
        <v>714680</v>
      </c>
      <c r="E1039" s="33">
        <v>6</v>
      </c>
      <c r="F1039" s="60">
        <v>220</v>
      </c>
      <c r="G1039" s="60">
        <f>+OtherClients[[#This Row],[Boxes / Pieces]]*OtherClients[[#This Row],[Unit Quantity]]</f>
        <v>1320</v>
      </c>
      <c r="H1039" s="60" t="s">
        <v>808</v>
      </c>
      <c r="I1039" s="126" t="s">
        <v>278</v>
      </c>
      <c r="J1039" s="127"/>
      <c r="K1039" s="33" t="s">
        <v>278</v>
      </c>
      <c r="L1039" s="125"/>
      <c r="M1039" s="33" t="s">
        <v>278</v>
      </c>
      <c r="N1039" s="125"/>
      <c r="O1039" s="33" t="s">
        <v>278</v>
      </c>
      <c r="P1039" s="125"/>
      <c r="Q1039" s="33" t="s">
        <v>587</v>
      </c>
      <c r="R1039" s="125"/>
      <c r="S1039" s="33" t="s">
        <v>278</v>
      </c>
      <c r="T1039" s="125"/>
      <c r="U1039" s="33" t="s">
        <v>278</v>
      </c>
      <c r="V1039" s="125"/>
      <c r="W1039" s="59" t="s">
        <v>548</v>
      </c>
      <c r="X1039" s="33" t="str">
        <f>+VLOOKUP(OtherClients[[#This Row],[Part]],PartControl!$A$2:$E$564,5,FALSE)</f>
        <v>infasco</v>
      </c>
      <c r="Y1039" s="108">
        <f>IF(OtherClients[[#This Row],[Re-certified or New]]&lt;&gt;"Re-certified",IF(OtherClients[[#This Row],[Client]]="infasco",VLOOKUP(OtherClients[[#This Row],[Part]],PartControl!$A$2:$E$564,2,FALSE),OtherClients[[#This Row],[Total Quantity]]*VLOOKUP(OtherClients[[#This Row],[Part]],PartControl!$A$2:$E$564,2,FALSE)),0)</f>
        <v>106.94</v>
      </c>
      <c r="Z1039" s="108">
        <f>IF(OtherClients[[#This Row],[Re-certified or New]]&lt;&gt;"Re-certified",IF(OtherClients[[#This Row],[Client]]="infasco",VLOOKUP(OtherClients[[#This Row],[Part]],PartControl!$A$2:$E$564,2,FALSE),OtherClients[[#This Row],[Total Quantity]]*VLOOKUP(OtherClients[[#This Row],[Part]],PartControl!$A$2:$E$564,2,FALSE)),0)</f>
        <v>106.94</v>
      </c>
    </row>
    <row r="1040" spans="1:26" ht="25.15" hidden="1" customHeight="1" x14ac:dyDescent="0.25">
      <c r="A1040" s="112">
        <v>46251.685324074075</v>
      </c>
      <c r="B1040" s="5" t="s">
        <v>347</v>
      </c>
      <c r="C1040" s="5" t="s">
        <v>861</v>
      </c>
      <c r="D1040" s="5">
        <v>716249</v>
      </c>
      <c r="E1040" s="33">
        <v>1</v>
      </c>
      <c r="F1040" s="60">
        <v>9875</v>
      </c>
      <c r="G1040" s="60">
        <f>+OtherClients[[#This Row],[Boxes / Pieces]]*OtherClients[[#This Row],[Unit Quantity]]</f>
        <v>9875</v>
      </c>
      <c r="H1040" s="60" t="s">
        <v>808</v>
      </c>
      <c r="I1040" s="126" t="s">
        <v>278</v>
      </c>
      <c r="J1040" s="127"/>
      <c r="K1040" s="33" t="s">
        <v>278</v>
      </c>
      <c r="L1040" s="125"/>
      <c r="M1040" s="33" t="s">
        <v>278</v>
      </c>
      <c r="N1040" s="125"/>
      <c r="O1040" s="33" t="s">
        <v>278</v>
      </c>
      <c r="P1040" s="125"/>
      <c r="Q1040" s="33" t="s">
        <v>587</v>
      </c>
      <c r="R1040" s="125"/>
      <c r="S1040" s="33" t="s">
        <v>278</v>
      </c>
      <c r="T1040" s="125"/>
      <c r="U1040" s="33" t="s">
        <v>278</v>
      </c>
      <c r="V1040" s="125"/>
      <c r="W1040" s="59" t="s">
        <v>548</v>
      </c>
      <c r="X1040" s="33" t="str">
        <f>+VLOOKUP(OtherClients[[#This Row],[Part]],PartControl!$A$2:$E$564,5,FALSE)</f>
        <v>Infasco</v>
      </c>
      <c r="Y1040" s="108">
        <f>IF(OtherClients[[#This Row],[Re-certified or New]]&lt;&gt;"Re-certified",IF(OtherClients[[#This Row],[Client]]="infasco",VLOOKUP(OtherClients[[#This Row],[Part]],PartControl!$A$2:$E$564,2,FALSE),OtherClients[[#This Row],[Total Quantity]]*VLOOKUP(OtherClients[[#This Row],[Part]],PartControl!$A$2:$E$564,2,FALSE)),0)</f>
        <v>129.44999999999999</v>
      </c>
      <c r="Z1040" s="108">
        <f>IF(OtherClients[[#This Row],[Re-certified or New]]&lt;&gt;"Re-certified",IF(OtherClients[[#This Row],[Client]]="infasco",VLOOKUP(OtherClients[[#This Row],[Part]],PartControl!$A$2:$E$564,2,FALSE),OtherClients[[#This Row],[Total Quantity]]*VLOOKUP(OtherClients[[#This Row],[Part]],PartControl!$A$2:$E$564,2,FALSE)),0)</f>
        <v>129.44999999999999</v>
      </c>
    </row>
    <row r="1041" spans="1:26" ht="25.15" hidden="1" customHeight="1" x14ac:dyDescent="0.25">
      <c r="A1041" s="112">
        <v>46251.685324074075</v>
      </c>
      <c r="B1041" s="5" t="s">
        <v>347</v>
      </c>
      <c r="C1041" s="5" t="s">
        <v>861</v>
      </c>
      <c r="D1041" s="5">
        <v>716247</v>
      </c>
      <c r="E1041" s="33">
        <v>1</v>
      </c>
      <c r="F1041" s="60">
        <v>10092</v>
      </c>
      <c r="G1041" s="60">
        <f>+OtherClients[[#This Row],[Boxes / Pieces]]*OtherClients[[#This Row],[Unit Quantity]]</f>
        <v>10092</v>
      </c>
      <c r="H1041" s="60" t="s">
        <v>808</v>
      </c>
      <c r="I1041" s="126" t="s">
        <v>278</v>
      </c>
      <c r="J1041" s="127"/>
      <c r="K1041" s="33" t="s">
        <v>278</v>
      </c>
      <c r="L1041" s="125"/>
      <c r="M1041" s="33" t="s">
        <v>278</v>
      </c>
      <c r="N1041" s="125"/>
      <c r="O1041" s="33" t="s">
        <v>278</v>
      </c>
      <c r="P1041" s="125"/>
      <c r="Q1041" s="33" t="s">
        <v>587</v>
      </c>
      <c r="R1041" s="125"/>
      <c r="S1041" s="33" t="s">
        <v>278</v>
      </c>
      <c r="T1041" s="125"/>
      <c r="U1041" s="33" t="s">
        <v>278</v>
      </c>
      <c r="V1041" s="125"/>
      <c r="W1041" s="59" t="s">
        <v>548</v>
      </c>
      <c r="X1041" s="33" t="str">
        <f>+VLOOKUP(OtherClients[[#This Row],[Part]],PartControl!$A$2:$E$564,5,FALSE)</f>
        <v>Infasco</v>
      </c>
      <c r="Y1041" s="108">
        <f>IF(OtherClients[[#This Row],[Re-certified or New]]&lt;&gt;"Re-certified",IF(OtherClients[[#This Row],[Client]]="infasco",VLOOKUP(OtherClients[[#This Row],[Part]],PartControl!$A$2:$E$564,2,FALSE),OtherClients[[#This Row],[Total Quantity]]*VLOOKUP(OtherClients[[#This Row],[Part]],PartControl!$A$2:$E$564,2,FALSE)),0)</f>
        <v>129.44999999999999</v>
      </c>
      <c r="Z1041" s="108">
        <f>IF(OtherClients[[#This Row],[Re-certified or New]]&lt;&gt;"Re-certified",IF(OtherClients[[#This Row],[Client]]="infasco",VLOOKUP(OtherClients[[#This Row],[Part]],PartControl!$A$2:$E$564,2,FALSE),OtherClients[[#This Row],[Total Quantity]]*VLOOKUP(OtherClients[[#This Row],[Part]],PartControl!$A$2:$E$564,2,FALSE)),0)</f>
        <v>129.44999999999999</v>
      </c>
    </row>
    <row r="1042" spans="1:26" ht="25.15" hidden="1" customHeight="1" x14ac:dyDescent="0.25">
      <c r="A1042" s="112">
        <v>46251.685324074075</v>
      </c>
      <c r="B1042" s="5" t="s">
        <v>347</v>
      </c>
      <c r="C1042" s="5" t="s">
        <v>17</v>
      </c>
      <c r="D1042" s="5">
        <v>715603</v>
      </c>
      <c r="E1042" s="33">
        <v>36</v>
      </c>
      <c r="F1042" s="60">
        <v>100</v>
      </c>
      <c r="G1042" s="60">
        <f>+OtherClients[[#This Row],[Boxes / Pieces]]*OtherClients[[#This Row],[Unit Quantity]]</f>
        <v>3600</v>
      </c>
      <c r="H1042" s="60" t="s">
        <v>808</v>
      </c>
      <c r="I1042" s="126" t="s">
        <v>278</v>
      </c>
      <c r="J1042" s="127"/>
      <c r="K1042" s="33" t="s">
        <v>278</v>
      </c>
      <c r="L1042" s="125"/>
      <c r="M1042" s="33" t="s">
        <v>278</v>
      </c>
      <c r="N1042" s="125"/>
      <c r="O1042" s="33" t="s">
        <v>278</v>
      </c>
      <c r="P1042" s="125"/>
      <c r="Q1042" s="33" t="s">
        <v>587</v>
      </c>
      <c r="R1042" s="125"/>
      <c r="S1042" s="33" t="s">
        <v>278</v>
      </c>
      <c r="T1042" s="125"/>
      <c r="U1042" s="33" t="s">
        <v>278</v>
      </c>
      <c r="V1042" s="125"/>
      <c r="W1042" s="59" t="s">
        <v>548</v>
      </c>
      <c r="X1042" s="33" t="str">
        <f>+VLOOKUP(OtherClients[[#This Row],[Part]],PartControl!$A$2:$E$564,5,FALSE)</f>
        <v>infasco</v>
      </c>
      <c r="Y1042" s="108">
        <f>IF(OtherClients[[#This Row],[Re-certified or New]]&lt;&gt;"Re-certified",IF(OtherClients[[#This Row],[Client]]="infasco",VLOOKUP(OtherClients[[#This Row],[Part]],PartControl!$A$2:$E$564,2,FALSE),OtherClients[[#This Row],[Total Quantity]]*VLOOKUP(OtherClients[[#This Row],[Part]],PartControl!$A$2:$E$564,2,FALSE)),0)</f>
        <v>135.07999999999998</v>
      </c>
      <c r="Z1042" s="108">
        <f>IF(OtherClients[[#This Row],[Re-certified or New]]&lt;&gt;"Re-certified",IF(OtherClients[[#This Row],[Client]]="infasco",VLOOKUP(OtherClients[[#This Row],[Part]],PartControl!$A$2:$E$564,2,FALSE),OtherClients[[#This Row],[Total Quantity]]*VLOOKUP(OtherClients[[#This Row],[Part]],PartControl!$A$2:$E$564,2,FALSE)),0)</f>
        <v>135.07999999999998</v>
      </c>
    </row>
    <row r="1043" spans="1:26" ht="25.15" hidden="1" customHeight="1" x14ac:dyDescent="0.25">
      <c r="A1043" s="112">
        <v>46251.685324074075</v>
      </c>
      <c r="B1043" s="5" t="s">
        <v>347</v>
      </c>
      <c r="C1043" s="5" t="s">
        <v>17</v>
      </c>
      <c r="D1043" s="5">
        <v>715602</v>
      </c>
      <c r="E1043" s="33">
        <v>23</v>
      </c>
      <c r="F1043" s="60">
        <v>100</v>
      </c>
      <c r="G1043" s="60">
        <f>+OtherClients[[#This Row],[Boxes / Pieces]]*OtherClients[[#This Row],[Unit Quantity]]</f>
        <v>2300</v>
      </c>
      <c r="H1043" s="60" t="s">
        <v>808</v>
      </c>
      <c r="I1043" s="126" t="s">
        <v>278</v>
      </c>
      <c r="J1043" s="127"/>
      <c r="K1043" s="33" t="s">
        <v>278</v>
      </c>
      <c r="L1043" s="125"/>
      <c r="M1043" s="33" t="s">
        <v>278</v>
      </c>
      <c r="N1043" s="125"/>
      <c r="O1043" s="33" t="s">
        <v>278</v>
      </c>
      <c r="P1043" s="125"/>
      <c r="Q1043" s="33" t="s">
        <v>587</v>
      </c>
      <c r="R1043" s="125"/>
      <c r="S1043" s="33" t="s">
        <v>278</v>
      </c>
      <c r="T1043" s="125"/>
      <c r="U1043" s="33" t="s">
        <v>278</v>
      </c>
      <c r="V1043" s="125"/>
      <c r="W1043" s="59" t="s">
        <v>548</v>
      </c>
      <c r="X1043" s="33" t="str">
        <f>+VLOOKUP(OtherClients[[#This Row],[Part]],PartControl!$A$2:$E$564,5,FALSE)</f>
        <v>infasco</v>
      </c>
      <c r="Y1043" s="108">
        <f>IF(OtherClients[[#This Row],[Re-certified or New]]&lt;&gt;"Re-certified",IF(OtherClients[[#This Row],[Client]]="infasco",VLOOKUP(OtherClients[[#This Row],[Part]],PartControl!$A$2:$E$564,2,FALSE),OtherClients[[#This Row],[Total Quantity]]*VLOOKUP(OtherClients[[#This Row],[Part]],PartControl!$A$2:$E$564,2,FALSE)),0)</f>
        <v>135.07999999999998</v>
      </c>
      <c r="Z1043" s="108">
        <f>IF(OtherClients[[#This Row],[Re-certified or New]]&lt;&gt;"Re-certified",IF(OtherClients[[#This Row],[Client]]="infasco",VLOOKUP(OtherClients[[#This Row],[Part]],PartControl!$A$2:$E$564,2,FALSE),OtherClients[[#This Row],[Total Quantity]]*VLOOKUP(OtherClients[[#This Row],[Part]],PartControl!$A$2:$E$564,2,FALSE)),0)</f>
        <v>135.07999999999998</v>
      </c>
    </row>
    <row r="1044" spans="1:26" ht="25.15" hidden="1" customHeight="1" x14ac:dyDescent="0.25">
      <c r="A1044" s="112">
        <v>46251.685324074075</v>
      </c>
      <c r="B1044" s="5" t="s">
        <v>347</v>
      </c>
      <c r="C1044" s="5">
        <v>11547369</v>
      </c>
      <c r="D1044" s="5">
        <v>714482</v>
      </c>
      <c r="E1044" s="33">
        <v>45</v>
      </c>
      <c r="F1044" s="60">
        <v>250</v>
      </c>
      <c r="G1044" s="60">
        <f>+OtherClients[[#This Row],[Boxes / Pieces]]*OtherClients[[#This Row],[Unit Quantity]]</f>
        <v>11250</v>
      </c>
      <c r="H1044" s="60" t="s">
        <v>807</v>
      </c>
      <c r="I1044" s="126" t="s">
        <v>278</v>
      </c>
      <c r="J1044" s="127"/>
      <c r="K1044" s="33" t="s">
        <v>278</v>
      </c>
      <c r="L1044" s="125"/>
      <c r="M1044" s="33" t="s">
        <v>278</v>
      </c>
      <c r="N1044" s="125"/>
      <c r="O1044" s="33" t="s">
        <v>278</v>
      </c>
      <c r="P1044" s="125"/>
      <c r="Q1044" s="33" t="s">
        <v>587</v>
      </c>
      <c r="R1044" s="125"/>
      <c r="S1044" s="33" t="s">
        <v>278</v>
      </c>
      <c r="T1044" s="125"/>
      <c r="U1044" s="33" t="s">
        <v>278</v>
      </c>
      <c r="V1044" s="125"/>
      <c r="W1044" s="59" t="s">
        <v>548</v>
      </c>
      <c r="X1044" s="33" t="str">
        <f>+VLOOKUP(OtherClients[[#This Row],[Part]],PartControl!$A$2:$E$564,5,FALSE)</f>
        <v>Infasco</v>
      </c>
      <c r="Y1044" s="108">
        <f>IF(OtherClients[[#This Row],[Re-certified or New]]&lt;&gt;"Re-certified",IF(OtherClients[[#This Row],[Client]]="infasco",VLOOKUP(OtherClients[[#This Row],[Part]],PartControl!$A$2:$E$564,2,FALSE),OtherClients[[#This Row],[Total Quantity]]*VLOOKUP(OtherClients[[#This Row],[Part]],PartControl!$A$2:$E$564,2,FALSE)),0)</f>
        <v>106.94</v>
      </c>
      <c r="Z1044" s="108">
        <f>IF(OtherClients[[#This Row],[Re-certified or New]]&lt;&gt;"Re-certified",IF(OtherClients[[#This Row],[Client]]="infasco",VLOOKUP(OtherClients[[#This Row],[Part]],PartControl!$A$2:$E$564,2,FALSE),OtherClients[[#This Row],[Total Quantity]]*VLOOKUP(OtherClients[[#This Row],[Part]],PartControl!$A$2:$E$564,2,FALSE)),0)</f>
        <v>106.94</v>
      </c>
    </row>
    <row r="1045" spans="1:26" ht="25.15" hidden="1" customHeight="1" x14ac:dyDescent="0.25">
      <c r="A1045" s="112">
        <v>46251.685324074075</v>
      </c>
      <c r="B1045" s="5" t="s">
        <v>347</v>
      </c>
      <c r="C1045" s="5" t="s">
        <v>854</v>
      </c>
      <c r="D1045" s="5">
        <v>714351</v>
      </c>
      <c r="E1045" s="33">
        <v>39</v>
      </c>
      <c r="F1045" s="60">
        <v>700</v>
      </c>
      <c r="G1045" s="60">
        <f>+OtherClients[[#This Row],[Boxes / Pieces]]*OtherClients[[#This Row],[Unit Quantity]]</f>
        <v>27300</v>
      </c>
      <c r="H1045" s="60" t="s">
        <v>807</v>
      </c>
      <c r="I1045" s="126" t="s">
        <v>278</v>
      </c>
      <c r="J1045" s="127"/>
      <c r="K1045" s="33" t="s">
        <v>278</v>
      </c>
      <c r="L1045" s="125"/>
      <c r="M1045" s="33" t="s">
        <v>278</v>
      </c>
      <c r="N1045" s="125"/>
      <c r="O1045" s="33" t="s">
        <v>278</v>
      </c>
      <c r="P1045" s="125"/>
      <c r="Q1045" s="33" t="s">
        <v>587</v>
      </c>
      <c r="R1045" s="125"/>
      <c r="S1045" s="33" t="s">
        <v>278</v>
      </c>
      <c r="T1045" s="125"/>
      <c r="U1045" s="33" t="s">
        <v>278</v>
      </c>
      <c r="V1045" s="125"/>
      <c r="W1045" s="59" t="s">
        <v>548</v>
      </c>
      <c r="X1045" s="33" t="str">
        <f>+VLOOKUP(OtherClients[[#This Row],[Part]],PartControl!$A$2:$E$564,5,FALSE)</f>
        <v>infasco</v>
      </c>
      <c r="Y1045" s="108">
        <f>IF(OtherClients[[#This Row],[Re-certified or New]]&lt;&gt;"Re-certified",IF(OtherClients[[#This Row],[Client]]="infasco",VLOOKUP(OtherClients[[#This Row],[Part]],PartControl!$A$2:$E$564,2,FALSE),OtherClients[[#This Row],[Total Quantity]]*VLOOKUP(OtherClients[[#This Row],[Part]],PartControl!$A$2:$E$564,2,FALSE)),0)</f>
        <v>213.88</v>
      </c>
      <c r="Z1045" s="108">
        <f>IF(OtherClients[[#This Row],[Re-certified or New]]&lt;&gt;"Re-certified",IF(OtherClients[[#This Row],[Client]]="infasco",VLOOKUP(OtherClients[[#This Row],[Part]],PartControl!$A$2:$E$564,2,FALSE),OtherClients[[#This Row],[Total Quantity]]*VLOOKUP(OtherClients[[#This Row],[Part]],PartControl!$A$2:$E$564,2,FALSE)),0)</f>
        <v>213.88</v>
      </c>
    </row>
    <row r="1046" spans="1:26" ht="25.15" hidden="1" customHeight="1" x14ac:dyDescent="0.25">
      <c r="A1046" s="112">
        <v>46251.685324074075</v>
      </c>
      <c r="B1046" s="5" t="s">
        <v>347</v>
      </c>
      <c r="C1046" s="5" t="s">
        <v>854</v>
      </c>
      <c r="D1046" s="5">
        <v>713918</v>
      </c>
      <c r="E1046" s="33">
        <v>2</v>
      </c>
      <c r="F1046" s="60">
        <v>700</v>
      </c>
      <c r="G1046" s="60">
        <f>+OtherClients[[#This Row],[Boxes / Pieces]]*OtherClients[[#This Row],[Unit Quantity]]</f>
        <v>1400</v>
      </c>
      <c r="H1046" s="60" t="s">
        <v>807</v>
      </c>
      <c r="I1046" s="126" t="s">
        <v>278</v>
      </c>
      <c r="J1046" s="127"/>
      <c r="K1046" s="33" t="s">
        <v>278</v>
      </c>
      <c r="L1046" s="125"/>
      <c r="M1046" s="33" t="s">
        <v>278</v>
      </c>
      <c r="N1046" s="125"/>
      <c r="O1046" s="33" t="s">
        <v>278</v>
      </c>
      <c r="P1046" s="125"/>
      <c r="Q1046" s="33" t="s">
        <v>587</v>
      </c>
      <c r="R1046" s="125"/>
      <c r="S1046" s="33" t="s">
        <v>278</v>
      </c>
      <c r="T1046" s="125"/>
      <c r="U1046" s="33" t="s">
        <v>278</v>
      </c>
      <c r="V1046" s="125"/>
      <c r="W1046" s="59" t="s">
        <v>633</v>
      </c>
      <c r="X1046" s="33" t="str">
        <f>+VLOOKUP(OtherClients[[#This Row],[Part]],PartControl!$A$2:$E$564,5,FALSE)</f>
        <v>infasco</v>
      </c>
      <c r="Y1046" s="108">
        <f>IF(OtherClients[[#This Row],[Re-certified or New]]&lt;&gt;"Re-certified",IF(OtherClients[[#This Row],[Client]]="infasco",VLOOKUP(OtherClients[[#This Row],[Part]],PartControl!$A$2:$E$564,2,FALSE),OtherClients[[#This Row],[Total Quantity]]*VLOOKUP(OtherClients[[#This Row],[Part]],PartControl!$A$2:$E$564,2,FALSE)),0)</f>
        <v>0</v>
      </c>
      <c r="Z1046" s="108">
        <f>IF(OtherClients[[#This Row],[Re-certified or New]]&lt;&gt;"Re-certified",IF(OtherClients[[#This Row],[Client]]="infasco",VLOOKUP(OtherClients[[#This Row],[Part]],PartControl!$A$2:$E$564,2,FALSE),OtherClients[[#This Row],[Total Quantity]]*VLOOKUP(OtherClients[[#This Row],[Part]],PartControl!$A$2:$E$564,2,FALSE)),0)</f>
        <v>0</v>
      </c>
    </row>
    <row r="1047" spans="1:26" ht="25.15" hidden="1" customHeight="1" x14ac:dyDescent="0.25">
      <c r="A1047" s="112">
        <v>46251.685324074075</v>
      </c>
      <c r="B1047" s="5" t="s">
        <v>634</v>
      </c>
      <c r="C1047" s="5">
        <v>11546449</v>
      </c>
      <c r="D1047" s="5">
        <v>716281</v>
      </c>
      <c r="E1047" s="33">
        <f>38-25</f>
        <v>13</v>
      </c>
      <c r="F1047" s="60">
        <v>2500</v>
      </c>
      <c r="G1047" s="60">
        <f>+OtherClients[[#This Row],[Boxes / Pieces]]*OtherClients[[#This Row],[Unit Quantity]]</f>
        <v>32500</v>
      </c>
      <c r="H1047" s="60">
        <v>280</v>
      </c>
      <c r="I1047" s="126" t="s">
        <v>278</v>
      </c>
      <c r="J1047" s="127"/>
      <c r="K1047" s="33" t="s">
        <v>278</v>
      </c>
      <c r="L1047" s="125"/>
      <c r="M1047" s="33" t="s">
        <v>278</v>
      </c>
      <c r="N1047" s="125"/>
      <c r="O1047" s="33" t="s">
        <v>278</v>
      </c>
      <c r="P1047" s="125"/>
      <c r="Q1047" s="33" t="s">
        <v>587</v>
      </c>
      <c r="R1047" s="125"/>
      <c r="S1047" s="33" t="s">
        <v>278</v>
      </c>
      <c r="T1047" s="125"/>
      <c r="U1047" s="33" t="s">
        <v>278</v>
      </c>
      <c r="V1047" s="125"/>
      <c r="W1047" s="59" t="s">
        <v>548</v>
      </c>
      <c r="X1047" s="33" t="str">
        <f>+VLOOKUP(OtherClients[[#This Row],[Part]],PartControl!$A$2:$E$564,5,FALSE)</f>
        <v>INFASCO</v>
      </c>
      <c r="Y1047" s="108">
        <f>IF(OtherClients[[#This Row],[Re-certified or New]]&lt;&gt;"Re-certified",IF(OtherClients[[#This Row],[Client]]="infasco",VLOOKUP(OtherClients[[#This Row],[Part]],PartControl!$A$2:$E$564,2,FALSE),OtherClients[[#This Row],[Total Quantity]]*VLOOKUP(OtherClients[[#This Row],[Part]],PartControl!$A$2:$E$564,2,FALSE)),0)</f>
        <v>106.94</v>
      </c>
      <c r="Z1047" s="108">
        <f>IF(OtherClients[[#This Row],[Re-certified or New]]&lt;&gt;"Re-certified",IF(OtherClients[[#This Row],[Client]]="infasco",VLOOKUP(OtherClients[[#This Row],[Part]],PartControl!$A$2:$E$564,2,FALSE),OtherClients[[#This Row],[Total Quantity]]*VLOOKUP(OtherClients[[#This Row],[Part]],PartControl!$A$2:$E$564,2,FALSE)),0)</f>
        <v>106.94</v>
      </c>
    </row>
    <row r="1048" spans="1:26" ht="25.15" hidden="1" customHeight="1" x14ac:dyDescent="0.25">
      <c r="A1048" s="112">
        <v>46251.685324074075</v>
      </c>
      <c r="B1048" s="5" t="s">
        <v>634</v>
      </c>
      <c r="C1048" s="5" t="s">
        <v>664</v>
      </c>
      <c r="D1048" s="5">
        <v>714528</v>
      </c>
      <c r="E1048" s="33">
        <v>24</v>
      </c>
      <c r="F1048" s="60">
        <v>1050</v>
      </c>
      <c r="G1048" s="60">
        <f>+OtherClients[[#This Row],[Boxes / Pieces]]*OtherClients[[#This Row],[Unit Quantity]]</f>
        <v>25200</v>
      </c>
      <c r="H1048" s="60">
        <v>280</v>
      </c>
      <c r="I1048" s="126" t="s">
        <v>278</v>
      </c>
      <c r="J1048" s="127"/>
      <c r="K1048" s="33" t="s">
        <v>278</v>
      </c>
      <c r="L1048" s="125"/>
      <c r="M1048" s="33" t="s">
        <v>278</v>
      </c>
      <c r="N1048" s="125"/>
      <c r="O1048" s="33" t="s">
        <v>278</v>
      </c>
      <c r="P1048" s="125"/>
      <c r="Q1048" s="33" t="s">
        <v>587</v>
      </c>
      <c r="R1048" s="125"/>
      <c r="S1048" s="33" t="s">
        <v>278</v>
      </c>
      <c r="T1048" s="125"/>
      <c r="U1048" s="33" t="s">
        <v>278</v>
      </c>
      <c r="V1048" s="125"/>
      <c r="W1048" s="59" t="s">
        <v>633</v>
      </c>
      <c r="X1048" s="33" t="str">
        <f>+VLOOKUP(OtherClients[[#This Row],[Part]],PartControl!$A$2:$E$564,5,FALSE)</f>
        <v>infasco</v>
      </c>
      <c r="Y1048" s="108">
        <f>IF(OtherClients[[#This Row],[Re-certified or New]]&lt;&gt;"Re-certified",IF(OtherClients[[#This Row],[Client]]="infasco",VLOOKUP(OtherClients[[#This Row],[Part]],PartControl!$A$2:$E$564,2,FALSE),OtherClients[[#This Row],[Total Quantity]]*VLOOKUP(OtherClients[[#This Row],[Part]],PartControl!$A$2:$E$564,2,FALSE)),0)</f>
        <v>0</v>
      </c>
      <c r="Z1048" s="108">
        <f>IF(OtherClients[[#This Row],[Re-certified or New]]&lt;&gt;"Re-certified",IF(OtherClients[[#This Row],[Client]]="infasco",VLOOKUP(OtherClients[[#This Row],[Part]],PartControl!$A$2:$E$564,2,FALSE),OtherClients[[#This Row],[Total Quantity]]*VLOOKUP(OtherClients[[#This Row],[Part]],PartControl!$A$2:$E$564,2,FALSE)),0)</f>
        <v>0</v>
      </c>
    </row>
    <row r="1049" spans="1:26" ht="25.15" hidden="1" customHeight="1" x14ac:dyDescent="0.25">
      <c r="A1049" s="112">
        <v>46251.685324074075</v>
      </c>
      <c r="B1049" s="5" t="s">
        <v>635</v>
      </c>
      <c r="C1049" s="5" t="s">
        <v>664</v>
      </c>
      <c r="D1049" s="5">
        <v>714527</v>
      </c>
      <c r="E1049" s="33">
        <f>36-12</f>
        <v>24</v>
      </c>
      <c r="F1049" s="60">
        <v>1050</v>
      </c>
      <c r="G1049" s="60">
        <f>+OtherClients[[#This Row],[Boxes / Pieces]]*OtherClients[[#This Row],[Unit Quantity]]</f>
        <v>25200</v>
      </c>
      <c r="H1049" s="60">
        <v>280</v>
      </c>
      <c r="I1049" s="126" t="s">
        <v>278</v>
      </c>
      <c r="J1049" s="127"/>
      <c r="K1049" s="33" t="s">
        <v>278</v>
      </c>
      <c r="L1049" s="125"/>
      <c r="M1049" s="33" t="s">
        <v>278</v>
      </c>
      <c r="N1049" s="125"/>
      <c r="O1049" s="33" t="s">
        <v>278</v>
      </c>
      <c r="P1049" s="125"/>
      <c r="Q1049" s="33" t="s">
        <v>587</v>
      </c>
      <c r="R1049" s="125"/>
      <c r="S1049" s="33" t="s">
        <v>278</v>
      </c>
      <c r="T1049" s="125"/>
      <c r="U1049" s="33" t="s">
        <v>278</v>
      </c>
      <c r="V1049" s="125"/>
      <c r="W1049" s="59" t="s">
        <v>548</v>
      </c>
      <c r="X1049" s="33" t="str">
        <f>+VLOOKUP(OtherClients[[#This Row],[Part]],PartControl!$A$2:$E$564,5,FALSE)</f>
        <v>infasco</v>
      </c>
      <c r="Y1049" s="108">
        <f>IF(OtherClients[[#This Row],[Re-certified or New]]&lt;&gt;"Re-certified",IF(OtherClients[[#This Row],[Client]]="infasco",VLOOKUP(OtherClients[[#This Row],[Part]],PartControl!$A$2:$E$564,2,FALSE),OtherClients[[#This Row],[Total Quantity]]*VLOOKUP(OtherClients[[#This Row],[Part]],PartControl!$A$2:$E$564,2,FALSE)),0)</f>
        <v>106.94</v>
      </c>
      <c r="Z1049" s="108">
        <f>IF(OtherClients[[#This Row],[Re-certified or New]]&lt;&gt;"Re-certified",IF(OtherClients[[#This Row],[Client]]="infasco",VLOOKUP(OtherClients[[#This Row],[Part]],PartControl!$A$2:$E$564,2,FALSE),OtherClients[[#This Row],[Total Quantity]]*VLOOKUP(OtherClients[[#This Row],[Part]],PartControl!$A$2:$E$564,2,FALSE)),0)</f>
        <v>106.94</v>
      </c>
    </row>
    <row r="1050" spans="1:26" ht="25.15" hidden="1" customHeight="1" x14ac:dyDescent="0.25">
      <c r="A1050" s="112">
        <v>46251.685324074075</v>
      </c>
      <c r="B1050" s="5" t="s">
        <v>635</v>
      </c>
      <c r="C1050" s="5" t="s">
        <v>664</v>
      </c>
      <c r="D1050" s="5">
        <v>714529</v>
      </c>
      <c r="E1050" s="33">
        <v>32</v>
      </c>
      <c r="F1050" s="60">
        <v>1050</v>
      </c>
      <c r="G1050" s="60">
        <f>+OtherClients[[#This Row],[Boxes / Pieces]]*OtherClients[[#This Row],[Unit Quantity]]</f>
        <v>33600</v>
      </c>
      <c r="H1050" s="60">
        <v>280</v>
      </c>
      <c r="I1050" s="126" t="s">
        <v>278</v>
      </c>
      <c r="J1050" s="127"/>
      <c r="K1050" s="33" t="s">
        <v>278</v>
      </c>
      <c r="L1050" s="125"/>
      <c r="M1050" s="33" t="s">
        <v>278</v>
      </c>
      <c r="N1050" s="125"/>
      <c r="O1050" s="33" t="s">
        <v>278</v>
      </c>
      <c r="P1050" s="125"/>
      <c r="Q1050" s="33" t="s">
        <v>587</v>
      </c>
      <c r="R1050" s="125"/>
      <c r="S1050" s="33" t="s">
        <v>278</v>
      </c>
      <c r="T1050" s="125"/>
      <c r="U1050" s="33" t="s">
        <v>278</v>
      </c>
      <c r="V1050" s="125"/>
      <c r="W1050" s="59" t="s">
        <v>633</v>
      </c>
      <c r="X1050" s="33" t="str">
        <f>+VLOOKUP(OtherClients[[#This Row],[Part]],PartControl!$A$2:$E$564,5,FALSE)</f>
        <v>infasco</v>
      </c>
      <c r="Y1050" s="108">
        <f>IF(OtherClients[[#This Row],[Re-certified or New]]&lt;&gt;"Re-certified",IF(OtherClients[[#This Row],[Client]]="infasco",VLOOKUP(OtherClients[[#This Row],[Part]],PartControl!$A$2:$E$564,2,FALSE),OtherClients[[#This Row],[Total Quantity]]*VLOOKUP(OtherClients[[#This Row],[Part]],PartControl!$A$2:$E$564,2,FALSE)),0)</f>
        <v>0</v>
      </c>
      <c r="Z1050" s="108">
        <f>IF(OtherClients[[#This Row],[Re-certified or New]]&lt;&gt;"Re-certified",IF(OtherClients[[#This Row],[Client]]="infasco",VLOOKUP(OtherClients[[#This Row],[Part]],PartControl!$A$2:$E$564,2,FALSE),OtherClients[[#This Row],[Total Quantity]]*VLOOKUP(OtherClients[[#This Row],[Part]],PartControl!$A$2:$E$564,2,FALSE)),0)</f>
        <v>0</v>
      </c>
    </row>
    <row r="1051" spans="1:26" ht="25.15" hidden="1" customHeight="1" x14ac:dyDescent="0.25">
      <c r="A1051" s="112">
        <v>46251.685324074075</v>
      </c>
      <c r="B1051" s="5" t="s">
        <v>357</v>
      </c>
      <c r="C1051" s="5" t="s">
        <v>728</v>
      </c>
      <c r="D1051" s="5">
        <v>716074</v>
      </c>
      <c r="E1051" s="33">
        <v>15</v>
      </c>
      <c r="F1051" s="60">
        <v>1500</v>
      </c>
      <c r="G1051" s="60">
        <f>+OtherClients[[#This Row],[Boxes / Pieces]]*OtherClients[[#This Row],[Unit Quantity]]</f>
        <v>22500</v>
      </c>
      <c r="H1051" s="60">
        <v>280</v>
      </c>
      <c r="I1051" s="126" t="s">
        <v>278</v>
      </c>
      <c r="J1051" s="127"/>
      <c r="K1051" s="33" t="s">
        <v>278</v>
      </c>
      <c r="L1051" s="125"/>
      <c r="M1051" s="33" t="s">
        <v>278</v>
      </c>
      <c r="N1051" s="125"/>
      <c r="O1051" s="33" t="s">
        <v>278</v>
      </c>
      <c r="P1051" s="125"/>
      <c r="Q1051" s="33" t="s">
        <v>587</v>
      </c>
      <c r="R1051" s="125"/>
      <c r="S1051" s="33" t="s">
        <v>278</v>
      </c>
      <c r="T1051" s="125"/>
      <c r="U1051" s="33" t="s">
        <v>278</v>
      </c>
      <c r="V1051" s="125"/>
      <c r="W1051" s="59" t="s">
        <v>633</v>
      </c>
      <c r="X1051" s="33" t="str">
        <f>+VLOOKUP(OtherClients[[#This Row],[Part]],PartControl!$A$2:$E$564,5,FALSE)</f>
        <v>infasco</v>
      </c>
      <c r="Y1051" s="108">
        <f>IF(OtherClients[[#This Row],[Re-certified or New]]&lt;&gt;"Re-certified",IF(OtherClients[[#This Row],[Client]]="infasco",VLOOKUP(OtherClients[[#This Row],[Part]],PartControl!$A$2:$E$564,2,FALSE),OtherClients[[#This Row],[Total Quantity]]*VLOOKUP(OtherClients[[#This Row],[Part]],PartControl!$A$2:$E$564,2,FALSE)),0)</f>
        <v>0</v>
      </c>
      <c r="Z1051" s="108">
        <f>IF(OtherClients[[#This Row],[Re-certified or New]]&lt;&gt;"Re-certified",IF(OtherClients[[#This Row],[Client]]="infasco",VLOOKUP(OtherClients[[#This Row],[Part]],PartControl!$A$2:$E$564,2,FALSE),OtherClients[[#This Row],[Total Quantity]]*VLOOKUP(OtherClients[[#This Row],[Part]],PartControl!$A$2:$E$564,2,FALSE)),0)</f>
        <v>0</v>
      </c>
    </row>
    <row r="1052" spans="1:26" ht="25.15" hidden="1" customHeight="1" x14ac:dyDescent="0.25">
      <c r="A1052" s="112">
        <v>46251.685324074075</v>
      </c>
      <c r="B1052" s="5" t="s">
        <v>834</v>
      </c>
      <c r="C1052" s="5">
        <v>11546377</v>
      </c>
      <c r="D1052" s="5">
        <v>716613</v>
      </c>
      <c r="E1052" s="33">
        <v>15</v>
      </c>
      <c r="F1052" s="60">
        <v>2150</v>
      </c>
      <c r="G1052" s="60">
        <f>+OtherClients[[#This Row],[Boxes / Pieces]]*OtherClients[[#This Row],[Unit Quantity]]</f>
        <v>32250</v>
      </c>
      <c r="H1052" s="60">
        <v>280</v>
      </c>
      <c r="I1052" s="126" t="s">
        <v>278</v>
      </c>
      <c r="J1052" s="127"/>
      <c r="K1052" s="33" t="s">
        <v>278</v>
      </c>
      <c r="L1052" s="125"/>
      <c r="M1052" s="33" t="s">
        <v>278</v>
      </c>
      <c r="N1052" s="125"/>
      <c r="O1052" s="33" t="s">
        <v>278</v>
      </c>
      <c r="P1052" s="125"/>
      <c r="Q1052" s="33" t="s">
        <v>587</v>
      </c>
      <c r="R1052" s="125"/>
      <c r="S1052" s="33" t="s">
        <v>278</v>
      </c>
      <c r="T1052" s="125"/>
      <c r="U1052" s="33" t="s">
        <v>278</v>
      </c>
      <c r="V1052" s="125"/>
      <c r="W1052" s="59" t="s">
        <v>633</v>
      </c>
      <c r="X1052" s="33" t="str">
        <f>+VLOOKUP(OtherClients[[#This Row],[Part]],PartControl!$A$2:$E$564,5,FALSE)</f>
        <v>INFASCO</v>
      </c>
      <c r="Y1052" s="108">
        <f>IF(OtherClients[[#This Row],[Re-certified or New]]&lt;&gt;"Re-certified",IF(OtherClients[[#This Row],[Client]]="infasco",VLOOKUP(OtherClients[[#This Row],[Part]],PartControl!$A$2:$E$564,2,FALSE),OtherClients[[#This Row],[Total Quantity]]*VLOOKUP(OtherClients[[#This Row],[Part]],PartControl!$A$2:$E$564,2,FALSE)),0)</f>
        <v>0</v>
      </c>
      <c r="Z1052" s="108">
        <f>IF(OtherClients[[#This Row],[Re-certified or New]]&lt;&gt;"Re-certified",IF(OtherClients[[#This Row],[Client]]="infasco",VLOOKUP(OtherClients[[#This Row],[Part]],PartControl!$A$2:$E$564,2,FALSE),OtherClients[[#This Row],[Total Quantity]]*VLOOKUP(OtherClients[[#This Row],[Part]],PartControl!$A$2:$E$564,2,FALSE)),0)</f>
        <v>0</v>
      </c>
    </row>
    <row r="1053" spans="1:26" ht="25.15" hidden="1" customHeight="1" x14ac:dyDescent="0.25">
      <c r="A1053" s="112">
        <v>46251.685324074075</v>
      </c>
      <c r="B1053" s="5" t="s">
        <v>637</v>
      </c>
      <c r="C1053" s="5">
        <v>11546449</v>
      </c>
      <c r="D1053" s="5">
        <v>716283</v>
      </c>
      <c r="E1053" s="33">
        <v>23</v>
      </c>
      <c r="F1053" s="60">
        <v>2500</v>
      </c>
      <c r="G1053" s="60">
        <f>+OtherClients[[#This Row],[Boxes / Pieces]]*OtherClients[[#This Row],[Unit Quantity]]</f>
        <v>57500</v>
      </c>
      <c r="H1053" s="60">
        <v>280</v>
      </c>
      <c r="I1053" s="126" t="s">
        <v>278</v>
      </c>
      <c r="J1053" s="127"/>
      <c r="K1053" s="33" t="s">
        <v>278</v>
      </c>
      <c r="L1053" s="125"/>
      <c r="M1053" s="33" t="s">
        <v>278</v>
      </c>
      <c r="N1053" s="125"/>
      <c r="O1053" s="33" t="s">
        <v>278</v>
      </c>
      <c r="P1053" s="125"/>
      <c r="Q1053" s="33" t="s">
        <v>587</v>
      </c>
      <c r="R1053" s="125"/>
      <c r="S1053" s="33" t="s">
        <v>278</v>
      </c>
      <c r="T1053" s="125"/>
      <c r="U1053" s="33" t="s">
        <v>278</v>
      </c>
      <c r="V1053" s="125"/>
      <c r="W1053" s="59" t="s">
        <v>548</v>
      </c>
      <c r="X1053" s="33" t="str">
        <f>+VLOOKUP(OtherClients[[#This Row],[Part]],PartControl!$A$2:$E$564,5,FALSE)</f>
        <v>INFASCO</v>
      </c>
      <c r="Y1053" s="108">
        <f>IF(OtherClients[[#This Row],[Re-certified or New]]&lt;&gt;"Re-certified",IF(OtherClients[[#This Row],[Client]]="infasco",VLOOKUP(OtherClients[[#This Row],[Part]],PartControl!$A$2:$E$564,2,FALSE),OtherClients[[#This Row],[Total Quantity]]*VLOOKUP(OtherClients[[#This Row],[Part]],PartControl!$A$2:$E$564,2,FALSE)),0)</f>
        <v>106.94</v>
      </c>
      <c r="Z1053" s="108">
        <f>IF(OtherClients[[#This Row],[Re-certified or New]]&lt;&gt;"Re-certified",IF(OtherClients[[#This Row],[Client]]="infasco",VLOOKUP(OtherClients[[#This Row],[Part]],PartControl!$A$2:$E$564,2,FALSE),OtherClients[[#This Row],[Total Quantity]]*VLOOKUP(OtherClients[[#This Row],[Part]],PartControl!$A$2:$E$564,2,FALSE)),0)</f>
        <v>106.94</v>
      </c>
    </row>
    <row r="1054" spans="1:26" ht="25.15" hidden="1" customHeight="1" x14ac:dyDescent="0.25">
      <c r="A1054" s="112">
        <v>46251.685324074075</v>
      </c>
      <c r="B1054" s="5" t="s">
        <v>637</v>
      </c>
      <c r="C1054" s="5">
        <v>11546449</v>
      </c>
      <c r="D1054" s="5">
        <v>716279</v>
      </c>
      <c r="E1054" s="33">
        <v>36</v>
      </c>
      <c r="F1054" s="60">
        <v>2500</v>
      </c>
      <c r="G1054" s="60">
        <f>+OtherClients[[#This Row],[Boxes / Pieces]]*OtherClients[[#This Row],[Unit Quantity]]</f>
        <v>90000</v>
      </c>
      <c r="H1054" s="60">
        <v>280</v>
      </c>
      <c r="I1054" s="126" t="s">
        <v>278</v>
      </c>
      <c r="J1054" s="127"/>
      <c r="K1054" s="33" t="s">
        <v>278</v>
      </c>
      <c r="L1054" s="125"/>
      <c r="M1054" s="33" t="s">
        <v>278</v>
      </c>
      <c r="N1054" s="125"/>
      <c r="O1054" s="33" t="s">
        <v>278</v>
      </c>
      <c r="P1054" s="125"/>
      <c r="Q1054" s="33" t="s">
        <v>587</v>
      </c>
      <c r="R1054" s="125"/>
      <c r="S1054" s="33" t="s">
        <v>278</v>
      </c>
      <c r="T1054" s="125"/>
      <c r="U1054" s="33" t="s">
        <v>278</v>
      </c>
      <c r="V1054" s="125"/>
      <c r="W1054" s="59" t="s">
        <v>548</v>
      </c>
      <c r="X1054" s="33" t="str">
        <f>+VLOOKUP(OtherClients[[#This Row],[Part]],PartControl!$A$2:$E$564,5,FALSE)</f>
        <v>INFASCO</v>
      </c>
      <c r="Y1054" s="108">
        <f>IF(OtherClients[[#This Row],[Re-certified or New]]&lt;&gt;"Re-certified",IF(OtherClients[[#This Row],[Client]]="infasco",VLOOKUP(OtherClients[[#This Row],[Part]],PartControl!$A$2:$E$564,2,FALSE),OtherClients[[#This Row],[Total Quantity]]*VLOOKUP(OtherClients[[#This Row],[Part]],PartControl!$A$2:$E$564,2,FALSE)),0)</f>
        <v>106.94</v>
      </c>
      <c r="Z1054" s="108">
        <f>IF(OtherClients[[#This Row],[Re-certified or New]]&lt;&gt;"Re-certified",IF(OtherClients[[#This Row],[Client]]="infasco",VLOOKUP(OtherClients[[#This Row],[Part]],PartControl!$A$2:$E$564,2,FALSE),OtherClients[[#This Row],[Total Quantity]]*VLOOKUP(OtherClients[[#This Row],[Part]],PartControl!$A$2:$E$564,2,FALSE)),0)</f>
        <v>106.94</v>
      </c>
    </row>
    <row r="1055" spans="1:26" ht="25.15" hidden="1" customHeight="1" x14ac:dyDescent="0.25">
      <c r="A1055" s="112">
        <v>46251.685324074075</v>
      </c>
      <c r="B1055" s="5" t="s">
        <v>637</v>
      </c>
      <c r="C1055" s="5">
        <v>11546449</v>
      </c>
      <c r="D1055" s="5">
        <v>716274</v>
      </c>
      <c r="E1055" s="33">
        <v>14</v>
      </c>
      <c r="F1055" s="60">
        <v>2500</v>
      </c>
      <c r="G1055" s="60">
        <f>+OtherClients[[#This Row],[Boxes / Pieces]]*OtherClients[[#This Row],[Unit Quantity]]</f>
        <v>35000</v>
      </c>
      <c r="H1055" s="60">
        <v>280</v>
      </c>
      <c r="I1055" s="126" t="s">
        <v>278</v>
      </c>
      <c r="J1055" s="127"/>
      <c r="K1055" s="33" t="s">
        <v>278</v>
      </c>
      <c r="L1055" s="125"/>
      <c r="M1055" s="33" t="s">
        <v>278</v>
      </c>
      <c r="N1055" s="125"/>
      <c r="O1055" s="33" t="s">
        <v>278</v>
      </c>
      <c r="P1055" s="125"/>
      <c r="Q1055" s="33" t="s">
        <v>587</v>
      </c>
      <c r="R1055" s="125"/>
      <c r="S1055" s="33" t="s">
        <v>278</v>
      </c>
      <c r="T1055" s="125"/>
      <c r="U1055" s="33" t="s">
        <v>278</v>
      </c>
      <c r="V1055" s="125"/>
      <c r="W1055" s="59" t="s">
        <v>633</v>
      </c>
      <c r="X1055" s="33" t="str">
        <f>+VLOOKUP(OtherClients[[#This Row],[Part]],PartControl!$A$2:$E$564,5,FALSE)</f>
        <v>INFASCO</v>
      </c>
      <c r="Y1055" s="108">
        <f>IF(OtherClients[[#This Row],[Re-certified or New]]&lt;&gt;"Re-certified",IF(OtherClients[[#This Row],[Client]]="infasco",VLOOKUP(OtherClients[[#This Row],[Part]],PartControl!$A$2:$E$564,2,FALSE),OtherClients[[#This Row],[Total Quantity]]*VLOOKUP(OtherClients[[#This Row],[Part]],PartControl!$A$2:$E$564,2,FALSE)),0)</f>
        <v>0</v>
      </c>
      <c r="Z1055" s="108">
        <f>IF(OtherClients[[#This Row],[Re-certified or New]]&lt;&gt;"Re-certified",IF(OtherClients[[#This Row],[Client]]="infasco",VLOOKUP(OtherClients[[#This Row],[Part]],PartControl!$A$2:$E$564,2,FALSE),OtherClients[[#This Row],[Total Quantity]]*VLOOKUP(OtherClients[[#This Row],[Part]],PartControl!$A$2:$E$564,2,FALSE)),0)</f>
        <v>0</v>
      </c>
    </row>
    <row r="1056" spans="1:26" ht="25.15" hidden="1" customHeight="1" x14ac:dyDescent="0.25">
      <c r="A1056" s="112">
        <v>46251.685324074075</v>
      </c>
      <c r="B1056" s="5" t="s">
        <v>636</v>
      </c>
      <c r="C1056" s="5" t="s">
        <v>703</v>
      </c>
      <c r="D1056" s="5">
        <v>715731</v>
      </c>
      <c r="E1056" s="33">
        <v>36</v>
      </c>
      <c r="F1056" s="60">
        <v>700</v>
      </c>
      <c r="G1056" s="60">
        <f>+OtherClients[[#This Row],[Boxes / Pieces]]*OtherClients[[#This Row],[Unit Quantity]]</f>
        <v>25200</v>
      </c>
      <c r="H1056" s="60">
        <v>280</v>
      </c>
      <c r="I1056" s="126" t="s">
        <v>278</v>
      </c>
      <c r="J1056" s="127"/>
      <c r="K1056" s="33" t="s">
        <v>278</v>
      </c>
      <c r="L1056" s="125"/>
      <c r="M1056" s="33" t="s">
        <v>278</v>
      </c>
      <c r="N1056" s="125"/>
      <c r="O1056" s="33" t="s">
        <v>278</v>
      </c>
      <c r="P1056" s="125"/>
      <c r="Q1056" s="33" t="s">
        <v>587</v>
      </c>
      <c r="R1056" s="125"/>
      <c r="S1056" s="33" t="s">
        <v>278</v>
      </c>
      <c r="T1056" s="125"/>
      <c r="U1056" s="33" t="s">
        <v>278</v>
      </c>
      <c r="V1056" s="125"/>
      <c r="W1056" s="59" t="s">
        <v>548</v>
      </c>
      <c r="X1056" s="33" t="str">
        <f>+VLOOKUP(OtherClients[[#This Row],[Part]],PartControl!$A$2:$E$564,5,FALSE)</f>
        <v>infasco</v>
      </c>
      <c r="Y1056" s="108">
        <f>IF(OtherClients[[#This Row],[Re-certified or New]]&lt;&gt;"Re-certified",IF(OtherClients[[#This Row],[Client]]="infasco",VLOOKUP(OtherClients[[#This Row],[Part]],PartControl!$A$2:$E$564,2,FALSE),OtherClients[[#This Row],[Total Quantity]]*VLOOKUP(OtherClients[[#This Row],[Part]],PartControl!$A$2:$E$564,2,FALSE)),0)</f>
        <v>106.94</v>
      </c>
      <c r="Z1056" s="108">
        <f>IF(OtherClients[[#This Row],[Re-certified or New]]&lt;&gt;"Re-certified",IF(OtherClients[[#This Row],[Client]]="infasco",VLOOKUP(OtherClients[[#This Row],[Part]],PartControl!$A$2:$E$564,2,FALSE),OtherClients[[#This Row],[Total Quantity]]*VLOOKUP(OtherClients[[#This Row],[Part]],PartControl!$A$2:$E$564,2,FALSE)),0)</f>
        <v>106.94</v>
      </c>
    </row>
    <row r="1057" spans="1:26" ht="25.15" hidden="1" customHeight="1" x14ac:dyDescent="0.25">
      <c r="A1057" s="112">
        <v>46251.685324074075</v>
      </c>
      <c r="B1057" s="5" t="s">
        <v>636</v>
      </c>
      <c r="C1057" s="5" t="s">
        <v>703</v>
      </c>
      <c r="D1057" s="5">
        <v>715729</v>
      </c>
      <c r="E1057" s="33">
        <v>16</v>
      </c>
      <c r="F1057" s="60">
        <v>700</v>
      </c>
      <c r="G1057" s="60">
        <f>+OtherClients[[#This Row],[Boxes / Pieces]]*OtherClients[[#This Row],[Unit Quantity]]</f>
        <v>11200</v>
      </c>
      <c r="H1057" s="60">
        <v>280</v>
      </c>
      <c r="I1057" s="126" t="s">
        <v>278</v>
      </c>
      <c r="J1057" s="127"/>
      <c r="K1057" s="33" t="s">
        <v>278</v>
      </c>
      <c r="L1057" s="125"/>
      <c r="M1057" s="33" t="s">
        <v>278</v>
      </c>
      <c r="N1057" s="125"/>
      <c r="O1057" s="33" t="s">
        <v>278</v>
      </c>
      <c r="P1057" s="125"/>
      <c r="Q1057" s="33" t="s">
        <v>587</v>
      </c>
      <c r="R1057" s="125"/>
      <c r="S1057" s="33" t="s">
        <v>278</v>
      </c>
      <c r="T1057" s="125"/>
      <c r="U1057" s="33" t="s">
        <v>278</v>
      </c>
      <c r="V1057" s="125"/>
      <c r="W1057" s="59" t="s">
        <v>633</v>
      </c>
      <c r="X1057" s="33" t="str">
        <f>+VLOOKUP(OtherClients[[#This Row],[Part]],PartControl!$A$2:$E$564,5,FALSE)</f>
        <v>infasco</v>
      </c>
      <c r="Y1057" s="108">
        <f>IF(OtherClients[[#This Row],[Re-certified or New]]&lt;&gt;"Re-certified",IF(OtherClients[[#This Row],[Client]]="infasco",VLOOKUP(OtherClients[[#This Row],[Part]],PartControl!$A$2:$E$564,2,FALSE),OtherClients[[#This Row],[Total Quantity]]*VLOOKUP(OtherClients[[#This Row],[Part]],PartControl!$A$2:$E$564,2,FALSE)),0)</f>
        <v>0</v>
      </c>
      <c r="Z1057" s="108">
        <f>IF(OtherClients[[#This Row],[Re-certified or New]]&lt;&gt;"Re-certified",IF(OtherClients[[#This Row],[Client]]="infasco",VLOOKUP(OtherClients[[#This Row],[Part]],PartControl!$A$2:$E$564,2,FALSE),OtherClients[[#This Row],[Total Quantity]]*VLOOKUP(OtherClients[[#This Row],[Part]],PartControl!$A$2:$E$564,2,FALSE)),0)</f>
        <v>0</v>
      </c>
    </row>
    <row r="1058" spans="1:26" ht="25.15" hidden="1" customHeight="1" x14ac:dyDescent="0.25">
      <c r="A1058" s="112">
        <v>46251.685324074075</v>
      </c>
      <c r="B1058" s="5" t="s">
        <v>249</v>
      </c>
      <c r="C1058" s="5">
        <v>11612078</v>
      </c>
      <c r="D1058" s="5">
        <v>710173</v>
      </c>
      <c r="E1058" s="33">
        <v>8</v>
      </c>
      <c r="F1058" s="60">
        <v>1850</v>
      </c>
      <c r="G1058" s="60">
        <f>+OtherClients[[#This Row],[Boxes / Pieces]]*OtherClients[[#This Row],[Unit Quantity]]</f>
        <v>14800</v>
      </c>
      <c r="H1058" s="60">
        <v>4</v>
      </c>
      <c r="I1058" s="126" t="s">
        <v>278</v>
      </c>
      <c r="J1058" s="127"/>
      <c r="K1058" s="33" t="s">
        <v>278</v>
      </c>
      <c r="L1058" s="125"/>
      <c r="M1058" s="33" t="s">
        <v>278</v>
      </c>
      <c r="N1058" s="125"/>
      <c r="O1058" s="33" t="s">
        <v>278</v>
      </c>
      <c r="P1058" s="125"/>
      <c r="Q1058" s="33" t="s">
        <v>587</v>
      </c>
      <c r="R1058" s="125"/>
      <c r="S1058" s="33" t="s">
        <v>278</v>
      </c>
      <c r="T1058" s="125"/>
      <c r="U1058" s="33" t="s">
        <v>278</v>
      </c>
      <c r="V1058" s="125"/>
      <c r="W1058" s="59" t="s">
        <v>548</v>
      </c>
      <c r="X1058" s="33" t="str">
        <f>+VLOOKUP(OtherClients[[#This Row],[Part]],PartControl!$A$2:$E$564,5,FALSE)</f>
        <v>infasco</v>
      </c>
      <c r="Y1058" s="108">
        <f>IF(OtherClients[[#This Row],[Re-certified or New]]&lt;&gt;"Re-certified",IF(OtherClients[[#This Row],[Client]]="infasco",VLOOKUP(OtherClients[[#This Row],[Part]],PartControl!$A$2:$E$564,2,FALSE),OtherClients[[#This Row],[Total Quantity]]*VLOOKUP(OtherClients[[#This Row],[Part]],PartControl!$A$2:$E$564,2,FALSE)),0)</f>
        <v>247.64</v>
      </c>
      <c r="Z1058" s="108">
        <f>IF(OtherClients[[#This Row],[Re-certified or New]]&lt;&gt;"Re-certified",IF(OtherClients[[#This Row],[Client]]="infasco",VLOOKUP(OtherClients[[#This Row],[Part]],PartControl!$A$2:$E$564,2,FALSE),OtherClients[[#This Row],[Total Quantity]]*VLOOKUP(OtherClients[[#This Row],[Part]],PartControl!$A$2:$E$564,2,FALSE)),0)</f>
        <v>247.64</v>
      </c>
    </row>
    <row r="1059" spans="1:26" ht="25.15" hidden="1" customHeight="1" x14ac:dyDescent="0.25">
      <c r="A1059" s="112">
        <v>46251.685324074075</v>
      </c>
      <c r="B1059" s="5" t="s">
        <v>249</v>
      </c>
      <c r="C1059" s="5">
        <v>11612078</v>
      </c>
      <c r="D1059" s="5">
        <v>706811</v>
      </c>
      <c r="E1059" s="33">
        <v>17</v>
      </c>
      <c r="F1059" s="60">
        <v>1850</v>
      </c>
      <c r="G1059" s="60">
        <f>+OtherClients[[#This Row],[Boxes / Pieces]]*OtherClients[[#This Row],[Unit Quantity]]</f>
        <v>31450</v>
      </c>
      <c r="H1059" s="60">
        <v>4</v>
      </c>
      <c r="I1059" s="126" t="s">
        <v>278</v>
      </c>
      <c r="J1059" s="127"/>
      <c r="K1059" s="33" t="s">
        <v>278</v>
      </c>
      <c r="L1059" s="125"/>
      <c r="M1059" s="33" t="s">
        <v>278</v>
      </c>
      <c r="N1059" s="125"/>
      <c r="O1059" s="33" t="s">
        <v>278</v>
      </c>
      <c r="P1059" s="125"/>
      <c r="Q1059" s="33" t="s">
        <v>587</v>
      </c>
      <c r="R1059" s="125"/>
      <c r="S1059" s="33" t="s">
        <v>278</v>
      </c>
      <c r="T1059" s="125"/>
      <c r="U1059" s="33" t="s">
        <v>278</v>
      </c>
      <c r="V1059" s="125"/>
      <c r="W1059" s="59" t="s">
        <v>633</v>
      </c>
      <c r="X1059" s="33" t="str">
        <f>+VLOOKUP(OtherClients[[#This Row],[Part]],PartControl!$A$2:$E$564,5,FALSE)</f>
        <v>infasco</v>
      </c>
      <c r="Y1059" s="108">
        <f>IF(OtherClients[[#This Row],[Re-certified or New]]&lt;&gt;"Re-certified",IF(OtherClients[[#This Row],[Client]]="infasco",VLOOKUP(OtherClients[[#This Row],[Part]],PartControl!$A$2:$E$564,2,FALSE),OtherClients[[#This Row],[Total Quantity]]*VLOOKUP(OtherClients[[#This Row],[Part]],PartControl!$A$2:$E$564,2,FALSE)),0)</f>
        <v>0</v>
      </c>
      <c r="Z1059" s="108">
        <f>IF(OtherClients[[#This Row],[Re-certified or New]]&lt;&gt;"Re-certified",IF(OtherClients[[#This Row],[Client]]="infasco",VLOOKUP(OtherClients[[#This Row],[Part]],PartControl!$A$2:$E$564,2,FALSE),OtherClients[[#This Row],[Total Quantity]]*VLOOKUP(OtherClients[[#This Row],[Part]],PartControl!$A$2:$E$564,2,FALSE)),0)</f>
        <v>0</v>
      </c>
    </row>
    <row r="1060" spans="1:26" ht="25.15" hidden="1" customHeight="1" x14ac:dyDescent="0.25">
      <c r="A1060" s="112">
        <v>46252.688807870371</v>
      </c>
      <c r="B1060" s="5" t="s">
        <v>238</v>
      </c>
      <c r="C1060" s="5">
        <v>11549170</v>
      </c>
      <c r="D1060" s="5">
        <v>714640</v>
      </c>
      <c r="E1060" s="33">
        <v>24</v>
      </c>
      <c r="F1060" s="60">
        <v>400</v>
      </c>
      <c r="G1060" s="60">
        <v>9600</v>
      </c>
      <c r="H1060" s="60">
        <v>275</v>
      </c>
      <c r="I1060" s="126" t="s">
        <v>278</v>
      </c>
      <c r="J1060" s="127"/>
      <c r="K1060" s="33" t="s">
        <v>278</v>
      </c>
      <c r="L1060" s="125"/>
      <c r="M1060" s="33" t="s">
        <v>278</v>
      </c>
      <c r="N1060" s="125"/>
      <c r="O1060" s="33" t="s">
        <v>278</v>
      </c>
      <c r="P1060" s="125"/>
      <c r="Q1060" s="33" t="s">
        <v>587</v>
      </c>
      <c r="R1060" s="125"/>
      <c r="S1060" s="33" t="s">
        <v>278</v>
      </c>
      <c r="T1060" s="125"/>
      <c r="U1060" s="33" t="s">
        <v>278</v>
      </c>
      <c r="V1060" s="125"/>
      <c r="W1060" s="128" t="s">
        <v>548</v>
      </c>
      <c r="X1060" s="33" t="str">
        <f>+VLOOKUP(OtherClients[[#This Row],[Part]],PartControl!$A$2:$E$564,5,FALSE)</f>
        <v>INFASCO</v>
      </c>
      <c r="Y1060" s="108">
        <f>IF(OtherClients[[#This Row],[Re-certified or New]]&lt;&gt;"Re-certified",IF(OtherClients[[#This Row],[Client]]="infasco",VLOOKUP(OtherClients[[#This Row],[Part]],PartControl!$A$2:$E$564,2,FALSE),OtherClients[[#This Row],[Total Quantity]]*VLOOKUP(OtherClients[[#This Row],[Part]],PartControl!$A$2:$E$564,2,FALSE)),0)</f>
        <v>106.94</v>
      </c>
      <c r="Z1060" s="108">
        <f>IF(OtherClients[[#This Row],[Re-certified or New]]&lt;&gt;"Re-certified",IF(OtherClients[[#This Row],[Client]]="infasco",VLOOKUP(OtherClients[[#This Row],[Part]],PartControl!$A$2:$E$564,2,FALSE),OtherClients[[#This Row],[Total Quantity]]*VLOOKUP(OtherClients[[#This Row],[Part]],PartControl!$A$2:$E$564,2,FALSE)),0)</f>
        <v>106.94</v>
      </c>
    </row>
    <row r="1061" spans="1:26" ht="25.15" hidden="1" customHeight="1" x14ac:dyDescent="0.25">
      <c r="A1061" s="112">
        <v>46252.688807870371</v>
      </c>
      <c r="B1061" s="5" t="s">
        <v>238</v>
      </c>
      <c r="C1061" s="5">
        <v>11549170</v>
      </c>
      <c r="D1061" s="5">
        <v>715823</v>
      </c>
      <c r="E1061" s="33">
        <v>36</v>
      </c>
      <c r="F1061" s="60">
        <v>400</v>
      </c>
      <c r="G1061" s="60">
        <f>+OtherClients[[#This Row],[Boxes / Pieces]]*OtherClients[[#This Row],[Unit Quantity]]</f>
        <v>14400</v>
      </c>
      <c r="H1061" s="60">
        <v>275</v>
      </c>
      <c r="I1061" s="126" t="s">
        <v>278</v>
      </c>
      <c r="J1061" s="127"/>
      <c r="K1061" s="33" t="s">
        <v>278</v>
      </c>
      <c r="L1061" s="125"/>
      <c r="M1061" s="33" t="s">
        <v>278</v>
      </c>
      <c r="N1061" s="125"/>
      <c r="O1061" s="33" t="s">
        <v>278</v>
      </c>
      <c r="P1061" s="125"/>
      <c r="Q1061" s="33" t="s">
        <v>587</v>
      </c>
      <c r="R1061" s="125"/>
      <c r="S1061" s="33" t="s">
        <v>278</v>
      </c>
      <c r="T1061" s="125"/>
      <c r="U1061" s="33" t="s">
        <v>278</v>
      </c>
      <c r="V1061" s="125"/>
      <c r="W1061" s="59" t="s">
        <v>548</v>
      </c>
      <c r="X1061" s="33" t="str">
        <f>+VLOOKUP(OtherClients[[#This Row],[Part]],PartControl!$A$2:$E$564,5,FALSE)</f>
        <v>INFASCO</v>
      </c>
      <c r="Y1061" s="108">
        <f>IF(OtherClients[[#This Row],[Re-certified or New]]&lt;&gt;"Re-certified",IF(OtherClients[[#This Row],[Client]]="infasco",VLOOKUP(OtherClients[[#This Row],[Part]],PartControl!$A$2:$E$564,2,FALSE),OtherClients[[#This Row],[Total Quantity]]*VLOOKUP(OtherClients[[#This Row],[Part]],PartControl!$A$2:$E$564,2,FALSE)),0)</f>
        <v>106.94</v>
      </c>
      <c r="Z1061" s="108">
        <f>IF(OtherClients[[#This Row],[Re-certified or New]]&lt;&gt;"Re-certified",IF(OtherClients[[#This Row],[Client]]="infasco",VLOOKUP(OtherClients[[#This Row],[Part]],PartControl!$A$2:$E$564,2,FALSE),OtherClients[[#This Row],[Total Quantity]]*VLOOKUP(OtherClients[[#This Row],[Part]],PartControl!$A$2:$E$564,2,FALSE)),0)</f>
        <v>106.94</v>
      </c>
    </row>
    <row r="1062" spans="1:26" ht="25.15" hidden="1" customHeight="1" x14ac:dyDescent="0.25">
      <c r="A1062" s="112">
        <v>46252.688807870371</v>
      </c>
      <c r="B1062" s="5" t="s">
        <v>238</v>
      </c>
      <c r="C1062" s="5" t="s">
        <v>705</v>
      </c>
      <c r="D1062" s="5">
        <v>715721</v>
      </c>
      <c r="E1062" s="33">
        <v>20</v>
      </c>
      <c r="F1062" s="60">
        <v>450</v>
      </c>
      <c r="G1062" s="60">
        <f>+OtherClients[[#This Row],[Boxes / Pieces]]*OtherClients[[#This Row],[Unit Quantity]]</f>
        <v>9000</v>
      </c>
      <c r="H1062" s="60">
        <v>275</v>
      </c>
      <c r="I1062" s="126" t="s">
        <v>278</v>
      </c>
      <c r="J1062" s="127"/>
      <c r="K1062" s="33" t="s">
        <v>278</v>
      </c>
      <c r="L1062" s="125"/>
      <c r="M1062" s="33" t="s">
        <v>278</v>
      </c>
      <c r="N1062" s="125"/>
      <c r="O1062" s="33" t="s">
        <v>278</v>
      </c>
      <c r="P1062" s="125"/>
      <c r="Q1062" s="33" t="s">
        <v>587</v>
      </c>
      <c r="R1062" s="125"/>
      <c r="S1062" s="33" t="s">
        <v>278</v>
      </c>
      <c r="T1062" s="125"/>
      <c r="U1062" s="33" t="s">
        <v>278</v>
      </c>
      <c r="V1062" s="125"/>
      <c r="W1062" s="59" t="s">
        <v>633</v>
      </c>
      <c r="X1062" s="33" t="str">
        <f>+VLOOKUP(OtherClients[[#This Row],[Part]],PartControl!$A$2:$E$564,5,FALSE)</f>
        <v>infasco</v>
      </c>
      <c r="Y1062" s="108">
        <f>IF(OtherClients[[#This Row],[Re-certified or New]]&lt;&gt;"Re-certified",IF(OtherClients[[#This Row],[Client]]="infasco",VLOOKUP(OtherClients[[#This Row],[Part]],PartControl!$A$2:$E$564,2,FALSE),OtherClients[[#This Row],[Total Quantity]]*VLOOKUP(OtherClients[[#This Row],[Part]],PartControl!$A$2:$E$564,2,FALSE)),0)</f>
        <v>0</v>
      </c>
      <c r="Z1062" s="108">
        <f>IF(OtherClients[[#This Row],[Re-certified or New]]&lt;&gt;"Re-certified",IF(OtherClients[[#This Row],[Client]]="infasco",VLOOKUP(OtherClients[[#This Row],[Part]],PartControl!$A$2:$E$564,2,FALSE),OtherClients[[#This Row],[Total Quantity]]*VLOOKUP(OtherClients[[#This Row],[Part]],PartControl!$A$2:$E$564,2,FALSE)),0)</f>
        <v>0</v>
      </c>
    </row>
    <row r="1063" spans="1:26" ht="25.15" hidden="1" customHeight="1" x14ac:dyDescent="0.25">
      <c r="A1063" s="112">
        <v>46252.688807870371</v>
      </c>
      <c r="B1063" s="5" t="s">
        <v>233</v>
      </c>
      <c r="C1063" s="5" t="s">
        <v>663</v>
      </c>
      <c r="D1063" s="5">
        <v>714690</v>
      </c>
      <c r="E1063" s="33">
        <f>36-18</f>
        <v>18</v>
      </c>
      <c r="F1063" s="60">
        <v>3000</v>
      </c>
      <c r="G1063" s="60">
        <f>+OtherClients[[#This Row],[Boxes / Pieces]]*OtherClients[[#This Row],[Unit Quantity]]</f>
        <v>54000</v>
      </c>
      <c r="H1063" s="60">
        <v>275</v>
      </c>
      <c r="I1063" s="126" t="s">
        <v>278</v>
      </c>
      <c r="J1063" s="127"/>
      <c r="K1063" s="33" t="s">
        <v>278</v>
      </c>
      <c r="L1063" s="125"/>
      <c r="M1063" s="33" t="s">
        <v>278</v>
      </c>
      <c r="N1063" s="125"/>
      <c r="O1063" s="33" t="s">
        <v>278</v>
      </c>
      <c r="P1063" s="125"/>
      <c r="Q1063" s="33" t="s">
        <v>587</v>
      </c>
      <c r="R1063" s="125"/>
      <c r="S1063" s="33" t="s">
        <v>278</v>
      </c>
      <c r="T1063" s="125"/>
      <c r="U1063" s="33" t="s">
        <v>278</v>
      </c>
      <c r="V1063" s="125"/>
      <c r="W1063" s="59" t="s">
        <v>548</v>
      </c>
      <c r="X1063" s="33" t="str">
        <f>+VLOOKUP(OtherClients[[#This Row],[Part]],PartControl!$A$2:$E$564,5,FALSE)</f>
        <v>infasco</v>
      </c>
      <c r="Y1063" s="108">
        <f>IF(OtherClients[[#This Row],[Re-certified or New]]&lt;&gt;"Re-certified",IF(OtherClients[[#This Row],[Client]]="infasco",VLOOKUP(OtherClients[[#This Row],[Part]],PartControl!$A$2:$E$564,2,FALSE),OtherClients[[#This Row],[Total Quantity]]*VLOOKUP(OtherClients[[#This Row],[Part]],PartControl!$A$2:$E$564,2,FALSE)),0)</f>
        <v>106.94</v>
      </c>
      <c r="Z1063" s="108">
        <f>IF(OtherClients[[#This Row],[Re-certified or New]]&lt;&gt;"Re-certified",IF(OtherClients[[#This Row],[Client]]="infasco",VLOOKUP(OtherClients[[#This Row],[Part]],PartControl!$A$2:$E$564,2,FALSE),OtherClients[[#This Row],[Total Quantity]]*VLOOKUP(OtherClients[[#This Row],[Part]],PartControl!$A$2:$E$564,2,FALSE)),0)</f>
        <v>106.94</v>
      </c>
    </row>
    <row r="1064" spans="1:26" ht="25.15" hidden="1" customHeight="1" x14ac:dyDescent="0.25">
      <c r="A1064" s="112">
        <v>46252.688807870371</v>
      </c>
      <c r="B1064" s="5" t="s">
        <v>233</v>
      </c>
      <c r="C1064" s="5" t="s">
        <v>663</v>
      </c>
      <c r="D1064" s="5">
        <v>714697</v>
      </c>
      <c r="E1064" s="33">
        <v>19</v>
      </c>
      <c r="F1064" s="60">
        <v>3000</v>
      </c>
      <c r="G1064" s="60">
        <f>+OtherClients[[#This Row],[Boxes / Pieces]]*OtherClients[[#This Row],[Unit Quantity]]</f>
        <v>57000</v>
      </c>
      <c r="H1064" s="60">
        <v>275</v>
      </c>
      <c r="I1064" s="126" t="s">
        <v>278</v>
      </c>
      <c r="J1064" s="127"/>
      <c r="K1064" s="33" t="s">
        <v>278</v>
      </c>
      <c r="L1064" s="125"/>
      <c r="M1064" s="33" t="s">
        <v>278</v>
      </c>
      <c r="N1064" s="125"/>
      <c r="O1064" s="33" t="s">
        <v>278</v>
      </c>
      <c r="P1064" s="125"/>
      <c r="Q1064" s="33" t="s">
        <v>587</v>
      </c>
      <c r="R1064" s="125"/>
      <c r="S1064" s="33" t="s">
        <v>278</v>
      </c>
      <c r="T1064" s="125"/>
      <c r="U1064" s="33" t="s">
        <v>278</v>
      </c>
      <c r="V1064" s="125"/>
      <c r="W1064" s="59" t="s">
        <v>633</v>
      </c>
      <c r="X1064" s="33" t="str">
        <f>+VLOOKUP(OtherClients[[#This Row],[Part]],PartControl!$A$2:$E$564,5,FALSE)</f>
        <v>infasco</v>
      </c>
      <c r="Y1064" s="108">
        <f>IF(OtherClients[[#This Row],[Re-certified or New]]&lt;&gt;"Re-certified",IF(OtherClients[[#This Row],[Client]]="infasco",VLOOKUP(OtherClients[[#This Row],[Part]],PartControl!$A$2:$E$564,2,FALSE),OtherClients[[#This Row],[Total Quantity]]*VLOOKUP(OtherClients[[#This Row],[Part]],PartControl!$A$2:$E$564,2,FALSE)),0)</f>
        <v>0</v>
      </c>
      <c r="Z1064" s="108">
        <f>IF(OtherClients[[#This Row],[Re-certified or New]]&lt;&gt;"Re-certified",IF(OtherClients[[#This Row],[Client]]="infasco",VLOOKUP(OtherClients[[#This Row],[Part]],PartControl!$A$2:$E$564,2,FALSE),OtherClients[[#This Row],[Total Quantity]]*VLOOKUP(OtherClients[[#This Row],[Part]],PartControl!$A$2:$E$564,2,FALSE)),0)</f>
        <v>0</v>
      </c>
    </row>
    <row r="1065" spans="1:26" ht="25.15" hidden="1" customHeight="1" x14ac:dyDescent="0.25">
      <c r="A1065" s="112">
        <v>46252.688807870371</v>
      </c>
      <c r="B1065" s="5" t="s">
        <v>234</v>
      </c>
      <c r="C1065" s="5">
        <v>11546449</v>
      </c>
      <c r="D1065" s="5">
        <v>716282</v>
      </c>
      <c r="E1065" s="33">
        <f>36-18</f>
        <v>18</v>
      </c>
      <c r="F1065" s="60">
        <v>2500</v>
      </c>
      <c r="G1065" s="60">
        <f>+OtherClients[[#This Row],[Boxes / Pieces]]*OtherClients[[#This Row],[Unit Quantity]]</f>
        <v>45000</v>
      </c>
      <c r="H1065" s="60">
        <v>275</v>
      </c>
      <c r="I1065" s="126" t="s">
        <v>278</v>
      </c>
      <c r="J1065" s="127"/>
      <c r="K1065" s="33" t="s">
        <v>278</v>
      </c>
      <c r="L1065" s="125"/>
      <c r="M1065" s="33" t="s">
        <v>278</v>
      </c>
      <c r="N1065" s="125"/>
      <c r="O1065" s="33" t="s">
        <v>278</v>
      </c>
      <c r="P1065" s="125"/>
      <c r="Q1065" s="33" t="s">
        <v>587</v>
      </c>
      <c r="R1065" s="125"/>
      <c r="S1065" s="33" t="s">
        <v>278</v>
      </c>
      <c r="T1065" s="125"/>
      <c r="U1065" s="33" t="s">
        <v>278</v>
      </c>
      <c r="V1065" s="125"/>
      <c r="W1065" s="59" t="s">
        <v>548</v>
      </c>
      <c r="X1065" s="33" t="str">
        <f>+VLOOKUP(OtherClients[[#This Row],[Part]],PartControl!$A$2:$E$564,5,FALSE)</f>
        <v>INFASCO</v>
      </c>
      <c r="Y1065" s="108">
        <f>IF(OtherClients[[#This Row],[Re-certified or New]]&lt;&gt;"Re-certified",IF(OtherClients[[#This Row],[Client]]="infasco",VLOOKUP(OtherClients[[#This Row],[Part]],PartControl!$A$2:$E$564,2,FALSE),OtherClients[[#This Row],[Total Quantity]]*VLOOKUP(OtherClients[[#This Row],[Part]],PartControl!$A$2:$E$564,2,FALSE)),0)</f>
        <v>106.94</v>
      </c>
      <c r="Z1065" s="108">
        <f>IF(OtherClients[[#This Row],[Re-certified or New]]&lt;&gt;"Re-certified",IF(OtherClients[[#This Row],[Client]]="infasco",VLOOKUP(OtherClients[[#This Row],[Part]],PartControl!$A$2:$E$564,2,FALSE),OtherClients[[#This Row],[Total Quantity]]*VLOOKUP(OtherClients[[#This Row],[Part]],PartControl!$A$2:$E$564,2,FALSE)),0)</f>
        <v>106.94</v>
      </c>
    </row>
    <row r="1066" spans="1:26" ht="25.15" hidden="1" customHeight="1" x14ac:dyDescent="0.25">
      <c r="A1066" s="112">
        <v>46252.688807870371</v>
      </c>
      <c r="B1066" s="5" t="s">
        <v>234</v>
      </c>
      <c r="C1066" s="5">
        <v>11546449</v>
      </c>
      <c r="D1066" s="5">
        <v>716275</v>
      </c>
      <c r="E1066" s="33">
        <v>14</v>
      </c>
      <c r="F1066" s="60">
        <v>2500</v>
      </c>
      <c r="G1066" s="60">
        <f>+OtherClients[[#This Row],[Boxes / Pieces]]*OtherClients[[#This Row],[Unit Quantity]]</f>
        <v>35000</v>
      </c>
      <c r="H1066" s="60">
        <v>275</v>
      </c>
      <c r="I1066" s="126" t="s">
        <v>278</v>
      </c>
      <c r="J1066" s="127"/>
      <c r="K1066" s="33" t="s">
        <v>278</v>
      </c>
      <c r="L1066" s="125"/>
      <c r="M1066" s="33" t="s">
        <v>278</v>
      </c>
      <c r="N1066" s="125"/>
      <c r="O1066" s="33" t="s">
        <v>278</v>
      </c>
      <c r="P1066" s="125"/>
      <c r="Q1066" s="33" t="s">
        <v>587</v>
      </c>
      <c r="R1066" s="125"/>
      <c r="S1066" s="33" t="s">
        <v>278</v>
      </c>
      <c r="T1066" s="125"/>
      <c r="U1066" s="33" t="s">
        <v>278</v>
      </c>
      <c r="V1066" s="125"/>
      <c r="W1066" s="59" t="s">
        <v>633</v>
      </c>
      <c r="X1066" s="33" t="str">
        <f>+VLOOKUP(OtherClients[[#This Row],[Part]],PartControl!$A$2:$E$564,5,FALSE)</f>
        <v>INFASCO</v>
      </c>
      <c r="Y1066" s="108">
        <f>IF(OtherClients[[#This Row],[Re-certified or New]]&lt;&gt;"Re-certified",IF(OtherClients[[#This Row],[Client]]="infasco",VLOOKUP(OtherClients[[#This Row],[Part]],PartControl!$A$2:$E$564,2,FALSE),OtherClients[[#This Row],[Total Quantity]]*VLOOKUP(OtherClients[[#This Row],[Part]],PartControl!$A$2:$E$564,2,FALSE)),0)</f>
        <v>0</v>
      </c>
      <c r="Z1066" s="108">
        <f>IF(OtherClients[[#This Row],[Re-certified or New]]&lt;&gt;"Re-certified",IF(OtherClients[[#This Row],[Client]]="infasco",VLOOKUP(OtherClients[[#This Row],[Part]],PartControl!$A$2:$E$564,2,FALSE),OtherClients[[#This Row],[Total Quantity]]*VLOOKUP(OtherClients[[#This Row],[Part]],PartControl!$A$2:$E$564,2,FALSE)),0)</f>
        <v>0</v>
      </c>
    </row>
    <row r="1067" spans="1:26" ht="25.15" hidden="1" customHeight="1" x14ac:dyDescent="0.25">
      <c r="A1067" s="112">
        <v>46252.688807870371</v>
      </c>
      <c r="B1067" s="5" t="s">
        <v>863</v>
      </c>
      <c r="C1067" s="5" t="s">
        <v>835</v>
      </c>
      <c r="D1067" s="5">
        <v>715866</v>
      </c>
      <c r="E1067" s="33">
        <f>21-12</f>
        <v>9</v>
      </c>
      <c r="F1067" s="60">
        <v>660</v>
      </c>
      <c r="G1067" s="60">
        <f>+OtherClients[[#This Row],[Boxes / Pieces]]*OtherClients[[#This Row],[Unit Quantity]]</f>
        <v>5940</v>
      </c>
      <c r="H1067" s="60">
        <v>275</v>
      </c>
      <c r="I1067" s="126" t="s">
        <v>278</v>
      </c>
      <c r="J1067" s="127"/>
      <c r="K1067" s="33" t="s">
        <v>278</v>
      </c>
      <c r="L1067" s="125"/>
      <c r="M1067" s="33" t="s">
        <v>278</v>
      </c>
      <c r="N1067" s="125"/>
      <c r="O1067" s="33" t="s">
        <v>278</v>
      </c>
      <c r="P1067" s="125"/>
      <c r="Q1067" s="33" t="s">
        <v>587</v>
      </c>
      <c r="R1067" s="125"/>
      <c r="S1067" s="33" t="s">
        <v>278</v>
      </c>
      <c r="T1067" s="125"/>
      <c r="U1067" s="33" t="s">
        <v>278</v>
      </c>
      <c r="V1067" s="125"/>
      <c r="W1067" s="59" t="s">
        <v>548</v>
      </c>
      <c r="X1067" s="33" t="str">
        <f>+VLOOKUP(OtherClients[[#This Row],[Part]],PartControl!$A$2:$E$564,5,FALSE)</f>
        <v>infasco</v>
      </c>
      <c r="Y1067" s="108">
        <f>IF(OtherClients[[#This Row],[Re-certified or New]]&lt;&gt;"Re-certified",IF(OtherClients[[#This Row],[Client]]="infasco",VLOOKUP(OtherClients[[#This Row],[Part]],PartControl!$A$2:$E$564,2,FALSE),OtherClients[[#This Row],[Total Quantity]]*VLOOKUP(OtherClients[[#This Row],[Part]],PartControl!$A$2:$E$564,2,FALSE)),0)</f>
        <v>135.08000000000001</v>
      </c>
      <c r="Z1067" s="108">
        <f>IF(OtherClients[[#This Row],[Re-certified or New]]&lt;&gt;"Re-certified",IF(OtherClients[[#This Row],[Client]]="infasco",VLOOKUP(OtherClients[[#This Row],[Part]],PartControl!$A$2:$E$564,2,FALSE),OtherClients[[#This Row],[Total Quantity]]*VLOOKUP(OtherClients[[#This Row],[Part]],PartControl!$A$2:$E$564,2,FALSE)),0)</f>
        <v>135.08000000000001</v>
      </c>
    </row>
    <row r="1068" spans="1:26" ht="25.15" hidden="1" customHeight="1" x14ac:dyDescent="0.25">
      <c r="A1068" s="112">
        <v>46252.688807870371</v>
      </c>
      <c r="B1068" s="5" t="s">
        <v>863</v>
      </c>
      <c r="C1068" s="5">
        <v>11547176</v>
      </c>
      <c r="D1068" s="5">
        <v>716682</v>
      </c>
      <c r="E1068" s="33">
        <v>20</v>
      </c>
      <c r="F1068" s="60">
        <v>850</v>
      </c>
      <c r="G1068" s="60">
        <f>+OtherClients[[#This Row],[Boxes / Pieces]]*OtherClients[[#This Row],[Unit Quantity]]</f>
        <v>17000</v>
      </c>
      <c r="H1068" s="60">
        <v>275</v>
      </c>
      <c r="I1068" s="126" t="s">
        <v>278</v>
      </c>
      <c r="J1068" s="127"/>
      <c r="K1068" s="33" t="s">
        <v>278</v>
      </c>
      <c r="L1068" s="125"/>
      <c r="M1068" s="33" t="s">
        <v>278</v>
      </c>
      <c r="N1068" s="125"/>
      <c r="O1068" s="33" t="s">
        <v>278</v>
      </c>
      <c r="P1068" s="125"/>
      <c r="Q1068" s="33" t="s">
        <v>587</v>
      </c>
      <c r="R1068" s="125"/>
      <c r="S1068" s="33" t="s">
        <v>278</v>
      </c>
      <c r="T1068" s="125"/>
      <c r="U1068" s="33" t="s">
        <v>278</v>
      </c>
      <c r="V1068" s="125"/>
      <c r="W1068" s="59" t="s">
        <v>633</v>
      </c>
      <c r="X1068" s="33" t="str">
        <f>+VLOOKUP(OtherClients[[#This Row],[Part]],PartControl!$A$2:$E$564,5,FALSE)</f>
        <v>INFASCO</v>
      </c>
      <c r="Y1068" s="108">
        <f>IF(OtherClients[[#This Row],[Re-certified or New]]&lt;&gt;"Re-certified",IF(OtherClients[[#This Row],[Client]]="infasco",VLOOKUP(OtherClients[[#This Row],[Part]],PartControl!$A$2:$E$564,2,FALSE),OtherClients[[#This Row],[Total Quantity]]*VLOOKUP(OtherClients[[#This Row],[Part]],PartControl!$A$2:$E$564,2,FALSE)),0)</f>
        <v>0</v>
      </c>
      <c r="Z1068" s="108">
        <f>IF(OtherClients[[#This Row],[Re-certified or New]]&lt;&gt;"Re-certified",IF(OtherClients[[#This Row],[Client]]="infasco",VLOOKUP(OtherClients[[#This Row],[Part]],PartControl!$A$2:$E$564,2,FALSE),OtherClients[[#This Row],[Total Quantity]]*VLOOKUP(OtherClients[[#This Row],[Part]],PartControl!$A$2:$E$564,2,FALSE)),0)</f>
        <v>0</v>
      </c>
    </row>
    <row r="1069" spans="1:26" ht="25.15" hidden="1" customHeight="1" x14ac:dyDescent="0.25">
      <c r="A1069" s="112">
        <v>46252.688807870371</v>
      </c>
      <c r="B1069" s="5" t="s">
        <v>242</v>
      </c>
      <c r="C1069" s="5">
        <v>11549170</v>
      </c>
      <c r="D1069" s="5">
        <v>715826</v>
      </c>
      <c r="E1069" s="33">
        <v>36</v>
      </c>
      <c r="F1069" s="60">
        <v>400</v>
      </c>
      <c r="G1069" s="60">
        <f>+OtherClients[[#This Row],[Boxes / Pieces]]*OtherClients[[#This Row],[Unit Quantity]]</f>
        <v>14400</v>
      </c>
      <c r="H1069" s="60">
        <v>275</v>
      </c>
      <c r="I1069" s="126" t="s">
        <v>278</v>
      </c>
      <c r="J1069" s="127"/>
      <c r="K1069" s="33" t="s">
        <v>278</v>
      </c>
      <c r="L1069" s="125"/>
      <c r="M1069" s="33" t="s">
        <v>278</v>
      </c>
      <c r="N1069" s="125"/>
      <c r="O1069" s="33" t="s">
        <v>278</v>
      </c>
      <c r="P1069" s="125"/>
      <c r="Q1069" s="33" t="s">
        <v>587</v>
      </c>
      <c r="R1069" s="125"/>
      <c r="S1069" s="33" t="s">
        <v>278</v>
      </c>
      <c r="T1069" s="125"/>
      <c r="U1069" s="33" t="s">
        <v>278</v>
      </c>
      <c r="V1069" s="125"/>
      <c r="W1069" s="59" t="s">
        <v>548</v>
      </c>
      <c r="X1069" s="33" t="str">
        <f>+VLOOKUP(OtherClients[[#This Row],[Part]],PartControl!$A$2:$E$564,5,FALSE)</f>
        <v>INFASCO</v>
      </c>
      <c r="Y1069" s="108">
        <f>IF(OtherClients[[#This Row],[Re-certified or New]]&lt;&gt;"Re-certified",IF(OtherClients[[#This Row],[Client]]="infasco",VLOOKUP(OtherClients[[#This Row],[Part]],PartControl!$A$2:$E$564,2,FALSE),OtherClients[[#This Row],[Total Quantity]]*VLOOKUP(OtherClients[[#This Row],[Part]],PartControl!$A$2:$E$564,2,FALSE)),0)</f>
        <v>106.94</v>
      </c>
      <c r="Z1069" s="108">
        <f>IF(OtherClients[[#This Row],[Re-certified or New]]&lt;&gt;"Re-certified",IF(OtherClients[[#This Row],[Client]]="infasco",VLOOKUP(OtherClients[[#This Row],[Part]],PartControl!$A$2:$E$564,2,FALSE),OtherClients[[#This Row],[Total Quantity]]*VLOOKUP(OtherClients[[#This Row],[Part]],PartControl!$A$2:$E$564,2,FALSE)),0)</f>
        <v>106.94</v>
      </c>
    </row>
    <row r="1070" spans="1:26" ht="25.15" hidden="1" customHeight="1" x14ac:dyDescent="0.25">
      <c r="A1070" s="112">
        <v>46252.688807870371</v>
      </c>
      <c r="B1070" s="5" t="s">
        <v>242</v>
      </c>
      <c r="C1070" s="5">
        <v>11549170</v>
      </c>
      <c r="D1070" s="5">
        <v>715829</v>
      </c>
      <c r="E1070" s="33">
        <v>52</v>
      </c>
      <c r="F1070" s="60">
        <v>400</v>
      </c>
      <c r="G1070" s="60">
        <f>+OtherClients[[#This Row],[Boxes / Pieces]]*OtherClients[[#This Row],[Unit Quantity]]</f>
        <v>20800</v>
      </c>
      <c r="H1070" s="60">
        <v>275</v>
      </c>
      <c r="I1070" s="126" t="s">
        <v>278</v>
      </c>
      <c r="J1070" s="127"/>
      <c r="K1070" s="33" t="s">
        <v>278</v>
      </c>
      <c r="L1070" s="125"/>
      <c r="M1070" s="33" t="s">
        <v>278</v>
      </c>
      <c r="N1070" s="125"/>
      <c r="O1070" s="33" t="s">
        <v>278</v>
      </c>
      <c r="P1070" s="125"/>
      <c r="Q1070" s="33" t="s">
        <v>587</v>
      </c>
      <c r="R1070" s="125"/>
      <c r="S1070" s="33" t="s">
        <v>278</v>
      </c>
      <c r="T1070" s="125"/>
      <c r="U1070" s="33" t="s">
        <v>278</v>
      </c>
      <c r="V1070" s="125"/>
      <c r="W1070" s="59" t="s">
        <v>548</v>
      </c>
      <c r="X1070" s="33" t="str">
        <f>+VLOOKUP(OtherClients[[#This Row],[Part]],PartControl!$A$2:$E$564,5,FALSE)</f>
        <v>INFASCO</v>
      </c>
      <c r="Y1070" s="108">
        <f>IF(OtherClients[[#This Row],[Re-certified or New]]&lt;&gt;"Re-certified",IF(OtherClients[[#This Row],[Client]]="infasco",VLOOKUP(OtherClients[[#This Row],[Part]],PartControl!$A$2:$E$564,2,FALSE),OtherClients[[#This Row],[Total Quantity]]*VLOOKUP(OtherClients[[#This Row],[Part]],PartControl!$A$2:$E$564,2,FALSE)),0)</f>
        <v>106.94</v>
      </c>
      <c r="Z1070" s="108">
        <f>IF(OtherClients[[#This Row],[Re-certified or New]]&lt;&gt;"Re-certified",IF(OtherClients[[#This Row],[Client]]="infasco",VLOOKUP(OtherClients[[#This Row],[Part]],PartControl!$A$2:$E$564,2,FALSE),OtherClients[[#This Row],[Total Quantity]]*VLOOKUP(OtherClients[[#This Row],[Part]],PartControl!$A$2:$E$564,2,FALSE)),0)</f>
        <v>106.94</v>
      </c>
    </row>
    <row r="1071" spans="1:26" ht="25.15" hidden="1" customHeight="1" x14ac:dyDescent="0.25">
      <c r="A1071" s="112">
        <v>46252.688807870371</v>
      </c>
      <c r="B1071" s="5" t="s">
        <v>232</v>
      </c>
      <c r="C1071" s="5">
        <v>11546449</v>
      </c>
      <c r="D1071" s="5">
        <v>716273</v>
      </c>
      <c r="E1071" s="33">
        <f>36-22</f>
        <v>14</v>
      </c>
      <c r="F1071" s="60">
        <v>2500</v>
      </c>
      <c r="G1071" s="60">
        <f>+OtherClients[[#This Row],[Boxes / Pieces]]*OtherClients[[#This Row],[Unit Quantity]]</f>
        <v>35000</v>
      </c>
      <c r="H1071" s="60">
        <v>275</v>
      </c>
      <c r="I1071" s="126" t="s">
        <v>278</v>
      </c>
      <c r="J1071" s="127"/>
      <c r="K1071" s="33" t="s">
        <v>278</v>
      </c>
      <c r="L1071" s="125"/>
      <c r="M1071" s="33" t="s">
        <v>278</v>
      </c>
      <c r="N1071" s="125"/>
      <c r="O1071" s="33" t="s">
        <v>278</v>
      </c>
      <c r="P1071" s="125"/>
      <c r="Q1071" s="33" t="s">
        <v>587</v>
      </c>
      <c r="R1071" s="125"/>
      <c r="S1071" s="33" t="s">
        <v>278</v>
      </c>
      <c r="T1071" s="125"/>
      <c r="U1071" s="33" t="s">
        <v>278</v>
      </c>
      <c r="V1071" s="125"/>
      <c r="W1071" s="59" t="s">
        <v>548</v>
      </c>
      <c r="X1071" s="33" t="str">
        <f>+VLOOKUP(OtherClients[[#This Row],[Part]],PartControl!$A$2:$E$564,5,FALSE)</f>
        <v>INFASCO</v>
      </c>
      <c r="Y1071" s="108">
        <f>IF(OtherClients[[#This Row],[Re-certified or New]]&lt;&gt;"Re-certified",IF(OtherClients[[#This Row],[Client]]="infasco",VLOOKUP(OtherClients[[#This Row],[Part]],PartControl!$A$2:$E$564,2,FALSE),OtherClients[[#This Row],[Total Quantity]]*VLOOKUP(OtherClients[[#This Row],[Part]],PartControl!$A$2:$E$564,2,FALSE)),0)</f>
        <v>106.94</v>
      </c>
      <c r="Z1071" s="108">
        <f>IF(OtherClients[[#This Row],[Re-certified or New]]&lt;&gt;"Re-certified",IF(OtherClients[[#This Row],[Client]]="infasco",VLOOKUP(OtherClients[[#This Row],[Part]],PartControl!$A$2:$E$564,2,FALSE),OtherClients[[#This Row],[Total Quantity]]*VLOOKUP(OtherClients[[#This Row],[Part]],PartControl!$A$2:$E$564,2,FALSE)),0)</f>
        <v>106.94</v>
      </c>
    </row>
    <row r="1072" spans="1:26" ht="25.15" hidden="1" customHeight="1" x14ac:dyDescent="0.25">
      <c r="A1072" s="112">
        <v>46252.688807870371</v>
      </c>
      <c r="B1072" s="5" t="s">
        <v>232</v>
      </c>
      <c r="C1072" s="5">
        <v>11546449</v>
      </c>
      <c r="D1072" s="5">
        <v>716272</v>
      </c>
      <c r="E1072" s="33">
        <v>22</v>
      </c>
      <c r="F1072" s="60">
        <v>2500</v>
      </c>
      <c r="G1072" s="60">
        <f>+OtherClients[[#This Row],[Boxes / Pieces]]*OtherClients[[#This Row],[Unit Quantity]]</f>
        <v>55000</v>
      </c>
      <c r="H1072" s="60">
        <v>275</v>
      </c>
      <c r="I1072" s="126" t="s">
        <v>278</v>
      </c>
      <c r="J1072" s="127"/>
      <c r="K1072" s="33" t="s">
        <v>278</v>
      </c>
      <c r="L1072" s="125"/>
      <c r="M1072" s="33" t="s">
        <v>278</v>
      </c>
      <c r="N1072" s="125"/>
      <c r="O1072" s="33" t="s">
        <v>278</v>
      </c>
      <c r="P1072" s="125"/>
      <c r="Q1072" s="33" t="s">
        <v>587</v>
      </c>
      <c r="R1072" s="125"/>
      <c r="S1072" s="33" t="s">
        <v>278</v>
      </c>
      <c r="T1072" s="125"/>
      <c r="U1072" s="33" t="s">
        <v>278</v>
      </c>
      <c r="V1072" s="125"/>
      <c r="W1072" s="59" t="s">
        <v>633</v>
      </c>
      <c r="X1072" s="33" t="str">
        <f>+VLOOKUP(OtherClients[[#This Row],[Part]],PartControl!$A$2:$E$564,5,FALSE)</f>
        <v>INFASCO</v>
      </c>
      <c r="Y1072" s="108">
        <f>IF(OtherClients[[#This Row],[Re-certified or New]]&lt;&gt;"Re-certified",IF(OtherClients[[#This Row],[Client]]="infasco",VLOOKUP(OtherClients[[#This Row],[Part]],PartControl!$A$2:$E$564,2,FALSE),OtherClients[[#This Row],[Total Quantity]]*VLOOKUP(OtherClients[[#This Row],[Part]],PartControl!$A$2:$E$564,2,FALSE)),0)</f>
        <v>0</v>
      </c>
      <c r="Z1072" s="108">
        <f>IF(OtherClients[[#This Row],[Re-certified or New]]&lt;&gt;"Re-certified",IF(OtherClients[[#This Row],[Client]]="infasco",VLOOKUP(OtherClients[[#This Row],[Part]],PartControl!$A$2:$E$564,2,FALSE),OtherClients[[#This Row],[Total Quantity]]*VLOOKUP(OtherClients[[#This Row],[Part]],PartControl!$A$2:$E$564,2,FALSE)),0)</f>
        <v>0</v>
      </c>
    </row>
    <row r="1073" spans="1:26" ht="25.15" hidden="1" customHeight="1" x14ac:dyDescent="0.25">
      <c r="A1073" s="112">
        <v>46252.688807870371</v>
      </c>
      <c r="B1073" s="5" t="s">
        <v>252</v>
      </c>
      <c r="C1073" s="5" t="s">
        <v>706</v>
      </c>
      <c r="D1073" s="5">
        <v>714539</v>
      </c>
      <c r="E1073" s="33">
        <v>36</v>
      </c>
      <c r="F1073" s="60">
        <v>1900</v>
      </c>
      <c r="G1073" s="60">
        <f>+OtherClients[[#This Row],[Boxes / Pieces]]*OtherClients[[#This Row],[Unit Quantity]]</f>
        <v>68400</v>
      </c>
      <c r="H1073" s="60">
        <v>275</v>
      </c>
      <c r="I1073" s="126" t="s">
        <v>278</v>
      </c>
      <c r="J1073" s="127"/>
      <c r="K1073" s="33" t="s">
        <v>278</v>
      </c>
      <c r="L1073" s="125"/>
      <c r="M1073" s="33" t="s">
        <v>278</v>
      </c>
      <c r="N1073" s="125"/>
      <c r="O1073" s="33" t="s">
        <v>278</v>
      </c>
      <c r="P1073" s="125"/>
      <c r="Q1073" s="33" t="s">
        <v>587</v>
      </c>
      <c r="R1073" s="125"/>
      <c r="S1073" s="33" t="s">
        <v>278</v>
      </c>
      <c r="T1073" s="125"/>
      <c r="U1073" s="33" t="s">
        <v>278</v>
      </c>
      <c r="V1073" s="125"/>
      <c r="W1073" s="59" t="s">
        <v>548</v>
      </c>
      <c r="X1073" s="33" t="str">
        <f>+VLOOKUP(OtherClients[[#This Row],[Part]],PartControl!$A$2:$E$564,5,FALSE)</f>
        <v>infasco</v>
      </c>
      <c r="Y1073" s="108">
        <f>IF(OtherClients[[#This Row],[Re-certified or New]]&lt;&gt;"Re-certified",IF(OtherClients[[#This Row],[Client]]="infasco",VLOOKUP(OtherClients[[#This Row],[Part]],PartControl!$A$2:$E$564,2,FALSE),OtherClients[[#This Row],[Total Quantity]]*VLOOKUP(OtherClients[[#This Row],[Part]],PartControl!$A$2:$E$564,2,FALSE)),0)</f>
        <v>106.94</v>
      </c>
      <c r="Z1073" s="108">
        <f>IF(OtherClients[[#This Row],[Re-certified or New]]&lt;&gt;"Re-certified",IF(OtherClients[[#This Row],[Client]]="infasco",VLOOKUP(OtherClients[[#This Row],[Part]],PartControl!$A$2:$E$564,2,FALSE),OtherClients[[#This Row],[Total Quantity]]*VLOOKUP(OtherClients[[#This Row],[Part]],PartControl!$A$2:$E$564,2,FALSE)),0)</f>
        <v>106.94</v>
      </c>
    </row>
    <row r="1074" spans="1:26" ht="25.15" hidden="1" customHeight="1" x14ac:dyDescent="0.25">
      <c r="A1074" s="112">
        <v>46252.688807870371</v>
      </c>
      <c r="B1074" s="5" t="s">
        <v>252</v>
      </c>
      <c r="C1074" s="5" t="s">
        <v>706</v>
      </c>
      <c r="D1074" s="5">
        <v>714540</v>
      </c>
      <c r="E1074" s="33">
        <v>23</v>
      </c>
      <c r="F1074" s="60">
        <v>1900</v>
      </c>
      <c r="G1074" s="60">
        <f>+OtherClients[[#This Row],[Boxes / Pieces]]*OtherClients[[#This Row],[Unit Quantity]]</f>
        <v>43700</v>
      </c>
      <c r="H1074" s="60">
        <v>275</v>
      </c>
      <c r="I1074" s="126" t="s">
        <v>278</v>
      </c>
      <c r="J1074" s="127"/>
      <c r="K1074" s="33" t="s">
        <v>278</v>
      </c>
      <c r="L1074" s="125"/>
      <c r="M1074" s="33" t="s">
        <v>278</v>
      </c>
      <c r="N1074" s="125"/>
      <c r="O1074" s="33" t="s">
        <v>278</v>
      </c>
      <c r="P1074" s="125"/>
      <c r="Q1074" s="33" t="s">
        <v>587</v>
      </c>
      <c r="R1074" s="125"/>
      <c r="S1074" s="33" t="s">
        <v>278</v>
      </c>
      <c r="T1074" s="125"/>
      <c r="U1074" s="33" t="s">
        <v>278</v>
      </c>
      <c r="V1074" s="125"/>
      <c r="W1074" s="59" t="s">
        <v>633</v>
      </c>
      <c r="X1074" s="33" t="str">
        <f>+VLOOKUP(OtherClients[[#This Row],[Part]],PartControl!$A$2:$E$564,5,FALSE)</f>
        <v>infasco</v>
      </c>
      <c r="Y1074" s="108">
        <f>IF(OtherClients[[#This Row],[Re-certified or New]]&lt;&gt;"Re-certified",IF(OtherClients[[#This Row],[Client]]="infasco",VLOOKUP(OtherClients[[#This Row],[Part]],PartControl!$A$2:$E$564,2,FALSE),OtherClients[[#This Row],[Total Quantity]]*VLOOKUP(OtherClients[[#This Row],[Part]],PartControl!$A$2:$E$564,2,FALSE)),0)</f>
        <v>0</v>
      </c>
      <c r="Z1074" s="108">
        <f>IF(OtherClients[[#This Row],[Re-certified or New]]&lt;&gt;"Re-certified",IF(OtherClients[[#This Row],[Client]]="infasco",VLOOKUP(OtherClients[[#This Row],[Part]],PartControl!$A$2:$E$564,2,FALSE),OtherClients[[#This Row],[Total Quantity]]*VLOOKUP(OtherClients[[#This Row],[Part]],PartControl!$A$2:$E$564,2,FALSE)),0)</f>
        <v>0</v>
      </c>
    </row>
    <row r="1075" spans="1:26" ht="25.15" hidden="1" customHeight="1" x14ac:dyDescent="0.25">
      <c r="A1075" s="112">
        <v>46252.688807870371</v>
      </c>
      <c r="B1075" s="5" t="s">
        <v>237</v>
      </c>
      <c r="C1075" s="5">
        <v>11549170</v>
      </c>
      <c r="D1075" s="5">
        <v>714641</v>
      </c>
      <c r="E1075" s="33">
        <f>36-6</f>
        <v>30</v>
      </c>
      <c r="F1075" s="60">
        <v>400</v>
      </c>
      <c r="G1075" s="60">
        <f>+OtherClients[[#This Row],[Boxes / Pieces]]*OtherClients[[#This Row],[Unit Quantity]]</f>
        <v>12000</v>
      </c>
      <c r="H1075" s="60">
        <v>290</v>
      </c>
      <c r="I1075" s="126" t="s">
        <v>278</v>
      </c>
      <c r="J1075" s="127"/>
      <c r="K1075" s="33" t="s">
        <v>278</v>
      </c>
      <c r="L1075" s="125"/>
      <c r="M1075" s="33" t="s">
        <v>278</v>
      </c>
      <c r="N1075" s="125"/>
      <c r="O1075" s="33" t="s">
        <v>278</v>
      </c>
      <c r="P1075" s="125"/>
      <c r="Q1075" s="33" t="s">
        <v>587</v>
      </c>
      <c r="R1075" s="125"/>
      <c r="S1075" s="33" t="s">
        <v>278</v>
      </c>
      <c r="T1075" s="125"/>
      <c r="U1075" s="33" t="s">
        <v>278</v>
      </c>
      <c r="V1075" s="125"/>
      <c r="W1075" s="59" t="s">
        <v>548</v>
      </c>
      <c r="X1075" s="33" t="str">
        <f>+VLOOKUP(OtherClients[[#This Row],[Part]],PartControl!$A$2:$E$564,5,FALSE)</f>
        <v>INFASCO</v>
      </c>
      <c r="Y1075" s="108">
        <f>IF(OtherClients[[#This Row],[Re-certified or New]]&lt;&gt;"Re-certified",IF(OtherClients[[#This Row],[Client]]="infasco",VLOOKUP(OtherClients[[#This Row],[Part]],PartControl!$A$2:$E$564,2,FALSE),OtherClients[[#This Row],[Total Quantity]]*VLOOKUP(OtherClients[[#This Row],[Part]],PartControl!$A$2:$E$564,2,FALSE)),0)</f>
        <v>106.94</v>
      </c>
      <c r="Z1075" s="108">
        <f>IF(OtherClients[[#This Row],[Re-certified or New]]&lt;&gt;"Re-certified",IF(OtherClients[[#This Row],[Client]]="infasco",VLOOKUP(OtherClients[[#This Row],[Part]],PartControl!$A$2:$E$564,2,FALSE),OtherClients[[#This Row],[Total Quantity]]*VLOOKUP(OtherClients[[#This Row],[Part]],PartControl!$A$2:$E$564,2,FALSE)),0)</f>
        <v>106.94</v>
      </c>
    </row>
    <row r="1076" spans="1:26" ht="25.15" hidden="1" customHeight="1" x14ac:dyDescent="0.25">
      <c r="A1076" s="112">
        <v>46252.688807870371</v>
      </c>
      <c r="B1076" s="5" t="s">
        <v>237</v>
      </c>
      <c r="C1076" s="5">
        <v>11549170</v>
      </c>
      <c r="D1076" s="5">
        <v>714629</v>
      </c>
      <c r="E1076" s="33">
        <v>36</v>
      </c>
      <c r="F1076" s="60">
        <v>400</v>
      </c>
      <c r="G1076" s="60">
        <f>+OtherClients[[#This Row],[Boxes / Pieces]]*OtherClients[[#This Row],[Unit Quantity]]</f>
        <v>14400</v>
      </c>
      <c r="H1076" s="60">
        <v>290</v>
      </c>
      <c r="I1076" s="126" t="s">
        <v>278</v>
      </c>
      <c r="J1076" s="127"/>
      <c r="K1076" s="33" t="s">
        <v>278</v>
      </c>
      <c r="L1076" s="125"/>
      <c r="M1076" s="33" t="s">
        <v>278</v>
      </c>
      <c r="N1076" s="125"/>
      <c r="O1076" s="33" t="s">
        <v>278</v>
      </c>
      <c r="P1076" s="125"/>
      <c r="Q1076" s="33" t="s">
        <v>587</v>
      </c>
      <c r="R1076" s="125"/>
      <c r="S1076" s="33" t="s">
        <v>278</v>
      </c>
      <c r="T1076" s="125"/>
      <c r="U1076" s="33" t="s">
        <v>278</v>
      </c>
      <c r="V1076" s="125"/>
      <c r="W1076" s="59" t="s">
        <v>548</v>
      </c>
      <c r="X1076" s="33" t="str">
        <f>+VLOOKUP(OtherClients[[#This Row],[Part]],PartControl!$A$2:$E$564,5,FALSE)</f>
        <v>INFASCO</v>
      </c>
      <c r="Y1076" s="108">
        <f>IF(OtherClients[[#This Row],[Re-certified or New]]&lt;&gt;"Re-certified",IF(OtherClients[[#This Row],[Client]]="infasco",VLOOKUP(OtherClients[[#This Row],[Part]],PartControl!$A$2:$E$564,2,FALSE),OtherClients[[#This Row],[Total Quantity]]*VLOOKUP(OtherClients[[#This Row],[Part]],PartControl!$A$2:$E$564,2,FALSE)),0)</f>
        <v>106.94</v>
      </c>
      <c r="Z1076" s="108">
        <f>IF(OtherClients[[#This Row],[Re-certified or New]]&lt;&gt;"Re-certified",IF(OtherClients[[#This Row],[Client]]="infasco",VLOOKUP(OtherClients[[#This Row],[Part]],PartControl!$A$2:$E$564,2,FALSE),OtherClients[[#This Row],[Total Quantity]]*VLOOKUP(OtherClients[[#This Row],[Part]],PartControl!$A$2:$E$564,2,FALSE)),0)</f>
        <v>106.94</v>
      </c>
    </row>
    <row r="1077" spans="1:26" ht="25.15" hidden="1" customHeight="1" x14ac:dyDescent="0.25">
      <c r="A1077" s="112">
        <v>46252.688807870371</v>
      </c>
      <c r="B1077" s="5" t="s">
        <v>237</v>
      </c>
      <c r="C1077" s="5">
        <v>11549168</v>
      </c>
      <c r="D1077" s="5">
        <v>715770</v>
      </c>
      <c r="E1077" s="33">
        <v>36</v>
      </c>
      <c r="F1077" s="60">
        <v>1000</v>
      </c>
      <c r="G1077" s="60">
        <f>+OtherClients[[#This Row],[Boxes / Pieces]]*OtherClients[[#This Row],[Unit Quantity]]</f>
        <v>36000</v>
      </c>
      <c r="H1077" s="60">
        <v>290</v>
      </c>
      <c r="I1077" s="126" t="s">
        <v>278</v>
      </c>
      <c r="J1077" s="127"/>
      <c r="K1077" s="33" t="s">
        <v>278</v>
      </c>
      <c r="L1077" s="125"/>
      <c r="M1077" s="33" t="s">
        <v>278</v>
      </c>
      <c r="N1077" s="125"/>
      <c r="O1077" s="33" t="s">
        <v>278</v>
      </c>
      <c r="P1077" s="125"/>
      <c r="Q1077" s="33" t="s">
        <v>587</v>
      </c>
      <c r="R1077" s="125"/>
      <c r="S1077" s="33" t="s">
        <v>278</v>
      </c>
      <c r="T1077" s="125"/>
      <c r="U1077" s="33" t="s">
        <v>278</v>
      </c>
      <c r="V1077" s="125"/>
      <c r="W1077" s="59" t="s">
        <v>548</v>
      </c>
      <c r="X1077" s="33" t="str">
        <f>+VLOOKUP(OtherClients[[#This Row],[Part]],PartControl!$A$2:$E$564,5,FALSE)</f>
        <v>INFASCO</v>
      </c>
      <c r="Y1077" s="108">
        <f>IF(OtherClients[[#This Row],[Re-certified or New]]&lt;&gt;"Re-certified",IF(OtherClients[[#This Row],[Client]]="infasco",VLOOKUP(OtherClients[[#This Row],[Part]],PartControl!$A$2:$E$564,2,FALSE),OtherClients[[#This Row],[Total Quantity]]*VLOOKUP(OtherClients[[#This Row],[Part]],PartControl!$A$2:$E$564,2,FALSE)),0)</f>
        <v>106.94</v>
      </c>
      <c r="Z1077" s="108">
        <f>IF(OtherClients[[#This Row],[Re-certified or New]]&lt;&gt;"Re-certified",IF(OtherClients[[#This Row],[Client]]="infasco",VLOOKUP(OtherClients[[#This Row],[Part]],PartControl!$A$2:$E$564,2,FALSE),OtherClients[[#This Row],[Total Quantity]]*VLOOKUP(OtherClients[[#This Row],[Part]],PartControl!$A$2:$E$564,2,FALSE)),0)</f>
        <v>106.94</v>
      </c>
    </row>
    <row r="1078" spans="1:26" ht="25.15" hidden="1" customHeight="1" x14ac:dyDescent="0.25">
      <c r="A1078" s="112">
        <v>46252.688807870371</v>
      </c>
      <c r="B1078" s="5" t="s">
        <v>237</v>
      </c>
      <c r="C1078" s="5">
        <v>11549168</v>
      </c>
      <c r="D1078" s="5">
        <v>715773</v>
      </c>
      <c r="E1078" s="33">
        <v>6</v>
      </c>
      <c r="F1078" s="60">
        <v>1000</v>
      </c>
      <c r="G1078" s="60">
        <f>+OtherClients[[#This Row],[Boxes / Pieces]]*OtherClients[[#This Row],[Unit Quantity]]</f>
        <v>6000</v>
      </c>
      <c r="H1078" s="60">
        <v>290</v>
      </c>
      <c r="I1078" s="126" t="s">
        <v>278</v>
      </c>
      <c r="J1078" s="127"/>
      <c r="K1078" s="33" t="s">
        <v>278</v>
      </c>
      <c r="L1078" s="125"/>
      <c r="M1078" s="33" t="s">
        <v>278</v>
      </c>
      <c r="N1078" s="125"/>
      <c r="O1078" s="33" t="s">
        <v>278</v>
      </c>
      <c r="P1078" s="125"/>
      <c r="Q1078" s="33" t="s">
        <v>587</v>
      </c>
      <c r="R1078" s="125"/>
      <c r="S1078" s="33" t="s">
        <v>278</v>
      </c>
      <c r="T1078" s="125"/>
      <c r="U1078" s="33" t="s">
        <v>278</v>
      </c>
      <c r="V1078" s="125"/>
      <c r="W1078" s="59" t="s">
        <v>633</v>
      </c>
      <c r="X1078" s="33" t="str">
        <f>+VLOOKUP(OtherClients[[#This Row],[Part]],PartControl!$A$2:$E$564,5,FALSE)</f>
        <v>INFASCO</v>
      </c>
      <c r="Y1078" s="108">
        <f>IF(OtherClients[[#This Row],[Re-certified or New]]&lt;&gt;"Re-certified",IF(OtherClients[[#This Row],[Client]]="infasco",VLOOKUP(OtherClients[[#This Row],[Part]],PartControl!$A$2:$E$564,2,FALSE),OtherClients[[#This Row],[Total Quantity]]*VLOOKUP(OtherClients[[#This Row],[Part]],PartControl!$A$2:$E$564,2,FALSE)),0)</f>
        <v>0</v>
      </c>
      <c r="Z1078" s="108">
        <f>IF(OtherClients[[#This Row],[Re-certified or New]]&lt;&gt;"Re-certified",IF(OtherClients[[#This Row],[Client]]="infasco",VLOOKUP(OtherClients[[#This Row],[Part]],PartControl!$A$2:$E$564,2,FALSE),OtherClients[[#This Row],[Total Quantity]]*VLOOKUP(OtherClients[[#This Row],[Part]],PartControl!$A$2:$E$564,2,FALSE)),0)</f>
        <v>0</v>
      </c>
    </row>
    <row r="1079" spans="1:26" ht="25.15" hidden="1" customHeight="1" x14ac:dyDescent="0.25">
      <c r="A1079" s="112">
        <v>46252.688807870371</v>
      </c>
      <c r="B1079" s="112" t="s">
        <v>240</v>
      </c>
      <c r="C1079" s="5">
        <v>11549170</v>
      </c>
      <c r="D1079" s="5">
        <v>714630</v>
      </c>
      <c r="E1079" s="33">
        <f>36-30</f>
        <v>6</v>
      </c>
      <c r="F1079" s="60">
        <v>400</v>
      </c>
      <c r="G1079" s="60">
        <f>+OtherClients[[#This Row],[Boxes / Pieces]]*OtherClients[[#This Row],[Unit Quantity]]</f>
        <v>2400</v>
      </c>
      <c r="H1079" s="60">
        <v>290</v>
      </c>
      <c r="I1079" s="126" t="s">
        <v>278</v>
      </c>
      <c r="J1079" s="127"/>
      <c r="K1079" s="33" t="s">
        <v>278</v>
      </c>
      <c r="L1079" s="125"/>
      <c r="M1079" s="33" t="s">
        <v>278</v>
      </c>
      <c r="N1079" s="125"/>
      <c r="O1079" s="33" t="s">
        <v>278</v>
      </c>
      <c r="P1079" s="125"/>
      <c r="Q1079" s="33" t="s">
        <v>587</v>
      </c>
      <c r="R1079" s="125"/>
      <c r="S1079" s="33" t="s">
        <v>278</v>
      </c>
      <c r="T1079" s="125"/>
      <c r="U1079" s="33" t="s">
        <v>278</v>
      </c>
      <c r="V1079" s="125"/>
      <c r="W1079" s="59" t="s">
        <v>548</v>
      </c>
      <c r="X1079" s="33" t="str">
        <f>+VLOOKUP(OtherClients[[#This Row],[Part]],PartControl!$A$2:$E$564,5,FALSE)</f>
        <v>INFASCO</v>
      </c>
      <c r="Y1079" s="108">
        <f>IF(OtherClients[[#This Row],[Re-certified or New]]&lt;&gt;"Re-certified",IF(OtherClients[[#This Row],[Client]]="infasco",VLOOKUP(OtherClients[[#This Row],[Part]],PartControl!$A$2:$E$564,2,FALSE),OtherClients[[#This Row],[Total Quantity]]*VLOOKUP(OtherClients[[#This Row],[Part]],PartControl!$A$2:$E$564,2,FALSE)),0)</f>
        <v>106.94</v>
      </c>
      <c r="Z1079" s="108">
        <f>IF(OtherClients[[#This Row],[Re-certified or New]]&lt;&gt;"Re-certified",IF(OtherClients[[#This Row],[Client]]="infasco",VLOOKUP(OtherClients[[#This Row],[Part]],PartControl!$A$2:$E$564,2,FALSE),OtherClients[[#This Row],[Total Quantity]]*VLOOKUP(OtherClients[[#This Row],[Part]],PartControl!$A$2:$E$564,2,FALSE)),0)</f>
        <v>106.94</v>
      </c>
    </row>
    <row r="1080" spans="1:26" ht="25.15" hidden="1" customHeight="1" x14ac:dyDescent="0.25">
      <c r="A1080" s="112">
        <v>46252.688807870371</v>
      </c>
      <c r="B1080" s="112" t="s">
        <v>240</v>
      </c>
      <c r="C1080" s="5">
        <v>11549170</v>
      </c>
      <c r="D1080" s="5">
        <v>715819</v>
      </c>
      <c r="E1080" s="33">
        <v>36</v>
      </c>
      <c r="F1080" s="60">
        <v>400</v>
      </c>
      <c r="G1080" s="60">
        <f>+OtherClients[[#This Row],[Boxes / Pieces]]*OtherClients[[#This Row],[Unit Quantity]]</f>
        <v>14400</v>
      </c>
      <c r="H1080" s="60">
        <v>290</v>
      </c>
      <c r="I1080" s="126" t="s">
        <v>278</v>
      </c>
      <c r="J1080" s="127"/>
      <c r="K1080" s="33" t="s">
        <v>278</v>
      </c>
      <c r="L1080" s="125"/>
      <c r="M1080" s="33" t="s">
        <v>278</v>
      </c>
      <c r="N1080" s="125"/>
      <c r="O1080" s="33" t="s">
        <v>278</v>
      </c>
      <c r="P1080" s="125"/>
      <c r="Q1080" s="33" t="s">
        <v>587</v>
      </c>
      <c r="R1080" s="125"/>
      <c r="S1080" s="33" t="s">
        <v>278</v>
      </c>
      <c r="T1080" s="125"/>
      <c r="U1080" s="33" t="s">
        <v>278</v>
      </c>
      <c r="V1080" s="125"/>
      <c r="W1080" s="59" t="s">
        <v>548</v>
      </c>
      <c r="X1080" s="33" t="str">
        <f>+VLOOKUP(OtherClients[[#This Row],[Part]],PartControl!$A$2:$E$564,5,FALSE)</f>
        <v>INFASCO</v>
      </c>
      <c r="Y1080" s="108">
        <f>IF(OtherClients[[#This Row],[Re-certified or New]]&lt;&gt;"Re-certified",IF(OtherClients[[#This Row],[Client]]="infasco",VLOOKUP(OtherClients[[#This Row],[Part]],PartControl!$A$2:$E$564,2,FALSE),OtherClients[[#This Row],[Total Quantity]]*VLOOKUP(OtherClients[[#This Row],[Part]],PartControl!$A$2:$E$564,2,FALSE)),0)</f>
        <v>106.94</v>
      </c>
      <c r="Z1080" s="108">
        <f>IF(OtherClients[[#This Row],[Re-certified or New]]&lt;&gt;"Re-certified",IF(OtherClients[[#This Row],[Client]]="infasco",VLOOKUP(OtherClients[[#This Row],[Part]],PartControl!$A$2:$E$564,2,FALSE),OtherClients[[#This Row],[Total Quantity]]*VLOOKUP(OtherClients[[#This Row],[Part]],PartControl!$A$2:$E$564,2,FALSE)),0)</f>
        <v>106.94</v>
      </c>
    </row>
    <row r="1081" spans="1:26" ht="25.15" hidden="1" customHeight="1" x14ac:dyDescent="0.25">
      <c r="A1081" s="112">
        <v>46252.688807870371</v>
      </c>
      <c r="B1081" s="112" t="s">
        <v>240</v>
      </c>
      <c r="C1081" s="5">
        <v>11549170</v>
      </c>
      <c r="D1081" s="5">
        <v>715776</v>
      </c>
      <c r="E1081" s="33">
        <v>36</v>
      </c>
      <c r="F1081" s="60">
        <v>400</v>
      </c>
      <c r="G1081" s="60">
        <f>+OtherClients[[#This Row],[Boxes / Pieces]]*OtherClients[[#This Row],[Unit Quantity]]</f>
        <v>14400</v>
      </c>
      <c r="H1081" s="60">
        <v>290</v>
      </c>
      <c r="I1081" s="126" t="s">
        <v>278</v>
      </c>
      <c r="J1081" s="127"/>
      <c r="K1081" s="33" t="s">
        <v>278</v>
      </c>
      <c r="L1081" s="125"/>
      <c r="M1081" s="33" t="s">
        <v>278</v>
      </c>
      <c r="N1081" s="125"/>
      <c r="O1081" s="33" t="s">
        <v>278</v>
      </c>
      <c r="P1081" s="125"/>
      <c r="Q1081" s="33" t="s">
        <v>587</v>
      </c>
      <c r="R1081" s="125"/>
      <c r="S1081" s="33" t="s">
        <v>278</v>
      </c>
      <c r="T1081" s="125"/>
      <c r="U1081" s="33" t="s">
        <v>278</v>
      </c>
      <c r="V1081" s="125"/>
      <c r="W1081" s="59" t="s">
        <v>548</v>
      </c>
      <c r="X1081" s="33" t="str">
        <f>+VLOOKUP(OtherClients[[#This Row],[Part]],PartControl!$A$2:$E$564,5,FALSE)</f>
        <v>INFASCO</v>
      </c>
      <c r="Y1081" s="108">
        <f>IF(OtherClients[[#This Row],[Re-certified or New]]&lt;&gt;"Re-certified",IF(OtherClients[[#This Row],[Client]]="infasco",VLOOKUP(OtherClients[[#This Row],[Part]],PartControl!$A$2:$E$564,2,FALSE),OtherClients[[#This Row],[Total Quantity]]*VLOOKUP(OtherClients[[#This Row],[Part]],PartControl!$A$2:$E$564,2,FALSE)),0)</f>
        <v>106.94</v>
      </c>
      <c r="Z1081" s="108">
        <f>IF(OtherClients[[#This Row],[Re-certified or New]]&lt;&gt;"Re-certified",IF(OtherClients[[#This Row],[Client]]="infasco",VLOOKUP(OtherClients[[#This Row],[Part]],PartControl!$A$2:$E$564,2,FALSE),OtherClients[[#This Row],[Total Quantity]]*VLOOKUP(OtherClients[[#This Row],[Part]],PartControl!$A$2:$E$564,2,FALSE)),0)</f>
        <v>106.94</v>
      </c>
    </row>
    <row r="1082" spans="1:26" ht="25.15" hidden="1" customHeight="1" x14ac:dyDescent="0.25">
      <c r="A1082" s="112">
        <v>46252.688807870371</v>
      </c>
      <c r="B1082" s="112" t="s">
        <v>240</v>
      </c>
      <c r="C1082" s="5" t="s">
        <v>645</v>
      </c>
      <c r="D1082" s="5">
        <v>716504</v>
      </c>
      <c r="E1082" s="33">
        <v>14</v>
      </c>
      <c r="F1082" s="60">
        <v>1000</v>
      </c>
      <c r="G1082" s="60">
        <f>+OtherClients[[#This Row],[Boxes / Pieces]]*OtherClients[[#This Row],[Unit Quantity]]</f>
        <v>14000</v>
      </c>
      <c r="H1082" s="60">
        <v>290</v>
      </c>
      <c r="I1082" s="126" t="s">
        <v>278</v>
      </c>
      <c r="J1082" s="127"/>
      <c r="K1082" s="33" t="s">
        <v>278</v>
      </c>
      <c r="L1082" s="125"/>
      <c r="M1082" s="33" t="s">
        <v>278</v>
      </c>
      <c r="N1082" s="125"/>
      <c r="O1082" s="33" t="s">
        <v>278</v>
      </c>
      <c r="P1082" s="125"/>
      <c r="Q1082" s="33" t="s">
        <v>587</v>
      </c>
      <c r="R1082" s="125"/>
      <c r="S1082" s="33" t="s">
        <v>278</v>
      </c>
      <c r="T1082" s="125"/>
      <c r="U1082" s="33" t="s">
        <v>278</v>
      </c>
      <c r="V1082" s="125"/>
      <c r="W1082" s="59" t="s">
        <v>633</v>
      </c>
      <c r="X1082" s="33" t="str">
        <f>+VLOOKUP(OtherClients[[#This Row],[Part]],PartControl!$A$2:$E$564,5,FALSE)</f>
        <v>infasco</v>
      </c>
      <c r="Y1082" s="108">
        <f>IF(OtherClients[[#This Row],[Re-certified or New]]&lt;&gt;"Re-certified",IF(OtherClients[[#This Row],[Client]]="infasco",VLOOKUP(OtherClients[[#This Row],[Part]],PartControl!$A$2:$E$564,2,FALSE),OtherClients[[#This Row],[Total Quantity]]*VLOOKUP(OtherClients[[#This Row],[Part]],PartControl!$A$2:$E$564,2,FALSE)),0)</f>
        <v>0</v>
      </c>
      <c r="Z1082" s="108">
        <f>IF(OtherClients[[#This Row],[Re-certified or New]]&lt;&gt;"Re-certified",IF(OtherClients[[#This Row],[Client]]="infasco",VLOOKUP(OtherClients[[#This Row],[Part]],PartControl!$A$2:$E$564,2,FALSE),OtherClients[[#This Row],[Total Quantity]]*VLOOKUP(OtherClients[[#This Row],[Part]],PartControl!$A$2:$E$564,2,FALSE)),0)</f>
        <v>0</v>
      </c>
    </row>
    <row r="1083" spans="1:26" ht="25.15" hidden="1" customHeight="1" x14ac:dyDescent="0.25">
      <c r="A1083" s="112">
        <v>46252.688807870371</v>
      </c>
      <c r="B1083" s="112" t="s">
        <v>235</v>
      </c>
      <c r="C1083" s="5" t="s">
        <v>651</v>
      </c>
      <c r="D1083" s="5">
        <v>716102</v>
      </c>
      <c r="E1083" s="33">
        <f>24-2</f>
        <v>22</v>
      </c>
      <c r="F1083" s="60">
        <v>800</v>
      </c>
      <c r="G1083" s="60">
        <f>+OtherClients[[#This Row],[Boxes / Pieces]]*OtherClients[[#This Row],[Unit Quantity]]</f>
        <v>17600</v>
      </c>
      <c r="H1083" s="60">
        <v>290</v>
      </c>
      <c r="I1083" s="126" t="s">
        <v>278</v>
      </c>
      <c r="J1083" s="127"/>
      <c r="K1083" s="33" t="s">
        <v>278</v>
      </c>
      <c r="L1083" s="125"/>
      <c r="M1083" s="33" t="s">
        <v>278</v>
      </c>
      <c r="N1083" s="125"/>
      <c r="O1083" s="33" t="s">
        <v>278</v>
      </c>
      <c r="P1083" s="125"/>
      <c r="Q1083" s="33" t="s">
        <v>587</v>
      </c>
      <c r="R1083" s="125"/>
      <c r="S1083" s="33" t="s">
        <v>278</v>
      </c>
      <c r="T1083" s="125"/>
      <c r="U1083" s="33" t="s">
        <v>278</v>
      </c>
      <c r="V1083" s="125"/>
      <c r="W1083" s="59" t="s">
        <v>548</v>
      </c>
      <c r="X1083" s="33" t="str">
        <f>+VLOOKUP(OtherClients[[#This Row],[Part]],PartControl!$A$2:$E$564,5,FALSE)</f>
        <v>infasco</v>
      </c>
      <c r="Y1083" s="108">
        <f>IF(OtherClients[[#This Row],[Re-certified or New]]&lt;&gt;"Re-certified",IF(OtherClients[[#This Row],[Client]]="infasco",VLOOKUP(OtherClients[[#This Row],[Part]],PartControl!$A$2:$E$564,2,FALSE),OtherClients[[#This Row],[Total Quantity]]*VLOOKUP(OtherClients[[#This Row],[Part]],PartControl!$A$2:$E$564,2,FALSE)),0)</f>
        <v>280.15999999999997</v>
      </c>
      <c r="Z1083" s="108">
        <f>IF(OtherClients[[#This Row],[Re-certified or New]]&lt;&gt;"Re-certified",IF(OtherClients[[#This Row],[Client]]="infasco",VLOOKUP(OtherClients[[#This Row],[Part]],PartControl!$A$2:$E$564,2,FALSE),OtherClients[[#This Row],[Total Quantity]]*VLOOKUP(OtherClients[[#This Row],[Part]],PartControl!$A$2:$E$564,2,FALSE)),0)</f>
        <v>280.15999999999997</v>
      </c>
    </row>
    <row r="1084" spans="1:26" ht="25.15" hidden="1" customHeight="1" x14ac:dyDescent="0.25">
      <c r="A1084" s="112">
        <v>46252.688807870371</v>
      </c>
      <c r="B1084" s="112" t="s">
        <v>236</v>
      </c>
      <c r="C1084" s="5">
        <v>11546449</v>
      </c>
      <c r="D1084" s="5">
        <v>715764</v>
      </c>
      <c r="E1084" s="33">
        <v>37</v>
      </c>
      <c r="F1084" s="60">
        <v>2500</v>
      </c>
      <c r="G1084" s="60">
        <f>+OtherClients[[#This Row],[Boxes / Pieces]]*OtherClients[[#This Row],[Unit Quantity]]</f>
        <v>92500</v>
      </c>
      <c r="H1084" s="60">
        <v>290</v>
      </c>
      <c r="I1084" s="126" t="s">
        <v>278</v>
      </c>
      <c r="J1084" s="127"/>
      <c r="K1084" s="33" t="s">
        <v>278</v>
      </c>
      <c r="L1084" s="125"/>
      <c r="M1084" s="33" t="s">
        <v>278</v>
      </c>
      <c r="N1084" s="125"/>
      <c r="O1084" s="33" t="s">
        <v>278</v>
      </c>
      <c r="P1084" s="125"/>
      <c r="Q1084" s="33" t="s">
        <v>587</v>
      </c>
      <c r="R1084" s="125"/>
      <c r="S1084" s="33" t="s">
        <v>278</v>
      </c>
      <c r="T1084" s="125"/>
      <c r="U1084" s="33" t="s">
        <v>278</v>
      </c>
      <c r="V1084" s="125"/>
      <c r="W1084" s="59" t="s">
        <v>548</v>
      </c>
      <c r="X1084" s="33" t="str">
        <f>+VLOOKUP(OtherClients[[#This Row],[Part]],PartControl!$A$2:$E$564,5,FALSE)</f>
        <v>INFASCO</v>
      </c>
      <c r="Y1084" s="108">
        <f>IF(OtherClients[[#This Row],[Re-certified or New]]&lt;&gt;"Re-certified",IF(OtherClients[[#This Row],[Client]]="infasco",VLOOKUP(OtherClients[[#This Row],[Part]],PartControl!$A$2:$E$564,2,FALSE),OtherClients[[#This Row],[Total Quantity]]*VLOOKUP(OtherClients[[#This Row],[Part]],PartControl!$A$2:$E$564,2,FALSE)),0)</f>
        <v>106.94</v>
      </c>
      <c r="Z1084" s="108">
        <f>IF(OtherClients[[#This Row],[Re-certified or New]]&lt;&gt;"Re-certified",IF(OtherClients[[#This Row],[Client]]="infasco",VLOOKUP(OtherClients[[#This Row],[Part]],PartControl!$A$2:$E$564,2,FALSE),OtherClients[[#This Row],[Total Quantity]]*VLOOKUP(OtherClients[[#This Row],[Part]],PartControl!$A$2:$E$564,2,FALSE)),0)</f>
        <v>106.94</v>
      </c>
    </row>
    <row r="1085" spans="1:26" ht="25.15" hidden="1" customHeight="1" x14ac:dyDescent="0.25">
      <c r="A1085" s="112">
        <v>46252.688807870371</v>
      </c>
      <c r="B1085" s="112" t="s">
        <v>236</v>
      </c>
      <c r="C1085" s="5">
        <v>11546449</v>
      </c>
      <c r="D1085" s="5">
        <v>715762</v>
      </c>
      <c r="E1085" s="33">
        <v>9</v>
      </c>
      <c r="F1085" s="60">
        <v>2500</v>
      </c>
      <c r="G1085" s="60">
        <f>+OtherClients[[#This Row],[Boxes / Pieces]]*OtherClients[[#This Row],[Unit Quantity]]</f>
        <v>22500</v>
      </c>
      <c r="H1085" s="60">
        <v>290</v>
      </c>
      <c r="I1085" s="126" t="s">
        <v>278</v>
      </c>
      <c r="J1085" s="127"/>
      <c r="K1085" s="33" t="s">
        <v>278</v>
      </c>
      <c r="L1085" s="125"/>
      <c r="M1085" s="33" t="s">
        <v>278</v>
      </c>
      <c r="N1085" s="125"/>
      <c r="O1085" s="33" t="s">
        <v>278</v>
      </c>
      <c r="P1085" s="125"/>
      <c r="Q1085" s="33" t="s">
        <v>587</v>
      </c>
      <c r="R1085" s="125"/>
      <c r="S1085" s="33" t="s">
        <v>278</v>
      </c>
      <c r="T1085" s="125"/>
      <c r="U1085" s="33" t="s">
        <v>278</v>
      </c>
      <c r="V1085" s="125"/>
      <c r="W1085" s="59" t="s">
        <v>633</v>
      </c>
      <c r="X1085" s="33" t="str">
        <f>+VLOOKUP(OtherClients[[#This Row],[Part]],PartControl!$A$2:$E$564,5,FALSE)</f>
        <v>INFASCO</v>
      </c>
      <c r="Y1085" s="108">
        <f>IF(OtherClients[[#This Row],[Re-certified or New]]&lt;&gt;"Re-certified",IF(OtherClients[[#This Row],[Client]]="infasco",VLOOKUP(OtherClients[[#This Row],[Part]],PartControl!$A$2:$E$564,2,FALSE),OtherClients[[#This Row],[Total Quantity]]*VLOOKUP(OtherClients[[#This Row],[Part]],PartControl!$A$2:$E$564,2,FALSE)),0)</f>
        <v>0</v>
      </c>
      <c r="Z1085" s="108">
        <f>IF(OtherClients[[#This Row],[Re-certified or New]]&lt;&gt;"Re-certified",IF(OtherClients[[#This Row],[Client]]="infasco",VLOOKUP(OtherClients[[#This Row],[Part]],PartControl!$A$2:$E$564,2,FALSE),OtherClients[[#This Row],[Total Quantity]]*VLOOKUP(OtherClients[[#This Row],[Part]],PartControl!$A$2:$E$564,2,FALSE)),0)</f>
        <v>0</v>
      </c>
    </row>
    <row r="1086" spans="1:26" ht="25.15" hidden="1" customHeight="1" x14ac:dyDescent="0.25">
      <c r="A1086" s="112">
        <v>46252.688807870371</v>
      </c>
      <c r="B1086" s="112" t="s">
        <v>239</v>
      </c>
      <c r="C1086" s="5">
        <v>11549170</v>
      </c>
      <c r="D1086" s="5">
        <v>714631</v>
      </c>
      <c r="E1086" s="33">
        <v>36</v>
      </c>
      <c r="F1086" s="60">
        <v>400</v>
      </c>
      <c r="G1086" s="60">
        <f>+OtherClients[[#This Row],[Boxes / Pieces]]*OtherClients[[#This Row],[Unit Quantity]]</f>
        <v>14400</v>
      </c>
      <c r="H1086" s="60">
        <v>290</v>
      </c>
      <c r="I1086" s="126" t="s">
        <v>278</v>
      </c>
      <c r="J1086" s="127"/>
      <c r="K1086" s="33" t="s">
        <v>278</v>
      </c>
      <c r="L1086" s="125"/>
      <c r="M1086" s="33" t="s">
        <v>278</v>
      </c>
      <c r="N1086" s="125"/>
      <c r="O1086" s="33" t="s">
        <v>278</v>
      </c>
      <c r="P1086" s="125"/>
      <c r="Q1086" s="33" t="s">
        <v>587</v>
      </c>
      <c r="R1086" s="125"/>
      <c r="S1086" s="33" t="s">
        <v>278</v>
      </c>
      <c r="T1086" s="125"/>
      <c r="U1086" s="33" t="s">
        <v>278</v>
      </c>
      <c r="V1086" s="125"/>
      <c r="W1086" s="59" t="s">
        <v>548</v>
      </c>
      <c r="X1086" s="33" t="str">
        <f>+VLOOKUP(OtherClients[[#This Row],[Part]],PartControl!$A$2:$E$564,5,FALSE)</f>
        <v>INFASCO</v>
      </c>
      <c r="Y1086" s="108">
        <f>IF(OtherClients[[#This Row],[Re-certified or New]]&lt;&gt;"Re-certified",IF(OtherClients[[#This Row],[Client]]="infasco",VLOOKUP(OtherClients[[#This Row],[Part]],PartControl!$A$2:$E$564,2,FALSE),OtherClients[[#This Row],[Total Quantity]]*VLOOKUP(OtherClients[[#This Row],[Part]],PartControl!$A$2:$E$564,2,FALSE)),0)</f>
        <v>106.94</v>
      </c>
      <c r="Z1086" s="108">
        <f>IF(OtherClients[[#This Row],[Re-certified or New]]&lt;&gt;"Re-certified",IF(OtherClients[[#This Row],[Client]]="infasco",VLOOKUP(OtherClients[[#This Row],[Part]],PartControl!$A$2:$E$564,2,FALSE),OtherClients[[#This Row],[Total Quantity]]*VLOOKUP(OtherClients[[#This Row],[Part]],PartControl!$A$2:$E$564,2,FALSE)),0)</f>
        <v>106.94</v>
      </c>
    </row>
    <row r="1087" spans="1:26" ht="25.15" hidden="1" customHeight="1" x14ac:dyDescent="0.25">
      <c r="A1087" s="112">
        <v>46252.688807870371</v>
      </c>
      <c r="B1087" s="112" t="s">
        <v>239</v>
      </c>
      <c r="C1087" s="5">
        <v>11549170</v>
      </c>
      <c r="D1087" s="5">
        <v>715783</v>
      </c>
      <c r="E1087" s="33">
        <v>58</v>
      </c>
      <c r="F1087" s="60">
        <v>400</v>
      </c>
      <c r="G1087" s="60">
        <f>+OtherClients[[#This Row],[Boxes / Pieces]]*OtherClients[[#This Row],[Unit Quantity]]</f>
        <v>23200</v>
      </c>
      <c r="H1087" s="60">
        <v>290</v>
      </c>
      <c r="I1087" s="126" t="s">
        <v>278</v>
      </c>
      <c r="J1087" s="127"/>
      <c r="K1087" s="33" t="s">
        <v>278</v>
      </c>
      <c r="L1087" s="125"/>
      <c r="M1087" s="33" t="s">
        <v>278</v>
      </c>
      <c r="N1087" s="125"/>
      <c r="O1087" s="33" t="s">
        <v>278</v>
      </c>
      <c r="P1087" s="125"/>
      <c r="Q1087" s="33" t="s">
        <v>587</v>
      </c>
      <c r="R1087" s="125"/>
      <c r="S1087" s="33" t="s">
        <v>278</v>
      </c>
      <c r="T1087" s="125"/>
      <c r="U1087" s="33" t="s">
        <v>278</v>
      </c>
      <c r="V1087" s="125"/>
      <c r="W1087" s="59" t="s">
        <v>548</v>
      </c>
      <c r="X1087" s="33" t="str">
        <f>+VLOOKUP(OtherClients[[#This Row],[Part]],PartControl!$A$2:$E$564,5,FALSE)</f>
        <v>INFASCO</v>
      </c>
      <c r="Y1087" s="108">
        <f>IF(OtherClients[[#This Row],[Re-certified or New]]&lt;&gt;"Re-certified",IF(OtherClients[[#This Row],[Client]]="infasco",VLOOKUP(OtherClients[[#This Row],[Part]],PartControl!$A$2:$E$564,2,FALSE),OtherClients[[#This Row],[Total Quantity]]*VLOOKUP(OtherClients[[#This Row],[Part]],PartControl!$A$2:$E$564,2,FALSE)),0)</f>
        <v>106.94</v>
      </c>
      <c r="Z1087" s="108">
        <f>IF(OtherClients[[#This Row],[Re-certified or New]]&lt;&gt;"Re-certified",IF(OtherClients[[#This Row],[Client]]="infasco",VLOOKUP(OtherClients[[#This Row],[Part]],PartControl!$A$2:$E$564,2,FALSE),OtherClients[[#This Row],[Total Quantity]]*VLOOKUP(OtherClients[[#This Row],[Part]],PartControl!$A$2:$E$564,2,FALSE)),0)</f>
        <v>106.94</v>
      </c>
    </row>
    <row r="1088" spans="1:26" ht="25.15" hidden="1" customHeight="1" x14ac:dyDescent="0.25">
      <c r="A1088" s="112">
        <v>46252.688807870371</v>
      </c>
      <c r="B1088" s="112" t="s">
        <v>239</v>
      </c>
      <c r="C1088" s="5" t="s">
        <v>747</v>
      </c>
      <c r="D1088" s="5">
        <v>715719</v>
      </c>
      <c r="E1088" s="33">
        <v>36</v>
      </c>
      <c r="F1088" s="60">
        <v>450</v>
      </c>
      <c r="G1088" s="60">
        <f>+OtherClients[[#This Row],[Boxes / Pieces]]*OtherClients[[#This Row],[Unit Quantity]]</f>
        <v>16200</v>
      </c>
      <c r="H1088" s="60">
        <v>290</v>
      </c>
      <c r="I1088" s="126" t="s">
        <v>278</v>
      </c>
      <c r="J1088" s="127"/>
      <c r="K1088" s="33" t="s">
        <v>278</v>
      </c>
      <c r="L1088" s="125"/>
      <c r="M1088" s="33" t="s">
        <v>278</v>
      </c>
      <c r="N1088" s="125"/>
      <c r="O1088" s="33" t="s">
        <v>278</v>
      </c>
      <c r="P1088" s="125"/>
      <c r="Q1088" s="33" t="s">
        <v>587</v>
      </c>
      <c r="R1088" s="125"/>
      <c r="S1088" s="33" t="s">
        <v>278</v>
      </c>
      <c r="T1088" s="125"/>
      <c r="U1088" s="33" t="s">
        <v>278</v>
      </c>
      <c r="V1088" s="125"/>
      <c r="W1088" s="59" t="s">
        <v>548</v>
      </c>
      <c r="X1088" s="33" t="str">
        <f>+VLOOKUP(OtherClients[[#This Row],[Part]],PartControl!$A$2:$E$564,5,FALSE)</f>
        <v>infasco</v>
      </c>
      <c r="Y1088" s="108">
        <f>IF(OtherClients[[#This Row],[Re-certified or New]]&lt;&gt;"Re-certified",IF(OtherClients[[#This Row],[Client]]="infasco",VLOOKUP(OtherClients[[#This Row],[Part]],PartControl!$A$2:$E$564,2,FALSE),OtherClients[[#This Row],[Total Quantity]]*VLOOKUP(OtherClients[[#This Row],[Part]],PartControl!$A$2:$E$564,2,FALSE)),0)</f>
        <v>106.94</v>
      </c>
      <c r="Z1088" s="108">
        <f>IF(OtherClients[[#This Row],[Re-certified or New]]&lt;&gt;"Re-certified",IF(OtherClients[[#This Row],[Client]]="infasco",VLOOKUP(OtherClients[[#This Row],[Part]],PartControl!$A$2:$E$564,2,FALSE),OtherClients[[#This Row],[Total Quantity]]*VLOOKUP(OtherClients[[#This Row],[Part]],PartControl!$A$2:$E$564,2,FALSE)),0)</f>
        <v>106.94</v>
      </c>
    </row>
    <row r="1089" spans="1:26" ht="25.15" hidden="1" customHeight="1" x14ac:dyDescent="0.25">
      <c r="A1089" s="112">
        <v>46252.688807870371</v>
      </c>
      <c r="B1089" s="112" t="s">
        <v>246</v>
      </c>
      <c r="C1089" s="5" t="s">
        <v>700</v>
      </c>
      <c r="D1089" s="5">
        <v>714531</v>
      </c>
      <c r="E1089" s="33">
        <f>36-15</f>
        <v>21</v>
      </c>
      <c r="F1089" s="60">
        <v>1000</v>
      </c>
      <c r="G1089" s="60">
        <f>+OtherClients[[#This Row],[Boxes / Pieces]]*OtherClients[[#This Row],[Unit Quantity]]</f>
        <v>21000</v>
      </c>
      <c r="H1089" s="60">
        <v>292</v>
      </c>
      <c r="I1089" s="126" t="s">
        <v>278</v>
      </c>
      <c r="J1089" s="127"/>
      <c r="K1089" s="33" t="s">
        <v>278</v>
      </c>
      <c r="L1089" s="125"/>
      <c r="M1089" s="33" t="s">
        <v>278</v>
      </c>
      <c r="N1089" s="125"/>
      <c r="O1089" s="33" t="s">
        <v>278</v>
      </c>
      <c r="P1089" s="125"/>
      <c r="Q1089" s="33" t="s">
        <v>587</v>
      </c>
      <c r="R1089" s="125"/>
      <c r="S1089" s="33" t="s">
        <v>278</v>
      </c>
      <c r="T1089" s="125"/>
      <c r="U1089" s="33" t="s">
        <v>278</v>
      </c>
      <c r="V1089" s="125"/>
      <c r="W1089" s="59" t="s">
        <v>548</v>
      </c>
      <c r="X1089" s="33" t="str">
        <f>+VLOOKUP(OtherClients[[#This Row],[Part]],PartControl!$A$2:$E$564,5,FALSE)</f>
        <v>infasco</v>
      </c>
      <c r="Y1089" s="108">
        <f>IF(OtherClients[[#This Row],[Re-certified or New]]&lt;&gt;"Re-certified",IF(OtherClients[[#This Row],[Client]]="infasco",VLOOKUP(OtherClients[[#This Row],[Part]],PartControl!$A$2:$E$564,2,FALSE),OtherClients[[#This Row],[Total Quantity]]*VLOOKUP(OtherClients[[#This Row],[Part]],PartControl!$A$2:$E$564,2,FALSE)),0)</f>
        <v>106.94</v>
      </c>
      <c r="Z1089" s="108">
        <f>IF(OtherClients[[#This Row],[Re-certified or New]]&lt;&gt;"Re-certified",IF(OtherClients[[#This Row],[Client]]="infasco",VLOOKUP(OtherClients[[#This Row],[Part]],PartControl!$A$2:$E$564,2,FALSE),OtherClients[[#This Row],[Total Quantity]]*VLOOKUP(OtherClients[[#This Row],[Part]],PartControl!$A$2:$E$564,2,FALSE)),0)</f>
        <v>106.94</v>
      </c>
    </row>
    <row r="1090" spans="1:26" ht="25.15" hidden="1" customHeight="1" x14ac:dyDescent="0.25">
      <c r="A1090" s="112">
        <v>46252.688807870371</v>
      </c>
      <c r="B1090" s="112" t="s">
        <v>244</v>
      </c>
      <c r="C1090" s="5" t="s">
        <v>644</v>
      </c>
      <c r="D1090" s="5">
        <v>715606</v>
      </c>
      <c r="E1090" s="33">
        <f>26-23</f>
        <v>3</v>
      </c>
      <c r="F1090" s="60">
        <v>2200</v>
      </c>
      <c r="G1090" s="60">
        <f>+OtherClients[[#This Row],[Boxes / Pieces]]*OtherClients[[#This Row],[Unit Quantity]]</f>
        <v>6600</v>
      </c>
      <c r="H1090" s="60">
        <v>292</v>
      </c>
      <c r="I1090" s="126" t="s">
        <v>278</v>
      </c>
      <c r="J1090" s="127"/>
      <c r="K1090" s="33" t="s">
        <v>278</v>
      </c>
      <c r="L1090" s="125"/>
      <c r="M1090" s="33" t="s">
        <v>278</v>
      </c>
      <c r="N1090" s="125"/>
      <c r="O1090" s="33" t="s">
        <v>278</v>
      </c>
      <c r="P1090" s="125"/>
      <c r="Q1090" s="33" t="s">
        <v>587</v>
      </c>
      <c r="R1090" s="125"/>
      <c r="S1090" s="33" t="s">
        <v>278</v>
      </c>
      <c r="T1090" s="125"/>
      <c r="U1090" s="33" t="s">
        <v>278</v>
      </c>
      <c r="V1090" s="125"/>
      <c r="W1090" s="59" t="s">
        <v>548</v>
      </c>
      <c r="X1090" s="33" t="str">
        <f>+VLOOKUP(OtherClients[[#This Row],[Part]],PartControl!$A$2:$E$564,5,FALSE)</f>
        <v>infasco</v>
      </c>
      <c r="Y1090" s="108">
        <f>IF(OtherClients[[#This Row],[Re-certified or New]]&lt;&gt;"Re-certified",IF(OtherClients[[#This Row],[Client]]="infasco",VLOOKUP(OtherClients[[#This Row],[Part]],PartControl!$A$2:$E$564,2,FALSE),OtherClients[[#This Row],[Total Quantity]]*VLOOKUP(OtherClients[[#This Row],[Part]],PartControl!$A$2:$E$564,2,FALSE)),0)</f>
        <v>106.94</v>
      </c>
      <c r="Z1090" s="108">
        <f>IF(OtherClients[[#This Row],[Re-certified or New]]&lt;&gt;"Re-certified",IF(OtherClients[[#This Row],[Client]]="infasco",VLOOKUP(OtherClients[[#This Row],[Part]],PartControl!$A$2:$E$564,2,FALSE),OtherClients[[#This Row],[Total Quantity]]*VLOOKUP(OtherClients[[#This Row],[Part]],PartControl!$A$2:$E$564,2,FALSE)),0)</f>
        <v>106.94</v>
      </c>
    </row>
    <row r="1091" spans="1:26" ht="25.15" hidden="1" customHeight="1" x14ac:dyDescent="0.25">
      <c r="A1091" s="112">
        <v>46252.688807870371</v>
      </c>
      <c r="B1091" s="112" t="s">
        <v>244</v>
      </c>
      <c r="C1091" s="5" t="s">
        <v>700</v>
      </c>
      <c r="D1091" s="5">
        <v>714530</v>
      </c>
      <c r="E1091" s="33">
        <f>36+5</f>
        <v>41</v>
      </c>
      <c r="F1091" s="60">
        <v>1000</v>
      </c>
      <c r="G1091" s="60">
        <f>+OtherClients[[#This Row],[Boxes / Pieces]]*OtherClients[[#This Row],[Unit Quantity]]</f>
        <v>41000</v>
      </c>
      <c r="H1091" s="60">
        <v>292</v>
      </c>
      <c r="I1091" s="126" t="s">
        <v>278</v>
      </c>
      <c r="J1091" s="127"/>
      <c r="K1091" s="33" t="s">
        <v>278</v>
      </c>
      <c r="L1091" s="125"/>
      <c r="M1091" s="33" t="s">
        <v>278</v>
      </c>
      <c r="N1091" s="125"/>
      <c r="O1091" s="33" t="s">
        <v>278</v>
      </c>
      <c r="P1091" s="125"/>
      <c r="Q1091" s="33" t="s">
        <v>587</v>
      </c>
      <c r="R1091" s="125"/>
      <c r="S1091" s="33" t="s">
        <v>278</v>
      </c>
      <c r="T1091" s="125"/>
      <c r="U1091" s="33" t="s">
        <v>278</v>
      </c>
      <c r="V1091" s="125"/>
      <c r="W1091" s="59" t="s">
        <v>548</v>
      </c>
      <c r="X1091" s="33" t="str">
        <f>+VLOOKUP(OtherClients[[#This Row],[Part]],PartControl!$A$2:$E$564,5,FALSE)</f>
        <v>infasco</v>
      </c>
      <c r="Y1091" s="108">
        <f>IF(OtherClients[[#This Row],[Re-certified or New]]&lt;&gt;"Re-certified",IF(OtherClients[[#This Row],[Client]]="infasco",VLOOKUP(OtherClients[[#This Row],[Part]],PartControl!$A$2:$E$564,2,FALSE),OtherClients[[#This Row],[Total Quantity]]*VLOOKUP(OtherClients[[#This Row],[Part]],PartControl!$A$2:$E$564,2,FALSE)),0)</f>
        <v>106.94</v>
      </c>
      <c r="Z1091" s="108">
        <f>IF(OtherClients[[#This Row],[Re-certified or New]]&lt;&gt;"Re-certified",IF(OtherClients[[#This Row],[Client]]="infasco",VLOOKUP(OtherClients[[#This Row],[Part]],PartControl!$A$2:$E$564,2,FALSE),OtherClients[[#This Row],[Total Quantity]]*VLOOKUP(OtherClients[[#This Row],[Part]],PartControl!$A$2:$E$564,2,FALSE)),0)</f>
        <v>106.94</v>
      </c>
    </row>
    <row r="1092" spans="1:26" ht="25.15" hidden="1" customHeight="1" x14ac:dyDescent="0.25">
      <c r="A1092" s="112">
        <v>46252.688807870371</v>
      </c>
      <c r="B1092" s="5" t="s">
        <v>624</v>
      </c>
      <c r="C1092" s="5">
        <v>11549170</v>
      </c>
      <c r="D1092" s="5">
        <v>714365</v>
      </c>
      <c r="E1092" s="33">
        <f>36-15</f>
        <v>21</v>
      </c>
      <c r="F1092" s="60">
        <v>400</v>
      </c>
      <c r="G1092" s="60">
        <f>+OtherClients[[#This Row],[Boxes / Pieces]]*OtherClients[[#This Row],[Unit Quantity]]</f>
        <v>8400</v>
      </c>
      <c r="H1092" s="60">
        <v>292</v>
      </c>
      <c r="I1092" s="126" t="s">
        <v>278</v>
      </c>
      <c r="J1092" s="127"/>
      <c r="K1092" s="33" t="s">
        <v>278</v>
      </c>
      <c r="L1092" s="125"/>
      <c r="M1092" s="33" t="s">
        <v>278</v>
      </c>
      <c r="N1092" s="125"/>
      <c r="O1092" s="33" t="s">
        <v>278</v>
      </c>
      <c r="P1092" s="125"/>
      <c r="Q1092" s="33" t="s">
        <v>587</v>
      </c>
      <c r="R1092" s="125"/>
      <c r="S1092" s="33" t="s">
        <v>278</v>
      </c>
      <c r="T1092" s="125"/>
      <c r="U1092" s="33" t="s">
        <v>278</v>
      </c>
      <c r="V1092" s="125"/>
      <c r="W1092" s="59" t="s">
        <v>548</v>
      </c>
      <c r="X1092" s="33" t="str">
        <f>+VLOOKUP(OtherClients[[#This Row],[Part]],PartControl!$A$2:$E$564,5,FALSE)</f>
        <v>INFASCO</v>
      </c>
      <c r="Y1092" s="108">
        <f>IF(OtherClients[[#This Row],[Re-certified or New]]&lt;&gt;"Re-certified",IF(OtherClients[[#This Row],[Client]]="infasco",VLOOKUP(OtherClients[[#This Row],[Part]],PartControl!$A$2:$E$564,2,FALSE),OtherClients[[#This Row],[Total Quantity]]*VLOOKUP(OtherClients[[#This Row],[Part]],PartControl!$A$2:$E$564,2,FALSE)),0)</f>
        <v>106.94</v>
      </c>
      <c r="Z1092" s="108">
        <f>IF(OtherClients[[#This Row],[Re-certified or New]]&lt;&gt;"Re-certified",IF(OtherClients[[#This Row],[Client]]="infasco",VLOOKUP(OtherClients[[#This Row],[Part]],PartControl!$A$2:$E$564,2,FALSE),OtherClients[[#This Row],[Total Quantity]]*VLOOKUP(OtherClients[[#This Row],[Part]],PartControl!$A$2:$E$564,2,FALSE)),0)</f>
        <v>106.94</v>
      </c>
    </row>
    <row r="1093" spans="1:26" ht="25.15" hidden="1" customHeight="1" x14ac:dyDescent="0.25">
      <c r="A1093" s="112">
        <v>46252.688807870371</v>
      </c>
      <c r="B1093" s="5" t="s">
        <v>624</v>
      </c>
      <c r="C1093" s="5">
        <v>11549170</v>
      </c>
      <c r="D1093" s="5">
        <v>715822</v>
      </c>
      <c r="E1093" s="33">
        <f>36+19</f>
        <v>55</v>
      </c>
      <c r="F1093" s="60">
        <v>400</v>
      </c>
      <c r="G1093" s="60">
        <f>+OtherClients[[#This Row],[Boxes / Pieces]]*OtherClients[[#This Row],[Unit Quantity]]</f>
        <v>22000</v>
      </c>
      <c r="H1093" s="60">
        <v>292</v>
      </c>
      <c r="I1093" s="126" t="s">
        <v>278</v>
      </c>
      <c r="J1093" s="127"/>
      <c r="K1093" s="33" t="s">
        <v>278</v>
      </c>
      <c r="L1093" s="125"/>
      <c r="M1093" s="33" t="s">
        <v>278</v>
      </c>
      <c r="N1093" s="125"/>
      <c r="O1093" s="33" t="s">
        <v>278</v>
      </c>
      <c r="P1093" s="125"/>
      <c r="Q1093" s="33" t="s">
        <v>587</v>
      </c>
      <c r="R1093" s="125"/>
      <c r="S1093" s="33" t="s">
        <v>278</v>
      </c>
      <c r="T1093" s="125"/>
      <c r="U1093" s="33" t="s">
        <v>278</v>
      </c>
      <c r="V1093" s="125"/>
      <c r="W1093" s="59" t="s">
        <v>548</v>
      </c>
      <c r="X1093" s="33" t="str">
        <f>+VLOOKUP(OtherClients[[#This Row],[Part]],PartControl!$A$2:$E$564,5,FALSE)</f>
        <v>INFASCO</v>
      </c>
      <c r="Y1093" s="108">
        <f>IF(OtherClients[[#This Row],[Re-certified or New]]&lt;&gt;"Re-certified",IF(OtherClients[[#This Row],[Client]]="infasco",VLOOKUP(OtherClients[[#This Row],[Part]],PartControl!$A$2:$E$564,2,FALSE),OtherClients[[#This Row],[Total Quantity]]*VLOOKUP(OtherClients[[#This Row],[Part]],PartControl!$A$2:$E$564,2,FALSE)),0)</f>
        <v>106.94</v>
      </c>
      <c r="Z1093" s="108">
        <f>IF(OtherClients[[#This Row],[Re-certified or New]]&lt;&gt;"Re-certified",IF(OtherClients[[#This Row],[Client]]="infasco",VLOOKUP(OtherClients[[#This Row],[Part]],PartControl!$A$2:$E$564,2,FALSE),OtherClients[[#This Row],[Total Quantity]]*VLOOKUP(OtherClients[[#This Row],[Part]],PartControl!$A$2:$E$564,2,FALSE)),0)</f>
        <v>106.94</v>
      </c>
    </row>
    <row r="1094" spans="1:26" ht="25.15" hidden="1" customHeight="1" x14ac:dyDescent="0.25">
      <c r="A1094" s="112">
        <v>46252.688807870371</v>
      </c>
      <c r="B1094" s="5" t="s">
        <v>624</v>
      </c>
      <c r="C1094" s="5" t="s">
        <v>705</v>
      </c>
      <c r="D1094" s="5">
        <v>715717</v>
      </c>
      <c r="E1094" s="33">
        <v>36</v>
      </c>
      <c r="F1094" s="60">
        <v>450</v>
      </c>
      <c r="G1094" s="60">
        <f>+OtherClients[[#This Row],[Boxes / Pieces]]*OtherClients[[#This Row],[Unit Quantity]]</f>
        <v>16200</v>
      </c>
      <c r="H1094" s="60">
        <v>292</v>
      </c>
      <c r="I1094" s="126" t="s">
        <v>278</v>
      </c>
      <c r="J1094" s="127"/>
      <c r="K1094" s="33" t="s">
        <v>278</v>
      </c>
      <c r="L1094" s="125"/>
      <c r="M1094" s="33" t="s">
        <v>278</v>
      </c>
      <c r="N1094" s="125"/>
      <c r="O1094" s="33" t="s">
        <v>278</v>
      </c>
      <c r="P1094" s="125"/>
      <c r="Q1094" s="33" t="s">
        <v>587</v>
      </c>
      <c r="R1094" s="125"/>
      <c r="S1094" s="33" t="s">
        <v>278</v>
      </c>
      <c r="T1094" s="125"/>
      <c r="U1094" s="33" t="s">
        <v>278</v>
      </c>
      <c r="V1094" s="125"/>
      <c r="W1094" s="59" t="s">
        <v>548</v>
      </c>
      <c r="X1094" s="33" t="str">
        <f>+VLOOKUP(OtherClients[[#This Row],[Part]],PartControl!$A$2:$E$564,5,FALSE)</f>
        <v>infasco</v>
      </c>
      <c r="Y1094" s="108">
        <f>IF(OtherClients[[#This Row],[Re-certified or New]]&lt;&gt;"Re-certified",IF(OtherClients[[#This Row],[Client]]="infasco",VLOOKUP(OtherClients[[#This Row],[Part]],PartControl!$A$2:$E$564,2,FALSE),OtherClients[[#This Row],[Total Quantity]]*VLOOKUP(OtherClients[[#This Row],[Part]],PartControl!$A$2:$E$564,2,FALSE)),0)</f>
        <v>106.94</v>
      </c>
      <c r="Z1094" s="108">
        <f>IF(OtherClients[[#This Row],[Re-certified or New]]&lt;&gt;"Re-certified",IF(OtherClients[[#This Row],[Client]]="infasco",VLOOKUP(OtherClients[[#This Row],[Part]],PartControl!$A$2:$E$564,2,FALSE),OtherClients[[#This Row],[Total Quantity]]*VLOOKUP(OtherClients[[#This Row],[Part]],PartControl!$A$2:$E$564,2,FALSE)),0)</f>
        <v>106.94</v>
      </c>
    </row>
    <row r="1095" spans="1:26" ht="25.15" hidden="1" customHeight="1" x14ac:dyDescent="0.25">
      <c r="A1095" s="112">
        <v>46252.688807870371</v>
      </c>
      <c r="B1095" s="5" t="s">
        <v>251</v>
      </c>
      <c r="C1095" s="5">
        <v>11549168</v>
      </c>
      <c r="D1095" s="5">
        <v>714306</v>
      </c>
      <c r="E1095" s="33">
        <f>16-10</f>
        <v>6</v>
      </c>
      <c r="F1095" s="60">
        <v>1000</v>
      </c>
      <c r="G1095" s="60">
        <f>+OtherClients[[#This Row],[Boxes / Pieces]]*OtherClients[[#This Row],[Unit Quantity]]</f>
        <v>6000</v>
      </c>
      <c r="H1095" s="60">
        <v>292</v>
      </c>
      <c r="I1095" s="126" t="s">
        <v>278</v>
      </c>
      <c r="J1095" s="127"/>
      <c r="K1095" s="33" t="s">
        <v>278</v>
      </c>
      <c r="L1095" s="125"/>
      <c r="M1095" s="33" t="s">
        <v>278</v>
      </c>
      <c r="N1095" s="125"/>
      <c r="O1095" s="33" t="s">
        <v>278</v>
      </c>
      <c r="P1095" s="125"/>
      <c r="Q1095" s="33" t="s">
        <v>587</v>
      </c>
      <c r="R1095" s="125"/>
      <c r="S1095" s="33" t="s">
        <v>278</v>
      </c>
      <c r="T1095" s="125"/>
      <c r="U1095" s="33" t="s">
        <v>278</v>
      </c>
      <c r="V1095" s="125"/>
      <c r="W1095" s="59" t="s">
        <v>548</v>
      </c>
      <c r="X1095" s="33" t="str">
        <f>+VLOOKUP(OtherClients[[#This Row],[Part]],PartControl!$A$2:$E$564,5,FALSE)</f>
        <v>INFASCO</v>
      </c>
      <c r="Y1095" s="108">
        <f>IF(OtherClients[[#This Row],[Re-certified or New]]&lt;&gt;"Re-certified",IF(OtherClients[[#This Row],[Client]]="infasco",VLOOKUP(OtherClients[[#This Row],[Part]],PartControl!$A$2:$E$564,2,FALSE),OtherClients[[#This Row],[Total Quantity]]*VLOOKUP(OtherClients[[#This Row],[Part]],PartControl!$A$2:$E$564,2,FALSE)),0)</f>
        <v>106.94</v>
      </c>
      <c r="Z1095" s="108">
        <f>IF(OtherClients[[#This Row],[Re-certified or New]]&lt;&gt;"Re-certified",IF(OtherClients[[#This Row],[Client]]="infasco",VLOOKUP(OtherClients[[#This Row],[Part]],PartControl!$A$2:$E$564,2,FALSE),OtherClients[[#This Row],[Total Quantity]]*VLOOKUP(OtherClients[[#This Row],[Part]],PartControl!$A$2:$E$564,2,FALSE)),0)</f>
        <v>106.94</v>
      </c>
    </row>
    <row r="1096" spans="1:26" ht="25.15" hidden="1" customHeight="1" x14ac:dyDescent="0.25">
      <c r="A1096" s="112">
        <v>46252.688807870371</v>
      </c>
      <c r="B1096" s="5" t="s">
        <v>251</v>
      </c>
      <c r="C1096" s="5">
        <v>11549168</v>
      </c>
      <c r="D1096" s="5">
        <v>715768</v>
      </c>
      <c r="E1096" s="33">
        <v>20</v>
      </c>
      <c r="F1096" s="60">
        <v>1000</v>
      </c>
      <c r="G1096" s="60">
        <f>+OtherClients[[#This Row],[Boxes / Pieces]]*OtherClients[[#This Row],[Unit Quantity]]</f>
        <v>20000</v>
      </c>
      <c r="H1096" s="60">
        <v>292</v>
      </c>
      <c r="I1096" s="126" t="s">
        <v>278</v>
      </c>
      <c r="J1096" s="127"/>
      <c r="K1096" s="33" t="s">
        <v>278</v>
      </c>
      <c r="L1096" s="125"/>
      <c r="M1096" s="33" t="s">
        <v>278</v>
      </c>
      <c r="N1096" s="125"/>
      <c r="O1096" s="33" t="s">
        <v>278</v>
      </c>
      <c r="P1096" s="125"/>
      <c r="Q1096" s="33" t="s">
        <v>587</v>
      </c>
      <c r="R1096" s="125"/>
      <c r="S1096" s="33" t="s">
        <v>278</v>
      </c>
      <c r="T1096" s="125"/>
      <c r="U1096" s="33" t="s">
        <v>278</v>
      </c>
      <c r="V1096" s="125"/>
      <c r="W1096" s="59" t="s">
        <v>633</v>
      </c>
      <c r="X1096" s="33" t="str">
        <f>+VLOOKUP(OtherClients[[#This Row],[Part]],PartControl!$A$2:$E$564,5,FALSE)</f>
        <v>INFASCO</v>
      </c>
      <c r="Y1096" s="108">
        <f>IF(OtherClients[[#This Row],[Re-certified or New]]&lt;&gt;"Re-certified",IF(OtherClients[[#This Row],[Client]]="infasco",VLOOKUP(OtherClients[[#This Row],[Part]],PartControl!$A$2:$E$564,2,FALSE),OtherClients[[#This Row],[Total Quantity]]*VLOOKUP(OtherClients[[#This Row],[Part]],PartControl!$A$2:$E$564,2,FALSE)),0)</f>
        <v>0</v>
      </c>
      <c r="Z1096" s="108">
        <f>IF(OtherClients[[#This Row],[Re-certified or New]]&lt;&gt;"Re-certified",IF(OtherClients[[#This Row],[Client]]="infasco",VLOOKUP(OtherClients[[#This Row],[Part]],PartControl!$A$2:$E$564,2,FALSE),OtherClients[[#This Row],[Total Quantity]]*VLOOKUP(OtherClients[[#This Row],[Part]],PartControl!$A$2:$E$564,2,FALSE)),0)</f>
        <v>0</v>
      </c>
    </row>
    <row r="1097" spans="1:26" ht="25.15" hidden="1" customHeight="1" x14ac:dyDescent="0.25">
      <c r="A1097" s="112">
        <v>46252.688807870371</v>
      </c>
      <c r="B1097" s="5" t="s">
        <v>245</v>
      </c>
      <c r="C1097" s="5" t="s">
        <v>706</v>
      </c>
      <c r="D1097" s="5">
        <v>714536</v>
      </c>
      <c r="E1097" s="33">
        <f>28-5</f>
        <v>23</v>
      </c>
      <c r="F1097" s="60">
        <v>1900</v>
      </c>
      <c r="G1097" s="60">
        <f>+OtherClients[[#This Row],[Boxes / Pieces]]*OtherClients[[#This Row],[Unit Quantity]]</f>
        <v>43700</v>
      </c>
      <c r="H1097" s="60">
        <v>292</v>
      </c>
      <c r="I1097" s="126" t="s">
        <v>278</v>
      </c>
      <c r="J1097" s="127"/>
      <c r="K1097" s="33" t="s">
        <v>278</v>
      </c>
      <c r="L1097" s="125"/>
      <c r="M1097" s="33" t="s">
        <v>278</v>
      </c>
      <c r="N1097" s="125"/>
      <c r="O1097" s="33" t="s">
        <v>278</v>
      </c>
      <c r="P1097" s="125"/>
      <c r="Q1097" s="33" t="s">
        <v>587</v>
      </c>
      <c r="R1097" s="125"/>
      <c r="S1097" s="33" t="s">
        <v>278</v>
      </c>
      <c r="T1097" s="125"/>
      <c r="U1097" s="33" t="s">
        <v>278</v>
      </c>
      <c r="V1097" s="125"/>
      <c r="W1097" s="59" t="s">
        <v>633</v>
      </c>
      <c r="X1097" s="33" t="str">
        <f>+VLOOKUP(OtherClients[[#This Row],[Part]],PartControl!$A$2:$E$564,5,FALSE)</f>
        <v>infasco</v>
      </c>
      <c r="Y1097" s="108">
        <f>IF(OtherClients[[#This Row],[Re-certified or New]]&lt;&gt;"Re-certified",IF(OtherClients[[#This Row],[Client]]="infasco",VLOOKUP(OtherClients[[#This Row],[Part]],PartControl!$A$2:$E$564,2,FALSE),OtherClients[[#This Row],[Total Quantity]]*VLOOKUP(OtherClients[[#This Row],[Part]],PartControl!$A$2:$E$564,2,FALSE)),0)</f>
        <v>0</v>
      </c>
      <c r="Z1097" s="108">
        <f>IF(OtherClients[[#This Row],[Re-certified or New]]&lt;&gt;"Re-certified",IF(OtherClients[[#This Row],[Client]]="infasco",VLOOKUP(OtherClients[[#This Row],[Part]],PartControl!$A$2:$E$564,2,FALSE),OtherClients[[#This Row],[Total Quantity]]*VLOOKUP(OtherClients[[#This Row],[Part]],PartControl!$A$2:$E$564,2,FALSE)),0)</f>
        <v>0</v>
      </c>
    </row>
    <row r="1098" spans="1:26" ht="25.15" hidden="1" customHeight="1" x14ac:dyDescent="0.25">
      <c r="A1098" s="112">
        <v>46252.688807870371</v>
      </c>
      <c r="B1098" s="5" t="s">
        <v>243</v>
      </c>
      <c r="C1098" s="5" t="s">
        <v>707</v>
      </c>
      <c r="D1098" s="5">
        <v>714702</v>
      </c>
      <c r="E1098" s="33">
        <f>34-5</f>
        <v>29</v>
      </c>
      <c r="F1098" s="60">
        <v>1900</v>
      </c>
      <c r="G1098" s="60">
        <f>+OtherClients[[#This Row],[Boxes / Pieces]]*OtherClients[[#This Row],[Unit Quantity]]</f>
        <v>55100</v>
      </c>
      <c r="H1098" s="60">
        <v>292</v>
      </c>
      <c r="I1098" s="126" t="s">
        <v>278</v>
      </c>
      <c r="J1098" s="127"/>
      <c r="K1098" s="33" t="s">
        <v>278</v>
      </c>
      <c r="L1098" s="125"/>
      <c r="M1098" s="33" t="s">
        <v>278</v>
      </c>
      <c r="N1098" s="125"/>
      <c r="O1098" s="33" t="s">
        <v>278</v>
      </c>
      <c r="P1098" s="125"/>
      <c r="Q1098" s="33" t="s">
        <v>587</v>
      </c>
      <c r="R1098" s="125"/>
      <c r="S1098" s="33" t="s">
        <v>278</v>
      </c>
      <c r="T1098" s="125"/>
      <c r="U1098" s="33" t="s">
        <v>278</v>
      </c>
      <c r="V1098" s="125"/>
      <c r="W1098" s="59" t="s">
        <v>548</v>
      </c>
      <c r="X1098" s="33" t="str">
        <f>+VLOOKUP(OtherClients[[#This Row],[Part]],PartControl!$A$2:$E$564,5,FALSE)</f>
        <v>infasco</v>
      </c>
      <c r="Y1098" s="108">
        <f>IF(OtherClients[[#This Row],[Re-certified or New]]&lt;&gt;"Re-certified",IF(OtherClients[[#This Row],[Client]]="infasco",VLOOKUP(OtherClients[[#This Row],[Part]],PartControl!$A$2:$E$564,2,FALSE),OtherClients[[#This Row],[Total Quantity]]*VLOOKUP(OtherClients[[#This Row],[Part]],PartControl!$A$2:$E$564,2,FALSE)),0)</f>
        <v>106.94</v>
      </c>
      <c r="Z1098" s="108">
        <f>IF(OtherClients[[#This Row],[Re-certified or New]]&lt;&gt;"Re-certified",IF(OtherClients[[#This Row],[Client]]="infasco",VLOOKUP(OtherClients[[#This Row],[Part]],PartControl!$A$2:$E$564,2,FALSE),OtherClients[[#This Row],[Total Quantity]]*VLOOKUP(OtherClients[[#This Row],[Part]],PartControl!$A$2:$E$564,2,FALSE)),0)</f>
        <v>106.94</v>
      </c>
    </row>
    <row r="1099" spans="1:26" ht="25.15" hidden="1" customHeight="1" x14ac:dyDescent="0.25">
      <c r="A1099" s="112">
        <v>46252.688807870371</v>
      </c>
      <c r="B1099" s="5" t="s">
        <v>243</v>
      </c>
      <c r="C1099" s="5" t="s">
        <v>718</v>
      </c>
      <c r="D1099" s="5">
        <v>714425</v>
      </c>
      <c r="E1099" s="33">
        <v>5</v>
      </c>
      <c r="F1099" s="60">
        <v>3500</v>
      </c>
      <c r="G1099" s="60">
        <f>+OtherClients[[#This Row],[Boxes / Pieces]]*OtherClients[[#This Row],[Unit Quantity]]</f>
        <v>17500</v>
      </c>
      <c r="H1099" s="60">
        <v>292</v>
      </c>
      <c r="I1099" s="126" t="s">
        <v>278</v>
      </c>
      <c r="J1099" s="127"/>
      <c r="K1099" s="33" t="s">
        <v>278</v>
      </c>
      <c r="L1099" s="125"/>
      <c r="M1099" s="33" t="s">
        <v>278</v>
      </c>
      <c r="N1099" s="125"/>
      <c r="O1099" s="33" t="s">
        <v>278</v>
      </c>
      <c r="P1099" s="125"/>
      <c r="Q1099" s="33" t="s">
        <v>587</v>
      </c>
      <c r="R1099" s="125"/>
      <c r="S1099" s="33" t="s">
        <v>278</v>
      </c>
      <c r="T1099" s="125"/>
      <c r="U1099" s="33" t="s">
        <v>278</v>
      </c>
      <c r="V1099" s="125"/>
      <c r="W1099" s="59" t="s">
        <v>633</v>
      </c>
      <c r="X1099" s="33" t="str">
        <f>+VLOOKUP(OtherClients[[#This Row],[Part]],PartControl!$A$2:$E$564,5,FALSE)</f>
        <v>infasco</v>
      </c>
      <c r="Y1099" s="108">
        <f>IF(OtherClients[[#This Row],[Re-certified or New]]&lt;&gt;"Re-certified",IF(OtherClients[[#This Row],[Client]]="infasco",VLOOKUP(OtherClients[[#This Row],[Part]],PartControl!$A$2:$E$564,2,FALSE),OtherClients[[#This Row],[Total Quantity]]*VLOOKUP(OtherClients[[#This Row],[Part]],PartControl!$A$2:$E$564,2,FALSE)),0)</f>
        <v>0</v>
      </c>
      <c r="Z1099" s="108">
        <f>IF(OtherClients[[#This Row],[Re-certified or New]]&lt;&gt;"Re-certified",IF(OtherClients[[#This Row],[Client]]="infasco",VLOOKUP(OtherClients[[#This Row],[Part]],PartControl!$A$2:$E$564,2,FALSE),OtherClients[[#This Row],[Total Quantity]]*VLOOKUP(OtherClients[[#This Row],[Part]],PartControl!$A$2:$E$564,2,FALSE)),0)</f>
        <v>0</v>
      </c>
    </row>
    <row r="1100" spans="1:26" ht="25.15" hidden="1" customHeight="1" x14ac:dyDescent="0.25">
      <c r="A1100" s="112">
        <v>46252.688807870371</v>
      </c>
      <c r="B1100" s="5" t="s">
        <v>623</v>
      </c>
      <c r="C1100" s="5" t="s">
        <v>703</v>
      </c>
      <c r="D1100" s="5">
        <v>715728</v>
      </c>
      <c r="E1100" s="33">
        <f>36-20</f>
        <v>16</v>
      </c>
      <c r="F1100" s="60">
        <v>700</v>
      </c>
      <c r="G1100" s="60">
        <f>+OtherClients[[#This Row],[Boxes / Pieces]]*OtherClients[[#This Row],[Unit Quantity]]</f>
        <v>11200</v>
      </c>
      <c r="H1100" s="60">
        <v>292</v>
      </c>
      <c r="I1100" s="126" t="s">
        <v>278</v>
      </c>
      <c r="J1100" s="127"/>
      <c r="K1100" s="33" t="s">
        <v>278</v>
      </c>
      <c r="L1100" s="125"/>
      <c r="M1100" s="33" t="s">
        <v>278</v>
      </c>
      <c r="N1100" s="125"/>
      <c r="O1100" s="33" t="s">
        <v>278</v>
      </c>
      <c r="P1100" s="125"/>
      <c r="Q1100" s="33" t="s">
        <v>587</v>
      </c>
      <c r="R1100" s="125"/>
      <c r="S1100" s="33" t="s">
        <v>278</v>
      </c>
      <c r="T1100" s="125"/>
      <c r="U1100" s="33" t="s">
        <v>278</v>
      </c>
      <c r="V1100" s="125"/>
      <c r="W1100" s="59" t="s">
        <v>548</v>
      </c>
      <c r="X1100" s="33" t="str">
        <f>+VLOOKUP(OtherClients[[#This Row],[Part]],PartControl!$A$2:$E$564,5,FALSE)</f>
        <v>infasco</v>
      </c>
      <c r="Y1100" s="108">
        <f>IF(OtherClients[[#This Row],[Re-certified or New]]&lt;&gt;"Re-certified",IF(OtherClients[[#This Row],[Client]]="infasco",VLOOKUP(OtherClients[[#This Row],[Part]],PartControl!$A$2:$E$564,2,FALSE),OtherClients[[#This Row],[Total Quantity]]*VLOOKUP(OtherClients[[#This Row],[Part]],PartControl!$A$2:$E$564,2,FALSE)),0)</f>
        <v>106.94</v>
      </c>
      <c r="Z1100" s="108">
        <f>IF(OtherClients[[#This Row],[Re-certified or New]]&lt;&gt;"Re-certified",IF(OtherClients[[#This Row],[Client]]="infasco",VLOOKUP(OtherClients[[#This Row],[Part]],PartControl!$A$2:$E$564,2,FALSE),OtherClients[[#This Row],[Total Quantity]]*VLOOKUP(OtherClients[[#This Row],[Part]],PartControl!$A$2:$E$564,2,FALSE)),0)</f>
        <v>106.94</v>
      </c>
    </row>
    <row r="1101" spans="1:26" ht="25.15" hidden="1" customHeight="1" x14ac:dyDescent="0.25">
      <c r="A1101" s="112">
        <v>46252.688807870371</v>
      </c>
      <c r="B1101" s="5" t="s">
        <v>623</v>
      </c>
      <c r="C1101" s="5" t="s">
        <v>703</v>
      </c>
      <c r="D1101" s="5">
        <v>715725</v>
      </c>
      <c r="E1101" s="33">
        <v>36</v>
      </c>
      <c r="F1101" s="60">
        <v>700</v>
      </c>
      <c r="G1101" s="60">
        <f>+OtherClients[[#This Row],[Boxes / Pieces]]*OtherClients[[#This Row],[Unit Quantity]]</f>
        <v>25200</v>
      </c>
      <c r="H1101" s="60">
        <v>292</v>
      </c>
      <c r="I1101" s="126" t="s">
        <v>278</v>
      </c>
      <c r="J1101" s="127"/>
      <c r="K1101" s="33" t="s">
        <v>278</v>
      </c>
      <c r="L1101" s="125"/>
      <c r="M1101" s="33" t="s">
        <v>278</v>
      </c>
      <c r="N1101" s="125"/>
      <c r="O1101" s="33" t="s">
        <v>278</v>
      </c>
      <c r="P1101" s="125"/>
      <c r="Q1101" s="33" t="s">
        <v>587</v>
      </c>
      <c r="R1101" s="125"/>
      <c r="S1101" s="33" t="s">
        <v>278</v>
      </c>
      <c r="T1101" s="125"/>
      <c r="U1101" s="33" t="s">
        <v>278</v>
      </c>
      <c r="V1101" s="125"/>
      <c r="W1101" s="59" t="s">
        <v>548</v>
      </c>
      <c r="X1101" s="33" t="str">
        <f>+VLOOKUP(OtherClients[[#This Row],[Part]],PartControl!$A$2:$E$564,5,FALSE)</f>
        <v>infasco</v>
      </c>
      <c r="Y1101" s="108">
        <f>IF(OtherClients[[#This Row],[Re-certified or New]]&lt;&gt;"Re-certified",IF(OtherClients[[#This Row],[Client]]="infasco",VLOOKUP(OtherClients[[#This Row],[Part]],PartControl!$A$2:$E$564,2,FALSE),OtherClients[[#This Row],[Total Quantity]]*VLOOKUP(OtherClients[[#This Row],[Part]],PartControl!$A$2:$E$564,2,FALSE)),0)</f>
        <v>106.94</v>
      </c>
      <c r="Z1101" s="108">
        <f>IF(OtherClients[[#This Row],[Re-certified or New]]&lt;&gt;"Re-certified",IF(OtherClients[[#This Row],[Client]]="infasco",VLOOKUP(OtherClients[[#This Row],[Part]],PartControl!$A$2:$E$564,2,FALSE),OtherClients[[#This Row],[Total Quantity]]*VLOOKUP(OtherClients[[#This Row],[Part]],PartControl!$A$2:$E$564,2,FALSE)),0)</f>
        <v>106.94</v>
      </c>
    </row>
    <row r="1102" spans="1:26" ht="25.15" hidden="1" customHeight="1" x14ac:dyDescent="0.25">
      <c r="A1102" s="112">
        <v>46252.688807870371</v>
      </c>
      <c r="B1102" s="5" t="s">
        <v>623</v>
      </c>
      <c r="C1102" s="5" t="s">
        <v>703</v>
      </c>
      <c r="D1102" s="5">
        <v>715724</v>
      </c>
      <c r="E1102" s="33">
        <v>30</v>
      </c>
      <c r="F1102" s="60">
        <v>700</v>
      </c>
      <c r="G1102" s="60">
        <f>+OtherClients[[#This Row],[Boxes / Pieces]]*OtherClients[[#This Row],[Unit Quantity]]</f>
        <v>21000</v>
      </c>
      <c r="H1102" s="60">
        <v>292</v>
      </c>
      <c r="I1102" s="126" t="s">
        <v>278</v>
      </c>
      <c r="J1102" s="127"/>
      <c r="K1102" s="33" t="s">
        <v>278</v>
      </c>
      <c r="L1102" s="125"/>
      <c r="M1102" s="33" t="s">
        <v>278</v>
      </c>
      <c r="N1102" s="125"/>
      <c r="O1102" s="33" t="s">
        <v>278</v>
      </c>
      <c r="P1102" s="125"/>
      <c r="Q1102" s="33" t="s">
        <v>587</v>
      </c>
      <c r="R1102" s="125"/>
      <c r="S1102" s="33" t="s">
        <v>278</v>
      </c>
      <c r="T1102" s="125"/>
      <c r="U1102" s="33" t="s">
        <v>278</v>
      </c>
      <c r="V1102" s="125"/>
      <c r="W1102" s="59" t="s">
        <v>633</v>
      </c>
      <c r="X1102" s="33" t="str">
        <f>+VLOOKUP(OtherClients[[#This Row],[Part]],PartControl!$A$2:$E$564,5,FALSE)</f>
        <v>infasco</v>
      </c>
      <c r="Y1102" s="108">
        <f>IF(OtherClients[[#This Row],[Re-certified or New]]&lt;&gt;"Re-certified",IF(OtherClients[[#This Row],[Client]]="infasco",VLOOKUP(OtherClients[[#This Row],[Part]],PartControl!$A$2:$E$564,2,FALSE),OtherClients[[#This Row],[Total Quantity]]*VLOOKUP(OtherClients[[#This Row],[Part]],PartControl!$A$2:$E$564,2,FALSE)),0)</f>
        <v>0</v>
      </c>
      <c r="Z1102" s="108">
        <f>IF(OtherClients[[#This Row],[Re-certified or New]]&lt;&gt;"Re-certified",IF(OtherClients[[#This Row],[Client]]="infasco",VLOOKUP(OtherClients[[#This Row],[Part]],PartControl!$A$2:$E$564,2,FALSE),OtherClients[[#This Row],[Total Quantity]]*VLOOKUP(OtherClients[[#This Row],[Part]],PartControl!$A$2:$E$564,2,FALSE)),0)</f>
        <v>0</v>
      </c>
    </row>
    <row r="1103" spans="1:26" ht="25.15" hidden="1" customHeight="1" x14ac:dyDescent="0.25">
      <c r="A1103" s="112">
        <v>46252.688807870371</v>
      </c>
      <c r="B1103" s="5" t="s">
        <v>250</v>
      </c>
      <c r="C1103" s="5" t="s">
        <v>312</v>
      </c>
      <c r="D1103" s="5">
        <v>716163</v>
      </c>
      <c r="E1103" s="33">
        <f>36-31</f>
        <v>5</v>
      </c>
      <c r="F1103" s="60">
        <v>750</v>
      </c>
      <c r="G1103" s="60">
        <f>+OtherClients[[#This Row],[Boxes / Pieces]]*OtherClients[[#This Row],[Unit Quantity]]</f>
        <v>3750</v>
      </c>
      <c r="H1103" s="60">
        <v>290</v>
      </c>
      <c r="I1103" s="126" t="s">
        <v>278</v>
      </c>
      <c r="J1103" s="127"/>
      <c r="K1103" s="33" t="s">
        <v>278</v>
      </c>
      <c r="L1103" s="125"/>
      <c r="M1103" s="33" t="s">
        <v>278</v>
      </c>
      <c r="N1103" s="125"/>
      <c r="O1103" s="33" t="s">
        <v>278</v>
      </c>
      <c r="P1103" s="125"/>
      <c r="Q1103" s="33" t="s">
        <v>587</v>
      </c>
      <c r="R1103" s="125"/>
      <c r="S1103" s="33" t="s">
        <v>278</v>
      </c>
      <c r="T1103" s="125"/>
      <c r="U1103" s="33" t="s">
        <v>278</v>
      </c>
      <c r="V1103" s="125"/>
      <c r="W1103" s="59" t="s">
        <v>548</v>
      </c>
      <c r="X1103" s="33" t="str">
        <f>+VLOOKUP(OtherClients[[#This Row],[Part]],PartControl!$A$2:$E$564,5,FALSE)</f>
        <v>infasco</v>
      </c>
      <c r="Y1103" s="108">
        <f>IF(OtherClients[[#This Row],[Re-certified or New]]&lt;&gt;"Re-certified",IF(OtherClients[[#This Row],[Client]]="infasco",VLOOKUP(OtherClients[[#This Row],[Part]],PartControl!$A$2:$E$564,2,FALSE),OtherClients[[#This Row],[Total Quantity]]*VLOOKUP(OtherClients[[#This Row],[Part]],PartControl!$A$2:$E$564,2,FALSE)),0)</f>
        <v>106.94</v>
      </c>
      <c r="Z1103" s="108">
        <f>IF(OtherClients[[#This Row],[Re-certified or New]]&lt;&gt;"Re-certified",IF(OtherClients[[#This Row],[Client]]="infasco",VLOOKUP(OtherClients[[#This Row],[Part]],PartControl!$A$2:$E$564,2,FALSE),OtherClients[[#This Row],[Total Quantity]]*VLOOKUP(OtherClients[[#This Row],[Part]],PartControl!$A$2:$E$564,2,FALSE)),0)</f>
        <v>106.94</v>
      </c>
    </row>
    <row r="1104" spans="1:26" ht="25.15" hidden="1" customHeight="1" x14ac:dyDescent="0.25">
      <c r="A1104" s="112">
        <v>46252.688807870371</v>
      </c>
      <c r="B1104" s="5" t="s">
        <v>250</v>
      </c>
      <c r="C1104" s="5" t="s">
        <v>312</v>
      </c>
      <c r="D1104" s="5">
        <v>716162</v>
      </c>
      <c r="E1104" s="33">
        <v>30</v>
      </c>
      <c r="F1104" s="60">
        <v>750</v>
      </c>
      <c r="G1104" s="60">
        <f>+OtherClients[[#This Row],[Boxes / Pieces]]*OtherClients[[#This Row],[Unit Quantity]]</f>
        <v>22500</v>
      </c>
      <c r="H1104" s="60">
        <v>290</v>
      </c>
      <c r="I1104" s="126" t="s">
        <v>278</v>
      </c>
      <c r="J1104" s="127"/>
      <c r="K1104" s="33" t="s">
        <v>278</v>
      </c>
      <c r="L1104" s="125"/>
      <c r="M1104" s="33" t="s">
        <v>278</v>
      </c>
      <c r="N1104" s="125"/>
      <c r="O1104" s="33" t="s">
        <v>278</v>
      </c>
      <c r="P1104" s="125"/>
      <c r="Q1104" s="33" t="s">
        <v>587</v>
      </c>
      <c r="R1104" s="125"/>
      <c r="S1104" s="33" t="s">
        <v>278</v>
      </c>
      <c r="T1104" s="125"/>
      <c r="U1104" s="33" t="s">
        <v>278</v>
      </c>
      <c r="V1104" s="125"/>
      <c r="W1104" s="59" t="s">
        <v>548</v>
      </c>
      <c r="X1104" s="33" t="str">
        <f>+VLOOKUP(OtherClients[[#This Row],[Part]],PartControl!$A$2:$E$564,5,FALSE)</f>
        <v>infasco</v>
      </c>
      <c r="Y1104" s="108">
        <f>IF(OtherClients[[#This Row],[Re-certified or New]]&lt;&gt;"Re-certified",IF(OtherClients[[#This Row],[Client]]="infasco",VLOOKUP(OtherClients[[#This Row],[Part]],PartControl!$A$2:$E$564,2,FALSE),OtherClients[[#This Row],[Total Quantity]]*VLOOKUP(OtherClients[[#This Row],[Part]],PartControl!$A$2:$E$564,2,FALSE)),0)</f>
        <v>106.94</v>
      </c>
      <c r="Z1104" s="108">
        <f>IF(OtherClients[[#This Row],[Re-certified or New]]&lt;&gt;"Re-certified",IF(OtherClients[[#This Row],[Client]]="infasco",VLOOKUP(OtherClients[[#This Row],[Part]],PartControl!$A$2:$E$564,2,FALSE),OtherClients[[#This Row],[Total Quantity]]*VLOOKUP(OtherClients[[#This Row],[Part]],PartControl!$A$2:$E$564,2,FALSE)),0)</f>
        <v>106.94</v>
      </c>
    </row>
    <row r="1105" spans="1:26" ht="25.15" hidden="1" customHeight="1" x14ac:dyDescent="0.25">
      <c r="A1105" s="112">
        <v>46252.688807870371</v>
      </c>
      <c r="B1105" s="5" t="s">
        <v>250</v>
      </c>
      <c r="C1105" s="5" t="s">
        <v>790</v>
      </c>
      <c r="D1105" s="5">
        <v>717106</v>
      </c>
      <c r="E1105" s="33">
        <v>1</v>
      </c>
      <c r="F1105" s="60">
        <v>29000</v>
      </c>
      <c r="G1105" s="60">
        <f>+OtherClients[[#This Row],[Boxes / Pieces]]*OtherClients[[#This Row],[Unit Quantity]]</f>
        <v>29000</v>
      </c>
      <c r="H1105" s="60">
        <v>290</v>
      </c>
      <c r="I1105" s="126" t="s">
        <v>278</v>
      </c>
      <c r="J1105" s="127"/>
      <c r="K1105" s="33" t="s">
        <v>278</v>
      </c>
      <c r="L1105" s="125"/>
      <c r="M1105" s="33" t="s">
        <v>278</v>
      </c>
      <c r="N1105" s="125"/>
      <c r="O1105" s="33" t="s">
        <v>278</v>
      </c>
      <c r="P1105" s="125"/>
      <c r="Q1105" s="33" t="s">
        <v>587</v>
      </c>
      <c r="R1105" s="125"/>
      <c r="S1105" s="33" t="s">
        <v>278</v>
      </c>
      <c r="T1105" s="125"/>
      <c r="U1105" s="33" t="s">
        <v>278</v>
      </c>
      <c r="V1105" s="125"/>
      <c r="W1105" s="59" t="s">
        <v>633</v>
      </c>
      <c r="X1105" s="33" t="str">
        <f>+VLOOKUP(OtherClients[[#This Row],[Part]],PartControl!$A$2:$E$564,5,FALSE)</f>
        <v>infasco</v>
      </c>
      <c r="Y1105" s="108">
        <f>IF(OtherClients[[#This Row],[Re-certified or New]]&lt;&gt;"Re-certified",IF(OtherClients[[#This Row],[Client]]="infasco",VLOOKUP(OtherClients[[#This Row],[Part]],PartControl!$A$2:$E$564,2,FALSE),OtherClients[[#This Row],[Total Quantity]]*VLOOKUP(OtherClients[[#This Row],[Part]],PartControl!$A$2:$E$564,2,FALSE)),0)</f>
        <v>0</v>
      </c>
      <c r="Z1105" s="108">
        <f>IF(OtherClients[[#This Row],[Re-certified or New]]&lt;&gt;"Re-certified",IF(OtherClients[[#This Row],[Client]]="infasco",VLOOKUP(OtherClients[[#This Row],[Part]],PartControl!$A$2:$E$564,2,FALSE),OtherClients[[#This Row],[Total Quantity]]*VLOOKUP(OtherClients[[#This Row],[Part]],PartControl!$A$2:$E$564,2,FALSE)),0)</f>
        <v>0</v>
      </c>
    </row>
    <row r="1106" spans="1:26" ht="25.15" hidden="1" customHeight="1" x14ac:dyDescent="0.25">
      <c r="A1106" s="112">
        <v>46252.688807870371</v>
      </c>
      <c r="B1106" s="5" t="s">
        <v>345</v>
      </c>
      <c r="C1106" s="5" t="s">
        <v>854</v>
      </c>
      <c r="D1106" s="5">
        <v>713920</v>
      </c>
      <c r="E1106" s="33">
        <f>36+1-4</f>
        <v>33</v>
      </c>
      <c r="F1106" s="60">
        <v>700</v>
      </c>
      <c r="G1106" s="60">
        <f>+OtherClients[[#This Row],[Boxes / Pieces]]*OtherClients[[#This Row],[Unit Quantity]]</f>
        <v>23100</v>
      </c>
      <c r="H1106" s="60" t="s">
        <v>849</v>
      </c>
      <c r="I1106" s="126" t="s">
        <v>278</v>
      </c>
      <c r="J1106" s="127"/>
      <c r="K1106" s="33" t="s">
        <v>278</v>
      </c>
      <c r="L1106" s="125"/>
      <c r="M1106" s="33" t="s">
        <v>278</v>
      </c>
      <c r="N1106" s="125"/>
      <c r="O1106" s="33" t="s">
        <v>278</v>
      </c>
      <c r="P1106" s="125"/>
      <c r="Q1106" s="33" t="s">
        <v>587</v>
      </c>
      <c r="R1106" s="125"/>
      <c r="S1106" s="33" t="s">
        <v>278</v>
      </c>
      <c r="T1106" s="125"/>
      <c r="U1106" s="33" t="s">
        <v>278</v>
      </c>
      <c r="V1106" s="125"/>
      <c r="W1106" s="59" t="s">
        <v>548</v>
      </c>
      <c r="X1106" s="33" t="str">
        <f>+VLOOKUP(OtherClients[[#This Row],[Part]],PartControl!$A$2:$E$564,5,FALSE)</f>
        <v>infasco</v>
      </c>
      <c r="Y1106" s="108">
        <f>IF(OtherClients[[#This Row],[Re-certified or New]]&lt;&gt;"Re-certified",IF(OtherClients[[#This Row],[Client]]="infasco",VLOOKUP(OtherClients[[#This Row],[Part]],PartControl!$A$2:$E$564,2,FALSE),OtherClients[[#This Row],[Total Quantity]]*VLOOKUP(OtherClients[[#This Row],[Part]],PartControl!$A$2:$E$564,2,FALSE)),0)</f>
        <v>213.88</v>
      </c>
      <c r="Z1106" s="108">
        <f>IF(OtherClients[[#This Row],[Re-certified or New]]&lt;&gt;"Re-certified",IF(OtherClients[[#This Row],[Client]]="infasco",VLOOKUP(OtherClients[[#This Row],[Part]],PartControl!$A$2:$E$564,2,FALSE),OtherClients[[#This Row],[Total Quantity]]*VLOOKUP(OtherClients[[#This Row],[Part]],PartControl!$A$2:$E$564,2,FALSE)),0)</f>
        <v>213.88</v>
      </c>
    </row>
    <row r="1107" spans="1:26" ht="25.15" hidden="1" customHeight="1" x14ac:dyDescent="0.25">
      <c r="A1107" s="112">
        <v>46252.688807870371</v>
      </c>
      <c r="B1107" s="5" t="s">
        <v>345</v>
      </c>
      <c r="C1107" s="5" t="s">
        <v>880</v>
      </c>
      <c r="D1107" s="5">
        <v>716089</v>
      </c>
      <c r="E1107" s="33">
        <v>37</v>
      </c>
      <c r="F1107" s="60">
        <v>1200</v>
      </c>
      <c r="G1107" s="60">
        <f>+OtherClients[[#This Row],[Boxes / Pieces]]*OtherClients[[#This Row],[Unit Quantity]]</f>
        <v>44400</v>
      </c>
      <c r="H1107" s="60" t="s">
        <v>849</v>
      </c>
      <c r="I1107" s="126" t="s">
        <v>278</v>
      </c>
      <c r="J1107" s="127"/>
      <c r="K1107" s="33" t="s">
        <v>278</v>
      </c>
      <c r="L1107" s="125"/>
      <c r="M1107" s="33" t="s">
        <v>278</v>
      </c>
      <c r="N1107" s="125"/>
      <c r="O1107" s="33" t="s">
        <v>278</v>
      </c>
      <c r="P1107" s="125"/>
      <c r="Q1107" s="33" t="s">
        <v>587</v>
      </c>
      <c r="R1107" s="125"/>
      <c r="S1107" s="33" t="s">
        <v>278</v>
      </c>
      <c r="T1107" s="125"/>
      <c r="U1107" s="33" t="s">
        <v>278</v>
      </c>
      <c r="V1107" s="125"/>
      <c r="W1107" s="59" t="s">
        <v>548</v>
      </c>
      <c r="X1107" s="33" t="str">
        <f>+VLOOKUP(OtherClients[[#This Row],[Part]],PartControl!$A$2:$E$564,5,FALSE)</f>
        <v>infasco</v>
      </c>
      <c r="Y1107" s="108">
        <f>IF(OtherClients[[#This Row],[Re-certified or New]]&lt;&gt;"Re-certified",IF(OtherClients[[#This Row],[Client]]="infasco",VLOOKUP(OtherClients[[#This Row],[Part]],PartControl!$A$2:$E$564,2,FALSE),OtherClients[[#This Row],[Total Quantity]]*VLOOKUP(OtherClients[[#This Row],[Part]],PartControl!$A$2:$E$564,2,FALSE)),0)</f>
        <v>106.94</v>
      </c>
      <c r="Z1107" s="108">
        <f>IF(OtherClients[[#This Row],[Re-certified or New]]&lt;&gt;"Re-certified",IF(OtherClients[[#This Row],[Client]]="infasco",VLOOKUP(OtherClients[[#This Row],[Part]],PartControl!$A$2:$E$564,2,FALSE),OtherClients[[#This Row],[Total Quantity]]*VLOOKUP(OtherClients[[#This Row],[Part]],PartControl!$A$2:$E$564,2,FALSE)),0)</f>
        <v>106.94</v>
      </c>
    </row>
    <row r="1108" spans="1:26" ht="25.15" hidden="1" customHeight="1" x14ac:dyDescent="0.25">
      <c r="A1108" s="112">
        <v>46252.688807870371</v>
      </c>
      <c r="B1108" s="5" t="s">
        <v>345</v>
      </c>
      <c r="C1108" s="5" t="s">
        <v>809</v>
      </c>
      <c r="D1108" s="5">
        <v>713812</v>
      </c>
      <c r="E1108" s="33">
        <v>30</v>
      </c>
      <c r="F1108" s="60">
        <v>450</v>
      </c>
      <c r="G1108" s="60">
        <f>+OtherClients[[#This Row],[Boxes / Pieces]]*OtherClients[[#This Row],[Unit Quantity]]</f>
        <v>13500</v>
      </c>
      <c r="H1108" s="60" t="s">
        <v>849</v>
      </c>
      <c r="I1108" s="126" t="s">
        <v>278</v>
      </c>
      <c r="J1108" s="127"/>
      <c r="K1108" s="33" t="s">
        <v>278</v>
      </c>
      <c r="L1108" s="125"/>
      <c r="M1108" s="33" t="s">
        <v>278</v>
      </c>
      <c r="N1108" s="125"/>
      <c r="O1108" s="33" t="s">
        <v>278</v>
      </c>
      <c r="P1108" s="125"/>
      <c r="Q1108" s="33" t="s">
        <v>587</v>
      </c>
      <c r="R1108" s="125"/>
      <c r="S1108" s="33" t="s">
        <v>278</v>
      </c>
      <c r="T1108" s="125"/>
      <c r="U1108" s="33" t="s">
        <v>278</v>
      </c>
      <c r="V1108" s="125"/>
      <c r="W1108" s="59" t="s">
        <v>548</v>
      </c>
      <c r="X1108" s="33" t="str">
        <f>+VLOOKUP(OtherClients[[#This Row],[Part]],PartControl!$A$2:$E$564,5,FALSE)</f>
        <v>infasco</v>
      </c>
      <c r="Y1108" s="108">
        <f>IF(OtherClients[[#This Row],[Re-certified or New]]&lt;&gt;"Re-certified",IF(OtherClients[[#This Row],[Client]]="infasco",VLOOKUP(OtherClients[[#This Row],[Part]],PartControl!$A$2:$E$564,2,FALSE),OtherClients[[#This Row],[Total Quantity]]*VLOOKUP(OtherClients[[#This Row],[Part]],PartControl!$A$2:$E$564,2,FALSE)),0)</f>
        <v>106.94</v>
      </c>
      <c r="Z1108" s="108">
        <f>IF(OtherClients[[#This Row],[Re-certified or New]]&lt;&gt;"Re-certified",IF(OtherClients[[#This Row],[Client]]="infasco",VLOOKUP(OtherClients[[#This Row],[Part]],PartControl!$A$2:$E$564,2,FALSE),OtherClients[[#This Row],[Total Quantity]]*VLOOKUP(OtherClients[[#This Row],[Part]],PartControl!$A$2:$E$564,2,FALSE)),0)</f>
        <v>106.94</v>
      </c>
    </row>
    <row r="1109" spans="1:26" ht="25.15" hidden="1" customHeight="1" x14ac:dyDescent="0.25">
      <c r="A1109" s="112">
        <v>46252.688807870371</v>
      </c>
      <c r="B1109" s="5" t="s">
        <v>345</v>
      </c>
      <c r="C1109" s="5">
        <v>11546703</v>
      </c>
      <c r="D1109" s="5">
        <v>713856</v>
      </c>
      <c r="E1109" s="33">
        <v>31</v>
      </c>
      <c r="F1109" s="60">
        <v>4000</v>
      </c>
      <c r="G1109" s="60">
        <f>+OtherClients[[#This Row],[Boxes / Pieces]]*OtherClients[[#This Row],[Unit Quantity]]</f>
        <v>124000</v>
      </c>
      <c r="H1109" s="60" t="s">
        <v>849</v>
      </c>
      <c r="I1109" s="126" t="s">
        <v>278</v>
      </c>
      <c r="J1109" s="127"/>
      <c r="K1109" s="33" t="s">
        <v>278</v>
      </c>
      <c r="L1109" s="125"/>
      <c r="M1109" s="33" t="s">
        <v>278</v>
      </c>
      <c r="N1109" s="125"/>
      <c r="O1109" s="33" t="s">
        <v>278</v>
      </c>
      <c r="P1109" s="125"/>
      <c r="Q1109" s="33" t="s">
        <v>587</v>
      </c>
      <c r="R1109" s="125"/>
      <c r="S1109" s="33" t="s">
        <v>278</v>
      </c>
      <c r="T1109" s="125"/>
      <c r="U1109" s="33" t="s">
        <v>278</v>
      </c>
      <c r="V1109" s="125"/>
      <c r="W1109" s="59" t="s">
        <v>548</v>
      </c>
      <c r="X1109" s="33" t="str">
        <f>+VLOOKUP(OtherClients[[#This Row],[Part]],PartControl!$A$2:$E$564,5,FALSE)</f>
        <v>infasco</v>
      </c>
      <c r="Y1109" s="108">
        <f>IF(OtherClients[[#This Row],[Re-certified or New]]&lt;&gt;"Re-certified",IF(OtherClients[[#This Row],[Client]]="infasco",VLOOKUP(OtherClients[[#This Row],[Part]],PartControl!$A$2:$E$564,2,FALSE),OtherClients[[#This Row],[Total Quantity]]*VLOOKUP(OtherClients[[#This Row],[Part]],PartControl!$A$2:$E$564,2,FALSE)),0)</f>
        <v>135.07999999999998</v>
      </c>
      <c r="Z1109" s="108">
        <f>IF(OtherClients[[#This Row],[Re-certified or New]]&lt;&gt;"Re-certified",IF(OtherClients[[#This Row],[Client]]="infasco",VLOOKUP(OtherClients[[#This Row],[Part]],PartControl!$A$2:$E$564,2,FALSE),OtherClients[[#This Row],[Total Quantity]]*VLOOKUP(OtherClients[[#This Row],[Part]],PartControl!$A$2:$E$564,2,FALSE)),0)</f>
        <v>135.07999999999998</v>
      </c>
    </row>
    <row r="1110" spans="1:26" ht="25.15" hidden="1" customHeight="1" x14ac:dyDescent="0.25">
      <c r="A1110" s="112">
        <v>46252.688807870371</v>
      </c>
      <c r="B1110" s="5" t="s">
        <v>345</v>
      </c>
      <c r="C1110" s="5" t="s">
        <v>651</v>
      </c>
      <c r="D1110" s="5">
        <v>716669</v>
      </c>
      <c r="E1110" s="33">
        <v>14</v>
      </c>
      <c r="F1110" s="60">
        <v>800</v>
      </c>
      <c r="G1110" s="60">
        <f>+OtherClients[[#This Row],[Boxes / Pieces]]*OtherClients[[#This Row],[Unit Quantity]]</f>
        <v>11200</v>
      </c>
      <c r="H1110" s="60" t="s">
        <v>849</v>
      </c>
      <c r="I1110" s="126" t="s">
        <v>278</v>
      </c>
      <c r="J1110" s="127"/>
      <c r="K1110" s="33" t="s">
        <v>278</v>
      </c>
      <c r="L1110" s="125"/>
      <c r="M1110" s="33" t="s">
        <v>278</v>
      </c>
      <c r="N1110" s="125"/>
      <c r="O1110" s="33" t="s">
        <v>278</v>
      </c>
      <c r="P1110" s="125"/>
      <c r="Q1110" s="33" t="s">
        <v>587</v>
      </c>
      <c r="R1110" s="125"/>
      <c r="S1110" s="33" t="s">
        <v>278</v>
      </c>
      <c r="T1110" s="125"/>
      <c r="U1110" s="33" t="s">
        <v>278</v>
      </c>
      <c r="V1110" s="125"/>
      <c r="W1110" s="59" t="s">
        <v>548</v>
      </c>
      <c r="X1110" s="33" t="str">
        <f>+VLOOKUP(OtherClients[[#This Row],[Part]],PartControl!$A$2:$E$564,5,FALSE)</f>
        <v>infasco</v>
      </c>
      <c r="Y1110" s="108">
        <f>IF(OtherClients[[#This Row],[Re-certified or New]]&lt;&gt;"Re-certified",IF(OtherClients[[#This Row],[Client]]="infasco",VLOOKUP(OtherClients[[#This Row],[Part]],PartControl!$A$2:$E$564,2,FALSE),OtherClients[[#This Row],[Total Quantity]]*VLOOKUP(OtherClients[[#This Row],[Part]],PartControl!$A$2:$E$564,2,FALSE)),0)</f>
        <v>280.15999999999997</v>
      </c>
      <c r="Z1110" s="108">
        <f>IF(OtherClients[[#This Row],[Re-certified or New]]&lt;&gt;"Re-certified",IF(OtherClients[[#This Row],[Client]]="infasco",VLOOKUP(OtherClients[[#This Row],[Part]],PartControl!$A$2:$E$564,2,FALSE),OtherClients[[#This Row],[Total Quantity]]*VLOOKUP(OtherClients[[#This Row],[Part]],PartControl!$A$2:$E$564,2,FALSE)),0)</f>
        <v>280.15999999999997</v>
      </c>
    </row>
    <row r="1111" spans="1:26" ht="25.15" hidden="1" customHeight="1" x14ac:dyDescent="0.25">
      <c r="A1111" s="112">
        <v>46252.688807870371</v>
      </c>
      <c r="B1111" s="5" t="s">
        <v>345</v>
      </c>
      <c r="C1111" s="5" t="s">
        <v>818</v>
      </c>
      <c r="D1111" s="5">
        <v>716690</v>
      </c>
      <c r="E1111" s="33">
        <v>24</v>
      </c>
      <c r="F1111" s="60">
        <v>670</v>
      </c>
      <c r="G1111" s="60">
        <f>+OtherClients[[#This Row],[Boxes / Pieces]]*OtherClients[[#This Row],[Unit Quantity]]</f>
        <v>16080</v>
      </c>
      <c r="H1111" s="60" t="s">
        <v>849</v>
      </c>
      <c r="I1111" s="126" t="s">
        <v>278</v>
      </c>
      <c r="J1111" s="127"/>
      <c r="K1111" s="33" t="s">
        <v>278</v>
      </c>
      <c r="L1111" s="125"/>
      <c r="M1111" s="33" t="s">
        <v>278</v>
      </c>
      <c r="N1111" s="125"/>
      <c r="O1111" s="33" t="s">
        <v>278</v>
      </c>
      <c r="P1111" s="125"/>
      <c r="Q1111" s="33" t="s">
        <v>587</v>
      </c>
      <c r="R1111" s="125"/>
      <c r="S1111" s="33" t="s">
        <v>278</v>
      </c>
      <c r="T1111" s="125"/>
      <c r="U1111" s="33" t="s">
        <v>278</v>
      </c>
      <c r="V1111" s="125"/>
      <c r="W1111" s="59" t="s">
        <v>548</v>
      </c>
      <c r="X1111" s="33" t="str">
        <f>+VLOOKUP(OtherClients[[#This Row],[Part]],PartControl!$A$2:$E$564,5,FALSE)</f>
        <v>infasco</v>
      </c>
      <c r="Y1111" s="108">
        <f>IF(OtherClients[[#This Row],[Re-certified or New]]&lt;&gt;"Re-certified",IF(OtherClients[[#This Row],[Client]]="infasco",VLOOKUP(OtherClients[[#This Row],[Part]],PartControl!$A$2:$E$564,2,FALSE),OtherClients[[#This Row],[Total Quantity]]*VLOOKUP(OtherClients[[#This Row],[Part]],PartControl!$A$2:$E$564,2,FALSE)),0)</f>
        <v>280.16000000000003</v>
      </c>
      <c r="Z1111" s="108">
        <f>IF(OtherClients[[#This Row],[Re-certified or New]]&lt;&gt;"Re-certified",IF(OtherClients[[#This Row],[Client]]="infasco",VLOOKUP(OtherClients[[#This Row],[Part]],PartControl!$A$2:$E$564,2,FALSE),OtherClients[[#This Row],[Total Quantity]]*VLOOKUP(OtherClients[[#This Row],[Part]],PartControl!$A$2:$E$564,2,FALSE)),0)</f>
        <v>280.16000000000003</v>
      </c>
    </row>
    <row r="1112" spans="1:26" ht="25.15" hidden="1" customHeight="1" x14ac:dyDescent="0.25">
      <c r="A1112" s="112">
        <v>46252.688807870371</v>
      </c>
      <c r="B1112" s="5" t="s">
        <v>345</v>
      </c>
      <c r="C1112" s="5">
        <v>11546703</v>
      </c>
      <c r="D1112" s="5">
        <v>713853</v>
      </c>
      <c r="E1112" s="33">
        <v>35</v>
      </c>
      <c r="F1112" s="60">
        <v>4000</v>
      </c>
      <c r="G1112" s="60">
        <f>+OtherClients[[#This Row],[Boxes / Pieces]]*OtherClients[[#This Row],[Unit Quantity]]</f>
        <v>140000</v>
      </c>
      <c r="H1112" s="60" t="s">
        <v>849</v>
      </c>
      <c r="I1112" s="126" t="s">
        <v>278</v>
      </c>
      <c r="J1112" s="127"/>
      <c r="K1112" s="33" t="s">
        <v>278</v>
      </c>
      <c r="L1112" s="125"/>
      <c r="M1112" s="33" t="s">
        <v>278</v>
      </c>
      <c r="N1112" s="125"/>
      <c r="O1112" s="33" t="s">
        <v>278</v>
      </c>
      <c r="P1112" s="125"/>
      <c r="Q1112" s="33" t="s">
        <v>587</v>
      </c>
      <c r="R1112" s="125"/>
      <c r="S1112" s="33" t="s">
        <v>278</v>
      </c>
      <c r="T1112" s="125"/>
      <c r="U1112" s="33" t="s">
        <v>278</v>
      </c>
      <c r="V1112" s="125"/>
      <c r="W1112" s="59" t="s">
        <v>548</v>
      </c>
      <c r="X1112" s="33" t="str">
        <f>+VLOOKUP(OtherClients[[#This Row],[Part]],PartControl!$A$2:$E$564,5,FALSE)</f>
        <v>infasco</v>
      </c>
      <c r="Y1112" s="108">
        <f>IF(OtherClients[[#This Row],[Re-certified or New]]&lt;&gt;"Re-certified",IF(OtherClients[[#This Row],[Client]]="infasco",VLOOKUP(OtherClients[[#This Row],[Part]],PartControl!$A$2:$E$564,2,FALSE),OtherClients[[#This Row],[Total Quantity]]*VLOOKUP(OtherClients[[#This Row],[Part]],PartControl!$A$2:$E$564,2,FALSE)),0)</f>
        <v>135.07999999999998</v>
      </c>
      <c r="Z1112" s="108">
        <f>IF(OtherClients[[#This Row],[Re-certified or New]]&lt;&gt;"Re-certified",IF(OtherClients[[#This Row],[Client]]="infasco",VLOOKUP(OtherClients[[#This Row],[Part]],PartControl!$A$2:$E$564,2,FALSE),OtherClients[[#This Row],[Total Quantity]]*VLOOKUP(OtherClients[[#This Row],[Part]],PartControl!$A$2:$E$564,2,FALSE)),0)</f>
        <v>135.07999999999998</v>
      </c>
    </row>
    <row r="1113" spans="1:26" ht="25.15" hidden="1" customHeight="1" x14ac:dyDescent="0.25">
      <c r="A1113" s="112">
        <v>46252.688807870371</v>
      </c>
      <c r="B1113" s="5" t="s">
        <v>345</v>
      </c>
      <c r="C1113" s="5">
        <v>11602031</v>
      </c>
      <c r="D1113" s="5">
        <v>716718</v>
      </c>
      <c r="E1113" s="33">
        <v>36</v>
      </c>
      <c r="F1113" s="60">
        <v>145</v>
      </c>
      <c r="G1113" s="60">
        <f>+OtherClients[[#This Row],[Boxes / Pieces]]*OtherClients[[#This Row],[Unit Quantity]]</f>
        <v>5220</v>
      </c>
      <c r="H1113" s="60" t="s">
        <v>849</v>
      </c>
      <c r="I1113" s="126" t="s">
        <v>278</v>
      </c>
      <c r="J1113" s="127"/>
      <c r="K1113" s="33" t="s">
        <v>278</v>
      </c>
      <c r="L1113" s="125"/>
      <c r="M1113" s="33" t="s">
        <v>278</v>
      </c>
      <c r="N1113" s="125"/>
      <c r="O1113" s="33" t="s">
        <v>278</v>
      </c>
      <c r="P1113" s="125"/>
      <c r="Q1113" s="33" t="s">
        <v>587</v>
      </c>
      <c r="R1113" s="125"/>
      <c r="S1113" s="33" t="s">
        <v>278</v>
      </c>
      <c r="T1113" s="125"/>
      <c r="U1113" s="33" t="s">
        <v>278</v>
      </c>
      <c r="V1113" s="125"/>
      <c r="W1113" s="59" t="s">
        <v>548</v>
      </c>
      <c r="X1113" s="33" t="str">
        <f>+VLOOKUP(OtherClients[[#This Row],[Part]],PartControl!$A$2:$E$564,5,FALSE)</f>
        <v>INFASCO</v>
      </c>
      <c r="Y1113" s="108">
        <f>IF(OtherClients[[#This Row],[Re-certified or New]]&lt;&gt;"Re-certified",IF(OtherClients[[#This Row],[Client]]="infasco",VLOOKUP(OtherClients[[#This Row],[Part]],PartControl!$A$2:$E$564,2,FALSE),OtherClients[[#This Row],[Total Quantity]]*VLOOKUP(OtherClients[[#This Row],[Part]],PartControl!$A$2:$E$564,2,FALSE)),0)</f>
        <v>135.07999999999998</v>
      </c>
      <c r="Z1113" s="108">
        <f>IF(OtherClients[[#This Row],[Re-certified or New]]&lt;&gt;"Re-certified",IF(OtherClients[[#This Row],[Client]]="infasco",VLOOKUP(OtherClients[[#This Row],[Part]],PartControl!$A$2:$E$564,2,FALSE),OtherClients[[#This Row],[Total Quantity]]*VLOOKUP(OtherClients[[#This Row],[Part]],PartControl!$A$2:$E$564,2,FALSE)),0)</f>
        <v>135.07999999999998</v>
      </c>
    </row>
    <row r="1114" spans="1:26" ht="25.15" hidden="1" customHeight="1" x14ac:dyDescent="0.25">
      <c r="A1114" s="112">
        <v>46252.688807870371</v>
      </c>
      <c r="B1114" s="5" t="s">
        <v>345</v>
      </c>
      <c r="C1114" s="5">
        <v>11602031</v>
      </c>
      <c r="D1114" s="5">
        <v>716714</v>
      </c>
      <c r="E1114" s="33">
        <v>27</v>
      </c>
      <c r="F1114" s="60">
        <v>145</v>
      </c>
      <c r="G1114" s="60">
        <f>+OtherClients[[#This Row],[Boxes / Pieces]]*OtherClients[[#This Row],[Unit Quantity]]</f>
        <v>3915</v>
      </c>
      <c r="H1114" s="60" t="s">
        <v>849</v>
      </c>
      <c r="I1114" s="126" t="s">
        <v>278</v>
      </c>
      <c r="J1114" s="127"/>
      <c r="K1114" s="33" t="s">
        <v>278</v>
      </c>
      <c r="L1114" s="125"/>
      <c r="M1114" s="33" t="s">
        <v>278</v>
      </c>
      <c r="N1114" s="125"/>
      <c r="O1114" s="33" t="s">
        <v>278</v>
      </c>
      <c r="P1114" s="125"/>
      <c r="Q1114" s="33" t="s">
        <v>587</v>
      </c>
      <c r="R1114" s="125"/>
      <c r="S1114" s="33" t="s">
        <v>278</v>
      </c>
      <c r="T1114" s="125"/>
      <c r="U1114" s="33" t="s">
        <v>278</v>
      </c>
      <c r="V1114" s="125"/>
      <c r="W1114" s="59" t="s">
        <v>548</v>
      </c>
      <c r="X1114" s="33" t="str">
        <f>+VLOOKUP(OtherClients[[#This Row],[Part]],PartControl!$A$2:$E$564,5,FALSE)</f>
        <v>INFASCO</v>
      </c>
      <c r="Y1114" s="108">
        <f>IF(OtherClients[[#This Row],[Re-certified or New]]&lt;&gt;"Re-certified",IF(OtherClients[[#This Row],[Client]]="infasco",VLOOKUP(OtherClients[[#This Row],[Part]],PartControl!$A$2:$E$564,2,FALSE),OtherClients[[#This Row],[Total Quantity]]*VLOOKUP(OtherClients[[#This Row],[Part]],PartControl!$A$2:$E$564,2,FALSE)),0)</f>
        <v>135.07999999999998</v>
      </c>
      <c r="Z1114" s="108">
        <f>IF(OtherClients[[#This Row],[Re-certified or New]]&lt;&gt;"Re-certified",IF(OtherClients[[#This Row],[Client]]="infasco",VLOOKUP(OtherClients[[#This Row],[Part]],PartControl!$A$2:$E$564,2,FALSE),OtherClients[[#This Row],[Total Quantity]]*VLOOKUP(OtherClients[[#This Row],[Part]],PartControl!$A$2:$E$564,2,FALSE)),0)</f>
        <v>135.07999999999998</v>
      </c>
    </row>
    <row r="1115" spans="1:26" ht="25.15" hidden="1" customHeight="1" x14ac:dyDescent="0.25">
      <c r="A1115" s="112">
        <v>46252.688807870371</v>
      </c>
      <c r="B1115" s="5" t="s">
        <v>345</v>
      </c>
      <c r="C1115" s="5">
        <v>11602031</v>
      </c>
      <c r="D1115" s="5">
        <v>716713</v>
      </c>
      <c r="E1115" s="33">
        <v>5</v>
      </c>
      <c r="F1115" s="60">
        <v>145</v>
      </c>
      <c r="G1115" s="60">
        <f>+OtherClients[[#This Row],[Boxes / Pieces]]*OtherClients[[#This Row],[Unit Quantity]]</f>
        <v>725</v>
      </c>
      <c r="H1115" s="60" t="s">
        <v>849</v>
      </c>
      <c r="I1115" s="126" t="s">
        <v>278</v>
      </c>
      <c r="J1115" s="127"/>
      <c r="K1115" s="33" t="s">
        <v>278</v>
      </c>
      <c r="L1115" s="125"/>
      <c r="M1115" s="33" t="s">
        <v>278</v>
      </c>
      <c r="N1115" s="125"/>
      <c r="O1115" s="33" t="s">
        <v>278</v>
      </c>
      <c r="P1115" s="125"/>
      <c r="Q1115" s="33" t="s">
        <v>587</v>
      </c>
      <c r="R1115" s="125"/>
      <c r="S1115" s="33" t="s">
        <v>278</v>
      </c>
      <c r="T1115" s="125"/>
      <c r="U1115" s="33" t="s">
        <v>278</v>
      </c>
      <c r="V1115" s="125"/>
      <c r="W1115" s="59" t="s">
        <v>633</v>
      </c>
      <c r="X1115" s="33" t="str">
        <f>+VLOOKUP(OtherClients[[#This Row],[Part]],PartControl!$A$2:$E$564,5,FALSE)</f>
        <v>INFASCO</v>
      </c>
      <c r="Y1115" s="108">
        <f>IF(OtherClients[[#This Row],[Re-certified or New]]&lt;&gt;"Re-certified",IF(OtherClients[[#This Row],[Client]]="infasco",VLOOKUP(OtherClients[[#This Row],[Part]],PartControl!$A$2:$E$564,2,FALSE),OtherClients[[#This Row],[Total Quantity]]*VLOOKUP(OtherClients[[#This Row],[Part]],PartControl!$A$2:$E$564,2,FALSE)),0)</f>
        <v>0</v>
      </c>
      <c r="Z1115" s="108">
        <f>IF(OtherClients[[#This Row],[Re-certified or New]]&lt;&gt;"Re-certified",IF(OtherClients[[#This Row],[Client]]="infasco",VLOOKUP(OtherClients[[#This Row],[Part]],PartControl!$A$2:$E$564,2,FALSE),OtherClients[[#This Row],[Total Quantity]]*VLOOKUP(OtherClients[[#This Row],[Part]],PartControl!$A$2:$E$564,2,FALSE)),0)</f>
        <v>0</v>
      </c>
    </row>
    <row r="1116" spans="1:26" ht="25.15" hidden="1" customHeight="1" x14ac:dyDescent="0.25">
      <c r="A1116" s="112">
        <v>46252.688807870371</v>
      </c>
      <c r="B1116" s="5" t="s">
        <v>342</v>
      </c>
      <c r="C1116" s="5" t="s">
        <v>854</v>
      </c>
      <c r="D1116" s="5">
        <v>713922</v>
      </c>
      <c r="E1116" s="33">
        <f>34-4</f>
        <v>30</v>
      </c>
      <c r="F1116" s="60">
        <v>700</v>
      </c>
      <c r="G1116" s="60">
        <f>+OtherClients[[#This Row],[Boxes / Pieces]]*OtherClients[[#This Row],[Unit Quantity]]</f>
        <v>21000</v>
      </c>
      <c r="H1116" s="60" t="s">
        <v>811</v>
      </c>
      <c r="I1116" s="126" t="s">
        <v>278</v>
      </c>
      <c r="J1116" s="127"/>
      <c r="K1116" s="33" t="s">
        <v>278</v>
      </c>
      <c r="L1116" s="125"/>
      <c r="M1116" s="33" t="s">
        <v>278</v>
      </c>
      <c r="N1116" s="125"/>
      <c r="O1116" s="33" t="s">
        <v>278</v>
      </c>
      <c r="P1116" s="125"/>
      <c r="Q1116" s="33" t="s">
        <v>587</v>
      </c>
      <c r="R1116" s="125"/>
      <c r="S1116" s="33" t="s">
        <v>278</v>
      </c>
      <c r="T1116" s="125"/>
      <c r="U1116" s="33" t="s">
        <v>278</v>
      </c>
      <c r="V1116" s="125"/>
      <c r="W1116" s="59" t="s">
        <v>548</v>
      </c>
      <c r="X1116" s="33" t="str">
        <f>+VLOOKUP(OtherClients[[#This Row],[Part]],PartControl!$A$2:$E$564,5,FALSE)</f>
        <v>infasco</v>
      </c>
      <c r="Y1116" s="108">
        <f>IF(OtherClients[[#This Row],[Re-certified or New]]&lt;&gt;"Re-certified",IF(OtherClients[[#This Row],[Client]]="infasco",VLOOKUP(OtherClients[[#This Row],[Part]],PartControl!$A$2:$E$564,2,FALSE),OtherClients[[#This Row],[Total Quantity]]*VLOOKUP(OtherClients[[#This Row],[Part]],PartControl!$A$2:$E$564,2,FALSE)),0)</f>
        <v>213.88</v>
      </c>
      <c r="Z1116" s="108">
        <f>IF(OtherClients[[#This Row],[Re-certified or New]]&lt;&gt;"Re-certified",IF(OtherClients[[#This Row],[Client]]="infasco",VLOOKUP(OtherClients[[#This Row],[Part]],PartControl!$A$2:$E$564,2,FALSE),OtherClients[[#This Row],[Total Quantity]]*VLOOKUP(OtherClients[[#This Row],[Part]],PartControl!$A$2:$E$564,2,FALSE)),0)</f>
        <v>213.88</v>
      </c>
    </row>
    <row r="1117" spans="1:26" ht="25.15" hidden="1" customHeight="1" x14ac:dyDescent="0.25">
      <c r="A1117" s="112">
        <v>46252.688807870371</v>
      </c>
      <c r="B1117" s="5" t="s">
        <v>342</v>
      </c>
      <c r="C1117" s="5" t="s">
        <v>880</v>
      </c>
      <c r="D1117" s="5">
        <v>716088</v>
      </c>
      <c r="E1117" s="33">
        <v>36</v>
      </c>
      <c r="F1117" s="60">
        <v>120</v>
      </c>
      <c r="G1117" s="60">
        <f>+OtherClients[[#This Row],[Boxes / Pieces]]*OtherClients[[#This Row],[Unit Quantity]]</f>
        <v>4320</v>
      </c>
      <c r="H1117" s="60" t="s">
        <v>811</v>
      </c>
      <c r="I1117" s="126" t="s">
        <v>278</v>
      </c>
      <c r="J1117" s="127"/>
      <c r="K1117" s="33" t="s">
        <v>278</v>
      </c>
      <c r="L1117" s="125"/>
      <c r="M1117" s="33" t="s">
        <v>278</v>
      </c>
      <c r="N1117" s="125"/>
      <c r="O1117" s="33" t="s">
        <v>278</v>
      </c>
      <c r="P1117" s="125"/>
      <c r="Q1117" s="33" t="s">
        <v>587</v>
      </c>
      <c r="R1117" s="125"/>
      <c r="S1117" s="33" t="s">
        <v>278</v>
      </c>
      <c r="T1117" s="125"/>
      <c r="U1117" s="33" t="s">
        <v>278</v>
      </c>
      <c r="V1117" s="125"/>
      <c r="W1117" s="59" t="s">
        <v>548</v>
      </c>
      <c r="X1117" s="33" t="str">
        <f>+VLOOKUP(OtherClients[[#This Row],[Part]],PartControl!$A$2:$E$564,5,FALSE)</f>
        <v>infasco</v>
      </c>
      <c r="Y1117" s="108">
        <f>IF(OtherClients[[#This Row],[Re-certified or New]]&lt;&gt;"Re-certified",IF(OtherClients[[#This Row],[Client]]="infasco",VLOOKUP(OtherClients[[#This Row],[Part]],PartControl!$A$2:$E$564,2,FALSE),OtherClients[[#This Row],[Total Quantity]]*VLOOKUP(OtherClients[[#This Row],[Part]],PartControl!$A$2:$E$564,2,FALSE)),0)</f>
        <v>106.94</v>
      </c>
      <c r="Z1117" s="108">
        <f>IF(OtherClients[[#This Row],[Re-certified or New]]&lt;&gt;"Re-certified",IF(OtherClients[[#This Row],[Client]]="infasco",VLOOKUP(OtherClients[[#This Row],[Part]],PartControl!$A$2:$E$564,2,FALSE),OtherClients[[#This Row],[Total Quantity]]*VLOOKUP(OtherClients[[#This Row],[Part]],PartControl!$A$2:$E$564,2,FALSE)),0)</f>
        <v>106.94</v>
      </c>
    </row>
    <row r="1118" spans="1:26" ht="25.15" hidden="1" customHeight="1" x14ac:dyDescent="0.25">
      <c r="A1118" s="112">
        <v>46252.688807870371</v>
      </c>
      <c r="B1118" s="5" t="s">
        <v>342</v>
      </c>
      <c r="C1118" s="5" t="s">
        <v>880</v>
      </c>
      <c r="D1118" s="5">
        <v>716094</v>
      </c>
      <c r="E1118" s="33">
        <v>36</v>
      </c>
      <c r="F1118" s="60">
        <v>120</v>
      </c>
      <c r="G1118" s="60">
        <f>+OtherClients[[#This Row],[Boxes / Pieces]]*OtherClients[[#This Row],[Unit Quantity]]</f>
        <v>4320</v>
      </c>
      <c r="H1118" s="60" t="s">
        <v>811</v>
      </c>
      <c r="I1118" s="126" t="s">
        <v>278</v>
      </c>
      <c r="J1118" s="127"/>
      <c r="K1118" s="33" t="s">
        <v>278</v>
      </c>
      <c r="L1118" s="125"/>
      <c r="M1118" s="33" t="s">
        <v>278</v>
      </c>
      <c r="N1118" s="125"/>
      <c r="O1118" s="33" t="s">
        <v>278</v>
      </c>
      <c r="P1118" s="125"/>
      <c r="Q1118" s="33" t="s">
        <v>587</v>
      </c>
      <c r="R1118" s="125"/>
      <c r="S1118" s="33" t="s">
        <v>278</v>
      </c>
      <c r="T1118" s="125"/>
      <c r="U1118" s="33" t="s">
        <v>278</v>
      </c>
      <c r="V1118" s="125"/>
      <c r="W1118" s="59" t="s">
        <v>548</v>
      </c>
      <c r="X1118" s="33" t="str">
        <f>+VLOOKUP(OtherClients[[#This Row],[Part]],PartControl!$A$2:$E$564,5,FALSE)</f>
        <v>infasco</v>
      </c>
      <c r="Y1118" s="108">
        <f>IF(OtherClients[[#This Row],[Re-certified or New]]&lt;&gt;"Re-certified",IF(OtherClients[[#This Row],[Client]]="infasco",VLOOKUP(OtherClients[[#This Row],[Part]],PartControl!$A$2:$E$564,2,FALSE),OtherClients[[#This Row],[Total Quantity]]*VLOOKUP(OtherClients[[#This Row],[Part]],PartControl!$A$2:$E$564,2,FALSE)),0)</f>
        <v>106.94</v>
      </c>
      <c r="Z1118" s="108">
        <f>IF(OtherClients[[#This Row],[Re-certified or New]]&lt;&gt;"Re-certified",IF(OtherClients[[#This Row],[Client]]="infasco",VLOOKUP(OtherClients[[#This Row],[Part]],PartControl!$A$2:$E$564,2,FALSE),OtherClients[[#This Row],[Total Quantity]]*VLOOKUP(OtherClients[[#This Row],[Part]],PartControl!$A$2:$E$564,2,FALSE)),0)</f>
        <v>106.94</v>
      </c>
    </row>
    <row r="1119" spans="1:26" ht="25.15" hidden="1" customHeight="1" x14ac:dyDescent="0.25">
      <c r="A1119" s="112">
        <v>46252.688807870371</v>
      </c>
      <c r="B1119" s="5" t="s">
        <v>342</v>
      </c>
      <c r="C1119" s="5" t="s">
        <v>880</v>
      </c>
      <c r="D1119" s="5">
        <v>716090</v>
      </c>
      <c r="E1119" s="33">
        <v>37</v>
      </c>
      <c r="F1119" s="60">
        <v>120</v>
      </c>
      <c r="G1119" s="60">
        <f>+OtherClients[[#This Row],[Boxes / Pieces]]*OtherClients[[#This Row],[Unit Quantity]]</f>
        <v>4440</v>
      </c>
      <c r="H1119" s="60" t="s">
        <v>811</v>
      </c>
      <c r="I1119" s="126" t="s">
        <v>278</v>
      </c>
      <c r="J1119" s="127"/>
      <c r="K1119" s="33" t="s">
        <v>278</v>
      </c>
      <c r="L1119" s="125"/>
      <c r="M1119" s="33" t="s">
        <v>278</v>
      </c>
      <c r="N1119" s="125"/>
      <c r="O1119" s="33" t="s">
        <v>278</v>
      </c>
      <c r="P1119" s="125"/>
      <c r="Q1119" s="33" t="s">
        <v>587</v>
      </c>
      <c r="R1119" s="125"/>
      <c r="S1119" s="33" t="s">
        <v>278</v>
      </c>
      <c r="T1119" s="125"/>
      <c r="U1119" s="33" t="s">
        <v>278</v>
      </c>
      <c r="V1119" s="125"/>
      <c r="W1119" s="59" t="s">
        <v>548</v>
      </c>
      <c r="X1119" s="33" t="str">
        <f>+VLOOKUP(OtherClients[[#This Row],[Part]],PartControl!$A$2:$E$564,5,FALSE)</f>
        <v>infasco</v>
      </c>
      <c r="Y1119" s="108">
        <f>IF(OtherClients[[#This Row],[Re-certified or New]]&lt;&gt;"Re-certified",IF(OtherClients[[#This Row],[Client]]="infasco",VLOOKUP(OtherClients[[#This Row],[Part]],PartControl!$A$2:$E$564,2,FALSE),OtherClients[[#This Row],[Total Quantity]]*VLOOKUP(OtherClients[[#This Row],[Part]],PartControl!$A$2:$E$564,2,FALSE)),0)</f>
        <v>106.94</v>
      </c>
      <c r="Z1119" s="108">
        <f>IF(OtherClients[[#This Row],[Re-certified or New]]&lt;&gt;"Re-certified",IF(OtherClients[[#This Row],[Client]]="infasco",VLOOKUP(OtherClients[[#This Row],[Part]],PartControl!$A$2:$E$564,2,FALSE),OtherClients[[#This Row],[Total Quantity]]*VLOOKUP(OtherClients[[#This Row],[Part]],PartControl!$A$2:$E$564,2,FALSE)),0)</f>
        <v>106.94</v>
      </c>
    </row>
    <row r="1120" spans="1:26" ht="25.15" hidden="1" customHeight="1" x14ac:dyDescent="0.25">
      <c r="A1120" s="112">
        <v>46252.688807870371</v>
      </c>
      <c r="B1120" s="5" t="s">
        <v>342</v>
      </c>
      <c r="C1120" s="5" t="s">
        <v>651</v>
      </c>
      <c r="D1120" s="5">
        <v>716672</v>
      </c>
      <c r="E1120" s="33">
        <v>36</v>
      </c>
      <c r="F1120" s="60">
        <v>800</v>
      </c>
      <c r="G1120" s="60">
        <f>+OtherClients[[#This Row],[Boxes / Pieces]]*OtherClients[[#This Row],[Unit Quantity]]</f>
        <v>28800</v>
      </c>
      <c r="H1120" s="60" t="s">
        <v>811</v>
      </c>
      <c r="I1120" s="126" t="s">
        <v>278</v>
      </c>
      <c r="J1120" s="127"/>
      <c r="K1120" s="33" t="s">
        <v>278</v>
      </c>
      <c r="L1120" s="125"/>
      <c r="M1120" s="33" t="s">
        <v>278</v>
      </c>
      <c r="N1120" s="125"/>
      <c r="O1120" s="33" t="s">
        <v>278</v>
      </c>
      <c r="P1120" s="125"/>
      <c r="Q1120" s="33" t="s">
        <v>587</v>
      </c>
      <c r="R1120" s="125"/>
      <c r="S1120" s="33" t="s">
        <v>278</v>
      </c>
      <c r="T1120" s="125"/>
      <c r="U1120" s="33" t="s">
        <v>278</v>
      </c>
      <c r="V1120" s="125"/>
      <c r="W1120" s="59" t="s">
        <v>548</v>
      </c>
      <c r="X1120" s="33" t="str">
        <f>+VLOOKUP(OtherClients[[#This Row],[Part]],PartControl!$A$2:$E$564,5,FALSE)</f>
        <v>infasco</v>
      </c>
      <c r="Y1120" s="108">
        <f>IF(OtherClients[[#This Row],[Re-certified or New]]&lt;&gt;"Re-certified",IF(OtherClients[[#This Row],[Client]]="infasco",VLOOKUP(OtherClients[[#This Row],[Part]],PartControl!$A$2:$E$564,2,FALSE),OtherClients[[#This Row],[Total Quantity]]*VLOOKUP(OtherClients[[#This Row],[Part]],PartControl!$A$2:$E$564,2,FALSE)),0)</f>
        <v>280.15999999999997</v>
      </c>
      <c r="Z1120" s="108">
        <f>IF(OtherClients[[#This Row],[Re-certified or New]]&lt;&gt;"Re-certified",IF(OtherClients[[#This Row],[Client]]="infasco",VLOOKUP(OtherClients[[#This Row],[Part]],PartControl!$A$2:$E$564,2,FALSE),OtherClients[[#This Row],[Total Quantity]]*VLOOKUP(OtherClients[[#This Row],[Part]],PartControl!$A$2:$E$564,2,FALSE)),0)</f>
        <v>280.15999999999997</v>
      </c>
    </row>
    <row r="1121" spans="1:26" ht="25.15" hidden="1" customHeight="1" x14ac:dyDescent="0.25">
      <c r="A1121" s="112">
        <v>46252.688807870371</v>
      </c>
      <c r="B1121" s="5" t="s">
        <v>342</v>
      </c>
      <c r="C1121" s="5">
        <v>61525</v>
      </c>
      <c r="D1121" s="5">
        <v>717228</v>
      </c>
      <c r="E1121" s="33">
        <v>35</v>
      </c>
      <c r="F1121" s="60">
        <v>3000</v>
      </c>
      <c r="G1121" s="60">
        <f>+OtherClients[[#This Row],[Boxes / Pieces]]*OtherClients[[#This Row],[Unit Quantity]]</f>
        <v>105000</v>
      </c>
      <c r="H1121" s="60" t="s">
        <v>811</v>
      </c>
      <c r="I1121" s="126" t="s">
        <v>278</v>
      </c>
      <c r="J1121" s="127"/>
      <c r="K1121" s="33" t="s">
        <v>278</v>
      </c>
      <c r="L1121" s="125"/>
      <c r="M1121" s="33" t="s">
        <v>278</v>
      </c>
      <c r="N1121" s="125"/>
      <c r="O1121" s="33" t="s">
        <v>278</v>
      </c>
      <c r="P1121" s="125"/>
      <c r="Q1121" s="33" t="s">
        <v>587</v>
      </c>
      <c r="R1121" s="125"/>
      <c r="S1121" s="33" t="s">
        <v>278</v>
      </c>
      <c r="T1121" s="125"/>
      <c r="U1121" s="33" t="s">
        <v>278</v>
      </c>
      <c r="V1121" s="125"/>
      <c r="W1121" s="59" t="s">
        <v>548</v>
      </c>
      <c r="X1121" s="33" t="str">
        <f>+VLOOKUP(OtherClients[[#This Row],[Part]],PartControl!$A$2:$E$564,5,FALSE)</f>
        <v>infasco</v>
      </c>
      <c r="Y1121" s="108">
        <f>IF(OtherClients[[#This Row],[Re-certified or New]]&lt;&gt;"Re-certified",IF(OtherClients[[#This Row],[Client]]="infasco",VLOOKUP(OtherClients[[#This Row],[Part]],PartControl!$A$2:$E$564,2,FALSE),OtherClients[[#This Row],[Total Quantity]]*VLOOKUP(OtherClients[[#This Row],[Part]],PartControl!$A$2:$E$564,2,FALSE)),0)</f>
        <v>224.49</v>
      </c>
      <c r="Z1121" s="108">
        <f>IF(OtherClients[[#This Row],[Re-certified or New]]&lt;&gt;"Re-certified",IF(OtherClients[[#This Row],[Client]]="infasco",VLOOKUP(OtherClients[[#This Row],[Part]],PartControl!$A$2:$E$564,2,FALSE),OtherClients[[#This Row],[Total Quantity]]*VLOOKUP(OtherClients[[#This Row],[Part]],PartControl!$A$2:$E$564,2,FALSE)),0)</f>
        <v>224.49</v>
      </c>
    </row>
    <row r="1122" spans="1:26" ht="25.15" hidden="1" customHeight="1" x14ac:dyDescent="0.25">
      <c r="A1122" s="112">
        <v>46252.688807870371</v>
      </c>
      <c r="B1122" s="5" t="s">
        <v>342</v>
      </c>
      <c r="C1122" s="5">
        <v>11602031</v>
      </c>
      <c r="D1122" s="5">
        <v>716717</v>
      </c>
      <c r="E1122" s="33">
        <v>36</v>
      </c>
      <c r="F1122" s="60">
        <v>145</v>
      </c>
      <c r="G1122" s="60">
        <f>+OtherClients[[#This Row],[Boxes / Pieces]]*OtherClients[[#This Row],[Unit Quantity]]</f>
        <v>5220</v>
      </c>
      <c r="H1122" s="60" t="s">
        <v>811</v>
      </c>
      <c r="I1122" s="126" t="s">
        <v>278</v>
      </c>
      <c r="J1122" s="127"/>
      <c r="K1122" s="33" t="s">
        <v>278</v>
      </c>
      <c r="L1122" s="125"/>
      <c r="M1122" s="33" t="s">
        <v>278</v>
      </c>
      <c r="N1122" s="125"/>
      <c r="O1122" s="33" t="s">
        <v>278</v>
      </c>
      <c r="P1122" s="125"/>
      <c r="Q1122" s="33" t="s">
        <v>587</v>
      </c>
      <c r="R1122" s="125"/>
      <c r="S1122" s="33" t="s">
        <v>278</v>
      </c>
      <c r="T1122" s="125"/>
      <c r="U1122" s="33" t="s">
        <v>278</v>
      </c>
      <c r="V1122" s="125"/>
      <c r="W1122" s="59" t="s">
        <v>548</v>
      </c>
      <c r="X1122" s="33" t="str">
        <f>+VLOOKUP(OtherClients[[#This Row],[Part]],PartControl!$A$2:$E$564,5,FALSE)</f>
        <v>INFASCO</v>
      </c>
      <c r="Y1122" s="108">
        <f>IF(OtherClients[[#This Row],[Re-certified or New]]&lt;&gt;"Re-certified",IF(OtherClients[[#This Row],[Client]]="infasco",VLOOKUP(OtherClients[[#This Row],[Part]],PartControl!$A$2:$E$564,2,FALSE),OtherClients[[#This Row],[Total Quantity]]*VLOOKUP(OtherClients[[#This Row],[Part]],PartControl!$A$2:$E$564,2,FALSE)),0)</f>
        <v>135.07999999999998</v>
      </c>
      <c r="Z1122" s="108">
        <f>IF(OtherClients[[#This Row],[Re-certified or New]]&lt;&gt;"Re-certified",IF(OtherClients[[#This Row],[Client]]="infasco",VLOOKUP(OtherClients[[#This Row],[Part]],PartControl!$A$2:$E$564,2,FALSE),OtherClients[[#This Row],[Total Quantity]]*VLOOKUP(OtherClients[[#This Row],[Part]],PartControl!$A$2:$E$564,2,FALSE)),0)</f>
        <v>135.07999999999998</v>
      </c>
    </row>
    <row r="1123" spans="1:26" ht="25.15" hidden="1" customHeight="1" x14ac:dyDescent="0.25">
      <c r="A1123" s="112">
        <v>46252.688807870371</v>
      </c>
      <c r="B1123" s="5" t="s">
        <v>342</v>
      </c>
      <c r="C1123" s="5">
        <v>11602031</v>
      </c>
      <c r="D1123" s="5">
        <v>716715</v>
      </c>
      <c r="E1123" s="33">
        <v>22</v>
      </c>
      <c r="F1123" s="60">
        <v>145</v>
      </c>
      <c r="G1123" s="60">
        <f>+OtherClients[[#This Row],[Boxes / Pieces]]*OtherClients[[#This Row],[Unit Quantity]]</f>
        <v>3190</v>
      </c>
      <c r="H1123" s="60" t="s">
        <v>811</v>
      </c>
      <c r="I1123" s="126" t="s">
        <v>278</v>
      </c>
      <c r="J1123" s="127"/>
      <c r="K1123" s="33" t="s">
        <v>278</v>
      </c>
      <c r="L1123" s="125"/>
      <c r="M1123" s="33" t="s">
        <v>278</v>
      </c>
      <c r="N1123" s="125"/>
      <c r="O1123" s="33" t="s">
        <v>278</v>
      </c>
      <c r="P1123" s="125"/>
      <c r="Q1123" s="33" t="s">
        <v>587</v>
      </c>
      <c r="R1123" s="125"/>
      <c r="S1123" s="33" t="s">
        <v>278</v>
      </c>
      <c r="T1123" s="125"/>
      <c r="U1123" s="33" t="s">
        <v>278</v>
      </c>
      <c r="V1123" s="125"/>
      <c r="W1123" s="59" t="s">
        <v>548</v>
      </c>
      <c r="X1123" s="33" t="str">
        <f>+VLOOKUP(OtherClients[[#This Row],[Part]],PartControl!$A$2:$E$564,5,FALSE)</f>
        <v>INFASCO</v>
      </c>
      <c r="Y1123" s="108">
        <f>IF(OtherClients[[#This Row],[Re-certified or New]]&lt;&gt;"Re-certified",IF(OtherClients[[#This Row],[Client]]="infasco",VLOOKUP(OtherClients[[#This Row],[Part]],PartControl!$A$2:$E$564,2,FALSE),OtherClients[[#This Row],[Total Quantity]]*VLOOKUP(OtherClients[[#This Row],[Part]],PartControl!$A$2:$E$564,2,FALSE)),0)</f>
        <v>135.07999999999998</v>
      </c>
      <c r="Z1123" s="108">
        <f>IF(OtherClients[[#This Row],[Re-certified or New]]&lt;&gt;"Re-certified",IF(OtherClients[[#This Row],[Client]]="infasco",VLOOKUP(OtherClients[[#This Row],[Part]],PartControl!$A$2:$E$564,2,FALSE),OtherClients[[#This Row],[Total Quantity]]*VLOOKUP(OtherClients[[#This Row],[Part]],PartControl!$A$2:$E$564,2,FALSE)),0)</f>
        <v>135.07999999999998</v>
      </c>
    </row>
    <row r="1124" spans="1:26" ht="25.15" hidden="1" customHeight="1" x14ac:dyDescent="0.25">
      <c r="A1124" s="112">
        <v>46252.688807870371</v>
      </c>
      <c r="B1124" s="5" t="s">
        <v>342</v>
      </c>
      <c r="C1124" s="5">
        <v>11517665</v>
      </c>
      <c r="D1124" s="5">
        <v>716867</v>
      </c>
      <c r="E1124" s="33">
        <v>9</v>
      </c>
      <c r="F1124" s="60">
        <v>3000</v>
      </c>
      <c r="G1124" s="60">
        <f>+OtherClients[[#This Row],[Boxes / Pieces]]*OtherClients[[#This Row],[Unit Quantity]]</f>
        <v>27000</v>
      </c>
      <c r="H1124" s="60" t="s">
        <v>811</v>
      </c>
      <c r="I1124" s="126" t="s">
        <v>278</v>
      </c>
      <c r="J1124" s="127"/>
      <c r="K1124" s="33" t="s">
        <v>278</v>
      </c>
      <c r="L1124" s="125"/>
      <c r="M1124" s="33" t="s">
        <v>278</v>
      </c>
      <c r="N1124" s="125"/>
      <c r="O1124" s="33" t="s">
        <v>278</v>
      </c>
      <c r="P1124" s="125"/>
      <c r="Q1124" s="33" t="s">
        <v>587</v>
      </c>
      <c r="R1124" s="125"/>
      <c r="S1124" s="33" t="s">
        <v>278</v>
      </c>
      <c r="T1124" s="125"/>
      <c r="U1124" s="33" t="s">
        <v>278</v>
      </c>
      <c r="V1124" s="125"/>
      <c r="W1124" s="59" t="s">
        <v>548</v>
      </c>
      <c r="X1124" s="33" t="str">
        <f>+VLOOKUP(OtherClients[[#This Row],[Part]],PartControl!$A$2:$E$564,5,FALSE)</f>
        <v>INFASCO</v>
      </c>
      <c r="Y1124" s="108">
        <f>IF(OtherClients[[#This Row],[Re-certified or New]]&lt;&gt;"Re-certified",IF(OtherClients[[#This Row],[Client]]="infasco",VLOOKUP(OtherClients[[#This Row],[Part]],PartControl!$A$2:$E$564,2,FALSE),OtherClients[[#This Row],[Total Quantity]]*VLOOKUP(OtherClients[[#This Row],[Part]],PartControl!$A$2:$E$564,2,FALSE)),0)</f>
        <v>106.94</v>
      </c>
      <c r="Z1124" s="108">
        <f>IF(OtherClients[[#This Row],[Re-certified or New]]&lt;&gt;"Re-certified",IF(OtherClients[[#This Row],[Client]]="infasco",VLOOKUP(OtherClients[[#This Row],[Part]],PartControl!$A$2:$E$564,2,FALSE),OtherClients[[#This Row],[Total Quantity]]*VLOOKUP(OtherClients[[#This Row],[Part]],PartControl!$A$2:$E$564,2,FALSE)),0)</f>
        <v>106.94</v>
      </c>
    </row>
    <row r="1125" spans="1:26" ht="25.15" hidden="1" customHeight="1" x14ac:dyDescent="0.25">
      <c r="A1125" s="112">
        <v>46252.688807870371</v>
      </c>
      <c r="B1125" s="5" t="s">
        <v>342</v>
      </c>
      <c r="C1125" s="5" t="s">
        <v>696</v>
      </c>
      <c r="D1125" s="5">
        <v>716771</v>
      </c>
      <c r="E1125" s="33">
        <v>18</v>
      </c>
      <c r="F1125" s="60">
        <v>360</v>
      </c>
      <c r="G1125" s="60">
        <f>+OtherClients[[#This Row],[Boxes / Pieces]]*OtherClients[[#This Row],[Unit Quantity]]</f>
        <v>6480</v>
      </c>
      <c r="H1125" s="60" t="s">
        <v>811</v>
      </c>
      <c r="I1125" s="126" t="s">
        <v>278</v>
      </c>
      <c r="J1125" s="127"/>
      <c r="K1125" s="33" t="s">
        <v>278</v>
      </c>
      <c r="L1125" s="125"/>
      <c r="M1125" s="33" t="s">
        <v>278</v>
      </c>
      <c r="N1125" s="125"/>
      <c r="O1125" s="33" t="s">
        <v>278</v>
      </c>
      <c r="P1125" s="125"/>
      <c r="Q1125" s="33" t="s">
        <v>587</v>
      </c>
      <c r="R1125" s="125"/>
      <c r="S1125" s="33" t="s">
        <v>278</v>
      </c>
      <c r="T1125" s="125"/>
      <c r="U1125" s="33" t="s">
        <v>278</v>
      </c>
      <c r="V1125" s="125"/>
      <c r="W1125" s="59" t="s">
        <v>633</v>
      </c>
      <c r="X1125" s="33" t="str">
        <f>+VLOOKUP(OtherClients[[#This Row],[Part]],PartControl!$A$2:$E$564,5,FALSE)</f>
        <v>infasco</v>
      </c>
      <c r="Y1125" s="108">
        <f>IF(OtherClients[[#This Row],[Re-certified or New]]&lt;&gt;"Re-certified",IF(OtherClients[[#This Row],[Client]]="infasco",VLOOKUP(OtherClients[[#This Row],[Part]],PartControl!$A$2:$E$564,2,FALSE),OtherClients[[#This Row],[Total Quantity]]*VLOOKUP(OtherClients[[#This Row],[Part]],PartControl!$A$2:$E$564,2,FALSE)),0)</f>
        <v>0</v>
      </c>
      <c r="Z1125" s="108">
        <f>IF(OtherClients[[#This Row],[Re-certified or New]]&lt;&gt;"Re-certified",IF(OtherClients[[#This Row],[Client]]="infasco",VLOOKUP(OtherClients[[#This Row],[Part]],PartControl!$A$2:$E$564,2,FALSE),OtherClients[[#This Row],[Total Quantity]]*VLOOKUP(OtherClients[[#This Row],[Part]],PartControl!$A$2:$E$564,2,FALSE)),0)</f>
        <v>0</v>
      </c>
    </row>
    <row r="1126" spans="1:26" ht="25.15" hidden="1" customHeight="1" x14ac:dyDescent="0.25">
      <c r="A1126" s="112">
        <v>46252.688807870371</v>
      </c>
      <c r="B1126" s="5" t="s">
        <v>249</v>
      </c>
      <c r="C1126" s="5">
        <v>11612078</v>
      </c>
      <c r="D1126" s="5">
        <v>706811</v>
      </c>
      <c r="E1126" s="33">
        <v>9</v>
      </c>
      <c r="F1126" s="60">
        <v>1850</v>
      </c>
      <c r="G1126" s="60">
        <f>+OtherClients[[#This Row],[Boxes / Pieces]]*OtherClients[[#This Row],[Unit Quantity]]</f>
        <v>16650</v>
      </c>
      <c r="H1126" s="60">
        <v>4</v>
      </c>
      <c r="I1126" s="126" t="s">
        <v>278</v>
      </c>
      <c r="J1126" s="127"/>
      <c r="K1126" s="33" t="s">
        <v>278</v>
      </c>
      <c r="L1126" s="125"/>
      <c r="M1126" s="33" t="s">
        <v>278</v>
      </c>
      <c r="N1126" s="125"/>
      <c r="O1126" s="33" t="s">
        <v>278</v>
      </c>
      <c r="P1126" s="125"/>
      <c r="Q1126" s="33" t="s">
        <v>587</v>
      </c>
      <c r="R1126" s="125"/>
      <c r="S1126" s="33" t="s">
        <v>278</v>
      </c>
      <c r="T1126" s="125"/>
      <c r="U1126" s="33" t="s">
        <v>278</v>
      </c>
      <c r="V1126" s="125"/>
      <c r="W1126" s="59" t="s">
        <v>548</v>
      </c>
      <c r="X1126" s="33" t="str">
        <f>+VLOOKUP(OtherClients[[#This Row],[Part]],PartControl!$A$2:$E$564,5,FALSE)</f>
        <v>infasco</v>
      </c>
      <c r="Y1126" s="108">
        <f>IF(OtherClients[[#This Row],[Re-certified or New]]&lt;&gt;"Re-certified",IF(OtherClients[[#This Row],[Client]]="infasco",VLOOKUP(OtherClients[[#This Row],[Part]],PartControl!$A$2:$E$564,2,FALSE),OtherClients[[#This Row],[Total Quantity]]*VLOOKUP(OtherClients[[#This Row],[Part]],PartControl!$A$2:$E$564,2,FALSE)),0)</f>
        <v>247.64</v>
      </c>
      <c r="Z1126" s="108">
        <f>IF(OtherClients[[#This Row],[Re-certified or New]]&lt;&gt;"Re-certified",IF(OtherClients[[#This Row],[Client]]="infasco",VLOOKUP(OtherClients[[#This Row],[Part]],PartControl!$A$2:$E$564,2,FALSE),OtherClients[[#This Row],[Total Quantity]]*VLOOKUP(OtherClients[[#This Row],[Part]],PartControl!$A$2:$E$564,2,FALSE)),0)</f>
        <v>247.64</v>
      </c>
    </row>
    <row r="1127" spans="1:26" ht="25.15" hidden="1" customHeight="1" x14ac:dyDescent="0.25">
      <c r="A1127" s="112">
        <v>46252.688807870371</v>
      </c>
      <c r="B1127" s="5" t="s">
        <v>249</v>
      </c>
      <c r="C1127" s="5">
        <v>11612078</v>
      </c>
      <c r="D1127" s="5">
        <v>709057</v>
      </c>
      <c r="E1127" s="33">
        <v>14</v>
      </c>
      <c r="F1127" s="60">
        <v>1850</v>
      </c>
      <c r="G1127" s="60">
        <f>+OtherClients[[#This Row],[Boxes / Pieces]]*OtherClients[[#This Row],[Unit Quantity]]</f>
        <v>25900</v>
      </c>
      <c r="H1127" s="60">
        <v>4</v>
      </c>
      <c r="I1127" s="126" t="s">
        <v>278</v>
      </c>
      <c r="J1127" s="127"/>
      <c r="K1127" s="33" t="s">
        <v>278</v>
      </c>
      <c r="L1127" s="125"/>
      <c r="M1127" s="33" t="s">
        <v>278</v>
      </c>
      <c r="N1127" s="125"/>
      <c r="O1127" s="33" t="s">
        <v>278</v>
      </c>
      <c r="P1127" s="125"/>
      <c r="Q1127" s="33" t="s">
        <v>587</v>
      </c>
      <c r="R1127" s="125"/>
      <c r="S1127" s="33" t="s">
        <v>278</v>
      </c>
      <c r="T1127" s="125"/>
      <c r="U1127" s="33" t="s">
        <v>278</v>
      </c>
      <c r="V1127" s="125"/>
      <c r="W1127" s="59" t="s">
        <v>633</v>
      </c>
      <c r="X1127" s="33" t="str">
        <f>+VLOOKUP(OtherClients[[#This Row],[Part]],PartControl!$A$2:$E$564,5,FALSE)</f>
        <v>infasco</v>
      </c>
      <c r="Y1127" s="108">
        <f>IF(OtherClients[[#This Row],[Re-certified or New]]&lt;&gt;"Re-certified",IF(OtherClients[[#This Row],[Client]]="infasco",VLOOKUP(OtherClients[[#This Row],[Part]],PartControl!$A$2:$E$564,2,FALSE),OtherClients[[#This Row],[Total Quantity]]*VLOOKUP(OtherClients[[#This Row],[Part]],PartControl!$A$2:$E$564,2,FALSE)),0)</f>
        <v>0</v>
      </c>
      <c r="Z1127" s="108">
        <f>IF(OtherClients[[#This Row],[Re-certified or New]]&lt;&gt;"Re-certified",IF(OtherClients[[#This Row],[Client]]="infasco",VLOOKUP(OtherClients[[#This Row],[Part]],PartControl!$A$2:$E$564,2,FALSE),OtherClients[[#This Row],[Total Quantity]]*VLOOKUP(OtherClients[[#This Row],[Part]],PartControl!$A$2:$E$564,2,FALSE)),0)</f>
        <v>0</v>
      </c>
    </row>
    <row r="1128" spans="1:26" ht="25.15" hidden="1" customHeight="1" x14ac:dyDescent="0.25">
      <c r="A1128" s="112">
        <v>46252.688807870371</v>
      </c>
      <c r="B1128" s="5" t="s">
        <v>634</v>
      </c>
      <c r="C1128" s="5" t="s">
        <v>664</v>
      </c>
      <c r="D1128" s="5">
        <v>714528</v>
      </c>
      <c r="E1128" s="33">
        <v>18</v>
      </c>
      <c r="F1128" s="60">
        <v>1050</v>
      </c>
      <c r="G1128" s="60">
        <f>+OtherClients[[#This Row],[Boxes / Pieces]]*OtherClients[[#This Row],[Unit Quantity]]</f>
        <v>18900</v>
      </c>
      <c r="H1128" s="60">
        <v>280</v>
      </c>
      <c r="I1128" s="126" t="s">
        <v>278</v>
      </c>
      <c r="J1128" s="127"/>
      <c r="K1128" s="33" t="s">
        <v>278</v>
      </c>
      <c r="L1128" s="125"/>
      <c r="M1128" s="33" t="s">
        <v>278</v>
      </c>
      <c r="N1128" s="125"/>
      <c r="O1128" s="33" t="s">
        <v>278</v>
      </c>
      <c r="P1128" s="125"/>
      <c r="Q1128" s="33" t="s">
        <v>587</v>
      </c>
      <c r="R1128" s="125"/>
      <c r="S1128" s="33" t="s">
        <v>278</v>
      </c>
      <c r="T1128" s="125"/>
      <c r="U1128" s="33" t="s">
        <v>278</v>
      </c>
      <c r="V1128" s="125"/>
      <c r="W1128" s="59" t="s">
        <v>548</v>
      </c>
      <c r="X1128" s="33" t="str">
        <f>+VLOOKUP(OtherClients[[#This Row],[Part]],PartControl!$A$2:$E$564,5,FALSE)</f>
        <v>infasco</v>
      </c>
      <c r="Y1128" s="108">
        <f>IF(OtherClients[[#This Row],[Re-certified or New]]&lt;&gt;"Re-certified",IF(OtherClients[[#This Row],[Client]]="infasco",VLOOKUP(OtherClients[[#This Row],[Part]],PartControl!$A$2:$E$564,2,FALSE),OtherClients[[#This Row],[Total Quantity]]*VLOOKUP(OtherClients[[#This Row],[Part]],PartControl!$A$2:$E$564,2,FALSE)),0)</f>
        <v>106.94</v>
      </c>
      <c r="Z1128" s="108">
        <f>IF(OtherClients[[#This Row],[Re-certified or New]]&lt;&gt;"Re-certified",IF(OtherClients[[#This Row],[Client]]="infasco",VLOOKUP(OtherClients[[#This Row],[Part]],PartControl!$A$2:$E$564,2,FALSE),OtherClients[[#This Row],[Total Quantity]]*VLOOKUP(OtherClients[[#This Row],[Part]],PartControl!$A$2:$E$564,2,FALSE)),0)</f>
        <v>106.94</v>
      </c>
    </row>
    <row r="1129" spans="1:26" ht="25.15" hidden="1" customHeight="1" x14ac:dyDescent="0.25">
      <c r="A1129" s="112">
        <v>46252.688807870371</v>
      </c>
      <c r="B1129" s="5" t="s">
        <v>635</v>
      </c>
      <c r="C1129" s="5" t="s">
        <v>664</v>
      </c>
      <c r="D1129" s="5">
        <v>714529</v>
      </c>
      <c r="E1129" s="33">
        <f>36+7-32</f>
        <v>11</v>
      </c>
      <c r="F1129" s="60">
        <v>1050</v>
      </c>
      <c r="G1129" s="60">
        <f>+OtherClients[[#This Row],[Boxes / Pieces]]*OtherClients[[#This Row],[Unit Quantity]]</f>
        <v>11550</v>
      </c>
      <c r="H1129" s="60">
        <v>280</v>
      </c>
      <c r="I1129" s="126" t="s">
        <v>278</v>
      </c>
      <c r="J1129" s="127"/>
      <c r="K1129" s="33" t="s">
        <v>278</v>
      </c>
      <c r="L1129" s="125"/>
      <c r="M1129" s="33" t="s">
        <v>278</v>
      </c>
      <c r="N1129" s="125"/>
      <c r="O1129" s="33" t="s">
        <v>278</v>
      </c>
      <c r="P1129" s="125"/>
      <c r="Q1129" s="33" t="s">
        <v>587</v>
      </c>
      <c r="R1129" s="125"/>
      <c r="S1129" s="33" t="s">
        <v>278</v>
      </c>
      <c r="T1129" s="125"/>
      <c r="U1129" s="33" t="s">
        <v>278</v>
      </c>
      <c r="V1129" s="125"/>
      <c r="W1129" s="59" t="s">
        <v>548</v>
      </c>
      <c r="X1129" s="33" t="str">
        <f>+VLOOKUP(OtherClients[[#This Row],[Part]],PartControl!$A$2:$E$564,5,FALSE)</f>
        <v>infasco</v>
      </c>
      <c r="Y1129" s="108">
        <f>IF(OtherClients[[#This Row],[Re-certified or New]]&lt;&gt;"Re-certified",IF(OtherClients[[#This Row],[Client]]="infasco",VLOOKUP(OtherClients[[#This Row],[Part]],PartControl!$A$2:$E$564,2,FALSE),OtherClients[[#This Row],[Total Quantity]]*VLOOKUP(OtherClients[[#This Row],[Part]],PartControl!$A$2:$E$564,2,FALSE)),0)</f>
        <v>106.94</v>
      </c>
      <c r="Z1129" s="108">
        <f>IF(OtherClients[[#This Row],[Re-certified or New]]&lt;&gt;"Re-certified",IF(OtherClients[[#This Row],[Client]]="infasco",VLOOKUP(OtherClients[[#This Row],[Part]],PartControl!$A$2:$E$564,2,FALSE),OtherClients[[#This Row],[Total Quantity]]*VLOOKUP(OtherClients[[#This Row],[Part]],PartControl!$A$2:$E$564,2,FALSE)),0)</f>
        <v>106.94</v>
      </c>
    </row>
    <row r="1130" spans="1:26" ht="25.15" hidden="1" customHeight="1" x14ac:dyDescent="0.25">
      <c r="A1130" s="112">
        <v>46252.688807870371</v>
      </c>
      <c r="B1130" s="5" t="s">
        <v>635</v>
      </c>
      <c r="C1130" s="5" t="s">
        <v>664</v>
      </c>
      <c r="D1130" s="5">
        <v>714526</v>
      </c>
      <c r="E1130" s="33">
        <v>38</v>
      </c>
      <c r="F1130" s="60">
        <v>1050</v>
      </c>
      <c r="G1130" s="60">
        <f>+OtherClients[[#This Row],[Boxes / Pieces]]*OtherClients[[#This Row],[Unit Quantity]]</f>
        <v>39900</v>
      </c>
      <c r="H1130" s="60">
        <v>280</v>
      </c>
      <c r="I1130" s="126" t="s">
        <v>278</v>
      </c>
      <c r="J1130" s="127"/>
      <c r="K1130" s="33" t="s">
        <v>278</v>
      </c>
      <c r="L1130" s="125"/>
      <c r="M1130" s="33" t="s">
        <v>278</v>
      </c>
      <c r="N1130" s="125"/>
      <c r="O1130" s="33" t="s">
        <v>278</v>
      </c>
      <c r="P1130" s="125"/>
      <c r="Q1130" s="33" t="s">
        <v>587</v>
      </c>
      <c r="R1130" s="125"/>
      <c r="S1130" s="33" t="s">
        <v>278</v>
      </c>
      <c r="T1130" s="125"/>
      <c r="U1130" s="33" t="s">
        <v>278</v>
      </c>
      <c r="V1130" s="125"/>
      <c r="W1130" s="59" t="s">
        <v>633</v>
      </c>
      <c r="X1130" s="33" t="str">
        <f>+VLOOKUP(OtherClients[[#This Row],[Part]],PartControl!$A$2:$E$564,5,FALSE)</f>
        <v>infasco</v>
      </c>
      <c r="Y1130" s="108">
        <f>IF(OtherClients[[#This Row],[Re-certified or New]]&lt;&gt;"Re-certified",IF(OtherClients[[#This Row],[Client]]="infasco",VLOOKUP(OtherClients[[#This Row],[Part]],PartControl!$A$2:$E$564,2,FALSE),OtherClients[[#This Row],[Total Quantity]]*VLOOKUP(OtherClients[[#This Row],[Part]],PartControl!$A$2:$E$564,2,FALSE)),0)</f>
        <v>0</v>
      </c>
      <c r="Z1130" s="108">
        <f>IF(OtherClients[[#This Row],[Re-certified or New]]&lt;&gt;"Re-certified",IF(OtherClients[[#This Row],[Client]]="infasco",VLOOKUP(OtherClients[[#This Row],[Part]],PartControl!$A$2:$E$564,2,FALSE),OtherClients[[#This Row],[Total Quantity]]*VLOOKUP(OtherClients[[#This Row],[Part]],PartControl!$A$2:$E$564,2,FALSE)),0)</f>
        <v>0</v>
      </c>
    </row>
    <row r="1131" spans="1:26" ht="25.15" hidden="1" customHeight="1" x14ac:dyDescent="0.25">
      <c r="A1131" s="112">
        <v>46252.688807870371</v>
      </c>
      <c r="B1131" s="5" t="s">
        <v>357</v>
      </c>
      <c r="C1131" s="5" t="s">
        <v>728</v>
      </c>
      <c r="D1131" s="5">
        <v>716074</v>
      </c>
      <c r="E1131" s="33">
        <f>36+23-15</f>
        <v>44</v>
      </c>
      <c r="F1131" s="60">
        <v>1500</v>
      </c>
      <c r="G1131" s="60">
        <f>+OtherClients[[#This Row],[Boxes / Pieces]]*OtherClients[[#This Row],[Unit Quantity]]</f>
        <v>66000</v>
      </c>
      <c r="H1131" s="60">
        <v>280</v>
      </c>
      <c r="I1131" s="126" t="s">
        <v>278</v>
      </c>
      <c r="J1131" s="127"/>
      <c r="K1131" s="33" t="s">
        <v>278</v>
      </c>
      <c r="L1131" s="125"/>
      <c r="M1131" s="33" t="s">
        <v>278</v>
      </c>
      <c r="N1131" s="125"/>
      <c r="O1131" s="33" t="s">
        <v>278</v>
      </c>
      <c r="P1131" s="125"/>
      <c r="Q1131" s="33" t="s">
        <v>587</v>
      </c>
      <c r="R1131" s="125"/>
      <c r="S1131" s="33" t="s">
        <v>278</v>
      </c>
      <c r="T1131" s="125"/>
      <c r="U1131" s="33" t="s">
        <v>278</v>
      </c>
      <c r="V1131" s="125"/>
      <c r="W1131" s="59" t="s">
        <v>548</v>
      </c>
      <c r="X1131" s="33" t="str">
        <f>+VLOOKUP(OtherClients[[#This Row],[Part]],PartControl!$A$2:$E$564,5,FALSE)</f>
        <v>infasco</v>
      </c>
      <c r="Y1131" s="108">
        <f>IF(OtherClients[[#This Row],[Re-certified or New]]&lt;&gt;"Re-certified",IF(OtherClients[[#This Row],[Client]]="infasco",VLOOKUP(OtherClients[[#This Row],[Part]],PartControl!$A$2:$E$564,2,FALSE),OtherClients[[#This Row],[Total Quantity]]*VLOOKUP(OtherClients[[#This Row],[Part]],PartControl!$A$2:$E$564,2,FALSE)),0)</f>
        <v>106.94</v>
      </c>
      <c r="Z1131" s="108">
        <f>IF(OtherClients[[#This Row],[Re-certified or New]]&lt;&gt;"Re-certified",IF(OtherClients[[#This Row],[Client]]="infasco",VLOOKUP(OtherClients[[#This Row],[Part]],PartControl!$A$2:$E$564,2,FALSE),OtherClients[[#This Row],[Total Quantity]]*VLOOKUP(OtherClients[[#This Row],[Part]],PartControl!$A$2:$E$564,2,FALSE)),0)</f>
        <v>106.94</v>
      </c>
    </row>
    <row r="1132" spans="1:26" ht="25.15" hidden="1" customHeight="1" x14ac:dyDescent="0.25">
      <c r="A1132" s="112">
        <v>46252.688807870371</v>
      </c>
      <c r="B1132" s="5" t="s">
        <v>357</v>
      </c>
      <c r="C1132" s="5">
        <v>11546449</v>
      </c>
      <c r="D1132" s="5">
        <v>715765</v>
      </c>
      <c r="E1132" s="33">
        <v>36</v>
      </c>
      <c r="F1132" s="60">
        <v>2500</v>
      </c>
      <c r="G1132" s="60">
        <f>+OtherClients[[#This Row],[Boxes / Pieces]]*OtherClients[[#This Row],[Unit Quantity]]</f>
        <v>90000</v>
      </c>
      <c r="H1132" s="60">
        <v>280</v>
      </c>
      <c r="I1132" s="126" t="s">
        <v>278</v>
      </c>
      <c r="J1132" s="127"/>
      <c r="K1132" s="33" t="s">
        <v>278</v>
      </c>
      <c r="L1132" s="125"/>
      <c r="M1132" s="33" t="s">
        <v>278</v>
      </c>
      <c r="N1132" s="125"/>
      <c r="O1132" s="33" t="s">
        <v>278</v>
      </c>
      <c r="P1132" s="125"/>
      <c r="Q1132" s="33" t="s">
        <v>587</v>
      </c>
      <c r="R1132" s="125"/>
      <c r="S1132" s="33" t="s">
        <v>278</v>
      </c>
      <c r="T1132" s="125"/>
      <c r="U1132" s="33" t="s">
        <v>278</v>
      </c>
      <c r="V1132" s="125"/>
      <c r="W1132" s="59" t="s">
        <v>548</v>
      </c>
      <c r="X1132" s="33" t="str">
        <f>+VLOOKUP(OtherClients[[#This Row],[Part]],PartControl!$A$2:$E$564,5,FALSE)</f>
        <v>INFASCO</v>
      </c>
      <c r="Y1132" s="108">
        <f>IF(OtherClients[[#This Row],[Re-certified or New]]&lt;&gt;"Re-certified",IF(OtherClients[[#This Row],[Client]]="infasco",VLOOKUP(OtherClients[[#This Row],[Part]],PartControl!$A$2:$E$564,2,FALSE),OtherClients[[#This Row],[Total Quantity]]*VLOOKUP(OtherClients[[#This Row],[Part]],PartControl!$A$2:$E$564,2,FALSE)),0)</f>
        <v>106.94</v>
      </c>
      <c r="Z1132" s="108">
        <f>IF(OtherClients[[#This Row],[Re-certified or New]]&lt;&gt;"Re-certified",IF(OtherClients[[#This Row],[Client]]="infasco",VLOOKUP(OtherClients[[#This Row],[Part]],PartControl!$A$2:$E$564,2,FALSE),OtherClients[[#This Row],[Total Quantity]]*VLOOKUP(OtherClients[[#This Row],[Part]],PartControl!$A$2:$E$564,2,FALSE)),0)</f>
        <v>106.94</v>
      </c>
    </row>
    <row r="1133" spans="1:26" ht="25.15" hidden="1" customHeight="1" x14ac:dyDescent="0.25">
      <c r="A1133" s="112">
        <v>46252.688807870371</v>
      </c>
      <c r="B1133" s="5" t="s">
        <v>357</v>
      </c>
      <c r="C1133" s="5">
        <v>11546449</v>
      </c>
      <c r="D1133" s="5">
        <v>716523</v>
      </c>
      <c r="E1133" s="33">
        <v>4</v>
      </c>
      <c r="F1133" s="60">
        <v>2500</v>
      </c>
      <c r="G1133" s="60">
        <f>+OtherClients[[#This Row],[Boxes / Pieces]]*OtherClients[[#This Row],[Unit Quantity]]</f>
        <v>10000</v>
      </c>
      <c r="H1133" s="60">
        <v>280</v>
      </c>
      <c r="I1133" s="126" t="s">
        <v>278</v>
      </c>
      <c r="J1133" s="127"/>
      <c r="K1133" s="33" t="s">
        <v>278</v>
      </c>
      <c r="L1133" s="125"/>
      <c r="M1133" s="33" t="s">
        <v>278</v>
      </c>
      <c r="N1133" s="125"/>
      <c r="O1133" s="33" t="s">
        <v>278</v>
      </c>
      <c r="P1133" s="125"/>
      <c r="Q1133" s="33" t="s">
        <v>587</v>
      </c>
      <c r="R1133" s="125"/>
      <c r="S1133" s="33" t="s">
        <v>278</v>
      </c>
      <c r="T1133" s="125"/>
      <c r="U1133" s="33" t="s">
        <v>278</v>
      </c>
      <c r="V1133" s="125"/>
      <c r="W1133" s="59" t="s">
        <v>633</v>
      </c>
      <c r="X1133" s="33" t="str">
        <f>+VLOOKUP(OtherClients[[#This Row],[Part]],PartControl!$A$2:$E$564,5,FALSE)</f>
        <v>INFASCO</v>
      </c>
      <c r="Y1133" s="108">
        <f>IF(OtherClients[[#This Row],[Re-certified or New]]&lt;&gt;"Re-certified",IF(OtherClients[[#This Row],[Client]]="infasco",VLOOKUP(OtherClients[[#This Row],[Part]],PartControl!$A$2:$E$564,2,FALSE),OtherClients[[#This Row],[Total Quantity]]*VLOOKUP(OtherClients[[#This Row],[Part]],PartControl!$A$2:$E$564,2,FALSE)),0)</f>
        <v>0</v>
      </c>
      <c r="Z1133" s="108">
        <f>IF(OtherClients[[#This Row],[Re-certified or New]]&lt;&gt;"Re-certified",IF(OtherClients[[#This Row],[Client]]="infasco",VLOOKUP(OtherClients[[#This Row],[Part]],PartControl!$A$2:$E$564,2,FALSE),OtherClients[[#This Row],[Total Quantity]]*VLOOKUP(OtherClients[[#This Row],[Part]],PartControl!$A$2:$E$564,2,FALSE)),0)</f>
        <v>0</v>
      </c>
    </row>
    <row r="1134" spans="1:26" ht="25.15" hidden="1" customHeight="1" x14ac:dyDescent="0.25">
      <c r="A1134" s="112">
        <v>46252.688807870371</v>
      </c>
      <c r="B1134" s="5" t="s">
        <v>834</v>
      </c>
      <c r="C1134" s="5">
        <v>11546377</v>
      </c>
      <c r="D1134" s="5">
        <v>716613</v>
      </c>
      <c r="E1134" s="33">
        <f>36-15</f>
        <v>21</v>
      </c>
      <c r="F1134" s="60">
        <v>2150</v>
      </c>
      <c r="G1134" s="60">
        <f>+OtherClients[[#This Row],[Boxes / Pieces]]*OtherClients[[#This Row],[Unit Quantity]]</f>
        <v>45150</v>
      </c>
      <c r="H1134" s="60">
        <v>280</v>
      </c>
      <c r="I1134" s="126" t="s">
        <v>278</v>
      </c>
      <c r="J1134" s="127"/>
      <c r="K1134" s="33" t="s">
        <v>278</v>
      </c>
      <c r="L1134" s="125"/>
      <c r="M1134" s="33" t="s">
        <v>278</v>
      </c>
      <c r="N1134" s="125"/>
      <c r="O1134" s="33" t="s">
        <v>278</v>
      </c>
      <c r="P1134" s="125"/>
      <c r="Q1134" s="33" t="s">
        <v>587</v>
      </c>
      <c r="R1134" s="125"/>
      <c r="S1134" s="33" t="s">
        <v>278</v>
      </c>
      <c r="T1134" s="125"/>
      <c r="U1134" s="33" t="s">
        <v>278</v>
      </c>
      <c r="V1134" s="125"/>
      <c r="W1134" s="59" t="s">
        <v>548</v>
      </c>
      <c r="X1134" s="33" t="str">
        <f>+VLOOKUP(OtherClients[[#This Row],[Part]],PartControl!$A$2:$E$564,5,FALSE)</f>
        <v>INFASCO</v>
      </c>
      <c r="Y1134" s="108">
        <f>IF(OtherClients[[#This Row],[Re-certified or New]]&lt;&gt;"Re-certified",IF(OtherClients[[#This Row],[Client]]="infasco",VLOOKUP(OtherClients[[#This Row],[Part]],PartControl!$A$2:$E$564,2,FALSE),OtherClients[[#This Row],[Total Quantity]]*VLOOKUP(OtherClients[[#This Row],[Part]],PartControl!$A$2:$E$564,2,FALSE)),0)</f>
        <v>106.94</v>
      </c>
      <c r="Z1134" s="108">
        <f>IF(OtherClients[[#This Row],[Re-certified or New]]&lt;&gt;"Re-certified",IF(OtherClients[[#This Row],[Client]]="infasco",VLOOKUP(OtherClients[[#This Row],[Part]],PartControl!$A$2:$E$564,2,FALSE),OtherClients[[#This Row],[Total Quantity]]*VLOOKUP(OtherClients[[#This Row],[Part]],PartControl!$A$2:$E$564,2,FALSE)),0)</f>
        <v>106.94</v>
      </c>
    </row>
    <row r="1135" spans="1:26" ht="25.15" hidden="1" customHeight="1" x14ac:dyDescent="0.25">
      <c r="A1135" s="112">
        <v>46252.688807870371</v>
      </c>
      <c r="B1135" s="5" t="s">
        <v>637</v>
      </c>
      <c r="C1135" s="5">
        <v>11546449</v>
      </c>
      <c r="D1135" s="5">
        <v>716274</v>
      </c>
      <c r="E1135" s="33">
        <f>36-14</f>
        <v>22</v>
      </c>
      <c r="F1135" s="60">
        <v>2500</v>
      </c>
      <c r="G1135" s="60">
        <f>+OtherClients[[#This Row],[Boxes / Pieces]]*OtherClients[[#This Row],[Unit Quantity]]</f>
        <v>55000</v>
      </c>
      <c r="H1135" s="60">
        <v>280</v>
      </c>
      <c r="I1135" s="126" t="s">
        <v>278</v>
      </c>
      <c r="J1135" s="127"/>
      <c r="K1135" s="33" t="s">
        <v>278</v>
      </c>
      <c r="L1135" s="125"/>
      <c r="M1135" s="33" t="s">
        <v>278</v>
      </c>
      <c r="N1135" s="125"/>
      <c r="O1135" s="33" t="s">
        <v>278</v>
      </c>
      <c r="P1135" s="125"/>
      <c r="Q1135" s="33" t="s">
        <v>587</v>
      </c>
      <c r="R1135" s="125"/>
      <c r="S1135" s="33" t="s">
        <v>278</v>
      </c>
      <c r="T1135" s="125"/>
      <c r="U1135" s="33" t="s">
        <v>278</v>
      </c>
      <c r="V1135" s="125"/>
      <c r="W1135" s="59" t="s">
        <v>548</v>
      </c>
      <c r="X1135" s="33" t="str">
        <f>+VLOOKUP(OtherClients[[#This Row],[Part]],PartControl!$A$2:$E$564,5,FALSE)</f>
        <v>INFASCO</v>
      </c>
      <c r="Y1135" s="108">
        <f>IF(OtherClients[[#This Row],[Re-certified or New]]&lt;&gt;"Re-certified",IF(OtherClients[[#This Row],[Client]]="infasco",VLOOKUP(OtherClients[[#This Row],[Part]],PartControl!$A$2:$E$564,2,FALSE),OtherClients[[#This Row],[Total Quantity]]*VLOOKUP(OtherClients[[#This Row],[Part]],PartControl!$A$2:$E$564,2,FALSE)),0)</f>
        <v>106.94</v>
      </c>
      <c r="Z1135" s="108">
        <f>IF(OtherClients[[#This Row],[Re-certified or New]]&lt;&gt;"Re-certified",IF(OtherClients[[#This Row],[Client]]="infasco",VLOOKUP(OtherClients[[#This Row],[Part]],PartControl!$A$2:$E$564,2,FALSE),OtherClients[[#This Row],[Total Quantity]]*VLOOKUP(OtherClients[[#This Row],[Part]],PartControl!$A$2:$E$564,2,FALSE)),0)</f>
        <v>106.94</v>
      </c>
    </row>
    <row r="1136" spans="1:26" ht="25.15" hidden="1" customHeight="1" x14ac:dyDescent="0.25">
      <c r="A1136" s="112">
        <v>46252.688807870371</v>
      </c>
      <c r="B1136" s="5" t="s">
        <v>637</v>
      </c>
      <c r="C1136" s="5">
        <v>11546449</v>
      </c>
      <c r="D1136" s="5">
        <v>716277</v>
      </c>
      <c r="E1136" s="33">
        <v>36</v>
      </c>
      <c r="F1136" s="60">
        <v>2500</v>
      </c>
      <c r="G1136" s="60">
        <f>+OtherClients[[#This Row],[Boxes / Pieces]]*OtherClients[[#This Row],[Unit Quantity]]</f>
        <v>90000</v>
      </c>
      <c r="H1136" s="60">
        <v>280</v>
      </c>
      <c r="I1136" s="126" t="s">
        <v>278</v>
      </c>
      <c r="J1136" s="127"/>
      <c r="K1136" s="33" t="s">
        <v>278</v>
      </c>
      <c r="L1136" s="125"/>
      <c r="M1136" s="33" t="s">
        <v>278</v>
      </c>
      <c r="N1136" s="125"/>
      <c r="O1136" s="33" t="s">
        <v>278</v>
      </c>
      <c r="P1136" s="125"/>
      <c r="Q1136" s="33" t="s">
        <v>587</v>
      </c>
      <c r="R1136" s="125"/>
      <c r="S1136" s="33" t="s">
        <v>278</v>
      </c>
      <c r="T1136" s="125"/>
      <c r="U1136" s="33" t="s">
        <v>278</v>
      </c>
      <c r="V1136" s="125"/>
      <c r="W1136" s="59" t="s">
        <v>548</v>
      </c>
      <c r="X1136" s="33" t="str">
        <f>+VLOOKUP(OtherClients[[#This Row],[Part]],PartControl!$A$2:$E$564,5,FALSE)</f>
        <v>INFASCO</v>
      </c>
      <c r="Y1136" s="108">
        <f>IF(OtherClients[[#This Row],[Re-certified or New]]&lt;&gt;"Re-certified",IF(OtherClients[[#This Row],[Client]]="infasco",VLOOKUP(OtherClients[[#This Row],[Part]],PartControl!$A$2:$E$564,2,FALSE),OtherClients[[#This Row],[Total Quantity]]*VLOOKUP(OtherClients[[#This Row],[Part]],PartControl!$A$2:$E$564,2,FALSE)),0)</f>
        <v>106.94</v>
      </c>
      <c r="Z1136" s="108">
        <f>IF(OtherClients[[#This Row],[Re-certified or New]]&lt;&gt;"Re-certified",IF(OtherClients[[#This Row],[Client]]="infasco",VLOOKUP(OtherClients[[#This Row],[Part]],PartControl!$A$2:$E$564,2,FALSE),OtherClients[[#This Row],[Total Quantity]]*VLOOKUP(OtherClients[[#This Row],[Part]],PartControl!$A$2:$E$564,2,FALSE)),0)</f>
        <v>106.94</v>
      </c>
    </row>
    <row r="1137" spans="1:26" ht="25.15" hidden="1" customHeight="1" x14ac:dyDescent="0.25">
      <c r="A1137" s="112">
        <v>46252.688807870371</v>
      </c>
      <c r="B1137" s="5" t="s">
        <v>637</v>
      </c>
      <c r="C1137" s="5">
        <v>11546449</v>
      </c>
      <c r="D1137" s="5">
        <v>715763</v>
      </c>
      <c r="E1137" s="33">
        <v>18</v>
      </c>
      <c r="F1137" s="60">
        <v>2500</v>
      </c>
      <c r="G1137" s="60">
        <f>+OtherClients[[#This Row],[Boxes / Pieces]]*OtherClients[[#This Row],[Unit Quantity]]</f>
        <v>45000</v>
      </c>
      <c r="H1137" s="60">
        <v>280</v>
      </c>
      <c r="I1137" s="126" t="s">
        <v>278</v>
      </c>
      <c r="J1137" s="127"/>
      <c r="K1137" s="33" t="s">
        <v>278</v>
      </c>
      <c r="L1137" s="125"/>
      <c r="M1137" s="33" t="s">
        <v>278</v>
      </c>
      <c r="N1137" s="125"/>
      <c r="O1137" s="33" t="s">
        <v>278</v>
      </c>
      <c r="P1137" s="125"/>
      <c r="Q1137" s="33" t="s">
        <v>587</v>
      </c>
      <c r="R1137" s="125"/>
      <c r="S1137" s="33" t="s">
        <v>278</v>
      </c>
      <c r="T1137" s="125"/>
      <c r="U1137" s="33" t="s">
        <v>278</v>
      </c>
      <c r="V1137" s="125"/>
      <c r="W1137" s="59" t="s">
        <v>633</v>
      </c>
      <c r="X1137" s="33" t="str">
        <f>+VLOOKUP(OtherClients[[#This Row],[Part]],PartControl!$A$2:$E$564,5,FALSE)</f>
        <v>INFASCO</v>
      </c>
      <c r="Y1137" s="108">
        <f>IF(OtherClients[[#This Row],[Re-certified or New]]&lt;&gt;"Re-certified",IF(OtherClients[[#This Row],[Client]]="infasco",VLOOKUP(OtherClients[[#This Row],[Part]],PartControl!$A$2:$E$564,2,FALSE),OtherClients[[#This Row],[Total Quantity]]*VLOOKUP(OtherClients[[#This Row],[Part]],PartControl!$A$2:$E$564,2,FALSE)),0)</f>
        <v>0</v>
      </c>
      <c r="Z1137" s="108">
        <f>IF(OtherClients[[#This Row],[Re-certified or New]]&lt;&gt;"Re-certified",IF(OtherClients[[#This Row],[Client]]="infasco",VLOOKUP(OtherClients[[#This Row],[Part]],PartControl!$A$2:$E$564,2,FALSE),OtherClients[[#This Row],[Total Quantity]]*VLOOKUP(OtherClients[[#This Row],[Part]],PartControl!$A$2:$E$564,2,FALSE)),0)</f>
        <v>0</v>
      </c>
    </row>
    <row r="1138" spans="1:26" ht="25.15" hidden="1" customHeight="1" x14ac:dyDescent="0.25">
      <c r="A1138" s="112">
        <v>46252.688807870371</v>
      </c>
      <c r="B1138" s="5" t="s">
        <v>636</v>
      </c>
      <c r="C1138" s="5" t="s">
        <v>703</v>
      </c>
      <c r="D1138" s="5">
        <v>715729</v>
      </c>
      <c r="E1138" s="33">
        <f>36-16</f>
        <v>20</v>
      </c>
      <c r="F1138" s="60">
        <v>700</v>
      </c>
      <c r="G1138" s="60">
        <f>+OtherClients[[#This Row],[Boxes / Pieces]]*OtherClients[[#This Row],[Unit Quantity]]</f>
        <v>14000</v>
      </c>
      <c r="H1138" s="60">
        <v>280</v>
      </c>
      <c r="I1138" s="126" t="s">
        <v>278</v>
      </c>
      <c r="J1138" s="127"/>
      <c r="K1138" s="33" t="s">
        <v>278</v>
      </c>
      <c r="L1138" s="125"/>
      <c r="M1138" s="33" t="s">
        <v>278</v>
      </c>
      <c r="N1138" s="125"/>
      <c r="O1138" s="33" t="s">
        <v>278</v>
      </c>
      <c r="P1138" s="125"/>
      <c r="Q1138" s="33" t="s">
        <v>587</v>
      </c>
      <c r="R1138" s="125"/>
      <c r="S1138" s="33" t="s">
        <v>278</v>
      </c>
      <c r="T1138" s="125"/>
      <c r="U1138" s="33" t="s">
        <v>278</v>
      </c>
      <c r="V1138" s="125"/>
      <c r="W1138" s="59" t="s">
        <v>548</v>
      </c>
      <c r="X1138" s="33" t="str">
        <f>+VLOOKUP(OtherClients[[#This Row],[Part]],PartControl!$A$2:$E$564,5,FALSE)</f>
        <v>infasco</v>
      </c>
      <c r="Y1138" s="108">
        <f>IF(OtherClients[[#This Row],[Re-certified or New]]&lt;&gt;"Re-certified",IF(OtherClients[[#This Row],[Client]]="infasco",VLOOKUP(OtherClients[[#This Row],[Part]],PartControl!$A$2:$E$564,2,FALSE),OtherClients[[#This Row],[Total Quantity]]*VLOOKUP(OtherClients[[#This Row],[Part]],PartControl!$A$2:$E$564,2,FALSE)),0)</f>
        <v>106.94</v>
      </c>
      <c r="Z1138" s="108">
        <f>IF(OtherClients[[#This Row],[Re-certified or New]]&lt;&gt;"Re-certified",IF(OtherClients[[#This Row],[Client]]="infasco",VLOOKUP(OtherClients[[#This Row],[Part]],PartControl!$A$2:$E$564,2,FALSE),OtherClients[[#This Row],[Total Quantity]]*VLOOKUP(OtherClients[[#This Row],[Part]],PartControl!$A$2:$E$564,2,FALSE)),0)</f>
        <v>106.94</v>
      </c>
    </row>
    <row r="1139" spans="1:26" ht="25.15" hidden="1" customHeight="1" x14ac:dyDescent="0.25">
      <c r="A1139" s="112">
        <v>46252.688807870371</v>
      </c>
      <c r="B1139" s="5" t="s">
        <v>343</v>
      </c>
      <c r="C1139" s="5">
        <v>11602031</v>
      </c>
      <c r="D1139" s="5">
        <v>716712</v>
      </c>
      <c r="E1139" s="33">
        <v>17</v>
      </c>
      <c r="F1139" s="60">
        <v>145</v>
      </c>
      <c r="G1139" s="60">
        <f>+OtherClients[[#This Row],[Boxes / Pieces]]*OtherClients[[#This Row],[Unit Quantity]]</f>
        <v>2465</v>
      </c>
      <c r="H1139" s="60" t="s">
        <v>757</v>
      </c>
      <c r="I1139" s="126" t="s">
        <v>278</v>
      </c>
      <c r="J1139" s="127"/>
      <c r="K1139" s="33" t="s">
        <v>278</v>
      </c>
      <c r="L1139" s="125"/>
      <c r="M1139" s="33" t="s">
        <v>278</v>
      </c>
      <c r="N1139" s="125"/>
      <c r="O1139" s="33" t="s">
        <v>278</v>
      </c>
      <c r="P1139" s="125"/>
      <c r="Q1139" s="33" t="s">
        <v>587</v>
      </c>
      <c r="R1139" s="125"/>
      <c r="S1139" s="33" t="s">
        <v>278</v>
      </c>
      <c r="T1139" s="125"/>
      <c r="U1139" s="33" t="s">
        <v>278</v>
      </c>
      <c r="V1139" s="125"/>
      <c r="W1139" s="59" t="s">
        <v>548</v>
      </c>
      <c r="X1139" s="33" t="str">
        <f>+VLOOKUP(OtherClients[[#This Row],[Part]],PartControl!$A$2:$E$564,5,FALSE)</f>
        <v>INFASCO</v>
      </c>
      <c r="Y1139" s="108">
        <f>IF(OtherClients[[#This Row],[Re-certified or New]]&lt;&gt;"Re-certified",IF(OtherClients[[#This Row],[Client]]="infasco",VLOOKUP(OtherClients[[#This Row],[Part]],PartControl!$A$2:$E$564,2,FALSE),OtherClients[[#This Row],[Total Quantity]]*VLOOKUP(OtherClients[[#This Row],[Part]],PartControl!$A$2:$E$564,2,FALSE)),0)</f>
        <v>135.07999999999998</v>
      </c>
      <c r="Z1139" s="108">
        <f>IF(OtherClients[[#This Row],[Re-certified or New]]&lt;&gt;"Re-certified",IF(OtherClients[[#This Row],[Client]]="infasco",VLOOKUP(OtherClients[[#This Row],[Part]],PartControl!$A$2:$E$564,2,FALSE),OtherClients[[#This Row],[Total Quantity]]*VLOOKUP(OtherClients[[#This Row],[Part]],PartControl!$A$2:$E$564,2,FALSE)),0)</f>
        <v>135.07999999999998</v>
      </c>
    </row>
    <row r="1140" spans="1:26" ht="25.15" hidden="1" customHeight="1" x14ac:dyDescent="0.25">
      <c r="A1140" s="112">
        <v>46252.688807870371</v>
      </c>
      <c r="B1140" s="5" t="s">
        <v>343</v>
      </c>
      <c r="C1140" s="5" t="s">
        <v>809</v>
      </c>
      <c r="D1140" s="5">
        <v>713814</v>
      </c>
      <c r="E1140" s="33">
        <v>38</v>
      </c>
      <c r="F1140" s="60">
        <v>450</v>
      </c>
      <c r="G1140" s="60">
        <f>+OtherClients[[#This Row],[Boxes / Pieces]]*OtherClients[[#This Row],[Unit Quantity]]</f>
        <v>17100</v>
      </c>
      <c r="H1140" s="60" t="s">
        <v>757</v>
      </c>
      <c r="I1140" s="126" t="s">
        <v>278</v>
      </c>
      <c r="J1140" s="127"/>
      <c r="K1140" s="33" t="s">
        <v>278</v>
      </c>
      <c r="L1140" s="125"/>
      <c r="M1140" s="33" t="s">
        <v>278</v>
      </c>
      <c r="N1140" s="125"/>
      <c r="O1140" s="33" t="s">
        <v>278</v>
      </c>
      <c r="P1140" s="125"/>
      <c r="Q1140" s="33" t="s">
        <v>587</v>
      </c>
      <c r="R1140" s="125"/>
      <c r="S1140" s="33" t="s">
        <v>278</v>
      </c>
      <c r="T1140" s="125"/>
      <c r="U1140" s="33" t="s">
        <v>278</v>
      </c>
      <c r="V1140" s="125"/>
      <c r="W1140" s="59" t="s">
        <v>548</v>
      </c>
      <c r="X1140" s="33" t="str">
        <f>+VLOOKUP(OtherClients[[#This Row],[Part]],PartControl!$A$2:$E$564,5,FALSE)</f>
        <v>infasco</v>
      </c>
      <c r="Y1140" s="108">
        <f>IF(OtherClients[[#This Row],[Re-certified or New]]&lt;&gt;"Re-certified",IF(OtherClients[[#This Row],[Client]]="infasco",VLOOKUP(OtherClients[[#This Row],[Part]],PartControl!$A$2:$E$564,2,FALSE),OtherClients[[#This Row],[Total Quantity]]*VLOOKUP(OtherClients[[#This Row],[Part]],PartControl!$A$2:$E$564,2,FALSE)),0)</f>
        <v>106.94</v>
      </c>
      <c r="Z1140" s="108">
        <f>IF(OtherClients[[#This Row],[Re-certified or New]]&lt;&gt;"Re-certified",IF(OtherClients[[#This Row],[Client]]="infasco",VLOOKUP(OtherClients[[#This Row],[Part]],PartControl!$A$2:$E$564,2,FALSE),OtherClients[[#This Row],[Total Quantity]]*VLOOKUP(OtherClients[[#This Row],[Part]],PartControl!$A$2:$E$564,2,FALSE)),0)</f>
        <v>106.94</v>
      </c>
    </row>
    <row r="1141" spans="1:26" ht="25.15" hidden="1" customHeight="1" x14ac:dyDescent="0.25">
      <c r="A1141" s="112">
        <v>46252.688807870371</v>
      </c>
      <c r="B1141" s="5" t="s">
        <v>343</v>
      </c>
      <c r="C1141" s="5">
        <v>11547059</v>
      </c>
      <c r="D1141" s="5">
        <v>711043</v>
      </c>
      <c r="E1141" s="33">
        <v>36</v>
      </c>
      <c r="F1141" s="60">
        <v>550</v>
      </c>
      <c r="G1141" s="60">
        <f>+OtherClients[[#This Row],[Boxes / Pieces]]*OtherClients[[#This Row],[Unit Quantity]]</f>
        <v>19800</v>
      </c>
      <c r="H1141" s="60" t="s">
        <v>757</v>
      </c>
      <c r="I1141" s="126" t="s">
        <v>278</v>
      </c>
      <c r="J1141" s="127"/>
      <c r="K1141" s="33" t="s">
        <v>278</v>
      </c>
      <c r="L1141" s="125"/>
      <c r="M1141" s="33" t="s">
        <v>278</v>
      </c>
      <c r="N1141" s="125"/>
      <c r="O1141" s="33" t="s">
        <v>278</v>
      </c>
      <c r="P1141" s="125"/>
      <c r="Q1141" s="33" t="s">
        <v>587</v>
      </c>
      <c r="R1141" s="125"/>
      <c r="S1141" s="33" t="s">
        <v>278</v>
      </c>
      <c r="T1141" s="125"/>
      <c r="U1141" s="33" t="s">
        <v>278</v>
      </c>
      <c r="V1141" s="125"/>
      <c r="W1141" s="59" t="s">
        <v>548</v>
      </c>
      <c r="X1141" s="33" t="str">
        <f>+VLOOKUP(OtherClients[[#This Row],[Part]],PartControl!$A$2:$E$564,5,FALSE)</f>
        <v>infasco</v>
      </c>
      <c r="Y1141" s="108">
        <f>IF(OtherClients[[#This Row],[Re-certified or New]]&lt;&gt;"Re-certified",IF(OtherClients[[#This Row],[Client]]="infasco",VLOOKUP(OtherClients[[#This Row],[Part]],PartControl!$A$2:$E$564,2,FALSE),OtherClients[[#This Row],[Total Quantity]]*VLOOKUP(OtherClients[[#This Row],[Part]],PartControl!$A$2:$E$564,2,FALSE)),0)</f>
        <v>135.07999999999998</v>
      </c>
      <c r="Z1141" s="108">
        <f>IF(OtherClients[[#This Row],[Re-certified or New]]&lt;&gt;"Re-certified",IF(OtherClients[[#This Row],[Client]]="infasco",VLOOKUP(OtherClients[[#This Row],[Part]],PartControl!$A$2:$E$564,2,FALSE),OtherClients[[#This Row],[Total Quantity]]*VLOOKUP(OtherClients[[#This Row],[Part]],PartControl!$A$2:$E$564,2,FALSE)),0)</f>
        <v>135.07999999999998</v>
      </c>
    </row>
    <row r="1142" spans="1:26" ht="25.15" hidden="1" customHeight="1" x14ac:dyDescent="0.25">
      <c r="A1142" s="112">
        <v>46252.688807870371</v>
      </c>
      <c r="B1142" s="5" t="s">
        <v>343</v>
      </c>
      <c r="C1142" s="5">
        <v>11547059</v>
      </c>
      <c r="D1142" s="5">
        <v>717248</v>
      </c>
      <c r="E1142" s="33">
        <v>15</v>
      </c>
      <c r="F1142" s="60">
        <v>550</v>
      </c>
      <c r="G1142" s="60">
        <f>+OtherClients[[#This Row],[Boxes / Pieces]]*OtherClients[[#This Row],[Unit Quantity]]</f>
        <v>8250</v>
      </c>
      <c r="H1142" s="60" t="s">
        <v>757</v>
      </c>
      <c r="I1142" s="126" t="s">
        <v>278</v>
      </c>
      <c r="J1142" s="127"/>
      <c r="K1142" s="33" t="s">
        <v>278</v>
      </c>
      <c r="L1142" s="125"/>
      <c r="M1142" s="33" t="s">
        <v>278</v>
      </c>
      <c r="N1142" s="125"/>
      <c r="O1142" s="33" t="s">
        <v>278</v>
      </c>
      <c r="P1142" s="125"/>
      <c r="Q1142" s="33" t="s">
        <v>587</v>
      </c>
      <c r="R1142" s="125"/>
      <c r="S1142" s="33" t="s">
        <v>278</v>
      </c>
      <c r="T1142" s="125"/>
      <c r="U1142" s="33" t="s">
        <v>278</v>
      </c>
      <c r="V1142" s="125"/>
      <c r="W1142" s="59" t="s">
        <v>548</v>
      </c>
      <c r="X1142" s="33" t="str">
        <f>+VLOOKUP(OtherClients[[#This Row],[Part]],PartControl!$A$2:$E$564,5,FALSE)</f>
        <v>infasco</v>
      </c>
      <c r="Y1142" s="108">
        <f>IF(OtherClients[[#This Row],[Re-certified or New]]&lt;&gt;"Re-certified",IF(OtherClients[[#This Row],[Client]]="infasco",VLOOKUP(OtherClients[[#This Row],[Part]],PartControl!$A$2:$E$564,2,FALSE),OtherClients[[#This Row],[Total Quantity]]*VLOOKUP(OtherClients[[#This Row],[Part]],PartControl!$A$2:$E$564,2,FALSE)),0)</f>
        <v>135.07999999999998</v>
      </c>
      <c r="Z1142" s="108">
        <f>IF(OtherClients[[#This Row],[Re-certified or New]]&lt;&gt;"Re-certified",IF(OtherClients[[#This Row],[Client]]="infasco",VLOOKUP(OtherClients[[#This Row],[Part]],PartControl!$A$2:$E$564,2,FALSE),OtherClients[[#This Row],[Total Quantity]]*VLOOKUP(OtherClients[[#This Row],[Part]],PartControl!$A$2:$E$564,2,FALSE)),0)</f>
        <v>135.07999999999998</v>
      </c>
    </row>
    <row r="1143" spans="1:26" ht="25.15" hidden="1" customHeight="1" x14ac:dyDescent="0.25">
      <c r="A1143" s="112">
        <v>46252.688807870371</v>
      </c>
      <c r="B1143" s="5" t="s">
        <v>343</v>
      </c>
      <c r="C1143" s="5">
        <v>11547059</v>
      </c>
      <c r="D1143" s="5">
        <v>711038</v>
      </c>
      <c r="E1143" s="33">
        <v>33</v>
      </c>
      <c r="F1143" s="60">
        <v>550</v>
      </c>
      <c r="G1143" s="60">
        <f>+OtherClients[[#This Row],[Boxes / Pieces]]*OtherClients[[#This Row],[Unit Quantity]]</f>
        <v>18150</v>
      </c>
      <c r="H1143" s="60" t="s">
        <v>757</v>
      </c>
      <c r="I1143" s="126" t="s">
        <v>278</v>
      </c>
      <c r="J1143" s="127"/>
      <c r="K1143" s="33" t="s">
        <v>278</v>
      </c>
      <c r="L1143" s="125"/>
      <c r="M1143" s="33" t="s">
        <v>278</v>
      </c>
      <c r="N1143" s="125"/>
      <c r="O1143" s="33" t="s">
        <v>278</v>
      </c>
      <c r="P1143" s="125"/>
      <c r="Q1143" s="33" t="s">
        <v>587</v>
      </c>
      <c r="R1143" s="125"/>
      <c r="S1143" s="33" t="s">
        <v>278</v>
      </c>
      <c r="T1143" s="125"/>
      <c r="U1143" s="33" t="s">
        <v>278</v>
      </c>
      <c r="V1143" s="125"/>
      <c r="W1143" s="59" t="s">
        <v>548</v>
      </c>
      <c r="X1143" s="33" t="str">
        <f>+VLOOKUP(OtherClients[[#This Row],[Part]],PartControl!$A$2:$E$564,5,FALSE)</f>
        <v>infasco</v>
      </c>
      <c r="Y1143" s="108">
        <f>IF(OtherClients[[#This Row],[Re-certified or New]]&lt;&gt;"Re-certified",IF(OtherClients[[#This Row],[Client]]="infasco",VLOOKUP(OtherClients[[#This Row],[Part]],PartControl!$A$2:$E$564,2,FALSE),OtherClients[[#This Row],[Total Quantity]]*VLOOKUP(OtherClients[[#This Row],[Part]],PartControl!$A$2:$E$564,2,FALSE)),0)</f>
        <v>135.07999999999998</v>
      </c>
      <c r="Z1143" s="108">
        <f>IF(OtherClients[[#This Row],[Re-certified or New]]&lt;&gt;"Re-certified",IF(OtherClients[[#This Row],[Client]]="infasco",VLOOKUP(OtherClients[[#This Row],[Part]],PartControl!$A$2:$E$564,2,FALSE),OtherClients[[#This Row],[Total Quantity]]*VLOOKUP(OtherClients[[#This Row],[Part]],PartControl!$A$2:$E$564,2,FALSE)),0)</f>
        <v>135.07999999999998</v>
      </c>
    </row>
    <row r="1144" spans="1:26" ht="25.15" hidden="1" customHeight="1" x14ac:dyDescent="0.25">
      <c r="A1144" s="112">
        <v>46252.688807870371</v>
      </c>
      <c r="B1144" s="5" t="s">
        <v>343</v>
      </c>
      <c r="C1144" s="5" t="s">
        <v>854</v>
      </c>
      <c r="D1144" s="5">
        <v>713919</v>
      </c>
      <c r="E1144" s="33">
        <f>36+3</f>
        <v>39</v>
      </c>
      <c r="F1144" s="60">
        <v>700</v>
      </c>
      <c r="G1144" s="60">
        <f>+OtherClients[[#This Row],[Boxes / Pieces]]*OtherClients[[#This Row],[Unit Quantity]]</f>
        <v>27300</v>
      </c>
      <c r="H1144" s="60" t="s">
        <v>757</v>
      </c>
      <c r="I1144" s="126" t="s">
        <v>278</v>
      </c>
      <c r="J1144" s="127"/>
      <c r="K1144" s="33" t="s">
        <v>278</v>
      </c>
      <c r="L1144" s="125"/>
      <c r="M1144" s="33" t="s">
        <v>278</v>
      </c>
      <c r="N1144" s="125"/>
      <c r="O1144" s="33" t="s">
        <v>278</v>
      </c>
      <c r="P1144" s="125"/>
      <c r="Q1144" s="33" t="s">
        <v>587</v>
      </c>
      <c r="R1144" s="125"/>
      <c r="S1144" s="33" t="s">
        <v>278</v>
      </c>
      <c r="T1144" s="125"/>
      <c r="U1144" s="33" t="s">
        <v>278</v>
      </c>
      <c r="V1144" s="125"/>
      <c r="W1144" s="59" t="s">
        <v>548</v>
      </c>
      <c r="X1144" s="33" t="str">
        <f>+VLOOKUP(OtherClients[[#This Row],[Part]],PartControl!$A$2:$E$564,5,FALSE)</f>
        <v>infasco</v>
      </c>
      <c r="Y1144" s="108">
        <f>IF(OtherClients[[#This Row],[Re-certified or New]]&lt;&gt;"Re-certified",IF(OtherClients[[#This Row],[Client]]="infasco",VLOOKUP(OtherClients[[#This Row],[Part]],PartControl!$A$2:$E$564,2,FALSE),OtherClients[[#This Row],[Total Quantity]]*VLOOKUP(OtherClients[[#This Row],[Part]],PartControl!$A$2:$E$564,2,FALSE)),0)</f>
        <v>213.88</v>
      </c>
      <c r="Z1144" s="108">
        <f>IF(OtherClients[[#This Row],[Re-certified or New]]&lt;&gt;"Re-certified",IF(OtherClients[[#This Row],[Client]]="infasco",VLOOKUP(OtherClients[[#This Row],[Part]],PartControl!$A$2:$E$564,2,FALSE),OtherClients[[#This Row],[Total Quantity]]*VLOOKUP(OtherClients[[#This Row],[Part]],PartControl!$A$2:$E$564,2,FALSE)),0)</f>
        <v>213.88</v>
      </c>
    </row>
    <row r="1145" spans="1:26" ht="25.15" hidden="1" customHeight="1" x14ac:dyDescent="0.25">
      <c r="A1145" s="112">
        <v>46252.688807870371</v>
      </c>
      <c r="B1145" s="5" t="s">
        <v>343</v>
      </c>
      <c r="C1145" s="5" t="s">
        <v>809</v>
      </c>
      <c r="D1145" s="5">
        <v>713808</v>
      </c>
      <c r="E1145" s="33">
        <v>27</v>
      </c>
      <c r="F1145" s="60">
        <v>450</v>
      </c>
      <c r="G1145" s="60">
        <f>+OtherClients[[#This Row],[Boxes / Pieces]]*OtherClients[[#This Row],[Unit Quantity]]</f>
        <v>12150</v>
      </c>
      <c r="H1145" s="60" t="s">
        <v>757</v>
      </c>
      <c r="I1145" s="126" t="s">
        <v>278</v>
      </c>
      <c r="J1145" s="127"/>
      <c r="K1145" s="33" t="s">
        <v>278</v>
      </c>
      <c r="L1145" s="125"/>
      <c r="M1145" s="33" t="s">
        <v>278</v>
      </c>
      <c r="N1145" s="125"/>
      <c r="O1145" s="33" t="s">
        <v>278</v>
      </c>
      <c r="P1145" s="125"/>
      <c r="Q1145" s="33" t="s">
        <v>587</v>
      </c>
      <c r="R1145" s="125"/>
      <c r="S1145" s="33" t="s">
        <v>278</v>
      </c>
      <c r="T1145" s="125"/>
      <c r="U1145" s="33" t="s">
        <v>278</v>
      </c>
      <c r="V1145" s="125"/>
      <c r="W1145" s="59" t="s">
        <v>548</v>
      </c>
      <c r="X1145" s="33" t="str">
        <f>+VLOOKUP(OtherClients[[#This Row],[Part]],PartControl!$A$2:$E$564,5,FALSE)</f>
        <v>infasco</v>
      </c>
      <c r="Y1145" s="108">
        <f>IF(OtherClients[[#This Row],[Re-certified or New]]&lt;&gt;"Re-certified",IF(OtherClients[[#This Row],[Client]]="infasco",VLOOKUP(OtherClients[[#This Row],[Part]],PartControl!$A$2:$E$564,2,FALSE),OtherClients[[#This Row],[Total Quantity]]*VLOOKUP(OtherClients[[#This Row],[Part]],PartControl!$A$2:$E$564,2,FALSE)),0)</f>
        <v>106.94</v>
      </c>
      <c r="Z1145" s="108">
        <f>IF(OtherClients[[#This Row],[Re-certified or New]]&lt;&gt;"Re-certified",IF(OtherClients[[#This Row],[Client]]="infasco",VLOOKUP(OtherClients[[#This Row],[Part]],PartControl!$A$2:$E$564,2,FALSE),OtherClients[[#This Row],[Total Quantity]]*VLOOKUP(OtherClients[[#This Row],[Part]],PartControl!$A$2:$E$564,2,FALSE)),0)</f>
        <v>106.94</v>
      </c>
    </row>
    <row r="1146" spans="1:26" ht="25.15" hidden="1" customHeight="1" x14ac:dyDescent="0.25">
      <c r="A1146" s="112">
        <v>46252.688807870371</v>
      </c>
      <c r="B1146" s="5" t="s">
        <v>343</v>
      </c>
      <c r="C1146" s="5" t="s">
        <v>880</v>
      </c>
      <c r="D1146" s="5">
        <v>716095</v>
      </c>
      <c r="E1146" s="33">
        <v>36</v>
      </c>
      <c r="F1146" s="60">
        <v>120</v>
      </c>
      <c r="G1146" s="60">
        <f>+OtherClients[[#This Row],[Boxes / Pieces]]*OtherClients[[#This Row],[Unit Quantity]]</f>
        <v>4320</v>
      </c>
      <c r="H1146" s="60" t="s">
        <v>757</v>
      </c>
      <c r="I1146" s="126" t="s">
        <v>278</v>
      </c>
      <c r="J1146" s="127"/>
      <c r="K1146" s="33" t="s">
        <v>278</v>
      </c>
      <c r="L1146" s="125"/>
      <c r="M1146" s="33" t="s">
        <v>278</v>
      </c>
      <c r="N1146" s="125"/>
      <c r="O1146" s="33" t="s">
        <v>278</v>
      </c>
      <c r="P1146" s="125"/>
      <c r="Q1146" s="33" t="s">
        <v>587</v>
      </c>
      <c r="R1146" s="125"/>
      <c r="S1146" s="33" t="s">
        <v>278</v>
      </c>
      <c r="T1146" s="125"/>
      <c r="U1146" s="33" t="s">
        <v>278</v>
      </c>
      <c r="V1146" s="125"/>
      <c r="W1146" s="59" t="s">
        <v>548</v>
      </c>
      <c r="X1146" s="33" t="str">
        <f>+VLOOKUP(OtherClients[[#This Row],[Part]],PartControl!$A$2:$E$564,5,FALSE)</f>
        <v>infasco</v>
      </c>
      <c r="Y1146" s="108">
        <f>IF(OtherClients[[#This Row],[Re-certified or New]]&lt;&gt;"Re-certified",IF(OtherClients[[#This Row],[Client]]="infasco",VLOOKUP(OtherClients[[#This Row],[Part]],PartControl!$A$2:$E$564,2,FALSE),OtherClients[[#This Row],[Total Quantity]]*VLOOKUP(OtherClients[[#This Row],[Part]],PartControl!$A$2:$E$564,2,FALSE)),0)</f>
        <v>106.94</v>
      </c>
      <c r="Z1146" s="108">
        <f>IF(OtherClients[[#This Row],[Re-certified or New]]&lt;&gt;"Re-certified",IF(OtherClients[[#This Row],[Client]]="infasco",VLOOKUP(OtherClients[[#This Row],[Part]],PartControl!$A$2:$E$564,2,FALSE),OtherClients[[#This Row],[Total Quantity]]*VLOOKUP(OtherClients[[#This Row],[Part]],PartControl!$A$2:$E$564,2,FALSE)),0)</f>
        <v>106.94</v>
      </c>
    </row>
    <row r="1147" spans="1:26" ht="25.15" hidden="1" customHeight="1" x14ac:dyDescent="0.25">
      <c r="A1147" s="112">
        <v>46252.688807870371</v>
      </c>
      <c r="B1147" s="5" t="s">
        <v>343</v>
      </c>
      <c r="C1147" s="5" t="s">
        <v>880</v>
      </c>
      <c r="D1147" s="5">
        <v>716091</v>
      </c>
      <c r="E1147" s="33">
        <v>36</v>
      </c>
      <c r="F1147" s="60">
        <v>120</v>
      </c>
      <c r="G1147" s="60">
        <f>+OtherClients[[#This Row],[Boxes / Pieces]]*OtherClients[[#This Row],[Unit Quantity]]</f>
        <v>4320</v>
      </c>
      <c r="H1147" s="60" t="s">
        <v>757</v>
      </c>
      <c r="I1147" s="126" t="s">
        <v>278</v>
      </c>
      <c r="J1147" s="127"/>
      <c r="K1147" s="33" t="s">
        <v>278</v>
      </c>
      <c r="L1147" s="125"/>
      <c r="M1147" s="33" t="s">
        <v>278</v>
      </c>
      <c r="N1147" s="125"/>
      <c r="O1147" s="33" t="s">
        <v>278</v>
      </c>
      <c r="P1147" s="125"/>
      <c r="Q1147" s="33" t="s">
        <v>587</v>
      </c>
      <c r="R1147" s="125"/>
      <c r="S1147" s="33" t="s">
        <v>278</v>
      </c>
      <c r="T1147" s="125"/>
      <c r="U1147" s="33" t="s">
        <v>278</v>
      </c>
      <c r="V1147" s="125"/>
      <c r="W1147" s="59" t="s">
        <v>548</v>
      </c>
      <c r="X1147" s="33" t="str">
        <f>+VLOOKUP(OtherClients[[#This Row],[Part]],PartControl!$A$2:$E$564,5,FALSE)</f>
        <v>infasco</v>
      </c>
      <c r="Y1147" s="108">
        <f>IF(OtherClients[[#This Row],[Re-certified or New]]&lt;&gt;"Re-certified",IF(OtherClients[[#This Row],[Client]]="infasco",VLOOKUP(OtherClients[[#This Row],[Part]],PartControl!$A$2:$E$564,2,FALSE),OtherClients[[#This Row],[Total Quantity]]*VLOOKUP(OtherClients[[#This Row],[Part]],PartControl!$A$2:$E$564,2,FALSE)),0)</f>
        <v>106.94</v>
      </c>
      <c r="Z1147" s="108">
        <f>IF(OtherClients[[#This Row],[Re-certified or New]]&lt;&gt;"Re-certified",IF(OtherClients[[#This Row],[Client]]="infasco",VLOOKUP(OtherClients[[#This Row],[Part]],PartControl!$A$2:$E$564,2,FALSE),OtherClients[[#This Row],[Total Quantity]]*VLOOKUP(OtherClients[[#This Row],[Part]],PartControl!$A$2:$E$564,2,FALSE)),0)</f>
        <v>106.94</v>
      </c>
    </row>
    <row r="1148" spans="1:26" ht="25.15" hidden="1" customHeight="1" x14ac:dyDescent="0.25">
      <c r="A1148" s="112">
        <v>46252.688807870371</v>
      </c>
      <c r="B1148" s="5" t="s">
        <v>343</v>
      </c>
      <c r="C1148" s="5" t="s">
        <v>651</v>
      </c>
      <c r="D1148" s="5">
        <v>716671</v>
      </c>
      <c r="E1148" s="33">
        <v>34</v>
      </c>
      <c r="F1148" s="60">
        <v>800</v>
      </c>
      <c r="G1148" s="60">
        <f>+OtherClients[[#This Row],[Boxes / Pieces]]*OtherClients[[#This Row],[Unit Quantity]]</f>
        <v>27200</v>
      </c>
      <c r="H1148" s="60" t="s">
        <v>757</v>
      </c>
      <c r="I1148" s="126" t="s">
        <v>278</v>
      </c>
      <c r="J1148" s="127"/>
      <c r="K1148" s="33" t="s">
        <v>278</v>
      </c>
      <c r="L1148" s="125"/>
      <c r="M1148" s="33" t="s">
        <v>278</v>
      </c>
      <c r="N1148" s="125"/>
      <c r="O1148" s="33" t="s">
        <v>278</v>
      </c>
      <c r="P1148" s="125"/>
      <c r="Q1148" s="33" t="s">
        <v>587</v>
      </c>
      <c r="R1148" s="125"/>
      <c r="S1148" s="33" t="s">
        <v>278</v>
      </c>
      <c r="T1148" s="125"/>
      <c r="U1148" s="33" t="s">
        <v>278</v>
      </c>
      <c r="V1148" s="125"/>
      <c r="W1148" s="59" t="s">
        <v>548</v>
      </c>
      <c r="X1148" s="33" t="str">
        <f>+VLOOKUP(OtherClients[[#This Row],[Part]],PartControl!$A$2:$E$564,5,FALSE)</f>
        <v>infasco</v>
      </c>
      <c r="Y1148" s="108">
        <f>IF(OtherClients[[#This Row],[Re-certified or New]]&lt;&gt;"Re-certified",IF(OtherClients[[#This Row],[Client]]="infasco",VLOOKUP(OtherClients[[#This Row],[Part]],PartControl!$A$2:$E$564,2,FALSE),OtherClients[[#This Row],[Total Quantity]]*VLOOKUP(OtherClients[[#This Row],[Part]],PartControl!$A$2:$E$564,2,FALSE)),0)</f>
        <v>280.15999999999997</v>
      </c>
      <c r="Z1148" s="108">
        <f>IF(OtherClients[[#This Row],[Re-certified or New]]&lt;&gt;"Re-certified",IF(OtherClients[[#This Row],[Client]]="infasco",VLOOKUP(OtherClients[[#This Row],[Part]],PartControl!$A$2:$E$564,2,FALSE),OtherClients[[#This Row],[Total Quantity]]*VLOOKUP(OtherClients[[#This Row],[Part]],PartControl!$A$2:$E$564,2,FALSE)),0)</f>
        <v>280.15999999999997</v>
      </c>
    </row>
    <row r="1149" spans="1:26" ht="25.15" hidden="1" customHeight="1" x14ac:dyDescent="0.25">
      <c r="A1149" s="112">
        <v>46252.688807870371</v>
      </c>
      <c r="B1149" s="5" t="s">
        <v>344</v>
      </c>
      <c r="C1149" s="5" t="s">
        <v>651</v>
      </c>
      <c r="D1149" s="5">
        <v>716670</v>
      </c>
      <c r="E1149" s="33">
        <v>13</v>
      </c>
      <c r="F1149" s="60">
        <v>800</v>
      </c>
      <c r="G1149" s="60">
        <f>+OtherClients[[#This Row],[Boxes / Pieces]]*OtherClients[[#This Row],[Unit Quantity]]</f>
        <v>10400</v>
      </c>
      <c r="H1149" s="60" t="s">
        <v>816</v>
      </c>
      <c r="I1149" s="126" t="s">
        <v>278</v>
      </c>
      <c r="J1149" s="127"/>
      <c r="K1149" s="33" t="s">
        <v>278</v>
      </c>
      <c r="L1149" s="125"/>
      <c r="M1149" s="33" t="s">
        <v>278</v>
      </c>
      <c r="N1149" s="125"/>
      <c r="O1149" s="33" t="s">
        <v>278</v>
      </c>
      <c r="P1149" s="125"/>
      <c r="Q1149" s="33" t="s">
        <v>587</v>
      </c>
      <c r="R1149" s="125"/>
      <c r="S1149" s="33" t="s">
        <v>278</v>
      </c>
      <c r="T1149" s="125"/>
      <c r="U1149" s="33" t="s">
        <v>278</v>
      </c>
      <c r="V1149" s="125"/>
      <c r="W1149" s="59" t="s">
        <v>548</v>
      </c>
      <c r="X1149" s="33" t="str">
        <f>+VLOOKUP(OtherClients[[#This Row],[Part]],PartControl!$A$2:$E$564,5,FALSE)</f>
        <v>infasco</v>
      </c>
      <c r="Y1149" s="108">
        <f>IF(OtherClients[[#This Row],[Re-certified or New]]&lt;&gt;"Re-certified",IF(OtherClients[[#This Row],[Client]]="infasco",VLOOKUP(OtherClients[[#This Row],[Part]],PartControl!$A$2:$E$564,2,FALSE),OtherClients[[#This Row],[Total Quantity]]*VLOOKUP(OtherClients[[#This Row],[Part]],PartControl!$A$2:$E$564,2,FALSE)),0)</f>
        <v>280.15999999999997</v>
      </c>
      <c r="Z1149" s="108">
        <f>IF(OtherClients[[#This Row],[Re-certified or New]]&lt;&gt;"Re-certified",IF(OtherClients[[#This Row],[Client]]="infasco",VLOOKUP(OtherClients[[#This Row],[Part]],PartControl!$A$2:$E$564,2,FALSE),OtherClients[[#This Row],[Total Quantity]]*VLOOKUP(OtherClients[[#This Row],[Part]],PartControl!$A$2:$E$564,2,FALSE)),0)</f>
        <v>280.15999999999997</v>
      </c>
    </row>
    <row r="1150" spans="1:26" ht="25.15" hidden="1" customHeight="1" x14ac:dyDescent="0.25">
      <c r="A1150" s="112">
        <v>46252.688807870371</v>
      </c>
      <c r="B1150" s="5" t="s">
        <v>344</v>
      </c>
      <c r="C1150" s="5" t="s">
        <v>818</v>
      </c>
      <c r="D1150" s="5">
        <v>716689</v>
      </c>
      <c r="E1150" s="33">
        <v>33</v>
      </c>
      <c r="F1150" s="60">
        <v>670</v>
      </c>
      <c r="G1150" s="60">
        <f>+OtherClients[[#This Row],[Boxes / Pieces]]*OtherClients[[#This Row],[Unit Quantity]]</f>
        <v>22110</v>
      </c>
      <c r="H1150" s="60" t="s">
        <v>816</v>
      </c>
      <c r="I1150" s="126" t="s">
        <v>278</v>
      </c>
      <c r="J1150" s="127"/>
      <c r="K1150" s="33" t="s">
        <v>278</v>
      </c>
      <c r="L1150" s="125"/>
      <c r="M1150" s="33" t="s">
        <v>278</v>
      </c>
      <c r="N1150" s="125"/>
      <c r="O1150" s="33" t="s">
        <v>278</v>
      </c>
      <c r="P1150" s="125"/>
      <c r="Q1150" s="33" t="s">
        <v>587</v>
      </c>
      <c r="R1150" s="125"/>
      <c r="S1150" s="33" t="s">
        <v>278</v>
      </c>
      <c r="T1150" s="125"/>
      <c r="U1150" s="33" t="s">
        <v>278</v>
      </c>
      <c r="V1150" s="125"/>
      <c r="W1150" s="59" t="s">
        <v>548</v>
      </c>
      <c r="X1150" s="33" t="str">
        <f>+VLOOKUP(OtherClients[[#This Row],[Part]],PartControl!$A$2:$E$564,5,FALSE)</f>
        <v>infasco</v>
      </c>
      <c r="Y1150" s="108">
        <f>IF(OtherClients[[#This Row],[Re-certified or New]]&lt;&gt;"Re-certified",IF(OtherClients[[#This Row],[Client]]="infasco",VLOOKUP(OtherClients[[#This Row],[Part]],PartControl!$A$2:$E$564,2,FALSE),OtherClients[[#This Row],[Total Quantity]]*VLOOKUP(OtherClients[[#This Row],[Part]],PartControl!$A$2:$E$564,2,FALSE)),0)</f>
        <v>280.16000000000003</v>
      </c>
      <c r="Z1150" s="108">
        <f>IF(OtherClients[[#This Row],[Re-certified or New]]&lt;&gt;"Re-certified",IF(OtherClients[[#This Row],[Client]]="infasco",VLOOKUP(OtherClients[[#This Row],[Part]],PartControl!$A$2:$E$564,2,FALSE),OtherClients[[#This Row],[Total Quantity]]*VLOOKUP(OtherClients[[#This Row],[Part]],PartControl!$A$2:$E$564,2,FALSE)),0)</f>
        <v>280.16000000000003</v>
      </c>
    </row>
    <row r="1151" spans="1:26" ht="25.15" hidden="1" customHeight="1" x14ac:dyDescent="0.25">
      <c r="A1151" s="112">
        <v>46252.688807870371</v>
      </c>
      <c r="B1151" s="5" t="s">
        <v>344</v>
      </c>
      <c r="C1151" s="5">
        <v>11602031</v>
      </c>
      <c r="D1151" s="5">
        <v>716716</v>
      </c>
      <c r="E1151" s="33">
        <v>27</v>
      </c>
      <c r="F1151" s="60">
        <v>145</v>
      </c>
      <c r="G1151" s="60">
        <f>+OtherClients[[#This Row],[Boxes / Pieces]]*OtherClients[[#This Row],[Unit Quantity]]</f>
        <v>3915</v>
      </c>
      <c r="H1151" s="60" t="s">
        <v>816</v>
      </c>
      <c r="I1151" s="126" t="s">
        <v>278</v>
      </c>
      <c r="J1151" s="127"/>
      <c r="K1151" s="33" t="s">
        <v>278</v>
      </c>
      <c r="L1151" s="125"/>
      <c r="M1151" s="33" t="s">
        <v>278</v>
      </c>
      <c r="N1151" s="125"/>
      <c r="O1151" s="33" t="s">
        <v>278</v>
      </c>
      <c r="P1151" s="125"/>
      <c r="Q1151" s="33" t="s">
        <v>587</v>
      </c>
      <c r="R1151" s="125"/>
      <c r="S1151" s="33" t="s">
        <v>278</v>
      </c>
      <c r="T1151" s="125"/>
      <c r="U1151" s="33" t="s">
        <v>278</v>
      </c>
      <c r="V1151" s="125"/>
      <c r="W1151" s="59" t="s">
        <v>548</v>
      </c>
      <c r="X1151" s="33" t="str">
        <f>+VLOOKUP(OtherClients[[#This Row],[Part]],PartControl!$A$2:$E$564,5,FALSE)</f>
        <v>INFASCO</v>
      </c>
      <c r="Y1151" s="108">
        <f>IF(OtherClients[[#This Row],[Re-certified or New]]&lt;&gt;"Re-certified",IF(OtherClients[[#This Row],[Client]]="infasco",VLOOKUP(OtherClients[[#This Row],[Part]],PartControl!$A$2:$E$564,2,FALSE),OtherClients[[#This Row],[Total Quantity]]*VLOOKUP(OtherClients[[#This Row],[Part]],PartControl!$A$2:$E$564,2,FALSE)),0)</f>
        <v>135.07999999999998</v>
      </c>
      <c r="Z1151" s="108">
        <f>IF(OtherClients[[#This Row],[Re-certified or New]]&lt;&gt;"Re-certified",IF(OtherClients[[#This Row],[Client]]="infasco",VLOOKUP(OtherClients[[#This Row],[Part]],PartControl!$A$2:$E$564,2,FALSE),OtherClients[[#This Row],[Total Quantity]]*VLOOKUP(OtherClients[[#This Row],[Part]],PartControl!$A$2:$E$564,2,FALSE)),0)</f>
        <v>135.07999999999998</v>
      </c>
    </row>
    <row r="1152" spans="1:26" ht="25.15" hidden="1" customHeight="1" x14ac:dyDescent="0.25">
      <c r="A1152" s="112">
        <v>46252.688807870371</v>
      </c>
      <c r="B1152" s="5" t="s">
        <v>344</v>
      </c>
      <c r="C1152" s="5">
        <v>11602031</v>
      </c>
      <c r="D1152" s="5">
        <v>716711</v>
      </c>
      <c r="E1152" s="33">
        <v>31</v>
      </c>
      <c r="F1152" s="60">
        <v>145</v>
      </c>
      <c r="G1152" s="60">
        <f>+OtherClients[[#This Row],[Boxes / Pieces]]*OtherClients[[#This Row],[Unit Quantity]]</f>
        <v>4495</v>
      </c>
      <c r="H1152" s="60" t="s">
        <v>816</v>
      </c>
      <c r="I1152" s="126" t="s">
        <v>278</v>
      </c>
      <c r="J1152" s="127"/>
      <c r="K1152" s="33" t="s">
        <v>278</v>
      </c>
      <c r="L1152" s="125"/>
      <c r="M1152" s="33" t="s">
        <v>278</v>
      </c>
      <c r="N1152" s="125"/>
      <c r="O1152" s="33" t="s">
        <v>278</v>
      </c>
      <c r="P1152" s="125"/>
      <c r="Q1152" s="33" t="s">
        <v>587</v>
      </c>
      <c r="R1152" s="125"/>
      <c r="S1152" s="33" t="s">
        <v>278</v>
      </c>
      <c r="T1152" s="125"/>
      <c r="U1152" s="33" t="s">
        <v>278</v>
      </c>
      <c r="V1152" s="125"/>
      <c r="W1152" s="59" t="s">
        <v>548</v>
      </c>
      <c r="X1152" s="33" t="str">
        <f>+VLOOKUP(OtherClients[[#This Row],[Part]],PartControl!$A$2:$E$564,5,FALSE)</f>
        <v>INFASCO</v>
      </c>
      <c r="Y1152" s="108">
        <f>IF(OtherClients[[#This Row],[Re-certified or New]]&lt;&gt;"Re-certified",IF(OtherClients[[#This Row],[Client]]="infasco",VLOOKUP(OtherClients[[#This Row],[Part]],PartControl!$A$2:$E$564,2,FALSE),OtherClients[[#This Row],[Total Quantity]]*VLOOKUP(OtherClients[[#This Row],[Part]],PartControl!$A$2:$E$564,2,FALSE)),0)</f>
        <v>135.07999999999998</v>
      </c>
      <c r="Z1152" s="108">
        <f>IF(OtherClients[[#This Row],[Re-certified or New]]&lt;&gt;"Re-certified",IF(OtherClients[[#This Row],[Client]]="infasco",VLOOKUP(OtherClients[[#This Row],[Part]],PartControl!$A$2:$E$564,2,FALSE),OtherClients[[#This Row],[Total Quantity]]*VLOOKUP(OtherClients[[#This Row],[Part]],PartControl!$A$2:$E$564,2,FALSE)),0)</f>
        <v>135.07999999999998</v>
      </c>
    </row>
    <row r="1153" spans="1:26" ht="25.15" hidden="1" customHeight="1" x14ac:dyDescent="0.25">
      <c r="A1153" s="112">
        <v>46252.688807870371</v>
      </c>
      <c r="B1153" s="5" t="s">
        <v>344</v>
      </c>
      <c r="C1153" s="5">
        <v>11547369</v>
      </c>
      <c r="D1153" s="5">
        <v>714476</v>
      </c>
      <c r="E1153" s="33">
        <f>36+14-30</f>
        <v>20</v>
      </c>
      <c r="F1153" s="60">
        <v>250</v>
      </c>
      <c r="G1153" s="60">
        <f>+OtherClients[[#This Row],[Boxes / Pieces]]*OtherClients[[#This Row],[Unit Quantity]]</f>
        <v>5000</v>
      </c>
      <c r="H1153" s="60" t="s">
        <v>816</v>
      </c>
      <c r="I1153" s="126" t="s">
        <v>278</v>
      </c>
      <c r="J1153" s="127"/>
      <c r="K1153" s="33" t="s">
        <v>278</v>
      </c>
      <c r="L1153" s="125"/>
      <c r="M1153" s="33" t="s">
        <v>278</v>
      </c>
      <c r="N1153" s="125"/>
      <c r="O1153" s="33" t="s">
        <v>278</v>
      </c>
      <c r="P1153" s="125"/>
      <c r="Q1153" s="33" t="s">
        <v>587</v>
      </c>
      <c r="R1153" s="125"/>
      <c r="S1153" s="33" t="s">
        <v>278</v>
      </c>
      <c r="T1153" s="125"/>
      <c r="U1153" s="33" t="s">
        <v>278</v>
      </c>
      <c r="V1153" s="125"/>
      <c r="W1153" s="59" t="s">
        <v>548</v>
      </c>
      <c r="X1153" s="33" t="str">
        <f>+VLOOKUP(OtherClients[[#This Row],[Part]],PartControl!$A$2:$E$564,5,FALSE)</f>
        <v>Infasco</v>
      </c>
      <c r="Y1153" s="108">
        <f>IF(OtherClients[[#This Row],[Re-certified or New]]&lt;&gt;"Re-certified",IF(OtherClients[[#This Row],[Client]]="infasco",VLOOKUP(OtherClients[[#This Row],[Part]],PartControl!$A$2:$E$564,2,FALSE),OtherClients[[#This Row],[Total Quantity]]*VLOOKUP(OtherClients[[#This Row],[Part]],PartControl!$A$2:$E$564,2,FALSE)),0)</f>
        <v>106.94</v>
      </c>
      <c r="Z1153" s="108">
        <f>IF(OtherClients[[#This Row],[Re-certified or New]]&lt;&gt;"Re-certified",IF(OtherClients[[#This Row],[Client]]="infasco",VLOOKUP(OtherClients[[#This Row],[Part]],PartControl!$A$2:$E$564,2,FALSE),OtherClients[[#This Row],[Total Quantity]]*VLOOKUP(OtherClients[[#This Row],[Part]],PartControl!$A$2:$E$564,2,FALSE)),0)</f>
        <v>106.94</v>
      </c>
    </row>
    <row r="1154" spans="1:26" ht="25.15" hidden="1" customHeight="1" x14ac:dyDescent="0.25">
      <c r="A1154" s="112">
        <v>46252.688807870371</v>
      </c>
      <c r="B1154" s="5" t="s">
        <v>344</v>
      </c>
      <c r="C1154" s="5">
        <v>40110160</v>
      </c>
      <c r="D1154" s="5">
        <v>714076</v>
      </c>
      <c r="E1154" s="33">
        <v>31</v>
      </c>
      <c r="F1154" s="60">
        <v>200</v>
      </c>
      <c r="G1154" s="60">
        <f>+OtherClients[[#This Row],[Boxes / Pieces]]*OtherClients[[#This Row],[Unit Quantity]]</f>
        <v>6200</v>
      </c>
      <c r="H1154" s="60" t="s">
        <v>816</v>
      </c>
      <c r="I1154" s="126" t="s">
        <v>278</v>
      </c>
      <c r="J1154" s="127"/>
      <c r="K1154" s="33" t="s">
        <v>278</v>
      </c>
      <c r="L1154" s="125"/>
      <c r="M1154" s="33" t="s">
        <v>278</v>
      </c>
      <c r="N1154" s="125"/>
      <c r="O1154" s="33" t="s">
        <v>278</v>
      </c>
      <c r="P1154" s="125"/>
      <c r="Q1154" s="33" t="s">
        <v>587</v>
      </c>
      <c r="R1154" s="125"/>
      <c r="S1154" s="33" t="s">
        <v>278</v>
      </c>
      <c r="T1154" s="125"/>
      <c r="U1154" s="33" t="s">
        <v>278</v>
      </c>
      <c r="V1154" s="125"/>
      <c r="W1154" s="59" t="s">
        <v>548</v>
      </c>
      <c r="X1154" s="33" t="str">
        <f>+VLOOKUP(OtherClients[[#This Row],[Part]],PartControl!$A$2:$E$564,5,FALSE)</f>
        <v>INFASCO</v>
      </c>
      <c r="Y1154" s="108">
        <f>IF(OtherClients[[#This Row],[Re-certified or New]]&lt;&gt;"Re-certified",IF(OtherClients[[#This Row],[Client]]="infasco",VLOOKUP(OtherClients[[#This Row],[Part]],PartControl!$A$2:$E$564,2,FALSE),OtherClients[[#This Row],[Total Quantity]]*VLOOKUP(OtherClients[[#This Row],[Part]],PartControl!$A$2:$E$564,2,FALSE)),0)</f>
        <v>106.94</v>
      </c>
      <c r="Z1154" s="108">
        <f>IF(OtherClients[[#This Row],[Re-certified or New]]&lt;&gt;"Re-certified",IF(OtherClients[[#This Row],[Client]]="infasco",VLOOKUP(OtherClients[[#This Row],[Part]],PartControl!$A$2:$E$564,2,FALSE),OtherClients[[#This Row],[Total Quantity]]*VLOOKUP(OtherClients[[#This Row],[Part]],PartControl!$A$2:$E$564,2,FALSE)),0)</f>
        <v>106.94</v>
      </c>
    </row>
    <row r="1155" spans="1:26" ht="25.15" hidden="1" customHeight="1" x14ac:dyDescent="0.25">
      <c r="A1155" s="112">
        <v>46252.688807870371</v>
      </c>
      <c r="B1155" s="5" t="s">
        <v>344</v>
      </c>
      <c r="C1155" s="5">
        <v>40110160</v>
      </c>
      <c r="D1155" s="5">
        <v>714078</v>
      </c>
      <c r="E1155" s="33">
        <v>26</v>
      </c>
      <c r="F1155" s="60">
        <v>200</v>
      </c>
      <c r="G1155" s="60">
        <f>+OtherClients[[#This Row],[Boxes / Pieces]]*OtherClients[[#This Row],[Unit Quantity]]</f>
        <v>5200</v>
      </c>
      <c r="H1155" s="60" t="s">
        <v>816</v>
      </c>
      <c r="I1155" s="126" t="s">
        <v>278</v>
      </c>
      <c r="J1155" s="127"/>
      <c r="K1155" s="33" t="s">
        <v>278</v>
      </c>
      <c r="L1155" s="125"/>
      <c r="M1155" s="33" t="s">
        <v>278</v>
      </c>
      <c r="N1155" s="125"/>
      <c r="O1155" s="33" t="s">
        <v>278</v>
      </c>
      <c r="P1155" s="125"/>
      <c r="Q1155" s="33" t="s">
        <v>587</v>
      </c>
      <c r="R1155" s="125"/>
      <c r="S1155" s="33" t="s">
        <v>278</v>
      </c>
      <c r="T1155" s="125"/>
      <c r="U1155" s="33" t="s">
        <v>278</v>
      </c>
      <c r="V1155" s="125"/>
      <c r="W1155" s="59" t="s">
        <v>548</v>
      </c>
      <c r="X1155" s="33" t="str">
        <f>+VLOOKUP(OtherClients[[#This Row],[Part]],PartControl!$A$2:$E$564,5,FALSE)</f>
        <v>INFASCO</v>
      </c>
      <c r="Y1155" s="108">
        <f>IF(OtherClients[[#This Row],[Re-certified or New]]&lt;&gt;"Re-certified",IF(OtherClients[[#This Row],[Client]]="infasco",VLOOKUP(OtherClients[[#This Row],[Part]],PartControl!$A$2:$E$564,2,FALSE),OtherClients[[#This Row],[Total Quantity]]*VLOOKUP(OtherClients[[#This Row],[Part]],PartControl!$A$2:$E$564,2,FALSE)),0)</f>
        <v>106.94</v>
      </c>
      <c r="Z1155" s="108">
        <f>IF(OtherClients[[#This Row],[Re-certified or New]]&lt;&gt;"Re-certified",IF(OtherClients[[#This Row],[Client]]="infasco",VLOOKUP(OtherClients[[#This Row],[Part]],PartControl!$A$2:$E$564,2,FALSE),OtherClients[[#This Row],[Total Quantity]]*VLOOKUP(OtherClients[[#This Row],[Part]],PartControl!$A$2:$E$564,2,FALSE)),0)</f>
        <v>106.94</v>
      </c>
    </row>
    <row r="1156" spans="1:26" ht="25.15" hidden="1" customHeight="1" x14ac:dyDescent="0.25">
      <c r="A1156" s="112">
        <v>46252.688807870371</v>
      </c>
      <c r="B1156" s="5" t="s">
        <v>344</v>
      </c>
      <c r="C1156" s="5" t="s">
        <v>809</v>
      </c>
      <c r="D1156" s="5">
        <v>713818</v>
      </c>
      <c r="E1156" s="33">
        <v>31</v>
      </c>
      <c r="F1156" s="60">
        <v>450</v>
      </c>
      <c r="G1156" s="60">
        <f>+OtherClients[[#This Row],[Boxes / Pieces]]*OtherClients[[#This Row],[Unit Quantity]]</f>
        <v>13950</v>
      </c>
      <c r="H1156" s="60" t="s">
        <v>816</v>
      </c>
      <c r="I1156" s="126" t="s">
        <v>278</v>
      </c>
      <c r="J1156" s="127"/>
      <c r="K1156" s="33" t="s">
        <v>278</v>
      </c>
      <c r="L1156" s="125"/>
      <c r="M1156" s="33" t="s">
        <v>278</v>
      </c>
      <c r="N1156" s="125"/>
      <c r="O1156" s="33" t="s">
        <v>278</v>
      </c>
      <c r="P1156" s="125"/>
      <c r="Q1156" s="33" t="s">
        <v>587</v>
      </c>
      <c r="R1156" s="125"/>
      <c r="S1156" s="33" t="s">
        <v>278</v>
      </c>
      <c r="T1156" s="125"/>
      <c r="U1156" s="33" t="s">
        <v>278</v>
      </c>
      <c r="V1156" s="125"/>
      <c r="W1156" s="59" t="s">
        <v>548</v>
      </c>
      <c r="X1156" s="33" t="str">
        <f>+VLOOKUP(OtherClients[[#This Row],[Part]],PartControl!$A$2:$E$564,5,FALSE)</f>
        <v>infasco</v>
      </c>
      <c r="Y1156" s="108">
        <f>IF(OtherClients[[#This Row],[Re-certified or New]]&lt;&gt;"Re-certified",IF(OtherClients[[#This Row],[Client]]="infasco",VLOOKUP(OtherClients[[#This Row],[Part]],PartControl!$A$2:$E$564,2,FALSE),OtherClients[[#This Row],[Total Quantity]]*VLOOKUP(OtherClients[[#This Row],[Part]],PartControl!$A$2:$E$564,2,FALSE)),0)</f>
        <v>106.94</v>
      </c>
      <c r="Z1156" s="108">
        <f>IF(OtherClients[[#This Row],[Re-certified or New]]&lt;&gt;"Re-certified",IF(OtherClients[[#This Row],[Client]]="infasco",VLOOKUP(OtherClients[[#This Row],[Part]],PartControl!$A$2:$E$564,2,FALSE),OtherClients[[#This Row],[Total Quantity]]*VLOOKUP(OtherClients[[#This Row],[Part]],PartControl!$A$2:$E$564,2,FALSE)),0)</f>
        <v>106.94</v>
      </c>
    </row>
    <row r="1157" spans="1:26" ht="25.15" hidden="1" customHeight="1" x14ac:dyDescent="0.25">
      <c r="A1157" s="112">
        <v>46252.688807870371</v>
      </c>
      <c r="B1157" s="5" t="s">
        <v>344</v>
      </c>
      <c r="C1157" s="5">
        <v>61525</v>
      </c>
      <c r="D1157" s="5">
        <v>717229</v>
      </c>
      <c r="E1157" s="33">
        <v>23</v>
      </c>
      <c r="F1157" s="60">
        <v>3000</v>
      </c>
      <c r="G1157" s="60">
        <f>+OtherClients[[#This Row],[Boxes / Pieces]]*OtherClients[[#This Row],[Unit Quantity]]</f>
        <v>69000</v>
      </c>
      <c r="H1157" s="60" t="s">
        <v>816</v>
      </c>
      <c r="I1157" s="126" t="s">
        <v>278</v>
      </c>
      <c r="J1157" s="127"/>
      <c r="K1157" s="33" t="s">
        <v>278</v>
      </c>
      <c r="L1157" s="125"/>
      <c r="M1157" s="33" t="s">
        <v>278</v>
      </c>
      <c r="N1157" s="125"/>
      <c r="O1157" s="33" t="s">
        <v>278</v>
      </c>
      <c r="P1157" s="125"/>
      <c r="Q1157" s="33" t="s">
        <v>587</v>
      </c>
      <c r="R1157" s="125"/>
      <c r="S1157" s="33" t="s">
        <v>278</v>
      </c>
      <c r="T1157" s="125"/>
      <c r="U1157" s="33" t="s">
        <v>278</v>
      </c>
      <c r="V1157" s="125"/>
      <c r="W1157" s="59" t="s">
        <v>548</v>
      </c>
      <c r="X1157" s="33" t="str">
        <f>+VLOOKUP(OtherClients[[#This Row],[Part]],PartControl!$A$2:$E$564,5,FALSE)</f>
        <v>infasco</v>
      </c>
      <c r="Y1157" s="108">
        <f>IF(OtherClients[[#This Row],[Re-certified or New]]&lt;&gt;"Re-certified",IF(OtherClients[[#This Row],[Client]]="infasco",VLOOKUP(OtherClients[[#This Row],[Part]],PartControl!$A$2:$E$564,2,FALSE),OtherClients[[#This Row],[Total Quantity]]*VLOOKUP(OtherClients[[#This Row],[Part]],PartControl!$A$2:$E$564,2,FALSE)),0)</f>
        <v>224.49</v>
      </c>
      <c r="Z1157" s="108">
        <f>IF(OtherClients[[#This Row],[Re-certified or New]]&lt;&gt;"Re-certified",IF(OtherClients[[#This Row],[Client]]="infasco",VLOOKUP(OtherClients[[#This Row],[Part]],PartControl!$A$2:$E$564,2,FALSE),OtherClients[[#This Row],[Total Quantity]]*VLOOKUP(OtherClients[[#This Row],[Part]],PartControl!$A$2:$E$564,2,FALSE)),0)</f>
        <v>224.49</v>
      </c>
    </row>
    <row r="1158" spans="1:26" ht="25.15" hidden="1" customHeight="1" x14ac:dyDescent="0.25">
      <c r="A1158" s="112">
        <v>46252.688807870371</v>
      </c>
      <c r="B1158" s="5" t="s">
        <v>346</v>
      </c>
      <c r="C1158" s="5">
        <v>11547369</v>
      </c>
      <c r="D1158" s="5">
        <v>714474</v>
      </c>
      <c r="E1158" s="33">
        <v>25</v>
      </c>
      <c r="F1158" s="60">
        <v>250</v>
      </c>
      <c r="G1158" s="60">
        <f>+OtherClients[[#This Row],[Boxes / Pieces]]*OtherClients[[#This Row],[Unit Quantity]]</f>
        <v>6250</v>
      </c>
      <c r="H1158" s="60" t="s">
        <v>871</v>
      </c>
      <c r="I1158" s="126" t="s">
        <v>278</v>
      </c>
      <c r="J1158" s="127"/>
      <c r="K1158" s="33" t="s">
        <v>278</v>
      </c>
      <c r="L1158" s="125"/>
      <c r="M1158" s="33" t="s">
        <v>278</v>
      </c>
      <c r="N1158" s="125"/>
      <c r="O1158" s="33" t="s">
        <v>278</v>
      </c>
      <c r="P1158" s="125"/>
      <c r="Q1158" s="33" t="s">
        <v>587</v>
      </c>
      <c r="R1158" s="125"/>
      <c r="S1158" s="33" t="s">
        <v>278</v>
      </c>
      <c r="T1158" s="125"/>
      <c r="U1158" s="33" t="s">
        <v>278</v>
      </c>
      <c r="V1158" s="125"/>
      <c r="W1158" s="59" t="s">
        <v>548</v>
      </c>
      <c r="X1158" s="33" t="str">
        <f>+VLOOKUP(OtherClients[[#This Row],[Part]],PartControl!$A$2:$E$564,5,FALSE)</f>
        <v>Infasco</v>
      </c>
      <c r="Y1158" s="108">
        <f>IF(OtherClients[[#This Row],[Re-certified or New]]&lt;&gt;"Re-certified",IF(OtherClients[[#This Row],[Client]]="infasco",VLOOKUP(OtherClients[[#This Row],[Part]],PartControl!$A$2:$E$564,2,FALSE),OtherClients[[#This Row],[Total Quantity]]*VLOOKUP(OtherClients[[#This Row],[Part]],PartControl!$A$2:$E$564,2,FALSE)),0)</f>
        <v>106.94</v>
      </c>
      <c r="Z1158" s="108">
        <f>IF(OtherClients[[#This Row],[Re-certified or New]]&lt;&gt;"Re-certified",IF(OtherClients[[#This Row],[Client]]="infasco",VLOOKUP(OtherClients[[#This Row],[Part]],PartControl!$A$2:$E$564,2,FALSE),OtherClients[[#This Row],[Total Quantity]]*VLOOKUP(OtherClients[[#This Row],[Part]],PartControl!$A$2:$E$564,2,FALSE)),0)</f>
        <v>106.94</v>
      </c>
    </row>
    <row r="1159" spans="1:26" ht="25.15" hidden="1" customHeight="1" x14ac:dyDescent="0.25">
      <c r="A1159" s="112">
        <v>46252.688807870371</v>
      </c>
      <c r="B1159" s="5" t="s">
        <v>346</v>
      </c>
      <c r="C1159" s="5">
        <v>40110160</v>
      </c>
      <c r="D1159" s="5">
        <v>714077</v>
      </c>
      <c r="E1159" s="33">
        <v>33</v>
      </c>
      <c r="F1159" s="60">
        <v>200</v>
      </c>
      <c r="G1159" s="60">
        <f>+OtherClients[[#This Row],[Boxes / Pieces]]*OtherClients[[#This Row],[Unit Quantity]]</f>
        <v>6600</v>
      </c>
      <c r="H1159" s="60" t="s">
        <v>871</v>
      </c>
      <c r="I1159" s="126" t="s">
        <v>278</v>
      </c>
      <c r="J1159" s="127"/>
      <c r="K1159" s="33" t="s">
        <v>278</v>
      </c>
      <c r="L1159" s="125"/>
      <c r="M1159" s="33" t="s">
        <v>278</v>
      </c>
      <c r="N1159" s="125"/>
      <c r="O1159" s="33" t="s">
        <v>278</v>
      </c>
      <c r="P1159" s="125"/>
      <c r="Q1159" s="33" t="s">
        <v>587</v>
      </c>
      <c r="R1159" s="125"/>
      <c r="S1159" s="33" t="s">
        <v>278</v>
      </c>
      <c r="T1159" s="125"/>
      <c r="U1159" s="33" t="s">
        <v>278</v>
      </c>
      <c r="V1159" s="125"/>
      <c r="W1159" s="59" t="s">
        <v>548</v>
      </c>
      <c r="X1159" s="33" t="str">
        <f>+VLOOKUP(OtherClients[[#This Row],[Part]],PartControl!$A$2:$E$564,5,FALSE)</f>
        <v>INFASCO</v>
      </c>
      <c r="Y1159" s="108">
        <f>IF(OtherClients[[#This Row],[Re-certified or New]]&lt;&gt;"Re-certified",IF(OtherClients[[#This Row],[Client]]="infasco",VLOOKUP(OtherClients[[#This Row],[Part]],PartControl!$A$2:$E$564,2,FALSE),OtherClients[[#This Row],[Total Quantity]]*VLOOKUP(OtherClients[[#This Row],[Part]],PartControl!$A$2:$E$564,2,FALSE)),0)</f>
        <v>106.94</v>
      </c>
      <c r="Z1159" s="108">
        <f>IF(OtherClients[[#This Row],[Re-certified or New]]&lt;&gt;"Re-certified",IF(OtherClients[[#This Row],[Client]]="infasco",VLOOKUP(OtherClients[[#This Row],[Part]],PartControl!$A$2:$E$564,2,FALSE),OtherClients[[#This Row],[Total Quantity]]*VLOOKUP(OtherClients[[#This Row],[Part]],PartControl!$A$2:$E$564,2,FALSE)),0)</f>
        <v>106.94</v>
      </c>
    </row>
    <row r="1160" spans="1:26" ht="25.15" hidden="1" customHeight="1" x14ac:dyDescent="0.25">
      <c r="A1160" s="112">
        <v>46252.688807870371</v>
      </c>
      <c r="B1160" s="5" t="s">
        <v>346</v>
      </c>
      <c r="C1160" s="5" t="s">
        <v>880</v>
      </c>
      <c r="D1160" s="5">
        <v>716092</v>
      </c>
      <c r="E1160" s="33">
        <v>40</v>
      </c>
      <c r="F1160" s="60">
        <v>120</v>
      </c>
      <c r="G1160" s="60">
        <f>+OtherClients[[#This Row],[Boxes / Pieces]]*OtherClients[[#This Row],[Unit Quantity]]</f>
        <v>4800</v>
      </c>
      <c r="H1160" s="60" t="s">
        <v>871</v>
      </c>
      <c r="I1160" s="126" t="s">
        <v>278</v>
      </c>
      <c r="J1160" s="127"/>
      <c r="K1160" s="33" t="s">
        <v>278</v>
      </c>
      <c r="L1160" s="125"/>
      <c r="M1160" s="33" t="s">
        <v>278</v>
      </c>
      <c r="N1160" s="125"/>
      <c r="O1160" s="33" t="s">
        <v>278</v>
      </c>
      <c r="P1160" s="125"/>
      <c r="Q1160" s="33" t="s">
        <v>587</v>
      </c>
      <c r="R1160" s="125"/>
      <c r="S1160" s="33" t="s">
        <v>278</v>
      </c>
      <c r="T1160" s="125"/>
      <c r="U1160" s="33" t="s">
        <v>278</v>
      </c>
      <c r="V1160" s="125"/>
      <c r="W1160" s="59" t="s">
        <v>548</v>
      </c>
      <c r="X1160" s="33" t="str">
        <f>+VLOOKUP(OtherClients[[#This Row],[Part]],PartControl!$A$2:$E$564,5,FALSE)</f>
        <v>infasco</v>
      </c>
      <c r="Y1160" s="108">
        <f>IF(OtherClients[[#This Row],[Re-certified or New]]&lt;&gt;"Re-certified",IF(OtherClients[[#This Row],[Client]]="infasco",VLOOKUP(OtherClients[[#This Row],[Part]],PartControl!$A$2:$E$564,2,FALSE),OtherClients[[#This Row],[Total Quantity]]*VLOOKUP(OtherClients[[#This Row],[Part]],PartControl!$A$2:$E$564,2,FALSE)),0)</f>
        <v>106.94</v>
      </c>
      <c r="Z1160" s="108">
        <f>IF(OtherClients[[#This Row],[Re-certified or New]]&lt;&gt;"Re-certified",IF(OtherClients[[#This Row],[Client]]="infasco",VLOOKUP(OtherClients[[#This Row],[Part]],PartControl!$A$2:$E$564,2,FALSE),OtherClients[[#This Row],[Total Quantity]]*VLOOKUP(OtherClients[[#This Row],[Part]],PartControl!$A$2:$E$564,2,FALSE)),0)</f>
        <v>106.94</v>
      </c>
    </row>
    <row r="1161" spans="1:26" ht="25.15" hidden="1" customHeight="1" x14ac:dyDescent="0.25">
      <c r="A1161" s="112">
        <v>46252.688807870371</v>
      </c>
      <c r="B1161" s="5" t="s">
        <v>346</v>
      </c>
      <c r="C1161" s="5" t="s">
        <v>880</v>
      </c>
      <c r="D1161" s="5">
        <v>716093</v>
      </c>
      <c r="E1161" s="33">
        <v>39</v>
      </c>
      <c r="F1161" s="60">
        <v>120</v>
      </c>
      <c r="G1161" s="60">
        <f>+OtherClients[[#This Row],[Boxes / Pieces]]*OtherClients[[#This Row],[Unit Quantity]]</f>
        <v>4680</v>
      </c>
      <c r="H1161" s="60" t="s">
        <v>871</v>
      </c>
      <c r="I1161" s="126" t="s">
        <v>278</v>
      </c>
      <c r="J1161" s="127"/>
      <c r="K1161" s="33" t="s">
        <v>278</v>
      </c>
      <c r="L1161" s="125"/>
      <c r="M1161" s="33" t="s">
        <v>278</v>
      </c>
      <c r="N1161" s="125"/>
      <c r="O1161" s="33" t="s">
        <v>278</v>
      </c>
      <c r="P1161" s="125"/>
      <c r="Q1161" s="33" t="s">
        <v>587</v>
      </c>
      <c r="R1161" s="125"/>
      <c r="S1161" s="33" t="s">
        <v>278</v>
      </c>
      <c r="T1161" s="125"/>
      <c r="U1161" s="33" t="s">
        <v>278</v>
      </c>
      <c r="V1161" s="125"/>
      <c r="W1161" s="59" t="s">
        <v>548</v>
      </c>
      <c r="X1161" s="33" t="str">
        <f>+VLOOKUP(OtherClients[[#This Row],[Part]],PartControl!$A$2:$E$564,5,FALSE)</f>
        <v>infasco</v>
      </c>
      <c r="Y1161" s="108">
        <f>IF(OtherClients[[#This Row],[Re-certified or New]]&lt;&gt;"Re-certified",IF(OtherClients[[#This Row],[Client]]="infasco",VLOOKUP(OtherClients[[#This Row],[Part]],PartControl!$A$2:$E$564,2,FALSE),OtherClients[[#This Row],[Total Quantity]]*VLOOKUP(OtherClients[[#This Row],[Part]],PartControl!$A$2:$E$564,2,FALSE)),0)</f>
        <v>106.94</v>
      </c>
      <c r="Z1161" s="108">
        <f>IF(OtherClients[[#This Row],[Re-certified or New]]&lt;&gt;"Re-certified",IF(OtherClients[[#This Row],[Client]]="infasco",VLOOKUP(OtherClients[[#This Row],[Part]],PartControl!$A$2:$E$564,2,FALSE),OtherClients[[#This Row],[Total Quantity]]*VLOOKUP(OtherClients[[#This Row],[Part]],PartControl!$A$2:$E$564,2,FALSE)),0)</f>
        <v>106.94</v>
      </c>
    </row>
    <row r="1162" spans="1:26" ht="25.15" hidden="1" customHeight="1" x14ac:dyDescent="0.25">
      <c r="A1162" s="112">
        <v>46252.688807870371</v>
      </c>
      <c r="B1162" s="5" t="s">
        <v>346</v>
      </c>
      <c r="C1162" s="5">
        <v>11546703</v>
      </c>
      <c r="D1162" s="5">
        <v>714423</v>
      </c>
      <c r="E1162" s="33">
        <v>27</v>
      </c>
      <c r="F1162" s="60">
        <v>4000</v>
      </c>
      <c r="G1162" s="60">
        <f>+OtherClients[[#This Row],[Boxes / Pieces]]*OtherClients[[#This Row],[Unit Quantity]]</f>
        <v>108000</v>
      </c>
      <c r="H1162" s="60" t="s">
        <v>871</v>
      </c>
      <c r="I1162" s="126" t="s">
        <v>278</v>
      </c>
      <c r="J1162" s="127"/>
      <c r="K1162" s="33" t="s">
        <v>278</v>
      </c>
      <c r="L1162" s="125"/>
      <c r="M1162" s="33" t="s">
        <v>278</v>
      </c>
      <c r="N1162" s="125"/>
      <c r="O1162" s="33" t="s">
        <v>278</v>
      </c>
      <c r="P1162" s="125"/>
      <c r="Q1162" s="33" t="s">
        <v>587</v>
      </c>
      <c r="R1162" s="125"/>
      <c r="S1162" s="33" t="s">
        <v>278</v>
      </c>
      <c r="T1162" s="125"/>
      <c r="U1162" s="33" t="s">
        <v>278</v>
      </c>
      <c r="V1162" s="125"/>
      <c r="W1162" s="59" t="s">
        <v>548</v>
      </c>
      <c r="X1162" s="33" t="str">
        <f>+VLOOKUP(OtherClients[[#This Row],[Part]],PartControl!$A$2:$E$564,5,FALSE)</f>
        <v>infasco</v>
      </c>
      <c r="Y1162" s="108">
        <f>IF(OtherClients[[#This Row],[Re-certified or New]]&lt;&gt;"Re-certified",IF(OtherClients[[#This Row],[Client]]="infasco",VLOOKUP(OtherClients[[#This Row],[Part]],PartControl!$A$2:$E$564,2,FALSE),OtherClients[[#This Row],[Total Quantity]]*VLOOKUP(OtherClients[[#This Row],[Part]],PartControl!$A$2:$E$564,2,FALSE)),0)</f>
        <v>135.07999999999998</v>
      </c>
      <c r="Z1162" s="108">
        <f>IF(OtherClients[[#This Row],[Re-certified or New]]&lt;&gt;"Re-certified",IF(OtherClients[[#This Row],[Client]]="infasco",VLOOKUP(OtherClients[[#This Row],[Part]],PartControl!$A$2:$E$564,2,FALSE),OtherClients[[#This Row],[Total Quantity]]*VLOOKUP(OtherClients[[#This Row],[Part]],PartControl!$A$2:$E$564,2,FALSE)),0)</f>
        <v>135.07999999999998</v>
      </c>
    </row>
    <row r="1163" spans="1:26" ht="25.15" hidden="1" customHeight="1" x14ac:dyDescent="0.25">
      <c r="A1163" s="112">
        <v>46252.688807870371</v>
      </c>
      <c r="B1163" s="5" t="s">
        <v>346</v>
      </c>
      <c r="C1163" s="5">
        <v>11546703</v>
      </c>
      <c r="D1163" s="5">
        <v>713854</v>
      </c>
      <c r="E1163" s="33">
        <v>32</v>
      </c>
      <c r="F1163" s="60">
        <v>4000</v>
      </c>
      <c r="G1163" s="60">
        <f>+OtherClients[[#This Row],[Boxes / Pieces]]*OtherClients[[#This Row],[Unit Quantity]]</f>
        <v>128000</v>
      </c>
      <c r="H1163" s="60" t="s">
        <v>871</v>
      </c>
      <c r="I1163" s="126" t="s">
        <v>278</v>
      </c>
      <c r="J1163" s="127"/>
      <c r="K1163" s="33" t="s">
        <v>278</v>
      </c>
      <c r="L1163" s="125"/>
      <c r="M1163" s="33" t="s">
        <v>278</v>
      </c>
      <c r="N1163" s="125"/>
      <c r="O1163" s="33" t="s">
        <v>278</v>
      </c>
      <c r="P1163" s="125"/>
      <c r="Q1163" s="33" t="s">
        <v>587</v>
      </c>
      <c r="R1163" s="125"/>
      <c r="S1163" s="33" t="s">
        <v>278</v>
      </c>
      <c r="T1163" s="125"/>
      <c r="U1163" s="33" t="s">
        <v>278</v>
      </c>
      <c r="V1163" s="125"/>
      <c r="W1163" s="59" t="s">
        <v>548</v>
      </c>
      <c r="X1163" s="33" t="str">
        <f>+VLOOKUP(OtherClients[[#This Row],[Part]],PartControl!$A$2:$E$564,5,FALSE)</f>
        <v>infasco</v>
      </c>
      <c r="Y1163" s="108">
        <f>IF(OtherClients[[#This Row],[Re-certified or New]]&lt;&gt;"Re-certified",IF(OtherClients[[#This Row],[Client]]="infasco",VLOOKUP(OtherClients[[#This Row],[Part]],PartControl!$A$2:$E$564,2,FALSE),OtherClients[[#This Row],[Total Quantity]]*VLOOKUP(OtherClients[[#This Row],[Part]],PartControl!$A$2:$E$564,2,FALSE)),0)</f>
        <v>135.07999999999998</v>
      </c>
      <c r="Z1163" s="108">
        <f>IF(OtherClients[[#This Row],[Re-certified or New]]&lt;&gt;"Re-certified",IF(OtherClients[[#This Row],[Client]]="infasco",VLOOKUP(OtherClients[[#This Row],[Part]],PartControl!$A$2:$E$564,2,FALSE),OtherClients[[#This Row],[Total Quantity]]*VLOOKUP(OtherClients[[#This Row],[Part]],PartControl!$A$2:$E$564,2,FALSE)),0)</f>
        <v>135.07999999999998</v>
      </c>
    </row>
    <row r="1164" spans="1:26" ht="25.15" hidden="1" customHeight="1" x14ac:dyDescent="0.25">
      <c r="A1164" s="112">
        <v>46252.688807870371</v>
      </c>
      <c r="B1164" s="5" t="s">
        <v>346</v>
      </c>
      <c r="C1164" s="5" t="s">
        <v>691</v>
      </c>
      <c r="D1164" s="5">
        <v>712207</v>
      </c>
      <c r="E1164" s="33">
        <v>33</v>
      </c>
      <c r="F1164" s="60">
        <v>1800</v>
      </c>
      <c r="G1164" s="60">
        <f>+OtherClients[[#This Row],[Boxes / Pieces]]*OtherClients[[#This Row],[Unit Quantity]]</f>
        <v>59400</v>
      </c>
      <c r="H1164" s="60" t="s">
        <v>871</v>
      </c>
      <c r="I1164" s="126" t="s">
        <v>278</v>
      </c>
      <c r="J1164" s="127"/>
      <c r="K1164" s="33" t="s">
        <v>278</v>
      </c>
      <c r="L1164" s="125"/>
      <c r="M1164" s="33" t="s">
        <v>278</v>
      </c>
      <c r="N1164" s="125"/>
      <c r="O1164" s="33" t="s">
        <v>278</v>
      </c>
      <c r="P1164" s="125"/>
      <c r="Q1164" s="33" t="s">
        <v>587</v>
      </c>
      <c r="R1164" s="125"/>
      <c r="S1164" s="33" t="s">
        <v>278</v>
      </c>
      <c r="T1164" s="125"/>
      <c r="U1164" s="33" t="s">
        <v>278</v>
      </c>
      <c r="V1164" s="125"/>
      <c r="W1164" s="59" t="s">
        <v>548</v>
      </c>
      <c r="X1164" s="33" t="str">
        <f>+VLOOKUP(OtherClients[[#This Row],[Part]],PartControl!$A$2:$E$564,5,FALSE)</f>
        <v>infasco</v>
      </c>
      <c r="Y1164" s="108">
        <f>IF(OtherClients[[#This Row],[Re-certified or New]]&lt;&gt;"Re-certified",IF(OtherClients[[#This Row],[Client]]="infasco",VLOOKUP(OtherClients[[#This Row],[Part]],PartControl!$A$2:$E$564,2,FALSE),OtherClients[[#This Row],[Total Quantity]]*VLOOKUP(OtherClients[[#This Row],[Part]],PartControl!$A$2:$E$564,2,FALSE)),0)</f>
        <v>106.94</v>
      </c>
      <c r="Z1164" s="108">
        <f>IF(OtherClients[[#This Row],[Re-certified or New]]&lt;&gt;"Re-certified",IF(OtherClients[[#This Row],[Client]]="infasco",VLOOKUP(OtherClients[[#This Row],[Part]],PartControl!$A$2:$E$564,2,FALSE),OtherClients[[#This Row],[Total Quantity]]*VLOOKUP(OtherClients[[#This Row],[Part]],PartControl!$A$2:$E$564,2,FALSE)),0)</f>
        <v>106.94</v>
      </c>
    </row>
    <row r="1165" spans="1:26" ht="25.15" hidden="1" customHeight="1" x14ac:dyDescent="0.25">
      <c r="A1165" s="112">
        <v>46252.688807870371</v>
      </c>
      <c r="B1165" s="5" t="s">
        <v>346</v>
      </c>
      <c r="C1165" s="5" t="s">
        <v>696</v>
      </c>
      <c r="D1165" s="5">
        <v>716772</v>
      </c>
      <c r="E1165" s="33">
        <v>10</v>
      </c>
      <c r="F1165" s="60">
        <v>360</v>
      </c>
      <c r="G1165" s="60">
        <f>+OtherClients[[#This Row],[Boxes / Pieces]]*OtherClients[[#This Row],[Unit Quantity]]</f>
        <v>3600</v>
      </c>
      <c r="H1165" s="60" t="s">
        <v>871</v>
      </c>
      <c r="I1165" s="126" t="s">
        <v>278</v>
      </c>
      <c r="J1165" s="127"/>
      <c r="K1165" s="33" t="s">
        <v>278</v>
      </c>
      <c r="L1165" s="125"/>
      <c r="M1165" s="33" t="s">
        <v>278</v>
      </c>
      <c r="N1165" s="125"/>
      <c r="O1165" s="33" t="s">
        <v>278</v>
      </c>
      <c r="P1165" s="125"/>
      <c r="Q1165" s="33" t="s">
        <v>587</v>
      </c>
      <c r="R1165" s="125"/>
      <c r="S1165" s="33" t="s">
        <v>278</v>
      </c>
      <c r="T1165" s="125"/>
      <c r="U1165" s="33" t="s">
        <v>278</v>
      </c>
      <c r="V1165" s="125"/>
      <c r="W1165" s="59" t="s">
        <v>633</v>
      </c>
      <c r="X1165" s="33" t="str">
        <f>+VLOOKUP(OtherClients[[#This Row],[Part]],PartControl!$A$2:$E$564,5,FALSE)</f>
        <v>infasco</v>
      </c>
      <c r="Y1165" s="108">
        <f>IF(OtherClients[[#This Row],[Re-certified or New]]&lt;&gt;"Re-certified",IF(OtherClients[[#This Row],[Client]]="infasco",VLOOKUP(OtherClients[[#This Row],[Part]],PartControl!$A$2:$E$564,2,FALSE),OtherClients[[#This Row],[Total Quantity]]*VLOOKUP(OtherClients[[#This Row],[Part]],PartControl!$A$2:$E$564,2,FALSE)),0)</f>
        <v>0</v>
      </c>
      <c r="Z1165" s="108">
        <f>IF(OtherClients[[#This Row],[Re-certified or New]]&lt;&gt;"Re-certified",IF(OtherClients[[#This Row],[Client]]="infasco",VLOOKUP(OtherClients[[#This Row],[Part]],PartControl!$A$2:$E$564,2,FALSE),OtherClients[[#This Row],[Total Quantity]]*VLOOKUP(OtherClients[[#This Row],[Part]],PartControl!$A$2:$E$564,2,FALSE)),0)</f>
        <v>0</v>
      </c>
    </row>
    <row r="1166" spans="1:26" ht="25.15" hidden="1" customHeight="1" x14ac:dyDescent="0.25">
      <c r="A1166" s="112">
        <v>46253.692604166667</v>
      </c>
      <c r="B1166" s="5" t="s">
        <v>232</v>
      </c>
      <c r="C1166" s="5">
        <v>11546449</v>
      </c>
      <c r="D1166" s="5">
        <v>716272</v>
      </c>
      <c r="E1166" s="33">
        <v>14</v>
      </c>
      <c r="F1166" s="60">
        <v>2500</v>
      </c>
      <c r="G1166" s="60">
        <v>35000</v>
      </c>
      <c r="H1166" s="60">
        <v>275</v>
      </c>
      <c r="I1166" s="126" t="s">
        <v>278</v>
      </c>
      <c r="J1166" s="127"/>
      <c r="K1166" s="33" t="s">
        <v>278</v>
      </c>
      <c r="L1166" s="125"/>
      <c r="M1166" s="33" t="s">
        <v>278</v>
      </c>
      <c r="N1166" s="125"/>
      <c r="O1166" s="33" t="s">
        <v>278</v>
      </c>
      <c r="P1166" s="125"/>
      <c r="Q1166" s="33" t="s">
        <v>587</v>
      </c>
      <c r="R1166" s="125"/>
      <c r="S1166" s="33" t="s">
        <v>278</v>
      </c>
      <c r="T1166" s="125"/>
      <c r="U1166" s="33" t="s">
        <v>278</v>
      </c>
      <c r="V1166" s="125"/>
      <c r="W1166" s="128" t="s">
        <v>548</v>
      </c>
      <c r="X1166" s="33" t="str">
        <f>+VLOOKUP(OtherClients[[#This Row],[Part]],PartControl!$A$2:$E$564,5,FALSE)</f>
        <v>INFASCO</v>
      </c>
      <c r="Y1166" s="108">
        <f>IF(OtherClients[[#This Row],[Re-certified or New]]&lt;&gt;"Re-certified",IF(OtherClients[[#This Row],[Client]]="infasco",VLOOKUP(OtherClients[[#This Row],[Part]],PartControl!$A$2:$E$564,2,FALSE),OtherClients[[#This Row],[Total Quantity]]*VLOOKUP(OtherClients[[#This Row],[Part]],PartControl!$A$2:$E$564,2,FALSE)),0)</f>
        <v>106.94</v>
      </c>
      <c r="Z1166" s="108">
        <f>IF(OtherClients[[#This Row],[Re-certified or New]]&lt;&gt;"Re-certified",IF(OtherClients[[#This Row],[Client]]="infasco",VLOOKUP(OtherClients[[#This Row],[Part]],PartControl!$A$2:$E$564,2,FALSE),OtherClients[[#This Row],[Total Quantity]]*VLOOKUP(OtherClients[[#This Row],[Part]],PartControl!$A$2:$E$564,2,FALSE)),0)</f>
        <v>106.94</v>
      </c>
    </row>
    <row r="1167" spans="1:26" ht="25.15" hidden="1" customHeight="1" x14ac:dyDescent="0.25">
      <c r="A1167" s="112">
        <v>46253.692604166667</v>
      </c>
      <c r="B1167" s="5" t="s">
        <v>232</v>
      </c>
      <c r="C1167" s="5">
        <v>11546449</v>
      </c>
      <c r="D1167" s="5">
        <v>716527</v>
      </c>
      <c r="E1167" s="33">
        <v>27</v>
      </c>
      <c r="F1167" s="60">
        <v>2500</v>
      </c>
      <c r="G1167" s="60">
        <f>+OtherClients[[#This Row],[Boxes / Pieces]]*OtherClients[[#This Row],[Unit Quantity]]</f>
        <v>67500</v>
      </c>
      <c r="H1167" s="60">
        <v>275</v>
      </c>
      <c r="I1167" s="126" t="s">
        <v>278</v>
      </c>
      <c r="J1167" s="127"/>
      <c r="K1167" s="33" t="s">
        <v>278</v>
      </c>
      <c r="L1167" s="125"/>
      <c r="M1167" s="33" t="s">
        <v>278</v>
      </c>
      <c r="N1167" s="125"/>
      <c r="O1167" s="33" t="s">
        <v>278</v>
      </c>
      <c r="P1167" s="125"/>
      <c r="Q1167" s="33" t="s">
        <v>587</v>
      </c>
      <c r="R1167" s="125"/>
      <c r="S1167" s="33" t="s">
        <v>278</v>
      </c>
      <c r="T1167" s="125"/>
      <c r="U1167" s="33" t="s">
        <v>278</v>
      </c>
      <c r="V1167" s="125"/>
      <c r="W1167" s="59" t="s">
        <v>633</v>
      </c>
      <c r="X1167" s="33" t="str">
        <f>+VLOOKUP(OtherClients[[#This Row],[Part]],PartControl!$A$2:$E$564,5,FALSE)</f>
        <v>INFASCO</v>
      </c>
      <c r="Y1167" s="108">
        <f>IF(OtherClients[[#This Row],[Re-certified or New]]&lt;&gt;"Re-certified",IF(OtherClients[[#This Row],[Client]]="infasco",VLOOKUP(OtherClients[[#This Row],[Part]],PartControl!$A$2:$E$564,2,FALSE),OtherClients[[#This Row],[Total Quantity]]*VLOOKUP(OtherClients[[#This Row],[Part]],PartControl!$A$2:$E$564,2,FALSE)),0)</f>
        <v>0</v>
      </c>
      <c r="Z1167" s="108">
        <f>IF(OtherClients[[#This Row],[Re-certified or New]]&lt;&gt;"Re-certified",IF(OtherClients[[#This Row],[Client]]="infasco",VLOOKUP(OtherClients[[#This Row],[Part]],PartControl!$A$2:$E$564,2,FALSE),OtherClients[[#This Row],[Total Quantity]]*VLOOKUP(OtherClients[[#This Row],[Part]],PartControl!$A$2:$E$564,2,FALSE)),0)</f>
        <v>0</v>
      </c>
    </row>
    <row r="1168" spans="1:26" ht="25.15" hidden="1" customHeight="1" x14ac:dyDescent="0.25">
      <c r="A1168" s="112">
        <v>46253.692604166667</v>
      </c>
      <c r="B1168" s="5" t="s">
        <v>238</v>
      </c>
      <c r="C1168" s="5" t="s">
        <v>705</v>
      </c>
      <c r="D1168" s="5">
        <v>715721</v>
      </c>
      <c r="E1168" s="33">
        <f>36-20</f>
        <v>16</v>
      </c>
      <c r="F1168" s="60">
        <v>450</v>
      </c>
      <c r="G1168" s="60">
        <f>+OtherClients[[#This Row],[Boxes / Pieces]]*OtherClients[[#This Row],[Unit Quantity]]</f>
        <v>7200</v>
      </c>
      <c r="H1168" s="60">
        <v>275</v>
      </c>
      <c r="I1168" s="126" t="s">
        <v>278</v>
      </c>
      <c r="J1168" s="127"/>
      <c r="K1168" s="33" t="s">
        <v>278</v>
      </c>
      <c r="L1168" s="125"/>
      <c r="M1168" s="33" t="s">
        <v>278</v>
      </c>
      <c r="N1168" s="125"/>
      <c r="O1168" s="33" t="s">
        <v>278</v>
      </c>
      <c r="P1168" s="125"/>
      <c r="Q1168" s="33" t="s">
        <v>587</v>
      </c>
      <c r="R1168" s="125"/>
      <c r="S1168" s="33" t="s">
        <v>278</v>
      </c>
      <c r="T1168" s="125"/>
      <c r="U1168" s="33" t="s">
        <v>278</v>
      </c>
      <c r="V1168" s="125"/>
      <c r="W1168" s="59" t="s">
        <v>548</v>
      </c>
      <c r="X1168" s="33" t="str">
        <f>+VLOOKUP(OtherClients[[#This Row],[Part]],PartControl!$A$2:$E$564,5,FALSE)</f>
        <v>infasco</v>
      </c>
      <c r="Y1168" s="108">
        <f>IF(OtherClients[[#This Row],[Re-certified or New]]&lt;&gt;"Re-certified",IF(OtherClients[[#This Row],[Client]]="infasco",VLOOKUP(OtherClients[[#This Row],[Part]],PartControl!$A$2:$E$564,2,FALSE),OtherClients[[#This Row],[Total Quantity]]*VLOOKUP(OtherClients[[#This Row],[Part]],PartControl!$A$2:$E$564,2,FALSE)),0)</f>
        <v>106.94</v>
      </c>
      <c r="Z1168" s="108">
        <f>IF(OtherClients[[#This Row],[Re-certified or New]]&lt;&gt;"Re-certified",IF(OtherClients[[#This Row],[Client]]="infasco",VLOOKUP(OtherClients[[#This Row],[Part]],PartControl!$A$2:$E$564,2,FALSE),OtherClients[[#This Row],[Total Quantity]]*VLOOKUP(OtherClients[[#This Row],[Part]],PartControl!$A$2:$E$564,2,FALSE)),0)</f>
        <v>106.94</v>
      </c>
    </row>
    <row r="1169" spans="1:26" ht="25.15" hidden="1" customHeight="1" x14ac:dyDescent="0.25">
      <c r="A1169" s="112">
        <v>46253.692604166667</v>
      </c>
      <c r="B1169" s="5" t="s">
        <v>238</v>
      </c>
      <c r="C1169" s="5" t="s">
        <v>705</v>
      </c>
      <c r="D1169" s="5">
        <v>714179</v>
      </c>
      <c r="E1169" s="33">
        <v>36</v>
      </c>
      <c r="F1169" s="60">
        <v>450</v>
      </c>
      <c r="G1169" s="60">
        <f>+OtherClients[[#This Row],[Boxes / Pieces]]*OtherClients[[#This Row],[Unit Quantity]]</f>
        <v>16200</v>
      </c>
      <c r="H1169" s="60">
        <v>275</v>
      </c>
      <c r="I1169" s="126" t="s">
        <v>278</v>
      </c>
      <c r="J1169" s="127"/>
      <c r="K1169" s="33" t="s">
        <v>278</v>
      </c>
      <c r="L1169" s="125"/>
      <c r="M1169" s="33" t="s">
        <v>278</v>
      </c>
      <c r="N1169" s="125"/>
      <c r="O1169" s="33" t="s">
        <v>278</v>
      </c>
      <c r="P1169" s="125"/>
      <c r="Q1169" s="33" t="s">
        <v>587</v>
      </c>
      <c r="R1169" s="125"/>
      <c r="S1169" s="33" t="s">
        <v>278</v>
      </c>
      <c r="T1169" s="125"/>
      <c r="U1169" s="33" t="s">
        <v>278</v>
      </c>
      <c r="V1169" s="125"/>
      <c r="W1169" s="59" t="s">
        <v>548</v>
      </c>
      <c r="X1169" s="33" t="str">
        <f>+VLOOKUP(OtherClients[[#This Row],[Part]],PartControl!$A$2:$E$564,5,FALSE)</f>
        <v>infasco</v>
      </c>
      <c r="Y1169" s="108">
        <f>IF(OtherClients[[#This Row],[Re-certified or New]]&lt;&gt;"Re-certified",IF(OtherClients[[#This Row],[Client]]="infasco",VLOOKUP(OtherClients[[#This Row],[Part]],PartControl!$A$2:$E$564,2,FALSE),OtherClients[[#This Row],[Total Quantity]]*VLOOKUP(OtherClients[[#This Row],[Part]],PartControl!$A$2:$E$564,2,FALSE)),0)</f>
        <v>106.94</v>
      </c>
      <c r="Z1169" s="108">
        <f>IF(OtherClients[[#This Row],[Re-certified or New]]&lt;&gt;"Re-certified",IF(OtherClients[[#This Row],[Client]]="infasco",VLOOKUP(OtherClients[[#This Row],[Part]],PartControl!$A$2:$E$564,2,FALSE),OtherClients[[#This Row],[Total Quantity]]*VLOOKUP(OtherClients[[#This Row],[Part]],PartControl!$A$2:$E$564,2,FALSE)),0)</f>
        <v>106.94</v>
      </c>
    </row>
    <row r="1170" spans="1:26" ht="25.15" hidden="1" customHeight="1" x14ac:dyDescent="0.25">
      <c r="A1170" s="112">
        <v>46253.692604166667</v>
      </c>
      <c r="B1170" s="5" t="s">
        <v>238</v>
      </c>
      <c r="C1170" s="5" t="s">
        <v>705</v>
      </c>
      <c r="D1170" s="5">
        <v>715718</v>
      </c>
      <c r="E1170" s="33">
        <v>30</v>
      </c>
      <c r="F1170" s="60">
        <v>450</v>
      </c>
      <c r="G1170" s="60">
        <f>+OtherClients[[#This Row],[Boxes / Pieces]]*OtherClients[[#This Row],[Unit Quantity]]</f>
        <v>13500</v>
      </c>
      <c r="H1170" s="60">
        <v>275</v>
      </c>
      <c r="I1170" s="126" t="s">
        <v>278</v>
      </c>
      <c r="J1170" s="127"/>
      <c r="K1170" s="33" t="s">
        <v>278</v>
      </c>
      <c r="L1170" s="125"/>
      <c r="M1170" s="33" t="s">
        <v>278</v>
      </c>
      <c r="N1170" s="125"/>
      <c r="O1170" s="33" t="s">
        <v>278</v>
      </c>
      <c r="P1170" s="125"/>
      <c r="Q1170" s="33" t="s">
        <v>587</v>
      </c>
      <c r="R1170" s="125"/>
      <c r="S1170" s="33" t="s">
        <v>278</v>
      </c>
      <c r="T1170" s="125"/>
      <c r="U1170" s="33" t="s">
        <v>278</v>
      </c>
      <c r="V1170" s="125"/>
      <c r="W1170" s="59" t="s">
        <v>633</v>
      </c>
      <c r="X1170" s="33" t="str">
        <f>+VLOOKUP(OtherClients[[#This Row],[Part]],PartControl!$A$2:$E$564,5,FALSE)</f>
        <v>infasco</v>
      </c>
      <c r="Y1170" s="108">
        <f>IF(OtherClients[[#This Row],[Re-certified or New]]&lt;&gt;"Re-certified",IF(OtherClients[[#This Row],[Client]]="infasco",VLOOKUP(OtherClients[[#This Row],[Part]],PartControl!$A$2:$E$564,2,FALSE),OtherClients[[#This Row],[Total Quantity]]*VLOOKUP(OtherClients[[#This Row],[Part]],PartControl!$A$2:$E$564,2,FALSE)),0)</f>
        <v>0</v>
      </c>
      <c r="Z1170" s="108">
        <f>IF(OtherClients[[#This Row],[Re-certified or New]]&lt;&gt;"Re-certified",IF(OtherClients[[#This Row],[Client]]="infasco",VLOOKUP(OtherClients[[#This Row],[Part]],PartControl!$A$2:$E$564,2,FALSE),OtherClients[[#This Row],[Total Quantity]]*VLOOKUP(OtherClients[[#This Row],[Part]],PartControl!$A$2:$E$564,2,FALSE)),0)</f>
        <v>0</v>
      </c>
    </row>
    <row r="1171" spans="1:26" ht="25.15" hidden="1" customHeight="1" x14ac:dyDescent="0.25">
      <c r="A1171" s="112">
        <v>46253.692604166667</v>
      </c>
      <c r="B1171" s="5" t="s">
        <v>233</v>
      </c>
      <c r="C1171" s="5" t="s">
        <v>663</v>
      </c>
      <c r="D1171" s="5">
        <v>714697</v>
      </c>
      <c r="E1171" s="33">
        <f>36+16-19</f>
        <v>33</v>
      </c>
      <c r="F1171" s="60">
        <v>3000</v>
      </c>
      <c r="G1171" s="60">
        <f>+OtherClients[[#This Row],[Boxes / Pieces]]*OtherClients[[#This Row],[Unit Quantity]]</f>
        <v>99000</v>
      </c>
      <c r="H1171" s="60">
        <v>275</v>
      </c>
      <c r="I1171" s="126" t="s">
        <v>278</v>
      </c>
      <c r="J1171" s="127"/>
      <c r="K1171" s="33" t="s">
        <v>278</v>
      </c>
      <c r="L1171" s="125"/>
      <c r="M1171" s="33" t="s">
        <v>278</v>
      </c>
      <c r="N1171" s="125"/>
      <c r="O1171" s="33" t="s">
        <v>278</v>
      </c>
      <c r="P1171" s="125"/>
      <c r="Q1171" s="33" t="s">
        <v>587</v>
      </c>
      <c r="R1171" s="125"/>
      <c r="S1171" s="33" t="s">
        <v>278</v>
      </c>
      <c r="T1171" s="125"/>
      <c r="U1171" s="33" t="s">
        <v>278</v>
      </c>
      <c r="V1171" s="125"/>
      <c r="W1171" s="59" t="s">
        <v>548</v>
      </c>
      <c r="X1171" s="33" t="str">
        <f>+VLOOKUP(OtherClients[[#This Row],[Part]],PartControl!$A$2:$E$564,5,FALSE)</f>
        <v>infasco</v>
      </c>
      <c r="Y1171" s="108">
        <f>IF(OtherClients[[#This Row],[Re-certified or New]]&lt;&gt;"Re-certified",IF(OtherClients[[#This Row],[Client]]="infasco",VLOOKUP(OtherClients[[#This Row],[Part]],PartControl!$A$2:$E$564,2,FALSE),OtherClients[[#This Row],[Total Quantity]]*VLOOKUP(OtherClients[[#This Row],[Part]],PartControl!$A$2:$E$564,2,FALSE)),0)</f>
        <v>106.94</v>
      </c>
      <c r="Z1171" s="108">
        <f>IF(OtherClients[[#This Row],[Re-certified or New]]&lt;&gt;"Re-certified",IF(OtherClients[[#This Row],[Client]]="infasco",VLOOKUP(OtherClients[[#This Row],[Part]],PartControl!$A$2:$E$564,2,FALSE),OtherClients[[#This Row],[Total Quantity]]*VLOOKUP(OtherClients[[#This Row],[Part]],PartControl!$A$2:$E$564,2,FALSE)),0)</f>
        <v>106.94</v>
      </c>
    </row>
    <row r="1172" spans="1:26" ht="25.15" hidden="1" customHeight="1" x14ac:dyDescent="0.25">
      <c r="A1172" s="112">
        <v>46253.692604166667</v>
      </c>
      <c r="B1172" s="5" t="s">
        <v>233</v>
      </c>
      <c r="C1172" s="5" t="s">
        <v>663</v>
      </c>
      <c r="D1172" s="5">
        <v>714692</v>
      </c>
      <c r="E1172" s="33">
        <v>5</v>
      </c>
      <c r="F1172" s="60">
        <v>3000</v>
      </c>
      <c r="G1172" s="60">
        <f>+OtherClients[[#This Row],[Boxes / Pieces]]*OtherClients[[#This Row],[Unit Quantity]]</f>
        <v>15000</v>
      </c>
      <c r="H1172" s="60">
        <v>275</v>
      </c>
      <c r="I1172" s="126" t="s">
        <v>278</v>
      </c>
      <c r="J1172" s="127"/>
      <c r="K1172" s="33" t="s">
        <v>278</v>
      </c>
      <c r="L1172" s="125"/>
      <c r="M1172" s="33" t="s">
        <v>278</v>
      </c>
      <c r="N1172" s="125"/>
      <c r="O1172" s="33" t="s">
        <v>278</v>
      </c>
      <c r="P1172" s="125"/>
      <c r="Q1172" s="33" t="s">
        <v>587</v>
      </c>
      <c r="R1172" s="125"/>
      <c r="S1172" s="33" t="s">
        <v>278</v>
      </c>
      <c r="T1172" s="125"/>
      <c r="U1172" s="33" t="s">
        <v>278</v>
      </c>
      <c r="V1172" s="125"/>
      <c r="W1172" s="59" t="s">
        <v>633</v>
      </c>
      <c r="X1172" s="33" t="str">
        <f>+VLOOKUP(OtherClients[[#This Row],[Part]],PartControl!$A$2:$E$564,5,FALSE)</f>
        <v>infasco</v>
      </c>
      <c r="Y1172" s="108">
        <f>IF(OtherClients[[#This Row],[Re-certified or New]]&lt;&gt;"Re-certified",IF(OtherClients[[#This Row],[Client]]="infasco",VLOOKUP(OtherClients[[#This Row],[Part]],PartControl!$A$2:$E$564,2,FALSE),OtherClients[[#This Row],[Total Quantity]]*VLOOKUP(OtherClients[[#This Row],[Part]],PartControl!$A$2:$E$564,2,FALSE)),0)</f>
        <v>0</v>
      </c>
      <c r="Z1172" s="108">
        <f>IF(OtherClients[[#This Row],[Re-certified or New]]&lt;&gt;"Re-certified",IF(OtherClients[[#This Row],[Client]]="infasco",VLOOKUP(OtherClients[[#This Row],[Part]],PartControl!$A$2:$E$564,2,FALSE),OtherClients[[#This Row],[Total Quantity]]*VLOOKUP(OtherClients[[#This Row],[Part]],PartControl!$A$2:$E$564,2,FALSE)),0)</f>
        <v>0</v>
      </c>
    </row>
    <row r="1173" spans="1:26" ht="25.15" hidden="1" customHeight="1" x14ac:dyDescent="0.25">
      <c r="A1173" s="112">
        <v>46253.692604166667</v>
      </c>
      <c r="B1173" s="5" t="s">
        <v>234</v>
      </c>
      <c r="C1173" s="5">
        <v>11546449</v>
      </c>
      <c r="D1173" s="5">
        <v>716275</v>
      </c>
      <c r="E1173" s="33">
        <f>36-14</f>
        <v>22</v>
      </c>
      <c r="F1173" s="60">
        <v>2500</v>
      </c>
      <c r="G1173" s="60">
        <f>+OtherClients[[#This Row],[Boxes / Pieces]]*OtherClients[[#This Row],[Unit Quantity]]</f>
        <v>55000</v>
      </c>
      <c r="H1173" s="60">
        <v>275</v>
      </c>
      <c r="I1173" s="126" t="s">
        <v>278</v>
      </c>
      <c r="J1173" s="127"/>
      <c r="K1173" s="33" t="s">
        <v>278</v>
      </c>
      <c r="L1173" s="125"/>
      <c r="M1173" s="33" t="s">
        <v>278</v>
      </c>
      <c r="N1173" s="125"/>
      <c r="O1173" s="33" t="s">
        <v>278</v>
      </c>
      <c r="P1173" s="125"/>
      <c r="Q1173" s="33" t="s">
        <v>587</v>
      </c>
      <c r="R1173" s="125"/>
      <c r="S1173" s="33" t="s">
        <v>278</v>
      </c>
      <c r="T1173" s="125"/>
      <c r="U1173" s="33" t="s">
        <v>278</v>
      </c>
      <c r="V1173" s="125"/>
      <c r="W1173" s="59" t="s">
        <v>548</v>
      </c>
      <c r="X1173" s="33" t="str">
        <f>+VLOOKUP(OtherClients[[#This Row],[Part]],PartControl!$A$2:$E$564,5,FALSE)</f>
        <v>INFASCO</v>
      </c>
      <c r="Y1173" s="108">
        <f>IF(OtherClients[[#This Row],[Re-certified or New]]&lt;&gt;"Re-certified",IF(OtherClients[[#This Row],[Client]]="infasco",VLOOKUP(OtherClients[[#This Row],[Part]],PartControl!$A$2:$E$564,2,FALSE),OtherClients[[#This Row],[Total Quantity]]*VLOOKUP(OtherClients[[#This Row],[Part]],PartControl!$A$2:$E$564,2,FALSE)),0)</f>
        <v>106.94</v>
      </c>
      <c r="Z1173" s="108">
        <f>IF(OtherClients[[#This Row],[Re-certified or New]]&lt;&gt;"Re-certified",IF(OtherClients[[#This Row],[Client]]="infasco",VLOOKUP(OtherClients[[#This Row],[Part]],PartControl!$A$2:$E$564,2,FALSE),OtherClients[[#This Row],[Total Quantity]]*VLOOKUP(OtherClients[[#This Row],[Part]],PartControl!$A$2:$E$564,2,FALSE)),0)</f>
        <v>106.94</v>
      </c>
    </row>
    <row r="1174" spans="1:26" ht="25.15" hidden="1" customHeight="1" x14ac:dyDescent="0.25">
      <c r="A1174" s="112">
        <v>46253.692604166667</v>
      </c>
      <c r="B1174" s="5" t="s">
        <v>234</v>
      </c>
      <c r="C1174" s="5">
        <v>11546449</v>
      </c>
      <c r="D1174" s="5">
        <v>716528</v>
      </c>
      <c r="E1174" s="33">
        <v>9</v>
      </c>
      <c r="F1174" s="60">
        <v>2500</v>
      </c>
      <c r="G1174" s="60">
        <f>+OtherClients[[#This Row],[Boxes / Pieces]]*OtherClients[[#This Row],[Unit Quantity]]</f>
        <v>22500</v>
      </c>
      <c r="H1174" s="60">
        <v>275</v>
      </c>
      <c r="I1174" s="126" t="s">
        <v>278</v>
      </c>
      <c r="J1174" s="127"/>
      <c r="K1174" s="33" t="s">
        <v>278</v>
      </c>
      <c r="L1174" s="125"/>
      <c r="M1174" s="33" t="s">
        <v>278</v>
      </c>
      <c r="N1174" s="125"/>
      <c r="O1174" s="33" t="s">
        <v>278</v>
      </c>
      <c r="P1174" s="125"/>
      <c r="Q1174" s="33" t="s">
        <v>587</v>
      </c>
      <c r="R1174" s="125"/>
      <c r="S1174" s="33" t="s">
        <v>278</v>
      </c>
      <c r="T1174" s="125"/>
      <c r="U1174" s="33" t="s">
        <v>278</v>
      </c>
      <c r="V1174" s="125"/>
      <c r="W1174" s="59" t="s">
        <v>633</v>
      </c>
      <c r="X1174" s="33" t="str">
        <f>+VLOOKUP(OtherClients[[#This Row],[Part]],PartControl!$A$2:$E$564,5,FALSE)</f>
        <v>INFASCO</v>
      </c>
      <c r="Y1174" s="108">
        <f>IF(OtherClients[[#This Row],[Re-certified or New]]&lt;&gt;"Re-certified",IF(OtherClients[[#This Row],[Client]]="infasco",VLOOKUP(OtherClients[[#This Row],[Part]],PartControl!$A$2:$E$564,2,FALSE),OtherClients[[#This Row],[Total Quantity]]*VLOOKUP(OtherClients[[#This Row],[Part]],PartControl!$A$2:$E$564,2,FALSE)),0)</f>
        <v>0</v>
      </c>
      <c r="Z1174" s="108">
        <f>IF(OtherClients[[#This Row],[Re-certified or New]]&lt;&gt;"Re-certified",IF(OtherClients[[#This Row],[Client]]="infasco",VLOOKUP(OtherClients[[#This Row],[Part]],PartControl!$A$2:$E$564,2,FALSE),OtherClients[[#This Row],[Total Quantity]]*VLOOKUP(OtherClients[[#This Row],[Part]],PartControl!$A$2:$E$564,2,FALSE)),0)</f>
        <v>0</v>
      </c>
    </row>
    <row r="1175" spans="1:26" ht="25.15" hidden="1" customHeight="1" x14ac:dyDescent="0.25">
      <c r="A1175" s="112">
        <v>46253.692604166667</v>
      </c>
      <c r="B1175" s="5" t="s">
        <v>863</v>
      </c>
      <c r="C1175" s="5">
        <v>11547176</v>
      </c>
      <c r="D1175" s="5">
        <v>716682</v>
      </c>
      <c r="E1175" s="33">
        <f>36-20</f>
        <v>16</v>
      </c>
      <c r="F1175" s="60">
        <v>850</v>
      </c>
      <c r="G1175" s="60">
        <f>+OtherClients[[#This Row],[Boxes / Pieces]]*OtherClients[[#This Row],[Unit Quantity]]</f>
        <v>13600</v>
      </c>
      <c r="H1175" s="60">
        <v>275</v>
      </c>
      <c r="I1175" s="126" t="s">
        <v>278</v>
      </c>
      <c r="J1175" s="127"/>
      <c r="K1175" s="33" t="s">
        <v>278</v>
      </c>
      <c r="L1175" s="125"/>
      <c r="M1175" s="33" t="s">
        <v>278</v>
      </c>
      <c r="N1175" s="125"/>
      <c r="O1175" s="33" t="s">
        <v>278</v>
      </c>
      <c r="P1175" s="125"/>
      <c r="Q1175" s="33" t="s">
        <v>587</v>
      </c>
      <c r="R1175" s="125"/>
      <c r="S1175" s="33" t="s">
        <v>278</v>
      </c>
      <c r="T1175" s="125"/>
      <c r="U1175" s="33" t="s">
        <v>278</v>
      </c>
      <c r="V1175" s="125"/>
      <c r="W1175" s="59" t="s">
        <v>548</v>
      </c>
      <c r="X1175" s="33" t="str">
        <f>+VLOOKUP(OtherClients[[#This Row],[Part]],PartControl!$A$2:$E$564,5,FALSE)</f>
        <v>INFASCO</v>
      </c>
      <c r="Y1175" s="108">
        <f>IF(OtherClients[[#This Row],[Re-certified or New]]&lt;&gt;"Re-certified",IF(OtherClients[[#This Row],[Client]]="infasco",VLOOKUP(OtherClients[[#This Row],[Part]],PartControl!$A$2:$E$564,2,FALSE),OtherClients[[#This Row],[Total Quantity]]*VLOOKUP(OtherClients[[#This Row],[Part]],PartControl!$A$2:$E$564,2,FALSE)),0)</f>
        <v>280.15999999999997</v>
      </c>
      <c r="Z1175" s="108">
        <f>IF(OtherClients[[#This Row],[Re-certified or New]]&lt;&gt;"Re-certified",IF(OtherClients[[#This Row],[Client]]="infasco",VLOOKUP(OtherClients[[#This Row],[Part]],PartControl!$A$2:$E$564,2,FALSE),OtherClients[[#This Row],[Total Quantity]]*VLOOKUP(OtherClients[[#This Row],[Part]],PartControl!$A$2:$E$564,2,FALSE)),0)</f>
        <v>280.15999999999997</v>
      </c>
    </row>
    <row r="1176" spans="1:26" ht="25.15" hidden="1" customHeight="1" x14ac:dyDescent="0.25">
      <c r="A1176" s="112">
        <v>46253.692604166667</v>
      </c>
      <c r="B1176" s="5" t="s">
        <v>863</v>
      </c>
      <c r="C1176" s="5">
        <v>11547176</v>
      </c>
      <c r="D1176" s="5">
        <v>716681</v>
      </c>
      <c r="E1176" s="33">
        <v>14</v>
      </c>
      <c r="F1176" s="60">
        <v>850</v>
      </c>
      <c r="G1176" s="60">
        <f>+OtherClients[[#This Row],[Boxes / Pieces]]*OtherClients[[#This Row],[Unit Quantity]]</f>
        <v>11900</v>
      </c>
      <c r="H1176" s="60">
        <v>275</v>
      </c>
      <c r="I1176" s="126" t="s">
        <v>278</v>
      </c>
      <c r="J1176" s="127"/>
      <c r="K1176" s="33" t="s">
        <v>278</v>
      </c>
      <c r="L1176" s="125"/>
      <c r="M1176" s="33" t="s">
        <v>278</v>
      </c>
      <c r="N1176" s="125"/>
      <c r="O1176" s="33" t="s">
        <v>278</v>
      </c>
      <c r="P1176" s="125"/>
      <c r="Q1176" s="33" t="s">
        <v>587</v>
      </c>
      <c r="R1176" s="125"/>
      <c r="S1176" s="33" t="s">
        <v>278</v>
      </c>
      <c r="T1176" s="125"/>
      <c r="U1176" s="33" t="s">
        <v>278</v>
      </c>
      <c r="V1176" s="125"/>
      <c r="W1176" s="59" t="s">
        <v>633</v>
      </c>
      <c r="X1176" s="33" t="str">
        <f>+VLOOKUP(OtherClients[[#This Row],[Part]],PartControl!$A$2:$E$564,5,FALSE)</f>
        <v>INFASCO</v>
      </c>
      <c r="Y1176" s="108">
        <f>IF(OtherClients[[#This Row],[Re-certified or New]]&lt;&gt;"Re-certified",IF(OtherClients[[#This Row],[Client]]="infasco",VLOOKUP(OtherClients[[#This Row],[Part]],PartControl!$A$2:$E$564,2,FALSE),OtherClients[[#This Row],[Total Quantity]]*VLOOKUP(OtherClients[[#This Row],[Part]],PartControl!$A$2:$E$564,2,FALSE)),0)</f>
        <v>0</v>
      </c>
      <c r="Z1176" s="108">
        <f>IF(OtherClients[[#This Row],[Re-certified or New]]&lt;&gt;"Re-certified",IF(OtherClients[[#This Row],[Client]]="infasco",VLOOKUP(OtherClients[[#This Row],[Part]],PartControl!$A$2:$E$564,2,FALSE),OtherClients[[#This Row],[Total Quantity]]*VLOOKUP(OtherClients[[#This Row],[Part]],PartControl!$A$2:$E$564,2,FALSE)),0)</f>
        <v>0</v>
      </c>
    </row>
    <row r="1177" spans="1:26" ht="25.15" hidden="1" customHeight="1" x14ac:dyDescent="0.25">
      <c r="A1177" s="112">
        <v>46253.692604166667</v>
      </c>
      <c r="B1177" s="5" t="s">
        <v>242</v>
      </c>
      <c r="C1177" s="5" t="s">
        <v>705</v>
      </c>
      <c r="D1177" s="5">
        <v>715720</v>
      </c>
      <c r="E1177" s="33">
        <v>27</v>
      </c>
      <c r="F1177" s="60">
        <v>450</v>
      </c>
      <c r="G1177" s="60">
        <f>+OtherClients[[#This Row],[Boxes / Pieces]]*OtherClients[[#This Row],[Unit Quantity]]</f>
        <v>12150</v>
      </c>
      <c r="H1177" s="60">
        <v>275</v>
      </c>
      <c r="I1177" s="126" t="s">
        <v>278</v>
      </c>
      <c r="J1177" s="127"/>
      <c r="K1177" s="33" t="s">
        <v>278</v>
      </c>
      <c r="L1177" s="125"/>
      <c r="M1177" s="33" t="s">
        <v>278</v>
      </c>
      <c r="N1177" s="125"/>
      <c r="O1177" s="33" t="s">
        <v>278</v>
      </c>
      <c r="P1177" s="125"/>
      <c r="Q1177" s="33" t="s">
        <v>587</v>
      </c>
      <c r="R1177" s="125"/>
      <c r="S1177" s="33" t="s">
        <v>278</v>
      </c>
      <c r="T1177" s="125"/>
      <c r="U1177" s="33" t="s">
        <v>278</v>
      </c>
      <c r="V1177" s="125"/>
      <c r="W1177" s="59" t="s">
        <v>548</v>
      </c>
      <c r="X1177" s="33" t="str">
        <f>+VLOOKUP(OtherClients[[#This Row],[Part]],PartControl!$A$2:$E$564,5,FALSE)</f>
        <v>infasco</v>
      </c>
      <c r="Y1177" s="108">
        <f>IF(OtherClients[[#This Row],[Re-certified or New]]&lt;&gt;"Re-certified",IF(OtherClients[[#This Row],[Client]]="infasco",VLOOKUP(OtherClients[[#This Row],[Part]],PartControl!$A$2:$E$564,2,FALSE),OtherClients[[#This Row],[Total Quantity]]*VLOOKUP(OtherClients[[#This Row],[Part]],PartControl!$A$2:$E$564,2,FALSE)),0)</f>
        <v>106.94</v>
      </c>
      <c r="Z1177" s="108">
        <f>IF(OtherClients[[#This Row],[Re-certified or New]]&lt;&gt;"Re-certified",IF(OtherClients[[#This Row],[Client]]="infasco",VLOOKUP(OtherClients[[#This Row],[Part]],PartControl!$A$2:$E$564,2,FALSE),OtherClients[[#This Row],[Total Quantity]]*VLOOKUP(OtherClients[[#This Row],[Part]],PartControl!$A$2:$E$564,2,FALSE)),0)</f>
        <v>106.94</v>
      </c>
    </row>
    <row r="1178" spans="1:26" ht="25.15" hidden="1" customHeight="1" x14ac:dyDescent="0.25">
      <c r="A1178" s="112">
        <v>46253.692604166667</v>
      </c>
      <c r="B1178" s="5" t="s">
        <v>242</v>
      </c>
      <c r="C1178" s="5" t="s">
        <v>705</v>
      </c>
      <c r="D1178" s="5">
        <v>715716</v>
      </c>
      <c r="E1178" s="33">
        <v>36</v>
      </c>
      <c r="F1178" s="60">
        <v>450</v>
      </c>
      <c r="G1178" s="60">
        <f>+OtherClients[[#This Row],[Boxes / Pieces]]*OtherClients[[#This Row],[Unit Quantity]]</f>
        <v>16200</v>
      </c>
      <c r="H1178" s="60">
        <v>275</v>
      </c>
      <c r="I1178" s="126" t="s">
        <v>278</v>
      </c>
      <c r="J1178" s="127"/>
      <c r="K1178" s="33" t="s">
        <v>278</v>
      </c>
      <c r="L1178" s="125"/>
      <c r="M1178" s="33" t="s">
        <v>278</v>
      </c>
      <c r="N1178" s="125"/>
      <c r="O1178" s="33" t="s">
        <v>278</v>
      </c>
      <c r="P1178" s="125"/>
      <c r="Q1178" s="33" t="s">
        <v>587</v>
      </c>
      <c r="R1178" s="125"/>
      <c r="S1178" s="33" t="s">
        <v>278</v>
      </c>
      <c r="T1178" s="125"/>
      <c r="U1178" s="33" t="s">
        <v>278</v>
      </c>
      <c r="V1178" s="125"/>
      <c r="W1178" s="59" t="s">
        <v>548</v>
      </c>
      <c r="X1178" s="33" t="str">
        <f>+VLOOKUP(OtherClients[[#This Row],[Part]],PartControl!$A$2:$E$564,5,FALSE)</f>
        <v>infasco</v>
      </c>
      <c r="Y1178" s="108">
        <f>IF(OtherClients[[#This Row],[Re-certified or New]]&lt;&gt;"Re-certified",IF(OtherClients[[#This Row],[Client]]="infasco",VLOOKUP(OtherClients[[#This Row],[Part]],PartControl!$A$2:$E$564,2,FALSE),OtherClients[[#This Row],[Total Quantity]]*VLOOKUP(OtherClients[[#This Row],[Part]],PartControl!$A$2:$E$564,2,FALSE)),0)</f>
        <v>106.94</v>
      </c>
      <c r="Z1178" s="108">
        <f>IF(OtherClients[[#This Row],[Re-certified or New]]&lt;&gt;"Re-certified",IF(OtherClients[[#This Row],[Client]]="infasco",VLOOKUP(OtherClients[[#This Row],[Part]],PartControl!$A$2:$E$564,2,FALSE),OtherClients[[#This Row],[Total Quantity]]*VLOOKUP(OtherClients[[#This Row],[Part]],PartControl!$A$2:$E$564,2,FALSE)),0)</f>
        <v>106.94</v>
      </c>
    </row>
    <row r="1179" spans="1:26" ht="25.15" hidden="1" customHeight="1" x14ac:dyDescent="0.25">
      <c r="A1179" s="112">
        <v>46253.692604166667</v>
      </c>
      <c r="B1179" s="5" t="s">
        <v>242</v>
      </c>
      <c r="C1179" s="5" t="s">
        <v>705</v>
      </c>
      <c r="D1179" s="5">
        <v>714180</v>
      </c>
      <c r="E1179" s="33">
        <v>15</v>
      </c>
      <c r="F1179" s="60">
        <v>450</v>
      </c>
      <c r="G1179" s="60">
        <f>+OtherClients[[#This Row],[Boxes / Pieces]]*OtherClients[[#This Row],[Unit Quantity]]</f>
        <v>6750</v>
      </c>
      <c r="H1179" s="60">
        <v>275</v>
      </c>
      <c r="I1179" s="126" t="s">
        <v>278</v>
      </c>
      <c r="J1179" s="127"/>
      <c r="K1179" s="33" t="s">
        <v>278</v>
      </c>
      <c r="L1179" s="125"/>
      <c r="M1179" s="33" t="s">
        <v>278</v>
      </c>
      <c r="N1179" s="125"/>
      <c r="O1179" s="33" t="s">
        <v>278</v>
      </c>
      <c r="P1179" s="125"/>
      <c r="Q1179" s="33" t="s">
        <v>587</v>
      </c>
      <c r="R1179" s="125"/>
      <c r="S1179" s="33" t="s">
        <v>278</v>
      </c>
      <c r="T1179" s="125"/>
      <c r="U1179" s="33" t="s">
        <v>278</v>
      </c>
      <c r="V1179" s="125"/>
      <c r="W1179" s="59" t="s">
        <v>633</v>
      </c>
      <c r="X1179" s="33" t="str">
        <f>+VLOOKUP(OtherClients[[#This Row],[Part]],PartControl!$A$2:$E$564,5,FALSE)</f>
        <v>infasco</v>
      </c>
      <c r="Y1179" s="108">
        <f>IF(OtherClients[[#This Row],[Re-certified or New]]&lt;&gt;"Re-certified",IF(OtherClients[[#This Row],[Client]]="infasco",VLOOKUP(OtherClients[[#This Row],[Part]],PartControl!$A$2:$E$564,2,FALSE),OtherClients[[#This Row],[Total Quantity]]*VLOOKUP(OtherClients[[#This Row],[Part]],PartControl!$A$2:$E$564,2,FALSE)),0)</f>
        <v>0</v>
      </c>
      <c r="Z1179" s="108">
        <f>IF(OtherClients[[#This Row],[Re-certified or New]]&lt;&gt;"Re-certified",IF(OtherClients[[#This Row],[Client]]="infasco",VLOOKUP(OtherClients[[#This Row],[Part]],PartControl!$A$2:$E$564,2,FALSE),OtherClients[[#This Row],[Total Quantity]]*VLOOKUP(OtherClients[[#This Row],[Part]],PartControl!$A$2:$E$564,2,FALSE)),0)</f>
        <v>0</v>
      </c>
    </row>
    <row r="1180" spans="1:26" ht="25.15" hidden="1" customHeight="1" x14ac:dyDescent="0.25">
      <c r="A1180" s="112">
        <v>46253.692604166667</v>
      </c>
      <c r="B1180" s="5" t="s">
        <v>252</v>
      </c>
      <c r="C1180" s="5" t="s">
        <v>706</v>
      </c>
      <c r="D1180" s="5">
        <v>714540</v>
      </c>
      <c r="E1180" s="33">
        <f>36-23</f>
        <v>13</v>
      </c>
      <c r="F1180" s="60">
        <v>1900</v>
      </c>
      <c r="G1180" s="60">
        <f>+OtherClients[[#This Row],[Boxes / Pieces]]*OtherClients[[#This Row],[Unit Quantity]]</f>
        <v>24700</v>
      </c>
      <c r="H1180" s="60">
        <v>275</v>
      </c>
      <c r="I1180" s="126" t="s">
        <v>278</v>
      </c>
      <c r="J1180" s="127"/>
      <c r="K1180" s="33" t="s">
        <v>278</v>
      </c>
      <c r="L1180" s="125"/>
      <c r="M1180" s="33" t="s">
        <v>278</v>
      </c>
      <c r="N1180" s="125"/>
      <c r="O1180" s="33" t="s">
        <v>278</v>
      </c>
      <c r="P1180" s="125"/>
      <c r="Q1180" s="33" t="s">
        <v>587</v>
      </c>
      <c r="R1180" s="125"/>
      <c r="S1180" s="33" t="s">
        <v>278</v>
      </c>
      <c r="T1180" s="125"/>
      <c r="U1180" s="33" t="s">
        <v>278</v>
      </c>
      <c r="V1180" s="125"/>
      <c r="W1180" s="59" t="s">
        <v>548</v>
      </c>
      <c r="X1180" s="33" t="str">
        <f>+VLOOKUP(OtherClients[[#This Row],[Part]],PartControl!$A$2:$E$564,5,FALSE)</f>
        <v>infasco</v>
      </c>
      <c r="Y1180" s="108">
        <f>IF(OtherClients[[#This Row],[Re-certified or New]]&lt;&gt;"Re-certified",IF(OtherClients[[#This Row],[Client]]="infasco",VLOOKUP(OtherClients[[#This Row],[Part]],PartControl!$A$2:$E$564,2,FALSE),OtherClients[[#This Row],[Total Quantity]]*VLOOKUP(OtherClients[[#This Row],[Part]],PartControl!$A$2:$E$564,2,FALSE)),0)</f>
        <v>106.94</v>
      </c>
      <c r="Z1180" s="108">
        <f>IF(OtherClients[[#This Row],[Re-certified or New]]&lt;&gt;"Re-certified",IF(OtherClients[[#This Row],[Client]]="infasco",VLOOKUP(OtherClients[[#This Row],[Part]],PartControl!$A$2:$E$564,2,FALSE),OtherClients[[#This Row],[Total Quantity]]*VLOOKUP(OtherClients[[#This Row],[Part]],PartControl!$A$2:$E$564,2,FALSE)),0)</f>
        <v>106.94</v>
      </c>
    </row>
    <row r="1181" spans="1:26" ht="25.15" hidden="1" customHeight="1" x14ac:dyDescent="0.25">
      <c r="A1181" s="112">
        <v>46253.692604166667</v>
      </c>
      <c r="B1181" s="5" t="s">
        <v>252</v>
      </c>
      <c r="C1181" s="5" t="s">
        <v>706</v>
      </c>
      <c r="D1181" s="5">
        <v>714538</v>
      </c>
      <c r="E1181" s="33">
        <v>30</v>
      </c>
      <c r="F1181" s="60">
        <v>1900</v>
      </c>
      <c r="G1181" s="60">
        <f>+OtherClients[[#This Row],[Boxes / Pieces]]*OtherClients[[#This Row],[Unit Quantity]]</f>
        <v>57000</v>
      </c>
      <c r="H1181" s="60">
        <v>275</v>
      </c>
      <c r="I1181" s="126" t="s">
        <v>278</v>
      </c>
      <c r="J1181" s="127"/>
      <c r="K1181" s="33" t="s">
        <v>278</v>
      </c>
      <c r="L1181" s="125"/>
      <c r="M1181" s="33" t="s">
        <v>278</v>
      </c>
      <c r="N1181" s="125"/>
      <c r="O1181" s="33" t="s">
        <v>278</v>
      </c>
      <c r="P1181" s="125"/>
      <c r="Q1181" s="33" t="s">
        <v>587</v>
      </c>
      <c r="R1181" s="125"/>
      <c r="S1181" s="33" t="s">
        <v>278</v>
      </c>
      <c r="T1181" s="125"/>
      <c r="U1181" s="33" t="s">
        <v>278</v>
      </c>
      <c r="V1181" s="125"/>
      <c r="W1181" s="59" t="s">
        <v>633</v>
      </c>
      <c r="X1181" s="33" t="str">
        <f>+VLOOKUP(OtherClients[[#This Row],[Part]],PartControl!$A$2:$E$564,5,FALSE)</f>
        <v>infasco</v>
      </c>
      <c r="Y1181" s="108">
        <f>IF(OtherClients[[#This Row],[Re-certified or New]]&lt;&gt;"Re-certified",IF(OtherClients[[#This Row],[Client]]="infasco",VLOOKUP(OtherClients[[#This Row],[Part]],PartControl!$A$2:$E$564,2,FALSE),OtherClients[[#This Row],[Total Quantity]]*VLOOKUP(OtherClients[[#This Row],[Part]],PartControl!$A$2:$E$564,2,FALSE)),0)</f>
        <v>0</v>
      </c>
      <c r="Z1181" s="108">
        <f>IF(OtherClients[[#This Row],[Re-certified or New]]&lt;&gt;"Re-certified",IF(OtherClients[[#This Row],[Client]]="infasco",VLOOKUP(OtherClients[[#This Row],[Part]],PartControl!$A$2:$E$564,2,FALSE),OtherClients[[#This Row],[Total Quantity]]*VLOOKUP(OtherClients[[#This Row],[Part]],PartControl!$A$2:$E$564,2,FALSE)),0)</f>
        <v>0</v>
      </c>
    </row>
    <row r="1182" spans="1:26" ht="25.15" hidden="1" customHeight="1" x14ac:dyDescent="0.25">
      <c r="A1182" s="112">
        <v>46253.692604166667</v>
      </c>
      <c r="B1182" s="5" t="s">
        <v>236</v>
      </c>
      <c r="C1182" s="5">
        <v>11546449</v>
      </c>
      <c r="D1182" s="5">
        <v>715762</v>
      </c>
      <c r="E1182" s="33">
        <f>34-9</f>
        <v>25</v>
      </c>
      <c r="F1182" s="60">
        <v>2500</v>
      </c>
      <c r="G1182" s="60">
        <f>+OtherClients[[#This Row],[Boxes / Pieces]]*OtherClients[[#This Row],[Unit Quantity]]</f>
        <v>62500</v>
      </c>
      <c r="H1182" s="60">
        <v>290</v>
      </c>
      <c r="I1182" s="126" t="s">
        <v>278</v>
      </c>
      <c r="J1182" s="127"/>
      <c r="K1182" s="33" t="s">
        <v>278</v>
      </c>
      <c r="L1182" s="125"/>
      <c r="M1182" s="33" t="s">
        <v>278</v>
      </c>
      <c r="N1182" s="125"/>
      <c r="O1182" s="33" t="s">
        <v>278</v>
      </c>
      <c r="P1182" s="125"/>
      <c r="Q1182" s="33" t="s">
        <v>587</v>
      </c>
      <c r="R1182" s="125"/>
      <c r="S1182" s="33" t="s">
        <v>278</v>
      </c>
      <c r="T1182" s="125"/>
      <c r="U1182" s="33" t="s">
        <v>278</v>
      </c>
      <c r="V1182" s="125"/>
      <c r="W1182" s="59" t="s">
        <v>548</v>
      </c>
      <c r="X1182" s="33" t="str">
        <f>+VLOOKUP(OtherClients[[#This Row],[Part]],PartControl!$A$2:$E$564,5,FALSE)</f>
        <v>INFASCO</v>
      </c>
      <c r="Y1182" s="108">
        <f>IF(OtherClients[[#This Row],[Re-certified or New]]&lt;&gt;"Re-certified",IF(OtherClients[[#This Row],[Client]]="infasco",VLOOKUP(OtherClients[[#This Row],[Part]],PartControl!$A$2:$E$564,2,FALSE),OtherClients[[#This Row],[Total Quantity]]*VLOOKUP(OtherClients[[#This Row],[Part]],PartControl!$A$2:$E$564,2,FALSE)),0)</f>
        <v>106.94</v>
      </c>
      <c r="Z1182" s="108">
        <f>IF(OtherClients[[#This Row],[Re-certified or New]]&lt;&gt;"Re-certified",IF(OtherClients[[#This Row],[Client]]="infasco",VLOOKUP(OtherClients[[#This Row],[Part]],PartControl!$A$2:$E$564,2,FALSE),OtherClients[[#This Row],[Total Quantity]]*VLOOKUP(OtherClients[[#This Row],[Part]],PartControl!$A$2:$E$564,2,FALSE)),0)</f>
        <v>106.94</v>
      </c>
    </row>
    <row r="1183" spans="1:26" ht="25.15" hidden="1" customHeight="1" x14ac:dyDescent="0.25">
      <c r="A1183" s="112">
        <v>46253.692604166667</v>
      </c>
      <c r="B1183" s="5" t="s">
        <v>236</v>
      </c>
      <c r="C1183" s="5">
        <v>11546449</v>
      </c>
      <c r="D1183" s="5">
        <v>716522</v>
      </c>
      <c r="E1183" s="33">
        <v>20</v>
      </c>
      <c r="F1183" s="60">
        <v>2500</v>
      </c>
      <c r="G1183" s="60">
        <f>+OtherClients[[#This Row],[Boxes / Pieces]]*OtherClients[[#This Row],[Unit Quantity]]</f>
        <v>50000</v>
      </c>
      <c r="H1183" s="60">
        <v>290</v>
      </c>
      <c r="I1183" s="126" t="s">
        <v>278</v>
      </c>
      <c r="J1183" s="127"/>
      <c r="K1183" s="33" t="s">
        <v>278</v>
      </c>
      <c r="L1183" s="125"/>
      <c r="M1183" s="33" t="s">
        <v>278</v>
      </c>
      <c r="N1183" s="125"/>
      <c r="O1183" s="33" t="s">
        <v>278</v>
      </c>
      <c r="P1183" s="125"/>
      <c r="Q1183" s="33" t="s">
        <v>587</v>
      </c>
      <c r="R1183" s="125"/>
      <c r="S1183" s="33" t="s">
        <v>278</v>
      </c>
      <c r="T1183" s="125"/>
      <c r="U1183" s="33" t="s">
        <v>278</v>
      </c>
      <c r="V1183" s="125"/>
      <c r="W1183" s="59" t="s">
        <v>633</v>
      </c>
      <c r="X1183" s="33" t="str">
        <f>+VLOOKUP(OtherClients[[#This Row],[Part]],PartControl!$A$2:$E$564,5,FALSE)</f>
        <v>INFASCO</v>
      </c>
      <c r="Y1183" s="108">
        <f>IF(OtherClients[[#This Row],[Re-certified or New]]&lt;&gt;"Re-certified",IF(OtherClients[[#This Row],[Client]]="infasco",VLOOKUP(OtherClients[[#This Row],[Part]],PartControl!$A$2:$E$564,2,FALSE),OtherClients[[#This Row],[Total Quantity]]*VLOOKUP(OtherClients[[#This Row],[Part]],PartControl!$A$2:$E$564,2,FALSE)),0)</f>
        <v>0</v>
      </c>
      <c r="Z1183" s="108">
        <f>IF(OtherClients[[#This Row],[Re-certified or New]]&lt;&gt;"Re-certified",IF(OtherClients[[#This Row],[Client]]="infasco",VLOOKUP(OtherClients[[#This Row],[Part]],PartControl!$A$2:$E$564,2,FALSE),OtherClients[[#This Row],[Total Quantity]]*VLOOKUP(OtherClients[[#This Row],[Part]],PartControl!$A$2:$E$564,2,FALSE)),0)</f>
        <v>0</v>
      </c>
    </row>
    <row r="1184" spans="1:26" ht="25.15" hidden="1" customHeight="1" x14ac:dyDescent="0.25">
      <c r="A1184" s="112">
        <v>46253.692604166667</v>
      </c>
      <c r="B1184" s="5" t="s">
        <v>239</v>
      </c>
      <c r="C1184" s="5" t="s">
        <v>705</v>
      </c>
      <c r="D1184" s="5">
        <v>714174</v>
      </c>
      <c r="E1184" s="33">
        <v>36</v>
      </c>
      <c r="F1184" s="60">
        <v>450</v>
      </c>
      <c r="G1184" s="60">
        <f>+OtherClients[[#This Row],[Boxes / Pieces]]*OtherClients[[#This Row],[Unit Quantity]]</f>
        <v>16200</v>
      </c>
      <c r="H1184" s="60">
        <v>290</v>
      </c>
      <c r="I1184" s="126" t="s">
        <v>278</v>
      </c>
      <c r="J1184" s="127"/>
      <c r="K1184" s="33" t="s">
        <v>278</v>
      </c>
      <c r="L1184" s="125"/>
      <c r="M1184" s="33" t="s">
        <v>278</v>
      </c>
      <c r="N1184" s="125"/>
      <c r="O1184" s="33" t="s">
        <v>278</v>
      </c>
      <c r="P1184" s="125"/>
      <c r="Q1184" s="33" t="s">
        <v>587</v>
      </c>
      <c r="R1184" s="125"/>
      <c r="S1184" s="33" t="s">
        <v>278</v>
      </c>
      <c r="T1184" s="125"/>
      <c r="U1184" s="33" t="s">
        <v>278</v>
      </c>
      <c r="V1184" s="125"/>
      <c r="W1184" s="59" t="s">
        <v>548</v>
      </c>
      <c r="X1184" s="33" t="str">
        <f>+VLOOKUP(OtherClients[[#This Row],[Part]],PartControl!$A$2:$E$564,5,FALSE)</f>
        <v>infasco</v>
      </c>
      <c r="Y1184" s="108">
        <f>IF(OtherClients[[#This Row],[Re-certified or New]]&lt;&gt;"Re-certified",IF(OtherClients[[#This Row],[Client]]="infasco",VLOOKUP(OtherClients[[#This Row],[Part]],PartControl!$A$2:$E$564,2,FALSE),OtherClients[[#This Row],[Total Quantity]]*VLOOKUP(OtherClients[[#This Row],[Part]],PartControl!$A$2:$E$564,2,FALSE)),0)</f>
        <v>106.94</v>
      </c>
      <c r="Z1184" s="108">
        <f>IF(OtherClients[[#This Row],[Re-certified or New]]&lt;&gt;"Re-certified",IF(OtherClients[[#This Row],[Client]]="infasco",VLOOKUP(OtherClients[[#This Row],[Part]],PartControl!$A$2:$E$564,2,FALSE),OtherClients[[#This Row],[Total Quantity]]*VLOOKUP(OtherClients[[#This Row],[Part]],PartControl!$A$2:$E$564,2,FALSE)),0)</f>
        <v>106.94</v>
      </c>
    </row>
    <row r="1185" spans="1:26" ht="25.15" hidden="1" customHeight="1" x14ac:dyDescent="0.25">
      <c r="A1185" s="112">
        <v>46253.692604166667</v>
      </c>
      <c r="B1185" s="5" t="s">
        <v>239</v>
      </c>
      <c r="C1185" s="5" t="s">
        <v>705</v>
      </c>
      <c r="D1185" s="5">
        <v>714098</v>
      </c>
      <c r="E1185" s="33">
        <v>36</v>
      </c>
      <c r="F1185" s="60">
        <v>450</v>
      </c>
      <c r="G1185" s="60">
        <f>+OtherClients[[#This Row],[Boxes / Pieces]]*OtherClients[[#This Row],[Unit Quantity]]</f>
        <v>16200</v>
      </c>
      <c r="H1185" s="60">
        <v>290</v>
      </c>
      <c r="I1185" s="126" t="s">
        <v>278</v>
      </c>
      <c r="J1185" s="127"/>
      <c r="K1185" s="33" t="s">
        <v>278</v>
      </c>
      <c r="L1185" s="125"/>
      <c r="M1185" s="33" t="s">
        <v>278</v>
      </c>
      <c r="N1185" s="125"/>
      <c r="O1185" s="33" t="s">
        <v>278</v>
      </c>
      <c r="P1185" s="125"/>
      <c r="Q1185" s="33" t="s">
        <v>587</v>
      </c>
      <c r="R1185" s="125"/>
      <c r="S1185" s="33" t="s">
        <v>278</v>
      </c>
      <c r="T1185" s="125"/>
      <c r="U1185" s="33" t="s">
        <v>278</v>
      </c>
      <c r="V1185" s="125"/>
      <c r="W1185" s="59" t="s">
        <v>548</v>
      </c>
      <c r="X1185" s="33" t="str">
        <f>+VLOOKUP(OtherClients[[#This Row],[Part]],PartControl!$A$2:$E$564,5,FALSE)</f>
        <v>infasco</v>
      </c>
      <c r="Y1185" s="108">
        <f>IF(OtherClients[[#This Row],[Re-certified or New]]&lt;&gt;"Re-certified",IF(OtherClients[[#This Row],[Client]]="infasco",VLOOKUP(OtherClients[[#This Row],[Part]],PartControl!$A$2:$E$564,2,FALSE),OtherClients[[#This Row],[Total Quantity]]*VLOOKUP(OtherClients[[#This Row],[Part]],PartControl!$A$2:$E$564,2,FALSE)),0)</f>
        <v>106.94</v>
      </c>
      <c r="Z1185" s="108">
        <f>IF(OtherClients[[#This Row],[Re-certified or New]]&lt;&gt;"Re-certified",IF(OtherClients[[#This Row],[Client]]="infasco",VLOOKUP(OtherClients[[#This Row],[Part]],PartControl!$A$2:$E$564,2,FALSE),OtherClients[[#This Row],[Total Quantity]]*VLOOKUP(OtherClients[[#This Row],[Part]],PartControl!$A$2:$E$564,2,FALSE)),0)</f>
        <v>106.94</v>
      </c>
    </row>
    <row r="1186" spans="1:26" ht="25.15" hidden="1" customHeight="1" x14ac:dyDescent="0.25">
      <c r="A1186" s="112">
        <v>46253.692604166667</v>
      </c>
      <c r="B1186" s="5" t="s">
        <v>239</v>
      </c>
      <c r="C1186" s="5" t="s">
        <v>705</v>
      </c>
      <c r="D1186" s="5">
        <v>715726</v>
      </c>
      <c r="E1186" s="33">
        <v>36</v>
      </c>
      <c r="F1186" s="60">
        <v>450</v>
      </c>
      <c r="G1186" s="60">
        <f>+OtherClients[[#This Row],[Boxes / Pieces]]*OtherClients[[#This Row],[Unit Quantity]]</f>
        <v>16200</v>
      </c>
      <c r="H1186" s="60">
        <v>290</v>
      </c>
      <c r="I1186" s="126" t="s">
        <v>278</v>
      </c>
      <c r="J1186" s="127"/>
      <c r="K1186" s="33" t="s">
        <v>278</v>
      </c>
      <c r="L1186" s="125"/>
      <c r="M1186" s="33" t="s">
        <v>278</v>
      </c>
      <c r="N1186" s="125"/>
      <c r="O1186" s="33" t="s">
        <v>278</v>
      </c>
      <c r="P1186" s="125"/>
      <c r="Q1186" s="33" t="s">
        <v>587</v>
      </c>
      <c r="R1186" s="125"/>
      <c r="S1186" s="33" t="s">
        <v>278</v>
      </c>
      <c r="T1186" s="125"/>
      <c r="U1186" s="33" t="s">
        <v>278</v>
      </c>
      <c r="V1186" s="125"/>
      <c r="W1186" s="59" t="s">
        <v>548</v>
      </c>
      <c r="X1186" s="33" t="str">
        <f>+VLOOKUP(OtherClients[[#This Row],[Part]],PartControl!$A$2:$E$564,5,FALSE)</f>
        <v>infasco</v>
      </c>
      <c r="Y1186" s="108">
        <f>IF(OtherClients[[#This Row],[Re-certified or New]]&lt;&gt;"Re-certified",IF(OtherClients[[#This Row],[Client]]="infasco",VLOOKUP(OtherClients[[#This Row],[Part]],PartControl!$A$2:$E$564,2,FALSE),OtherClients[[#This Row],[Total Quantity]]*VLOOKUP(OtherClients[[#This Row],[Part]],PartControl!$A$2:$E$564,2,FALSE)),0)</f>
        <v>106.94</v>
      </c>
      <c r="Z1186" s="108">
        <f>IF(OtherClients[[#This Row],[Re-certified or New]]&lt;&gt;"Re-certified",IF(OtherClients[[#This Row],[Client]]="infasco",VLOOKUP(OtherClients[[#This Row],[Part]],PartControl!$A$2:$E$564,2,FALSE),OtherClients[[#This Row],[Total Quantity]]*VLOOKUP(OtherClients[[#This Row],[Part]],PartControl!$A$2:$E$564,2,FALSE)),0)</f>
        <v>106.94</v>
      </c>
    </row>
    <row r="1187" spans="1:26" ht="25.15" hidden="1" customHeight="1" x14ac:dyDescent="0.25">
      <c r="A1187" s="112">
        <v>46253.692604166667</v>
      </c>
      <c r="B1187" s="5" t="s">
        <v>239</v>
      </c>
      <c r="C1187" s="5" t="s">
        <v>705</v>
      </c>
      <c r="D1187" s="5">
        <v>714103</v>
      </c>
      <c r="E1187" s="33">
        <v>12</v>
      </c>
      <c r="F1187" s="60">
        <v>450</v>
      </c>
      <c r="G1187" s="60">
        <f>+OtherClients[[#This Row],[Boxes / Pieces]]*OtherClients[[#This Row],[Unit Quantity]]</f>
        <v>5400</v>
      </c>
      <c r="H1187" s="60">
        <v>290</v>
      </c>
      <c r="I1187" s="126" t="s">
        <v>278</v>
      </c>
      <c r="J1187" s="127"/>
      <c r="K1187" s="33" t="s">
        <v>278</v>
      </c>
      <c r="L1187" s="125"/>
      <c r="M1187" s="33" t="s">
        <v>278</v>
      </c>
      <c r="N1187" s="125"/>
      <c r="O1187" s="33" t="s">
        <v>278</v>
      </c>
      <c r="P1187" s="125"/>
      <c r="Q1187" s="33" t="s">
        <v>587</v>
      </c>
      <c r="R1187" s="125"/>
      <c r="S1187" s="33" t="s">
        <v>278</v>
      </c>
      <c r="T1187" s="125"/>
      <c r="U1187" s="33" t="s">
        <v>278</v>
      </c>
      <c r="V1187" s="125"/>
      <c r="W1187" s="59" t="s">
        <v>548</v>
      </c>
      <c r="X1187" s="33" t="str">
        <f>+VLOOKUP(OtherClients[[#This Row],[Part]],PartControl!$A$2:$E$564,5,FALSE)</f>
        <v>infasco</v>
      </c>
      <c r="Y1187" s="108">
        <f>IF(OtherClients[[#This Row],[Re-certified or New]]&lt;&gt;"Re-certified",IF(OtherClients[[#This Row],[Client]]="infasco",VLOOKUP(OtherClients[[#This Row],[Part]],PartControl!$A$2:$E$564,2,FALSE),OtherClients[[#This Row],[Total Quantity]]*VLOOKUP(OtherClients[[#This Row],[Part]],PartControl!$A$2:$E$564,2,FALSE)),0)</f>
        <v>106.94</v>
      </c>
      <c r="Z1187" s="108">
        <f>IF(OtherClients[[#This Row],[Re-certified or New]]&lt;&gt;"Re-certified",IF(OtherClients[[#This Row],[Client]]="infasco",VLOOKUP(OtherClients[[#This Row],[Part]],PartControl!$A$2:$E$564,2,FALSE),OtherClients[[#This Row],[Total Quantity]]*VLOOKUP(OtherClients[[#This Row],[Part]],PartControl!$A$2:$E$564,2,FALSE)),0)</f>
        <v>106.94</v>
      </c>
    </row>
    <row r="1188" spans="1:26" ht="25.15" hidden="1" customHeight="1" x14ac:dyDescent="0.25">
      <c r="A1188" s="112">
        <v>46253.692604166667</v>
      </c>
      <c r="B1188" s="5" t="s">
        <v>235</v>
      </c>
      <c r="C1188" s="5" t="s">
        <v>795</v>
      </c>
      <c r="D1188" s="5">
        <v>716677</v>
      </c>
      <c r="E1188" s="33">
        <v>22</v>
      </c>
      <c r="F1188" s="60">
        <v>800</v>
      </c>
      <c r="G1188" s="60">
        <f>+OtherClients[[#This Row],[Boxes / Pieces]]*OtherClients[[#This Row],[Unit Quantity]]</f>
        <v>17600</v>
      </c>
      <c r="H1188" s="60">
        <v>290</v>
      </c>
      <c r="I1188" s="126" t="s">
        <v>278</v>
      </c>
      <c r="J1188" s="127"/>
      <c r="K1188" s="33" t="s">
        <v>278</v>
      </c>
      <c r="L1188" s="125"/>
      <c r="M1188" s="33" t="s">
        <v>278</v>
      </c>
      <c r="N1188" s="125"/>
      <c r="O1188" s="33" t="s">
        <v>278</v>
      </c>
      <c r="P1188" s="125"/>
      <c r="Q1188" s="33" t="s">
        <v>587</v>
      </c>
      <c r="R1188" s="125"/>
      <c r="S1188" s="33" t="s">
        <v>278</v>
      </c>
      <c r="T1188" s="125"/>
      <c r="U1188" s="33" t="s">
        <v>278</v>
      </c>
      <c r="V1188" s="125"/>
      <c r="W1188" s="59" t="s">
        <v>633</v>
      </c>
      <c r="X1188" s="33" t="str">
        <f>+VLOOKUP(OtherClients[[#This Row],[Part]],PartControl!$A$2:$E$564,5,FALSE)</f>
        <v>infasco</v>
      </c>
      <c r="Y1188" s="108">
        <f>IF(OtherClients[[#This Row],[Re-certified or New]]&lt;&gt;"Re-certified",IF(OtherClients[[#This Row],[Client]]="infasco",VLOOKUP(OtherClients[[#This Row],[Part]],PartControl!$A$2:$E$564,2,FALSE),OtherClients[[#This Row],[Total Quantity]]*VLOOKUP(OtherClients[[#This Row],[Part]],PartControl!$A$2:$E$564,2,FALSE)),0)</f>
        <v>0</v>
      </c>
      <c r="Z1188" s="108">
        <f>IF(OtherClients[[#This Row],[Re-certified or New]]&lt;&gt;"Re-certified",IF(OtherClients[[#This Row],[Client]]="infasco",VLOOKUP(OtherClients[[#This Row],[Part]],PartControl!$A$2:$E$564,2,FALSE),OtherClients[[#This Row],[Total Quantity]]*VLOOKUP(OtherClients[[#This Row],[Part]],PartControl!$A$2:$E$564,2,FALSE)),0)</f>
        <v>0</v>
      </c>
    </row>
    <row r="1189" spans="1:26" ht="25.15" hidden="1" customHeight="1" x14ac:dyDescent="0.25">
      <c r="A1189" s="112">
        <v>46253.692604166667</v>
      </c>
      <c r="B1189" s="5" t="s">
        <v>240</v>
      </c>
      <c r="C1189" s="5" t="s">
        <v>645</v>
      </c>
      <c r="D1189" s="5">
        <v>716504</v>
      </c>
      <c r="E1189" s="33">
        <f>36-14</f>
        <v>22</v>
      </c>
      <c r="F1189" s="60">
        <v>1000</v>
      </c>
      <c r="G1189" s="60">
        <f>+OtherClients[[#This Row],[Boxes / Pieces]]*OtherClients[[#This Row],[Unit Quantity]]</f>
        <v>22000</v>
      </c>
      <c r="H1189" s="60">
        <v>290</v>
      </c>
      <c r="I1189" s="126" t="s">
        <v>278</v>
      </c>
      <c r="J1189" s="127"/>
      <c r="K1189" s="33" t="s">
        <v>278</v>
      </c>
      <c r="L1189" s="125"/>
      <c r="M1189" s="33" t="s">
        <v>278</v>
      </c>
      <c r="N1189" s="125"/>
      <c r="O1189" s="33" t="s">
        <v>278</v>
      </c>
      <c r="P1189" s="125"/>
      <c r="Q1189" s="33" t="s">
        <v>587</v>
      </c>
      <c r="R1189" s="125"/>
      <c r="S1189" s="33" t="s">
        <v>278</v>
      </c>
      <c r="T1189" s="125"/>
      <c r="U1189" s="33" t="s">
        <v>278</v>
      </c>
      <c r="V1189" s="125"/>
      <c r="W1189" s="59" t="s">
        <v>548</v>
      </c>
      <c r="X1189" s="33" t="str">
        <f>+VLOOKUP(OtherClients[[#This Row],[Part]],PartControl!$A$2:$E$564,5,FALSE)</f>
        <v>infasco</v>
      </c>
      <c r="Y1189" s="108">
        <f>IF(OtherClients[[#This Row],[Re-certified or New]]&lt;&gt;"Re-certified",IF(OtherClients[[#This Row],[Client]]="infasco",VLOOKUP(OtherClients[[#This Row],[Part]],PartControl!$A$2:$E$564,2,FALSE),OtherClients[[#This Row],[Total Quantity]]*VLOOKUP(OtherClients[[#This Row],[Part]],PartControl!$A$2:$E$564,2,FALSE)),0)</f>
        <v>106.94</v>
      </c>
      <c r="Z1189" s="108">
        <f>IF(OtherClients[[#This Row],[Re-certified or New]]&lt;&gt;"Re-certified",IF(OtherClients[[#This Row],[Client]]="infasco",VLOOKUP(OtherClients[[#This Row],[Part]],PartControl!$A$2:$E$564,2,FALSE),OtherClients[[#This Row],[Total Quantity]]*VLOOKUP(OtherClients[[#This Row],[Part]],PartControl!$A$2:$E$564,2,FALSE)),0)</f>
        <v>106.94</v>
      </c>
    </row>
    <row r="1190" spans="1:26" ht="25.15" hidden="1" customHeight="1" x14ac:dyDescent="0.25">
      <c r="A1190" s="112">
        <v>46253.692604166667</v>
      </c>
      <c r="B1190" s="5" t="s">
        <v>240</v>
      </c>
      <c r="C1190" s="5" t="s">
        <v>645</v>
      </c>
      <c r="D1190" s="5">
        <v>716503</v>
      </c>
      <c r="E1190" s="33">
        <v>21</v>
      </c>
      <c r="F1190" s="60">
        <v>1000</v>
      </c>
      <c r="G1190" s="60">
        <f>+OtherClients[[#This Row],[Boxes / Pieces]]*OtherClients[[#This Row],[Unit Quantity]]</f>
        <v>21000</v>
      </c>
      <c r="H1190" s="60">
        <v>290</v>
      </c>
      <c r="I1190" s="126" t="s">
        <v>278</v>
      </c>
      <c r="J1190" s="127"/>
      <c r="K1190" s="33" t="s">
        <v>278</v>
      </c>
      <c r="L1190" s="125"/>
      <c r="M1190" s="33" t="s">
        <v>278</v>
      </c>
      <c r="N1190" s="125"/>
      <c r="O1190" s="33" t="s">
        <v>278</v>
      </c>
      <c r="P1190" s="125"/>
      <c r="Q1190" s="33" t="s">
        <v>587</v>
      </c>
      <c r="R1190" s="125"/>
      <c r="S1190" s="33" t="s">
        <v>278</v>
      </c>
      <c r="T1190" s="125"/>
      <c r="U1190" s="33" t="s">
        <v>278</v>
      </c>
      <c r="V1190" s="125"/>
      <c r="W1190" s="59" t="s">
        <v>548</v>
      </c>
      <c r="X1190" s="33" t="str">
        <f>+VLOOKUP(OtherClients[[#This Row],[Part]],PartControl!$A$2:$E$564,5,FALSE)</f>
        <v>infasco</v>
      </c>
      <c r="Y1190" s="108">
        <f>IF(OtherClients[[#This Row],[Re-certified or New]]&lt;&gt;"Re-certified",IF(OtherClients[[#This Row],[Client]]="infasco",VLOOKUP(OtherClients[[#This Row],[Part]],PartControl!$A$2:$E$564,2,FALSE),OtherClients[[#This Row],[Total Quantity]]*VLOOKUP(OtherClients[[#This Row],[Part]],PartControl!$A$2:$E$564,2,FALSE)),0)</f>
        <v>106.94</v>
      </c>
      <c r="Z1190" s="108">
        <f>IF(OtherClients[[#This Row],[Re-certified or New]]&lt;&gt;"Re-certified",IF(OtherClients[[#This Row],[Client]]="infasco",VLOOKUP(OtherClients[[#This Row],[Part]],PartControl!$A$2:$E$564,2,FALSE),OtherClients[[#This Row],[Total Quantity]]*VLOOKUP(OtherClients[[#This Row],[Part]],PartControl!$A$2:$E$564,2,FALSE)),0)</f>
        <v>106.94</v>
      </c>
    </row>
    <row r="1191" spans="1:26" ht="25.15" hidden="1" customHeight="1" x14ac:dyDescent="0.25">
      <c r="A1191" s="112">
        <v>46253.692604166667</v>
      </c>
      <c r="B1191" s="5" t="s">
        <v>240</v>
      </c>
      <c r="C1191" s="5" t="s">
        <v>645</v>
      </c>
      <c r="D1191" s="5">
        <v>716505</v>
      </c>
      <c r="E1191" s="33">
        <v>36</v>
      </c>
      <c r="F1191" s="60">
        <v>1000</v>
      </c>
      <c r="G1191" s="60">
        <f>+OtherClients[[#This Row],[Boxes / Pieces]]*OtherClients[[#This Row],[Unit Quantity]]</f>
        <v>36000</v>
      </c>
      <c r="H1191" s="60">
        <v>290</v>
      </c>
      <c r="I1191" s="126" t="s">
        <v>278</v>
      </c>
      <c r="J1191" s="127"/>
      <c r="K1191" s="33" t="s">
        <v>278</v>
      </c>
      <c r="L1191" s="125"/>
      <c r="M1191" s="33" t="s">
        <v>278</v>
      </c>
      <c r="N1191" s="125"/>
      <c r="O1191" s="33" t="s">
        <v>278</v>
      </c>
      <c r="P1191" s="125"/>
      <c r="Q1191" s="33" t="s">
        <v>587</v>
      </c>
      <c r="R1191" s="125"/>
      <c r="S1191" s="33" t="s">
        <v>278</v>
      </c>
      <c r="T1191" s="125"/>
      <c r="U1191" s="33" t="s">
        <v>278</v>
      </c>
      <c r="V1191" s="125"/>
      <c r="W1191" s="59" t="s">
        <v>548</v>
      </c>
      <c r="X1191" s="33" t="str">
        <f>+VLOOKUP(OtherClients[[#This Row],[Part]],PartControl!$A$2:$E$564,5,FALSE)</f>
        <v>infasco</v>
      </c>
      <c r="Y1191" s="108">
        <f>IF(OtherClients[[#This Row],[Re-certified or New]]&lt;&gt;"Re-certified",IF(OtherClients[[#This Row],[Client]]="infasco",VLOOKUP(OtherClients[[#This Row],[Part]],PartControl!$A$2:$E$564,2,FALSE),OtherClients[[#This Row],[Total Quantity]]*VLOOKUP(OtherClients[[#This Row],[Part]],PartControl!$A$2:$E$564,2,FALSE)),0)</f>
        <v>106.94</v>
      </c>
      <c r="Z1191" s="108">
        <f>IF(OtherClients[[#This Row],[Re-certified or New]]&lt;&gt;"Re-certified",IF(OtherClients[[#This Row],[Client]]="infasco",VLOOKUP(OtherClients[[#This Row],[Part]],PartControl!$A$2:$E$564,2,FALSE),OtherClients[[#This Row],[Total Quantity]]*VLOOKUP(OtherClients[[#This Row],[Part]],PartControl!$A$2:$E$564,2,FALSE)),0)</f>
        <v>106.94</v>
      </c>
    </row>
    <row r="1192" spans="1:26" ht="25.15" hidden="1" customHeight="1" x14ac:dyDescent="0.25">
      <c r="A1192" s="112">
        <v>46253.692604166667</v>
      </c>
      <c r="B1192" s="5" t="s">
        <v>240</v>
      </c>
      <c r="C1192" s="5" t="s">
        <v>645</v>
      </c>
      <c r="D1192" s="5">
        <v>716508</v>
      </c>
      <c r="E1192" s="33">
        <v>14</v>
      </c>
      <c r="F1192" s="60">
        <v>1000</v>
      </c>
      <c r="G1192" s="60">
        <f>+OtherClients[[#This Row],[Boxes / Pieces]]*OtherClients[[#This Row],[Unit Quantity]]</f>
        <v>14000</v>
      </c>
      <c r="H1192" s="60">
        <v>290</v>
      </c>
      <c r="I1192" s="126" t="s">
        <v>278</v>
      </c>
      <c r="J1192" s="127"/>
      <c r="K1192" s="33" t="s">
        <v>278</v>
      </c>
      <c r="L1192" s="125"/>
      <c r="M1192" s="33" t="s">
        <v>278</v>
      </c>
      <c r="N1192" s="125"/>
      <c r="O1192" s="33" t="s">
        <v>278</v>
      </c>
      <c r="P1192" s="125"/>
      <c r="Q1192" s="33" t="s">
        <v>587</v>
      </c>
      <c r="R1192" s="125"/>
      <c r="S1192" s="33" t="s">
        <v>278</v>
      </c>
      <c r="T1192" s="125"/>
      <c r="U1192" s="33" t="s">
        <v>278</v>
      </c>
      <c r="V1192" s="125"/>
      <c r="W1192" s="59" t="s">
        <v>633</v>
      </c>
      <c r="X1192" s="33" t="str">
        <f>+VLOOKUP(OtherClients[[#This Row],[Part]],PartControl!$A$2:$E$564,5,FALSE)</f>
        <v>infasco</v>
      </c>
      <c r="Y1192" s="108">
        <f>IF(OtherClients[[#This Row],[Re-certified or New]]&lt;&gt;"Re-certified",IF(OtherClients[[#This Row],[Client]]="infasco",VLOOKUP(OtherClients[[#This Row],[Part]],PartControl!$A$2:$E$564,2,FALSE),OtherClients[[#This Row],[Total Quantity]]*VLOOKUP(OtherClients[[#This Row],[Part]],PartControl!$A$2:$E$564,2,FALSE)),0)</f>
        <v>0</v>
      </c>
      <c r="Z1192" s="108">
        <f>IF(OtherClients[[#This Row],[Re-certified or New]]&lt;&gt;"Re-certified",IF(OtherClients[[#This Row],[Client]]="infasco",VLOOKUP(OtherClients[[#This Row],[Part]],PartControl!$A$2:$E$564,2,FALSE),OtherClients[[#This Row],[Total Quantity]]*VLOOKUP(OtherClients[[#This Row],[Part]],PartControl!$A$2:$E$564,2,FALSE)),0)</f>
        <v>0</v>
      </c>
    </row>
    <row r="1193" spans="1:26" ht="25.15" hidden="1" customHeight="1" x14ac:dyDescent="0.25">
      <c r="A1193" s="112">
        <v>46253.692604166667</v>
      </c>
      <c r="B1193" s="5" t="s">
        <v>237</v>
      </c>
      <c r="C1193" s="5">
        <v>11549168</v>
      </c>
      <c r="D1193" s="5">
        <v>715773</v>
      </c>
      <c r="E1193" s="33">
        <f>36-6</f>
        <v>30</v>
      </c>
      <c r="F1193" s="60">
        <v>1000</v>
      </c>
      <c r="G1193" s="60">
        <f>+OtherClients[[#This Row],[Boxes / Pieces]]*OtherClients[[#This Row],[Unit Quantity]]</f>
        <v>30000</v>
      </c>
      <c r="H1193" s="60">
        <v>290</v>
      </c>
      <c r="I1193" s="126" t="s">
        <v>278</v>
      </c>
      <c r="J1193" s="127"/>
      <c r="K1193" s="33" t="s">
        <v>278</v>
      </c>
      <c r="L1193" s="125"/>
      <c r="M1193" s="33" t="s">
        <v>278</v>
      </c>
      <c r="N1193" s="125"/>
      <c r="O1193" s="33" t="s">
        <v>278</v>
      </c>
      <c r="P1193" s="125"/>
      <c r="Q1193" s="33" t="s">
        <v>587</v>
      </c>
      <c r="R1193" s="125"/>
      <c r="S1193" s="33" t="s">
        <v>278</v>
      </c>
      <c r="T1193" s="125"/>
      <c r="U1193" s="33" t="s">
        <v>278</v>
      </c>
      <c r="V1193" s="125"/>
      <c r="W1193" s="59" t="s">
        <v>548</v>
      </c>
      <c r="X1193" s="33" t="str">
        <f>+VLOOKUP(OtherClients[[#This Row],[Part]],PartControl!$A$2:$E$564,5,FALSE)</f>
        <v>INFASCO</v>
      </c>
      <c r="Y1193" s="108">
        <f>IF(OtherClients[[#This Row],[Re-certified or New]]&lt;&gt;"Re-certified",IF(OtherClients[[#This Row],[Client]]="infasco",VLOOKUP(OtherClients[[#This Row],[Part]],PartControl!$A$2:$E$564,2,FALSE),OtherClients[[#This Row],[Total Quantity]]*VLOOKUP(OtherClients[[#This Row],[Part]],PartControl!$A$2:$E$564,2,FALSE)),0)</f>
        <v>106.94</v>
      </c>
      <c r="Z1193" s="108">
        <f>IF(OtherClients[[#This Row],[Re-certified or New]]&lt;&gt;"Re-certified",IF(OtherClients[[#This Row],[Client]]="infasco",VLOOKUP(OtherClients[[#This Row],[Part]],PartControl!$A$2:$E$564,2,FALSE),OtherClients[[#This Row],[Total Quantity]]*VLOOKUP(OtherClients[[#This Row],[Part]],PartControl!$A$2:$E$564,2,FALSE)),0)</f>
        <v>106.94</v>
      </c>
    </row>
    <row r="1194" spans="1:26" ht="25.15" hidden="1" customHeight="1" x14ac:dyDescent="0.25">
      <c r="A1194" s="112">
        <v>46253.692604166667</v>
      </c>
      <c r="B1194" s="5" t="s">
        <v>237</v>
      </c>
      <c r="C1194" s="5">
        <v>11549168</v>
      </c>
      <c r="D1194" s="5">
        <v>715772</v>
      </c>
      <c r="E1194" s="33">
        <v>36</v>
      </c>
      <c r="F1194" s="60">
        <v>1000</v>
      </c>
      <c r="G1194" s="60">
        <f>+OtherClients[[#This Row],[Boxes / Pieces]]*OtherClients[[#This Row],[Unit Quantity]]</f>
        <v>36000</v>
      </c>
      <c r="H1194" s="60">
        <v>290</v>
      </c>
      <c r="I1194" s="126" t="s">
        <v>278</v>
      </c>
      <c r="J1194" s="127"/>
      <c r="K1194" s="33" t="s">
        <v>278</v>
      </c>
      <c r="L1194" s="125"/>
      <c r="M1194" s="33" t="s">
        <v>278</v>
      </c>
      <c r="N1194" s="125"/>
      <c r="O1194" s="33" t="s">
        <v>278</v>
      </c>
      <c r="P1194" s="125"/>
      <c r="Q1194" s="33" t="s">
        <v>587</v>
      </c>
      <c r="R1194" s="125"/>
      <c r="S1194" s="33" t="s">
        <v>278</v>
      </c>
      <c r="T1194" s="125"/>
      <c r="U1194" s="33" t="s">
        <v>278</v>
      </c>
      <c r="V1194" s="125"/>
      <c r="W1194" s="59" t="s">
        <v>548</v>
      </c>
      <c r="X1194" s="33" t="str">
        <f>+VLOOKUP(OtherClients[[#This Row],[Part]],PartControl!$A$2:$E$564,5,FALSE)</f>
        <v>INFASCO</v>
      </c>
      <c r="Y1194" s="108">
        <f>IF(OtherClients[[#This Row],[Re-certified or New]]&lt;&gt;"Re-certified",IF(OtherClients[[#This Row],[Client]]="infasco",VLOOKUP(OtherClients[[#This Row],[Part]],PartControl!$A$2:$E$564,2,FALSE),OtherClients[[#This Row],[Total Quantity]]*VLOOKUP(OtherClients[[#This Row],[Part]],PartControl!$A$2:$E$564,2,FALSE)),0)</f>
        <v>106.94</v>
      </c>
      <c r="Z1194" s="108">
        <f>IF(OtherClients[[#This Row],[Re-certified or New]]&lt;&gt;"Re-certified",IF(OtherClients[[#This Row],[Client]]="infasco",VLOOKUP(OtherClients[[#This Row],[Part]],PartControl!$A$2:$E$564,2,FALSE),OtherClients[[#This Row],[Total Quantity]]*VLOOKUP(OtherClients[[#This Row],[Part]],PartControl!$A$2:$E$564,2,FALSE)),0)</f>
        <v>106.94</v>
      </c>
    </row>
    <row r="1195" spans="1:26" ht="25.15" hidden="1" customHeight="1" x14ac:dyDescent="0.25">
      <c r="A1195" s="112">
        <v>46253.692604166667</v>
      </c>
      <c r="B1195" s="5" t="s">
        <v>237</v>
      </c>
      <c r="C1195" s="5">
        <v>11549168</v>
      </c>
      <c r="D1195" s="5">
        <v>715775</v>
      </c>
      <c r="E1195" s="33">
        <v>36</v>
      </c>
      <c r="F1195" s="60">
        <v>1000</v>
      </c>
      <c r="G1195" s="60">
        <f>+OtherClients[[#This Row],[Boxes / Pieces]]*OtherClients[[#This Row],[Unit Quantity]]</f>
        <v>36000</v>
      </c>
      <c r="H1195" s="60">
        <v>290</v>
      </c>
      <c r="I1195" s="126" t="s">
        <v>278</v>
      </c>
      <c r="J1195" s="127"/>
      <c r="K1195" s="33" t="s">
        <v>278</v>
      </c>
      <c r="L1195" s="125"/>
      <c r="M1195" s="33" t="s">
        <v>278</v>
      </c>
      <c r="N1195" s="125"/>
      <c r="O1195" s="33" t="s">
        <v>278</v>
      </c>
      <c r="P1195" s="125"/>
      <c r="Q1195" s="33" t="s">
        <v>587</v>
      </c>
      <c r="R1195" s="125"/>
      <c r="S1195" s="33" t="s">
        <v>278</v>
      </c>
      <c r="T1195" s="125"/>
      <c r="U1195" s="33" t="s">
        <v>278</v>
      </c>
      <c r="V1195" s="125"/>
      <c r="W1195" s="59" t="s">
        <v>548</v>
      </c>
      <c r="X1195" s="33" t="str">
        <f>+VLOOKUP(OtherClients[[#This Row],[Part]],PartControl!$A$2:$E$564,5,FALSE)</f>
        <v>INFASCO</v>
      </c>
      <c r="Y1195" s="108">
        <f>IF(OtherClients[[#This Row],[Re-certified or New]]&lt;&gt;"Re-certified",IF(OtherClients[[#This Row],[Client]]="infasco",VLOOKUP(OtherClients[[#This Row],[Part]],PartControl!$A$2:$E$564,2,FALSE),OtherClients[[#This Row],[Total Quantity]]*VLOOKUP(OtherClients[[#This Row],[Part]],PartControl!$A$2:$E$564,2,FALSE)),0)</f>
        <v>106.94</v>
      </c>
      <c r="Z1195" s="108">
        <f>IF(OtherClients[[#This Row],[Re-certified or New]]&lt;&gt;"Re-certified",IF(OtherClients[[#This Row],[Client]]="infasco",VLOOKUP(OtherClients[[#This Row],[Part]],PartControl!$A$2:$E$564,2,FALSE),OtherClients[[#This Row],[Total Quantity]]*VLOOKUP(OtherClients[[#This Row],[Part]],PartControl!$A$2:$E$564,2,FALSE)),0)</f>
        <v>106.94</v>
      </c>
    </row>
    <row r="1196" spans="1:26" ht="25.15" hidden="1" customHeight="1" x14ac:dyDescent="0.25">
      <c r="A1196" s="112">
        <v>46253.692604166667</v>
      </c>
      <c r="B1196" s="5" t="s">
        <v>237</v>
      </c>
      <c r="C1196" s="5">
        <v>11549168</v>
      </c>
      <c r="D1196" s="5">
        <v>715771</v>
      </c>
      <c r="E1196" s="33">
        <v>36</v>
      </c>
      <c r="F1196" s="60">
        <v>1000</v>
      </c>
      <c r="G1196" s="60">
        <f>+OtherClients[[#This Row],[Boxes / Pieces]]*OtherClients[[#This Row],[Unit Quantity]]</f>
        <v>36000</v>
      </c>
      <c r="H1196" s="60">
        <v>290</v>
      </c>
      <c r="I1196" s="126" t="s">
        <v>278</v>
      </c>
      <c r="J1196" s="127"/>
      <c r="K1196" s="33" t="s">
        <v>278</v>
      </c>
      <c r="L1196" s="125"/>
      <c r="M1196" s="33" t="s">
        <v>278</v>
      </c>
      <c r="N1196" s="125"/>
      <c r="O1196" s="33" t="s">
        <v>278</v>
      </c>
      <c r="P1196" s="125"/>
      <c r="Q1196" s="33" t="s">
        <v>587</v>
      </c>
      <c r="R1196" s="125"/>
      <c r="S1196" s="33" t="s">
        <v>278</v>
      </c>
      <c r="T1196" s="125"/>
      <c r="U1196" s="33" t="s">
        <v>278</v>
      </c>
      <c r="V1196" s="125"/>
      <c r="W1196" s="59" t="s">
        <v>633</v>
      </c>
      <c r="X1196" s="33" t="str">
        <f>+VLOOKUP(OtherClients[[#This Row],[Part]],PartControl!$A$2:$E$564,5,FALSE)</f>
        <v>INFASCO</v>
      </c>
      <c r="Y1196" s="129"/>
      <c r="Z1196" s="108">
        <f>IF(OtherClients[[#This Row],[Re-certified or New]]&lt;&gt;"Re-certified",IF(OtherClients[[#This Row],[Client]]="infasco",VLOOKUP(OtherClients[[#This Row],[Part]],PartControl!$A$2:$E$564,2,FALSE),OtherClients[[#This Row],[Total Quantity]]*VLOOKUP(OtherClients[[#This Row],[Part]],PartControl!$A$2:$E$564,2,FALSE)),0)</f>
        <v>0</v>
      </c>
    </row>
    <row r="1197" spans="1:26" ht="25.15" hidden="1" customHeight="1" x14ac:dyDescent="0.25">
      <c r="A1197" s="112">
        <v>46253.692604166667</v>
      </c>
      <c r="B1197" s="5" t="s">
        <v>250</v>
      </c>
      <c r="C1197" s="5" t="s">
        <v>790</v>
      </c>
      <c r="D1197" s="5">
        <v>717106</v>
      </c>
      <c r="E1197" s="33">
        <v>1</v>
      </c>
      <c r="F1197" s="60">
        <f>37210-29000</f>
        <v>8210</v>
      </c>
      <c r="G1197" s="60">
        <f>+OtherClients[[#This Row],[Boxes / Pieces]]*OtherClients[[#This Row],[Unit Quantity]]</f>
        <v>8210</v>
      </c>
      <c r="H1197" s="60">
        <v>290</v>
      </c>
      <c r="I1197" s="126" t="s">
        <v>278</v>
      </c>
      <c r="J1197" s="127"/>
      <c r="K1197" s="33" t="s">
        <v>278</v>
      </c>
      <c r="L1197" s="125"/>
      <c r="M1197" s="33" t="s">
        <v>278</v>
      </c>
      <c r="N1197" s="125"/>
      <c r="O1197" s="33" t="s">
        <v>278</v>
      </c>
      <c r="P1197" s="125"/>
      <c r="Q1197" s="33" t="s">
        <v>587</v>
      </c>
      <c r="R1197" s="125"/>
      <c r="S1197" s="33" t="s">
        <v>278</v>
      </c>
      <c r="T1197" s="125"/>
      <c r="U1197" s="33" t="s">
        <v>278</v>
      </c>
      <c r="V1197" s="125"/>
      <c r="W1197" s="59" t="s">
        <v>548</v>
      </c>
      <c r="X1197" s="33" t="str">
        <f>+VLOOKUP(OtherClients[[#This Row],[Part]],PartControl!$A$2:$E$564,5,FALSE)</f>
        <v>infasco</v>
      </c>
      <c r="Y1197" s="108">
        <f>IF(OtherClients[[#This Row],[Re-certified or New]]&lt;&gt;"Re-certified",IF(OtherClients[[#This Row],[Client]]="infasco",VLOOKUP(OtherClients[[#This Row],[Part]],PartControl!$A$2:$E$564,2,FALSE),OtherClients[[#This Row],[Total Quantity]]*VLOOKUP(OtherClients[[#This Row],[Part]],PartControl!$A$2:$E$564,2,FALSE)),0)</f>
        <v>129.44999999999999</v>
      </c>
      <c r="Z1197" s="108">
        <f>IF(OtherClients[[#This Row],[Re-certified or New]]&lt;&gt;"Re-certified",IF(OtherClients[[#This Row],[Client]]="infasco",VLOOKUP(OtherClients[[#This Row],[Part]],PartControl!$A$2:$E$564,2,FALSE),OtherClients[[#This Row],[Total Quantity]]*VLOOKUP(OtherClients[[#This Row],[Part]],PartControl!$A$2:$E$564,2,FALSE)),0)</f>
        <v>129.44999999999999</v>
      </c>
    </row>
    <row r="1198" spans="1:26" ht="25.15" hidden="1" customHeight="1" x14ac:dyDescent="0.25">
      <c r="A1198" s="112">
        <v>46253.692604166667</v>
      </c>
      <c r="B1198" s="5" t="s">
        <v>250</v>
      </c>
      <c r="C1198" s="5" t="s">
        <v>703</v>
      </c>
      <c r="D1198" s="5">
        <v>715723</v>
      </c>
      <c r="E1198" s="33">
        <v>36</v>
      </c>
      <c r="F1198" s="60">
        <v>700</v>
      </c>
      <c r="G1198" s="60">
        <f>+OtherClients[[#This Row],[Boxes / Pieces]]*OtherClients[[#This Row],[Unit Quantity]]</f>
        <v>25200</v>
      </c>
      <c r="H1198" s="60">
        <v>290</v>
      </c>
      <c r="I1198" s="126" t="s">
        <v>278</v>
      </c>
      <c r="J1198" s="127"/>
      <c r="K1198" s="33" t="s">
        <v>278</v>
      </c>
      <c r="L1198" s="125"/>
      <c r="M1198" s="33" t="s">
        <v>278</v>
      </c>
      <c r="N1198" s="125"/>
      <c r="O1198" s="33" t="s">
        <v>278</v>
      </c>
      <c r="P1198" s="125"/>
      <c r="Q1198" s="33" t="s">
        <v>587</v>
      </c>
      <c r="R1198" s="125"/>
      <c r="S1198" s="33" t="s">
        <v>278</v>
      </c>
      <c r="T1198" s="125"/>
      <c r="U1198" s="33" t="s">
        <v>278</v>
      </c>
      <c r="V1198" s="125"/>
      <c r="W1198" s="59" t="s">
        <v>548</v>
      </c>
      <c r="X1198" s="33" t="str">
        <f>+VLOOKUP(OtherClients[[#This Row],[Part]],PartControl!$A$2:$E$564,5,FALSE)</f>
        <v>infasco</v>
      </c>
      <c r="Y1198" s="108">
        <f>IF(OtherClients[[#This Row],[Re-certified or New]]&lt;&gt;"Re-certified",IF(OtherClients[[#This Row],[Client]]="infasco",VLOOKUP(OtherClients[[#This Row],[Part]],PartControl!$A$2:$E$564,2,FALSE),OtherClients[[#This Row],[Total Quantity]]*VLOOKUP(OtherClients[[#This Row],[Part]],PartControl!$A$2:$E$564,2,FALSE)),0)</f>
        <v>106.94</v>
      </c>
      <c r="Z1198" s="108">
        <f>IF(OtherClients[[#This Row],[Re-certified or New]]&lt;&gt;"Re-certified",IF(OtherClients[[#This Row],[Client]]="infasco",VLOOKUP(OtherClients[[#This Row],[Part]],PartControl!$A$2:$E$564,2,FALSE),OtherClients[[#This Row],[Total Quantity]]*VLOOKUP(OtherClients[[#This Row],[Part]],PartControl!$A$2:$E$564,2,FALSE)),0)</f>
        <v>106.94</v>
      </c>
    </row>
    <row r="1199" spans="1:26" ht="25.15" hidden="1" customHeight="1" x14ac:dyDescent="0.25">
      <c r="A1199" s="112">
        <v>46253.692604166667</v>
      </c>
      <c r="B1199" s="5" t="s">
        <v>250</v>
      </c>
      <c r="C1199" s="5" t="s">
        <v>703</v>
      </c>
      <c r="D1199" s="5">
        <v>716136</v>
      </c>
      <c r="E1199" s="33">
        <v>24</v>
      </c>
      <c r="F1199" s="60">
        <v>700</v>
      </c>
      <c r="G1199" s="60">
        <f>+OtherClients[[#This Row],[Boxes / Pieces]]*OtherClients[[#This Row],[Unit Quantity]]</f>
        <v>16800</v>
      </c>
      <c r="H1199" s="60">
        <v>290</v>
      </c>
      <c r="I1199" s="126" t="s">
        <v>278</v>
      </c>
      <c r="J1199" s="127"/>
      <c r="K1199" s="33" t="s">
        <v>278</v>
      </c>
      <c r="L1199" s="125"/>
      <c r="M1199" s="33" t="s">
        <v>278</v>
      </c>
      <c r="N1199" s="125"/>
      <c r="O1199" s="33" t="s">
        <v>278</v>
      </c>
      <c r="P1199" s="125"/>
      <c r="Q1199" s="33" t="s">
        <v>587</v>
      </c>
      <c r="R1199" s="125"/>
      <c r="S1199" s="33" t="s">
        <v>278</v>
      </c>
      <c r="T1199" s="125"/>
      <c r="U1199" s="33" t="s">
        <v>278</v>
      </c>
      <c r="V1199" s="125"/>
      <c r="W1199" s="59" t="s">
        <v>633</v>
      </c>
      <c r="X1199" s="33" t="str">
        <f>+VLOOKUP(OtherClients[[#This Row],[Part]],PartControl!$A$2:$E$564,5,FALSE)</f>
        <v>infasco</v>
      </c>
      <c r="Y1199" s="108">
        <f>IF(OtherClients[[#This Row],[Re-certified or New]]&lt;&gt;"Re-certified",IF(OtherClients[[#This Row],[Client]]="infasco",VLOOKUP(OtherClients[[#This Row],[Part]],PartControl!$A$2:$E$564,2,FALSE),OtherClients[[#This Row],[Total Quantity]]*VLOOKUP(OtherClients[[#This Row],[Part]],PartControl!$A$2:$E$564,2,FALSE)),0)</f>
        <v>0</v>
      </c>
      <c r="Z1199" s="108">
        <f>IF(OtherClients[[#This Row],[Re-certified or New]]&lt;&gt;"Re-certified",IF(OtherClients[[#This Row],[Client]]="infasco",VLOOKUP(OtherClients[[#This Row],[Part]],PartControl!$A$2:$E$564,2,FALSE),OtherClients[[#This Row],[Total Quantity]]*VLOOKUP(OtherClients[[#This Row],[Part]],PartControl!$A$2:$E$564,2,FALSE)),0)</f>
        <v>0</v>
      </c>
    </row>
    <row r="1200" spans="1:26" ht="25.15" hidden="1" customHeight="1" x14ac:dyDescent="0.25">
      <c r="A1200" s="112">
        <v>46253.692604166667</v>
      </c>
      <c r="B1200" s="5" t="s">
        <v>343</v>
      </c>
      <c r="C1200" s="5">
        <v>11562515</v>
      </c>
      <c r="D1200" s="5">
        <v>713212</v>
      </c>
      <c r="E1200" s="33">
        <v>13</v>
      </c>
      <c r="F1200" s="60">
        <v>1900</v>
      </c>
      <c r="G1200" s="60">
        <f>+OtherClients[[#This Row],[Boxes / Pieces]]*OtherClients[[#This Row],[Unit Quantity]]</f>
        <v>24700</v>
      </c>
      <c r="H1200" s="60" t="s">
        <v>757</v>
      </c>
      <c r="I1200" s="126" t="s">
        <v>278</v>
      </c>
      <c r="J1200" s="127"/>
      <c r="K1200" s="33" t="s">
        <v>278</v>
      </c>
      <c r="L1200" s="125"/>
      <c r="M1200" s="33" t="s">
        <v>278</v>
      </c>
      <c r="N1200" s="125"/>
      <c r="O1200" s="33" t="s">
        <v>278</v>
      </c>
      <c r="P1200" s="125"/>
      <c r="Q1200" s="33" t="s">
        <v>587</v>
      </c>
      <c r="R1200" s="125"/>
      <c r="S1200" s="33" t="s">
        <v>278</v>
      </c>
      <c r="T1200" s="125"/>
      <c r="U1200" s="33" t="s">
        <v>278</v>
      </c>
      <c r="V1200" s="125"/>
      <c r="W1200" s="59" t="s">
        <v>548</v>
      </c>
      <c r="X1200" s="33" t="str">
        <f>+VLOOKUP(OtherClients[[#This Row],[Part]],PartControl!$A$2:$E$564,5,FALSE)</f>
        <v>INFASCO</v>
      </c>
      <c r="Y1200" s="108">
        <f>IF(OtherClients[[#This Row],[Re-certified or New]]&lt;&gt;"Re-certified",IF(OtherClients[[#This Row],[Client]]="infasco",VLOOKUP(OtherClients[[#This Row],[Part]],PartControl!$A$2:$E$564,2,FALSE),OtherClients[[#This Row],[Total Quantity]]*VLOOKUP(OtherClients[[#This Row],[Part]],PartControl!$A$2:$E$564,2,FALSE)),0)</f>
        <v>135.07999999999998</v>
      </c>
      <c r="Z1200" s="108">
        <f>IF(OtherClients[[#This Row],[Re-certified or New]]&lt;&gt;"Re-certified",IF(OtherClients[[#This Row],[Client]]="infasco",VLOOKUP(OtherClients[[#This Row],[Part]],PartControl!$A$2:$E$564,2,FALSE),OtherClients[[#This Row],[Total Quantity]]*VLOOKUP(OtherClients[[#This Row],[Part]],PartControl!$A$2:$E$564,2,FALSE)),0)</f>
        <v>135.07999999999998</v>
      </c>
    </row>
    <row r="1201" spans="1:26" ht="25.15" hidden="1" customHeight="1" x14ac:dyDescent="0.25">
      <c r="A1201" s="112">
        <v>46253.692604166667</v>
      </c>
      <c r="B1201" s="5" t="s">
        <v>343</v>
      </c>
      <c r="C1201" s="5" t="s">
        <v>818</v>
      </c>
      <c r="D1201" s="5">
        <v>716697</v>
      </c>
      <c r="E1201" s="33">
        <v>23</v>
      </c>
      <c r="F1201" s="60">
        <v>670</v>
      </c>
      <c r="G1201" s="60">
        <f>+OtherClients[[#This Row],[Boxes / Pieces]]*OtherClients[[#This Row],[Unit Quantity]]</f>
        <v>15410</v>
      </c>
      <c r="H1201" s="60" t="s">
        <v>757</v>
      </c>
      <c r="I1201" s="126" t="s">
        <v>278</v>
      </c>
      <c r="J1201" s="127"/>
      <c r="K1201" s="33" t="s">
        <v>278</v>
      </c>
      <c r="L1201" s="125"/>
      <c r="M1201" s="33" t="s">
        <v>278</v>
      </c>
      <c r="N1201" s="125"/>
      <c r="O1201" s="33" t="s">
        <v>278</v>
      </c>
      <c r="P1201" s="125"/>
      <c r="Q1201" s="33" t="s">
        <v>587</v>
      </c>
      <c r="R1201" s="125"/>
      <c r="S1201" s="33" t="s">
        <v>278</v>
      </c>
      <c r="T1201" s="125"/>
      <c r="U1201" s="33" t="s">
        <v>278</v>
      </c>
      <c r="V1201" s="125"/>
      <c r="W1201" s="59" t="s">
        <v>548</v>
      </c>
      <c r="X1201" s="33" t="str">
        <f>+VLOOKUP(OtherClients[[#This Row],[Part]],PartControl!$A$2:$E$564,5,FALSE)</f>
        <v>infasco</v>
      </c>
      <c r="Y1201" s="108">
        <f>IF(OtherClients[[#This Row],[Re-certified or New]]&lt;&gt;"Re-certified",IF(OtherClients[[#This Row],[Client]]="infasco",VLOOKUP(OtherClients[[#This Row],[Part]],PartControl!$A$2:$E$564,2,FALSE),OtherClients[[#This Row],[Total Quantity]]*VLOOKUP(OtherClients[[#This Row],[Part]],PartControl!$A$2:$E$564,2,FALSE)),0)</f>
        <v>280.16000000000003</v>
      </c>
      <c r="Z1201" s="108">
        <f>IF(OtherClients[[#This Row],[Re-certified or New]]&lt;&gt;"Re-certified",IF(OtherClients[[#This Row],[Client]]="infasco",VLOOKUP(OtherClients[[#This Row],[Part]],PartControl!$A$2:$E$564,2,FALSE),OtherClients[[#This Row],[Total Quantity]]*VLOOKUP(OtherClients[[#This Row],[Part]],PartControl!$A$2:$E$564,2,FALSE)),0)</f>
        <v>280.16000000000003</v>
      </c>
    </row>
    <row r="1202" spans="1:26" ht="25.15" hidden="1" customHeight="1" x14ac:dyDescent="0.25">
      <c r="A1202" s="112">
        <v>46253.692604166667</v>
      </c>
      <c r="B1202" s="5" t="s">
        <v>343</v>
      </c>
      <c r="C1202" s="5" t="s">
        <v>792</v>
      </c>
      <c r="D1202" s="5">
        <v>714277</v>
      </c>
      <c r="E1202" s="33">
        <v>28</v>
      </c>
      <c r="F1202" s="60">
        <v>450</v>
      </c>
      <c r="G1202" s="60">
        <f>+OtherClients[[#This Row],[Boxes / Pieces]]*OtherClients[[#This Row],[Unit Quantity]]</f>
        <v>12600</v>
      </c>
      <c r="H1202" s="60" t="s">
        <v>757</v>
      </c>
      <c r="I1202" s="126" t="s">
        <v>278</v>
      </c>
      <c r="J1202" s="127"/>
      <c r="K1202" s="33" t="s">
        <v>278</v>
      </c>
      <c r="L1202" s="125"/>
      <c r="M1202" s="33" t="s">
        <v>278</v>
      </c>
      <c r="N1202" s="125"/>
      <c r="O1202" s="33" t="s">
        <v>278</v>
      </c>
      <c r="P1202" s="125"/>
      <c r="Q1202" s="33" t="s">
        <v>587</v>
      </c>
      <c r="R1202" s="125"/>
      <c r="S1202" s="33" t="s">
        <v>278</v>
      </c>
      <c r="T1202" s="125"/>
      <c r="U1202" s="33" t="s">
        <v>278</v>
      </c>
      <c r="V1202" s="125"/>
      <c r="W1202" s="59" t="s">
        <v>548</v>
      </c>
      <c r="X1202" s="33" t="str">
        <f>+VLOOKUP(OtherClients[[#This Row],[Part]],PartControl!$A$2:$E$564,5,FALSE)</f>
        <v>infasco</v>
      </c>
      <c r="Y1202" s="108">
        <f>IF(OtherClients[[#This Row],[Re-certified or New]]&lt;&gt;"Re-certified",IF(OtherClients[[#This Row],[Client]]="infasco",VLOOKUP(OtherClients[[#This Row],[Part]],PartControl!$A$2:$E$564,2,FALSE),OtherClients[[#This Row],[Total Quantity]]*VLOOKUP(OtherClients[[#This Row],[Part]],PartControl!$A$2:$E$564,2,FALSE)),0)</f>
        <v>106.94</v>
      </c>
      <c r="Z1202" s="108">
        <f>IF(OtherClients[[#This Row],[Re-certified or New]]&lt;&gt;"Re-certified",IF(OtherClients[[#This Row],[Client]]="infasco",VLOOKUP(OtherClients[[#This Row],[Part]],PartControl!$A$2:$E$564,2,FALSE),OtherClients[[#This Row],[Total Quantity]]*VLOOKUP(OtherClients[[#This Row],[Part]],PartControl!$A$2:$E$564,2,FALSE)),0)</f>
        <v>106.94</v>
      </c>
    </row>
    <row r="1203" spans="1:26" ht="25.15" hidden="1" customHeight="1" x14ac:dyDescent="0.25">
      <c r="A1203" s="112">
        <v>46253.692604166667</v>
      </c>
      <c r="B1203" s="5" t="s">
        <v>343</v>
      </c>
      <c r="C1203" s="5" t="s">
        <v>818</v>
      </c>
      <c r="D1203" s="5">
        <v>716693</v>
      </c>
      <c r="E1203" s="33">
        <v>30</v>
      </c>
      <c r="F1203" s="60">
        <v>670</v>
      </c>
      <c r="G1203" s="60">
        <f>+OtherClients[[#This Row],[Boxes / Pieces]]*OtherClients[[#This Row],[Unit Quantity]]</f>
        <v>20100</v>
      </c>
      <c r="H1203" s="60" t="s">
        <v>757</v>
      </c>
      <c r="I1203" s="126" t="s">
        <v>278</v>
      </c>
      <c r="J1203" s="127"/>
      <c r="K1203" s="33" t="s">
        <v>278</v>
      </c>
      <c r="L1203" s="125"/>
      <c r="M1203" s="33" t="s">
        <v>278</v>
      </c>
      <c r="N1203" s="125"/>
      <c r="O1203" s="33" t="s">
        <v>278</v>
      </c>
      <c r="P1203" s="125"/>
      <c r="Q1203" s="33" t="s">
        <v>587</v>
      </c>
      <c r="R1203" s="125"/>
      <c r="S1203" s="33" t="s">
        <v>278</v>
      </c>
      <c r="T1203" s="125"/>
      <c r="U1203" s="33" t="s">
        <v>278</v>
      </c>
      <c r="V1203" s="125"/>
      <c r="W1203" s="59" t="s">
        <v>548</v>
      </c>
      <c r="X1203" s="33" t="str">
        <f>+VLOOKUP(OtherClients[[#This Row],[Part]],PartControl!$A$2:$E$564,5,FALSE)</f>
        <v>infasco</v>
      </c>
      <c r="Y1203" s="108">
        <f>IF(OtherClients[[#This Row],[Re-certified or New]]&lt;&gt;"Re-certified",IF(OtherClients[[#This Row],[Client]]="infasco",VLOOKUP(OtherClients[[#This Row],[Part]],PartControl!$A$2:$E$564,2,FALSE),OtherClients[[#This Row],[Total Quantity]]*VLOOKUP(OtherClients[[#This Row],[Part]],PartControl!$A$2:$E$564,2,FALSE)),0)</f>
        <v>280.16000000000003</v>
      </c>
      <c r="Z1203" s="108">
        <f>IF(OtherClients[[#This Row],[Re-certified or New]]&lt;&gt;"Re-certified",IF(OtherClients[[#This Row],[Client]]="infasco",VLOOKUP(OtherClients[[#This Row],[Part]],PartControl!$A$2:$E$564,2,FALSE),OtherClients[[#This Row],[Total Quantity]]*VLOOKUP(OtherClients[[#This Row],[Part]],PartControl!$A$2:$E$564,2,FALSE)),0)</f>
        <v>280.16000000000003</v>
      </c>
    </row>
    <row r="1204" spans="1:26" ht="25.15" hidden="1" customHeight="1" x14ac:dyDescent="0.25">
      <c r="A1204" s="112">
        <v>46253.692604166667</v>
      </c>
      <c r="B1204" s="5" t="s">
        <v>343</v>
      </c>
      <c r="C1204" s="5">
        <v>11588714</v>
      </c>
      <c r="D1204" s="5">
        <v>717113</v>
      </c>
      <c r="E1204" s="33">
        <v>36</v>
      </c>
      <c r="F1204" s="60">
        <v>1400</v>
      </c>
      <c r="G1204" s="60">
        <f>+OtherClients[[#This Row],[Boxes / Pieces]]*OtherClients[[#This Row],[Unit Quantity]]</f>
        <v>50400</v>
      </c>
      <c r="H1204" s="60" t="s">
        <v>757</v>
      </c>
      <c r="I1204" s="126" t="s">
        <v>278</v>
      </c>
      <c r="J1204" s="127"/>
      <c r="K1204" s="33" t="s">
        <v>278</v>
      </c>
      <c r="L1204" s="125"/>
      <c r="M1204" s="33" t="s">
        <v>278</v>
      </c>
      <c r="N1204" s="125"/>
      <c r="O1204" s="33" t="s">
        <v>278</v>
      </c>
      <c r="P1204" s="125"/>
      <c r="Q1204" s="33" t="s">
        <v>587</v>
      </c>
      <c r="R1204" s="125"/>
      <c r="S1204" s="33" t="s">
        <v>278</v>
      </c>
      <c r="T1204" s="125"/>
      <c r="U1204" s="33" t="s">
        <v>278</v>
      </c>
      <c r="V1204" s="125"/>
      <c r="W1204" s="59" t="s">
        <v>548</v>
      </c>
      <c r="X1204" s="33" t="str">
        <f>+VLOOKUP(OtherClients[[#This Row],[Part]],PartControl!$A$2:$E$564,5,FALSE)</f>
        <v>INFASCO</v>
      </c>
      <c r="Y1204" s="108">
        <f>IF(OtherClients[[#This Row],[Re-certified or New]]&lt;&gt;"Re-certified",IF(OtherClients[[#This Row],[Client]]="infasco",VLOOKUP(OtherClients[[#This Row],[Part]],PartControl!$A$2:$E$564,2,FALSE),OtherClients[[#This Row],[Total Quantity]]*VLOOKUP(OtherClients[[#This Row],[Part]],PartControl!$A$2:$E$564,2,FALSE)),0)</f>
        <v>280.15999999999997</v>
      </c>
      <c r="Z1204" s="108">
        <f>IF(OtherClients[[#This Row],[Re-certified or New]]&lt;&gt;"Re-certified",IF(OtherClients[[#This Row],[Client]]="infasco",VLOOKUP(OtherClients[[#This Row],[Part]],PartControl!$A$2:$E$564,2,FALSE),OtherClients[[#This Row],[Total Quantity]]*VLOOKUP(OtherClients[[#This Row],[Part]],PartControl!$A$2:$E$564,2,FALSE)),0)</f>
        <v>280.15999999999997</v>
      </c>
    </row>
    <row r="1205" spans="1:26" ht="25.15" hidden="1" customHeight="1" x14ac:dyDescent="0.25">
      <c r="A1205" s="112">
        <v>46253.692604166667</v>
      </c>
      <c r="B1205" s="5" t="s">
        <v>343</v>
      </c>
      <c r="C1205" s="5" t="s">
        <v>720</v>
      </c>
      <c r="D1205" s="5">
        <v>713049</v>
      </c>
      <c r="E1205" s="33">
        <v>24</v>
      </c>
      <c r="F1205" s="60">
        <v>200</v>
      </c>
      <c r="G1205" s="60">
        <f>+OtherClients[[#This Row],[Boxes / Pieces]]*OtherClients[[#This Row],[Unit Quantity]]</f>
        <v>4800</v>
      </c>
      <c r="H1205" s="60" t="s">
        <v>757</v>
      </c>
      <c r="I1205" s="126" t="s">
        <v>278</v>
      </c>
      <c r="J1205" s="127"/>
      <c r="K1205" s="33" t="s">
        <v>278</v>
      </c>
      <c r="L1205" s="125"/>
      <c r="M1205" s="33" t="s">
        <v>278</v>
      </c>
      <c r="N1205" s="125"/>
      <c r="O1205" s="33" t="s">
        <v>278</v>
      </c>
      <c r="P1205" s="125"/>
      <c r="Q1205" s="33" t="s">
        <v>587</v>
      </c>
      <c r="R1205" s="125"/>
      <c r="S1205" s="33" t="s">
        <v>278</v>
      </c>
      <c r="T1205" s="125"/>
      <c r="U1205" s="33" t="s">
        <v>278</v>
      </c>
      <c r="V1205" s="125"/>
      <c r="W1205" s="59" t="s">
        <v>548</v>
      </c>
      <c r="X1205" s="33" t="str">
        <f>+VLOOKUP(OtherClients[[#This Row],[Part]],PartControl!$A$2:$E$564,5,FALSE)</f>
        <v>infasco</v>
      </c>
      <c r="Y1205" s="108">
        <f>IF(OtherClients[[#This Row],[Re-certified or New]]&lt;&gt;"Re-certified",IF(OtherClients[[#This Row],[Client]]="infasco",VLOOKUP(OtherClients[[#This Row],[Part]],PartControl!$A$2:$E$564,2,FALSE),OtherClients[[#This Row],[Total Quantity]]*VLOOKUP(OtherClients[[#This Row],[Part]],PartControl!$A$2:$E$564,2,FALSE)),0)</f>
        <v>129.44999999999999</v>
      </c>
      <c r="Z1205" s="108">
        <f>IF(OtherClients[[#This Row],[Re-certified or New]]&lt;&gt;"Re-certified",IF(OtherClients[[#This Row],[Client]]="infasco",VLOOKUP(OtherClients[[#This Row],[Part]],PartControl!$A$2:$E$564,2,FALSE),OtherClients[[#This Row],[Total Quantity]]*VLOOKUP(OtherClients[[#This Row],[Part]],PartControl!$A$2:$E$564,2,FALSE)),0)</f>
        <v>129.44999999999999</v>
      </c>
    </row>
    <row r="1206" spans="1:26" ht="25.15" hidden="1" customHeight="1" x14ac:dyDescent="0.25">
      <c r="A1206" s="112">
        <v>46253.692604166667</v>
      </c>
      <c r="B1206" s="5" t="s">
        <v>343</v>
      </c>
      <c r="C1206" s="5" t="s">
        <v>720</v>
      </c>
      <c r="D1206" s="5">
        <v>714257</v>
      </c>
      <c r="E1206" s="33">
        <v>24</v>
      </c>
      <c r="F1206" s="60">
        <v>200</v>
      </c>
      <c r="G1206" s="60">
        <f>+OtherClients[[#This Row],[Boxes / Pieces]]*OtherClients[[#This Row],[Unit Quantity]]</f>
        <v>4800</v>
      </c>
      <c r="H1206" s="60" t="s">
        <v>757</v>
      </c>
      <c r="I1206" s="126" t="s">
        <v>278</v>
      </c>
      <c r="J1206" s="127"/>
      <c r="K1206" s="33" t="s">
        <v>278</v>
      </c>
      <c r="L1206" s="125"/>
      <c r="M1206" s="33" t="s">
        <v>278</v>
      </c>
      <c r="N1206" s="125"/>
      <c r="O1206" s="33" t="s">
        <v>278</v>
      </c>
      <c r="P1206" s="125"/>
      <c r="Q1206" s="33" t="s">
        <v>587</v>
      </c>
      <c r="R1206" s="125"/>
      <c r="S1206" s="33" t="s">
        <v>278</v>
      </c>
      <c r="T1206" s="125"/>
      <c r="U1206" s="33" t="s">
        <v>278</v>
      </c>
      <c r="V1206" s="125"/>
      <c r="W1206" s="59" t="s">
        <v>548</v>
      </c>
      <c r="X1206" s="33" t="str">
        <f>+VLOOKUP(OtherClients[[#This Row],[Part]],PartControl!$A$2:$E$564,5,FALSE)</f>
        <v>infasco</v>
      </c>
      <c r="Y1206" s="108">
        <f>IF(OtherClients[[#This Row],[Re-certified or New]]&lt;&gt;"Re-certified",IF(OtherClients[[#This Row],[Client]]="infasco",VLOOKUP(OtherClients[[#This Row],[Part]],PartControl!$A$2:$E$564,2,FALSE),OtherClients[[#This Row],[Total Quantity]]*VLOOKUP(OtherClients[[#This Row],[Part]],PartControl!$A$2:$E$564,2,FALSE)),0)</f>
        <v>129.44999999999999</v>
      </c>
      <c r="Z1206" s="108">
        <f>IF(OtherClients[[#This Row],[Re-certified or New]]&lt;&gt;"Re-certified",IF(OtherClients[[#This Row],[Client]]="infasco",VLOOKUP(OtherClients[[#This Row],[Part]],PartControl!$A$2:$E$564,2,FALSE),OtherClients[[#This Row],[Total Quantity]]*VLOOKUP(OtherClients[[#This Row],[Part]],PartControl!$A$2:$E$564,2,FALSE)),0)</f>
        <v>129.44999999999999</v>
      </c>
    </row>
    <row r="1207" spans="1:26" ht="25.15" hidden="1" customHeight="1" x14ac:dyDescent="0.25">
      <c r="A1207" s="112">
        <v>46253.692604166667</v>
      </c>
      <c r="B1207" s="5" t="s">
        <v>343</v>
      </c>
      <c r="C1207" s="5" t="s">
        <v>720</v>
      </c>
      <c r="D1207" s="5">
        <v>714256</v>
      </c>
      <c r="E1207" s="33">
        <f>24+24</f>
        <v>48</v>
      </c>
      <c r="F1207" s="60">
        <v>200</v>
      </c>
      <c r="G1207" s="60">
        <f>+OtherClients[[#This Row],[Boxes / Pieces]]*OtherClients[[#This Row],[Unit Quantity]]</f>
        <v>9600</v>
      </c>
      <c r="H1207" s="60" t="s">
        <v>757</v>
      </c>
      <c r="I1207" s="126" t="s">
        <v>278</v>
      </c>
      <c r="J1207" s="127"/>
      <c r="K1207" s="33" t="s">
        <v>278</v>
      </c>
      <c r="L1207" s="125"/>
      <c r="M1207" s="33" t="s">
        <v>278</v>
      </c>
      <c r="N1207" s="125"/>
      <c r="O1207" s="33" t="s">
        <v>278</v>
      </c>
      <c r="P1207" s="125"/>
      <c r="Q1207" s="33" t="s">
        <v>587</v>
      </c>
      <c r="R1207" s="125"/>
      <c r="S1207" s="33" t="s">
        <v>278</v>
      </c>
      <c r="T1207" s="125"/>
      <c r="U1207" s="33" t="s">
        <v>278</v>
      </c>
      <c r="V1207" s="125"/>
      <c r="W1207" s="59" t="s">
        <v>548</v>
      </c>
      <c r="X1207" s="33" t="str">
        <f>+VLOOKUP(OtherClients[[#This Row],[Part]],PartControl!$A$2:$E$564,5,FALSE)</f>
        <v>infasco</v>
      </c>
      <c r="Y1207" s="108">
        <f>IF(OtherClients[[#This Row],[Re-certified or New]]&lt;&gt;"Re-certified",IF(OtherClients[[#This Row],[Client]]="infasco",VLOOKUP(OtherClients[[#This Row],[Part]],PartControl!$A$2:$E$564,2,FALSE),OtherClients[[#This Row],[Total Quantity]]*VLOOKUP(OtherClients[[#This Row],[Part]],PartControl!$A$2:$E$564,2,FALSE)),0)</f>
        <v>129.44999999999999</v>
      </c>
      <c r="Z1207" s="108">
        <f>IF(OtherClients[[#This Row],[Re-certified or New]]&lt;&gt;"Re-certified",IF(OtherClients[[#This Row],[Client]]="infasco",VLOOKUP(OtherClients[[#This Row],[Part]],PartControl!$A$2:$E$564,2,FALSE),OtherClients[[#This Row],[Total Quantity]]*VLOOKUP(OtherClients[[#This Row],[Part]],PartControl!$A$2:$E$564,2,FALSE)),0)</f>
        <v>129.44999999999999</v>
      </c>
    </row>
    <row r="1208" spans="1:26" ht="25.15" hidden="1" customHeight="1" x14ac:dyDescent="0.25">
      <c r="A1208" s="112">
        <v>46253.692604166667</v>
      </c>
      <c r="B1208" s="5" t="s">
        <v>343</v>
      </c>
      <c r="C1208" s="5" t="s">
        <v>720</v>
      </c>
      <c r="D1208" s="5">
        <v>713052</v>
      </c>
      <c r="E1208" s="33">
        <v>20</v>
      </c>
      <c r="F1208" s="60">
        <v>200</v>
      </c>
      <c r="G1208" s="60">
        <f>+OtherClients[[#This Row],[Boxes / Pieces]]*OtherClients[[#This Row],[Unit Quantity]]</f>
        <v>4000</v>
      </c>
      <c r="H1208" s="60" t="s">
        <v>757</v>
      </c>
      <c r="I1208" s="126" t="s">
        <v>278</v>
      </c>
      <c r="J1208" s="127"/>
      <c r="K1208" s="33" t="s">
        <v>278</v>
      </c>
      <c r="L1208" s="125"/>
      <c r="M1208" s="33" t="s">
        <v>278</v>
      </c>
      <c r="N1208" s="125"/>
      <c r="O1208" s="33" t="s">
        <v>278</v>
      </c>
      <c r="P1208" s="125"/>
      <c r="Q1208" s="33" t="s">
        <v>587</v>
      </c>
      <c r="R1208" s="125"/>
      <c r="S1208" s="33" t="s">
        <v>278</v>
      </c>
      <c r="T1208" s="125"/>
      <c r="U1208" s="33" t="s">
        <v>278</v>
      </c>
      <c r="V1208" s="125"/>
      <c r="W1208" s="59" t="s">
        <v>548</v>
      </c>
      <c r="X1208" s="33" t="str">
        <f>+VLOOKUP(OtherClients[[#This Row],[Part]],PartControl!$A$2:$E$564,5,FALSE)</f>
        <v>infasco</v>
      </c>
      <c r="Y1208" s="108">
        <f>IF(OtherClients[[#This Row],[Re-certified or New]]&lt;&gt;"Re-certified",IF(OtherClients[[#This Row],[Client]]="infasco",VLOOKUP(OtherClients[[#This Row],[Part]],PartControl!$A$2:$E$564,2,FALSE),OtherClients[[#This Row],[Total Quantity]]*VLOOKUP(OtherClients[[#This Row],[Part]],PartControl!$A$2:$E$564,2,FALSE)),0)</f>
        <v>129.44999999999999</v>
      </c>
      <c r="Z1208" s="108">
        <f>IF(OtherClients[[#This Row],[Re-certified or New]]&lt;&gt;"Re-certified",IF(OtherClients[[#This Row],[Client]]="infasco",VLOOKUP(OtherClients[[#This Row],[Part]],PartControl!$A$2:$E$564,2,FALSE),OtherClients[[#This Row],[Total Quantity]]*VLOOKUP(OtherClients[[#This Row],[Part]],PartControl!$A$2:$E$564,2,FALSE)),0)</f>
        <v>129.44999999999999</v>
      </c>
    </row>
    <row r="1209" spans="1:26" ht="25.15" hidden="1" customHeight="1" x14ac:dyDescent="0.25">
      <c r="A1209" s="112">
        <v>46253.692604166667</v>
      </c>
      <c r="B1209" s="5" t="s">
        <v>343</v>
      </c>
      <c r="C1209" s="5">
        <v>11562515</v>
      </c>
      <c r="D1209" s="5">
        <v>713211</v>
      </c>
      <c r="E1209" s="33">
        <v>36</v>
      </c>
      <c r="F1209" s="60">
        <v>1900</v>
      </c>
      <c r="G1209" s="60">
        <f>+OtherClients[[#This Row],[Boxes / Pieces]]*OtherClients[[#This Row],[Unit Quantity]]</f>
        <v>68400</v>
      </c>
      <c r="H1209" s="60" t="s">
        <v>757</v>
      </c>
      <c r="I1209" s="126" t="s">
        <v>278</v>
      </c>
      <c r="J1209" s="127"/>
      <c r="K1209" s="33" t="s">
        <v>278</v>
      </c>
      <c r="L1209" s="125"/>
      <c r="M1209" s="33" t="s">
        <v>278</v>
      </c>
      <c r="N1209" s="125"/>
      <c r="O1209" s="33" t="s">
        <v>278</v>
      </c>
      <c r="P1209" s="125"/>
      <c r="Q1209" s="33" t="s">
        <v>587</v>
      </c>
      <c r="R1209" s="125"/>
      <c r="S1209" s="33" t="s">
        <v>278</v>
      </c>
      <c r="T1209" s="125"/>
      <c r="U1209" s="33" t="s">
        <v>278</v>
      </c>
      <c r="V1209" s="125"/>
      <c r="W1209" s="59" t="s">
        <v>548</v>
      </c>
      <c r="X1209" s="33" t="str">
        <f>+VLOOKUP(OtherClients[[#This Row],[Part]],PartControl!$A$2:$E$564,5,FALSE)</f>
        <v>INFASCO</v>
      </c>
      <c r="Y1209" s="108">
        <f>IF(OtherClients[[#This Row],[Re-certified or New]]&lt;&gt;"Re-certified",IF(OtherClients[[#This Row],[Client]]="infasco",VLOOKUP(OtherClients[[#This Row],[Part]],PartControl!$A$2:$E$564,2,FALSE),OtherClients[[#This Row],[Total Quantity]]*VLOOKUP(OtherClients[[#This Row],[Part]],PartControl!$A$2:$E$564,2,FALSE)),0)</f>
        <v>135.07999999999998</v>
      </c>
      <c r="Z1209" s="108">
        <f>IF(OtherClients[[#This Row],[Re-certified or New]]&lt;&gt;"Re-certified",IF(OtherClients[[#This Row],[Client]]="infasco",VLOOKUP(OtherClients[[#This Row],[Part]],PartControl!$A$2:$E$564,2,FALSE),OtherClients[[#This Row],[Total Quantity]]*VLOOKUP(OtherClients[[#This Row],[Part]],PartControl!$A$2:$E$564,2,FALSE)),0)</f>
        <v>135.07999999999998</v>
      </c>
    </row>
    <row r="1210" spans="1:26" ht="25.15" hidden="1" customHeight="1" x14ac:dyDescent="0.25">
      <c r="A1210" s="112">
        <v>46253.692604166667</v>
      </c>
      <c r="B1210" s="5" t="s">
        <v>243</v>
      </c>
      <c r="C1210" s="5" t="s">
        <v>718</v>
      </c>
      <c r="D1210" s="5">
        <v>714425</v>
      </c>
      <c r="E1210" s="33">
        <f>36-5</f>
        <v>31</v>
      </c>
      <c r="F1210" s="60">
        <v>3500</v>
      </c>
      <c r="G1210" s="60">
        <f>+OtherClients[[#This Row],[Boxes / Pieces]]*OtherClients[[#This Row],[Unit Quantity]]</f>
        <v>108500</v>
      </c>
      <c r="H1210" s="60">
        <v>292</v>
      </c>
      <c r="I1210" s="126" t="s">
        <v>278</v>
      </c>
      <c r="J1210" s="127"/>
      <c r="K1210" s="33" t="s">
        <v>278</v>
      </c>
      <c r="L1210" s="125"/>
      <c r="M1210" s="33" t="s">
        <v>278</v>
      </c>
      <c r="N1210" s="125"/>
      <c r="O1210" s="33" t="s">
        <v>278</v>
      </c>
      <c r="P1210" s="125"/>
      <c r="Q1210" s="33" t="s">
        <v>587</v>
      </c>
      <c r="R1210" s="125"/>
      <c r="S1210" s="33" t="s">
        <v>278</v>
      </c>
      <c r="T1210" s="125"/>
      <c r="U1210" s="33" t="s">
        <v>278</v>
      </c>
      <c r="V1210" s="125"/>
      <c r="W1210" s="59" t="s">
        <v>548</v>
      </c>
      <c r="X1210" s="33" t="str">
        <f>+VLOOKUP(OtherClients[[#This Row],[Part]],PartControl!$A$2:$E$564,5,FALSE)</f>
        <v>infasco</v>
      </c>
      <c r="Y1210" s="108">
        <f>IF(OtherClients[[#This Row],[Re-certified or New]]&lt;&gt;"Re-certified",IF(OtherClients[[#This Row],[Client]]="infasco",VLOOKUP(OtherClients[[#This Row],[Part]],PartControl!$A$2:$E$564,2,FALSE),OtherClients[[#This Row],[Total Quantity]]*VLOOKUP(OtherClients[[#This Row],[Part]],PartControl!$A$2:$E$564,2,FALSE)),0)</f>
        <v>106.94</v>
      </c>
      <c r="Z1210" s="108">
        <f>IF(OtherClients[[#This Row],[Re-certified or New]]&lt;&gt;"Re-certified",IF(OtherClients[[#This Row],[Client]]="infasco",VLOOKUP(OtherClients[[#This Row],[Part]],PartControl!$A$2:$E$564,2,FALSE),OtherClients[[#This Row],[Total Quantity]]*VLOOKUP(OtherClients[[#This Row],[Part]],PartControl!$A$2:$E$564,2,FALSE)),0)</f>
        <v>106.94</v>
      </c>
    </row>
    <row r="1211" spans="1:26" ht="25.15" hidden="1" customHeight="1" x14ac:dyDescent="0.25">
      <c r="A1211" s="112">
        <v>46253.692604166667</v>
      </c>
      <c r="B1211" s="5" t="s">
        <v>243</v>
      </c>
      <c r="C1211" s="5" t="s">
        <v>710</v>
      </c>
      <c r="D1211" s="5">
        <v>716333</v>
      </c>
      <c r="E1211" s="33">
        <v>10</v>
      </c>
      <c r="F1211" s="60">
        <v>3500</v>
      </c>
      <c r="G1211" s="60">
        <f>+OtherClients[[#This Row],[Boxes / Pieces]]*OtherClients[[#This Row],[Unit Quantity]]</f>
        <v>35000</v>
      </c>
      <c r="H1211" s="60">
        <v>292</v>
      </c>
      <c r="I1211" s="126" t="s">
        <v>278</v>
      </c>
      <c r="J1211" s="127"/>
      <c r="K1211" s="33" t="s">
        <v>278</v>
      </c>
      <c r="L1211" s="125"/>
      <c r="M1211" s="33" t="s">
        <v>278</v>
      </c>
      <c r="N1211" s="125"/>
      <c r="O1211" s="33" t="s">
        <v>278</v>
      </c>
      <c r="P1211" s="125"/>
      <c r="Q1211" s="33" t="s">
        <v>587</v>
      </c>
      <c r="R1211" s="125"/>
      <c r="S1211" s="33" t="s">
        <v>278</v>
      </c>
      <c r="T1211" s="125"/>
      <c r="U1211" s="33" t="s">
        <v>278</v>
      </c>
      <c r="V1211" s="125"/>
      <c r="W1211" s="59" t="s">
        <v>633</v>
      </c>
      <c r="X1211" s="33" t="str">
        <f>+VLOOKUP(OtherClients[[#This Row],[Part]],PartControl!$A$2:$E$564,5,FALSE)</f>
        <v>infasco</v>
      </c>
      <c r="Y1211" s="108">
        <f>IF(OtherClients[[#This Row],[Re-certified or New]]&lt;&gt;"Re-certified",IF(OtherClients[[#This Row],[Client]]="infasco",VLOOKUP(OtherClients[[#This Row],[Part]],PartControl!$A$2:$E$564,2,FALSE),OtherClients[[#This Row],[Total Quantity]]*VLOOKUP(OtherClients[[#This Row],[Part]],PartControl!$A$2:$E$564,2,FALSE)),0)</f>
        <v>0</v>
      </c>
      <c r="Z1211" s="108">
        <f>IF(OtherClients[[#This Row],[Re-certified or New]]&lt;&gt;"Re-certified",IF(OtherClients[[#This Row],[Client]]="infasco",VLOOKUP(OtherClients[[#This Row],[Part]],PartControl!$A$2:$E$564,2,FALSE),OtherClients[[#This Row],[Total Quantity]]*VLOOKUP(OtherClients[[#This Row],[Part]],PartControl!$A$2:$E$564,2,FALSE)),0)</f>
        <v>0</v>
      </c>
    </row>
    <row r="1212" spans="1:26" ht="25.15" hidden="1" customHeight="1" x14ac:dyDescent="0.25">
      <c r="A1212" s="112">
        <v>46253.692604166667</v>
      </c>
      <c r="B1212" s="5" t="s">
        <v>623</v>
      </c>
      <c r="C1212" s="5" t="s">
        <v>703</v>
      </c>
      <c r="D1212" s="5">
        <v>715724</v>
      </c>
      <c r="E1212" s="33">
        <f>36-30</f>
        <v>6</v>
      </c>
      <c r="F1212" s="60">
        <v>700</v>
      </c>
      <c r="G1212" s="60">
        <f>+OtherClients[[#This Row],[Boxes / Pieces]]*OtherClients[[#This Row],[Unit Quantity]]</f>
        <v>4200</v>
      </c>
      <c r="H1212" s="60">
        <v>292</v>
      </c>
      <c r="I1212" s="126" t="s">
        <v>278</v>
      </c>
      <c r="J1212" s="127"/>
      <c r="K1212" s="33" t="s">
        <v>278</v>
      </c>
      <c r="L1212" s="125"/>
      <c r="M1212" s="33" t="s">
        <v>278</v>
      </c>
      <c r="N1212" s="125"/>
      <c r="O1212" s="33" t="s">
        <v>278</v>
      </c>
      <c r="P1212" s="125"/>
      <c r="Q1212" s="33" t="s">
        <v>587</v>
      </c>
      <c r="R1212" s="125"/>
      <c r="S1212" s="33" t="s">
        <v>278</v>
      </c>
      <c r="T1212" s="125"/>
      <c r="U1212" s="33" t="s">
        <v>278</v>
      </c>
      <c r="V1212" s="125"/>
      <c r="W1212" s="59" t="s">
        <v>548</v>
      </c>
      <c r="X1212" s="33" t="str">
        <f>+VLOOKUP(OtherClients[[#This Row],[Part]],PartControl!$A$2:$E$564,5,FALSE)</f>
        <v>infasco</v>
      </c>
      <c r="Y1212" s="108">
        <f>IF(OtherClients[[#This Row],[Re-certified or New]]&lt;&gt;"Re-certified",IF(OtherClients[[#This Row],[Client]]="infasco",VLOOKUP(OtherClients[[#This Row],[Part]],PartControl!$A$2:$E$564,2,FALSE),OtherClients[[#This Row],[Total Quantity]]*VLOOKUP(OtherClients[[#This Row],[Part]],PartControl!$A$2:$E$564,2,FALSE)),0)</f>
        <v>106.94</v>
      </c>
      <c r="Z1212" s="108">
        <f>IF(OtherClients[[#This Row],[Re-certified or New]]&lt;&gt;"Re-certified",IF(OtherClients[[#This Row],[Client]]="infasco",VLOOKUP(OtherClients[[#This Row],[Part]],PartControl!$A$2:$E$564,2,FALSE),OtherClients[[#This Row],[Total Quantity]]*VLOOKUP(OtherClients[[#This Row],[Part]],PartControl!$A$2:$E$564,2,FALSE)),0)</f>
        <v>106.94</v>
      </c>
    </row>
    <row r="1213" spans="1:26" ht="25.15" hidden="1" customHeight="1" x14ac:dyDescent="0.25">
      <c r="A1213" s="112">
        <v>46253.692604166667</v>
      </c>
      <c r="B1213" s="5" t="s">
        <v>623</v>
      </c>
      <c r="C1213" s="5" t="s">
        <v>703</v>
      </c>
      <c r="D1213" s="5">
        <v>716131</v>
      </c>
      <c r="E1213" s="33">
        <v>36</v>
      </c>
      <c r="F1213" s="60">
        <v>700</v>
      </c>
      <c r="G1213" s="60">
        <f>+OtherClients[[#This Row],[Boxes / Pieces]]*OtherClients[[#This Row],[Unit Quantity]]</f>
        <v>25200</v>
      </c>
      <c r="H1213" s="60">
        <v>292</v>
      </c>
      <c r="I1213" s="126" t="s">
        <v>278</v>
      </c>
      <c r="J1213" s="127"/>
      <c r="K1213" s="33" t="s">
        <v>278</v>
      </c>
      <c r="L1213" s="125"/>
      <c r="M1213" s="33" t="s">
        <v>278</v>
      </c>
      <c r="N1213" s="125"/>
      <c r="O1213" s="33" t="s">
        <v>278</v>
      </c>
      <c r="P1213" s="125"/>
      <c r="Q1213" s="33" t="s">
        <v>587</v>
      </c>
      <c r="R1213" s="125"/>
      <c r="S1213" s="33" t="s">
        <v>278</v>
      </c>
      <c r="T1213" s="125"/>
      <c r="U1213" s="33" t="s">
        <v>278</v>
      </c>
      <c r="V1213" s="125"/>
      <c r="W1213" s="59" t="s">
        <v>548</v>
      </c>
      <c r="X1213" s="33" t="str">
        <f>+VLOOKUP(OtherClients[[#This Row],[Part]],PartControl!$A$2:$E$564,5,FALSE)</f>
        <v>infasco</v>
      </c>
      <c r="Y1213" s="108">
        <f>IF(OtherClients[[#This Row],[Re-certified or New]]&lt;&gt;"Re-certified",IF(OtherClients[[#This Row],[Client]]="infasco",VLOOKUP(OtherClients[[#This Row],[Part]],PartControl!$A$2:$E$564,2,FALSE),OtherClients[[#This Row],[Total Quantity]]*VLOOKUP(OtherClients[[#This Row],[Part]],PartControl!$A$2:$E$564,2,FALSE)),0)</f>
        <v>106.94</v>
      </c>
      <c r="Z1213" s="108">
        <f>IF(OtherClients[[#This Row],[Re-certified or New]]&lt;&gt;"Re-certified",IF(OtherClients[[#This Row],[Client]]="infasco",VLOOKUP(OtherClients[[#This Row],[Part]],PartControl!$A$2:$E$564,2,FALSE),OtherClients[[#This Row],[Total Quantity]]*VLOOKUP(OtherClients[[#This Row],[Part]],PartControl!$A$2:$E$564,2,FALSE)),0)</f>
        <v>106.94</v>
      </c>
    </row>
    <row r="1214" spans="1:26" ht="25.15" hidden="1" customHeight="1" x14ac:dyDescent="0.25">
      <c r="A1214" s="112">
        <v>46253.692604166667</v>
      </c>
      <c r="B1214" s="5" t="s">
        <v>623</v>
      </c>
      <c r="C1214" s="5" t="s">
        <v>703</v>
      </c>
      <c r="D1214" s="5">
        <v>716130</v>
      </c>
      <c r="E1214" s="33">
        <v>29</v>
      </c>
      <c r="F1214" s="60">
        <v>700</v>
      </c>
      <c r="G1214" s="60">
        <f>+OtherClients[[#This Row],[Boxes / Pieces]]*OtherClients[[#This Row],[Unit Quantity]]</f>
        <v>20300</v>
      </c>
      <c r="H1214" s="60">
        <v>292</v>
      </c>
      <c r="I1214" s="126" t="s">
        <v>278</v>
      </c>
      <c r="J1214" s="127"/>
      <c r="K1214" s="33" t="s">
        <v>278</v>
      </c>
      <c r="L1214" s="125"/>
      <c r="M1214" s="33" t="s">
        <v>278</v>
      </c>
      <c r="N1214" s="125"/>
      <c r="O1214" s="33" t="s">
        <v>278</v>
      </c>
      <c r="P1214" s="125"/>
      <c r="Q1214" s="33" t="s">
        <v>587</v>
      </c>
      <c r="R1214" s="125"/>
      <c r="S1214" s="33" t="s">
        <v>278</v>
      </c>
      <c r="T1214" s="125"/>
      <c r="U1214" s="33" t="s">
        <v>278</v>
      </c>
      <c r="V1214" s="125"/>
      <c r="W1214" s="59" t="s">
        <v>548</v>
      </c>
      <c r="X1214" s="33" t="str">
        <f>+VLOOKUP(OtherClients[[#This Row],[Part]],PartControl!$A$2:$E$564,5,FALSE)</f>
        <v>infasco</v>
      </c>
      <c r="Y1214" s="108">
        <f>IF(OtherClients[[#This Row],[Re-certified or New]]&lt;&gt;"Re-certified",IF(OtherClients[[#This Row],[Client]]="infasco",VLOOKUP(OtherClients[[#This Row],[Part]],PartControl!$A$2:$E$564,2,FALSE),OtherClients[[#This Row],[Total Quantity]]*VLOOKUP(OtherClients[[#This Row],[Part]],PartControl!$A$2:$E$564,2,FALSE)),0)</f>
        <v>106.94</v>
      </c>
      <c r="Z1214" s="108">
        <f>IF(OtherClients[[#This Row],[Re-certified or New]]&lt;&gt;"Re-certified",IF(OtherClients[[#This Row],[Client]]="infasco",VLOOKUP(OtherClients[[#This Row],[Part]],PartControl!$A$2:$E$564,2,FALSE),OtherClients[[#This Row],[Total Quantity]]*VLOOKUP(OtherClients[[#This Row],[Part]],PartControl!$A$2:$E$564,2,FALSE)),0)</f>
        <v>106.94</v>
      </c>
    </row>
    <row r="1215" spans="1:26" ht="25.15" hidden="1" customHeight="1" x14ac:dyDescent="0.25">
      <c r="A1215" s="112">
        <v>46253.692604166667</v>
      </c>
      <c r="B1215" s="5" t="s">
        <v>623</v>
      </c>
      <c r="C1215" s="5">
        <v>11610091</v>
      </c>
      <c r="D1215" s="5">
        <v>716450</v>
      </c>
      <c r="E1215" s="33">
        <v>10</v>
      </c>
      <c r="F1215" s="60">
        <v>2500</v>
      </c>
      <c r="G1215" s="60">
        <f>+OtherClients[[#This Row],[Boxes / Pieces]]*OtherClients[[#This Row],[Unit Quantity]]</f>
        <v>25000</v>
      </c>
      <c r="H1215" s="60">
        <v>292</v>
      </c>
      <c r="I1215" s="126" t="s">
        <v>278</v>
      </c>
      <c r="J1215" s="127"/>
      <c r="K1215" s="33" t="s">
        <v>278</v>
      </c>
      <c r="L1215" s="125"/>
      <c r="M1215" s="33" t="s">
        <v>278</v>
      </c>
      <c r="N1215" s="125"/>
      <c r="O1215" s="33" t="s">
        <v>278</v>
      </c>
      <c r="P1215" s="125"/>
      <c r="Q1215" s="33" t="s">
        <v>587</v>
      </c>
      <c r="R1215" s="125"/>
      <c r="S1215" s="33" t="s">
        <v>278</v>
      </c>
      <c r="T1215" s="125"/>
      <c r="U1215" s="33" t="s">
        <v>278</v>
      </c>
      <c r="V1215" s="125"/>
      <c r="W1215" s="59" t="s">
        <v>633</v>
      </c>
      <c r="X1215" s="33" t="str">
        <f>+VLOOKUP(OtherClients[[#This Row],[Part]],PartControl!$A$2:$E$564,5,FALSE)</f>
        <v>infasco</v>
      </c>
      <c r="Y1215" s="108">
        <f>IF(OtherClients[[#This Row],[Re-certified or New]]&lt;&gt;"Re-certified",IF(OtherClients[[#This Row],[Client]]="infasco",VLOOKUP(OtherClients[[#This Row],[Part]],PartControl!$A$2:$E$564,2,FALSE),OtherClients[[#This Row],[Total Quantity]]*VLOOKUP(OtherClients[[#This Row],[Part]],PartControl!$A$2:$E$564,2,FALSE)),0)</f>
        <v>0</v>
      </c>
      <c r="Z1215" s="108">
        <f>IF(OtherClients[[#This Row],[Re-certified or New]]&lt;&gt;"Re-certified",IF(OtherClients[[#This Row],[Client]]="infasco",VLOOKUP(OtherClients[[#This Row],[Part]],PartControl!$A$2:$E$564,2,FALSE),OtherClients[[#This Row],[Total Quantity]]*VLOOKUP(OtherClients[[#This Row],[Part]],PartControl!$A$2:$E$564,2,FALSE)),0)</f>
        <v>0</v>
      </c>
    </row>
    <row r="1216" spans="1:26" ht="25.15" hidden="1" customHeight="1" x14ac:dyDescent="0.25">
      <c r="A1216" s="112">
        <v>46253.692604166667</v>
      </c>
      <c r="B1216" s="5" t="s">
        <v>624</v>
      </c>
      <c r="C1216" s="5" t="s">
        <v>705</v>
      </c>
      <c r="D1216" s="5">
        <v>715727</v>
      </c>
      <c r="E1216" s="33">
        <v>36</v>
      </c>
      <c r="F1216" s="60">
        <v>450</v>
      </c>
      <c r="G1216" s="60">
        <f>+OtherClients[[#This Row],[Boxes / Pieces]]*OtherClients[[#This Row],[Unit Quantity]]</f>
        <v>16200</v>
      </c>
      <c r="H1216" s="60">
        <v>292</v>
      </c>
      <c r="I1216" s="126" t="s">
        <v>278</v>
      </c>
      <c r="J1216" s="127"/>
      <c r="K1216" s="33" t="s">
        <v>278</v>
      </c>
      <c r="L1216" s="125"/>
      <c r="M1216" s="33" t="s">
        <v>278</v>
      </c>
      <c r="N1216" s="125"/>
      <c r="O1216" s="33" t="s">
        <v>278</v>
      </c>
      <c r="P1216" s="125"/>
      <c r="Q1216" s="33" t="s">
        <v>587</v>
      </c>
      <c r="R1216" s="125"/>
      <c r="S1216" s="33" t="s">
        <v>278</v>
      </c>
      <c r="T1216" s="125"/>
      <c r="U1216" s="33" t="s">
        <v>278</v>
      </c>
      <c r="V1216" s="125"/>
      <c r="W1216" s="59" t="s">
        <v>548</v>
      </c>
      <c r="X1216" s="33" t="str">
        <f>+VLOOKUP(OtherClients[[#This Row],[Part]],PartControl!$A$2:$E$564,5,FALSE)</f>
        <v>infasco</v>
      </c>
      <c r="Y1216" s="108">
        <f>IF(OtherClients[[#This Row],[Re-certified or New]]&lt;&gt;"Re-certified",IF(OtherClients[[#This Row],[Client]]="infasco",VLOOKUP(OtherClients[[#This Row],[Part]],PartControl!$A$2:$E$564,2,FALSE),OtherClients[[#This Row],[Total Quantity]]*VLOOKUP(OtherClients[[#This Row],[Part]],PartControl!$A$2:$E$564,2,FALSE)),0)</f>
        <v>106.94</v>
      </c>
      <c r="Z1216" s="108">
        <f>IF(OtherClients[[#This Row],[Re-certified or New]]&lt;&gt;"Re-certified",IF(OtherClients[[#This Row],[Client]]="infasco",VLOOKUP(OtherClients[[#This Row],[Part]],PartControl!$A$2:$E$564,2,FALSE),OtherClients[[#This Row],[Total Quantity]]*VLOOKUP(OtherClients[[#This Row],[Part]],PartControl!$A$2:$E$564,2,FALSE)),0)</f>
        <v>106.94</v>
      </c>
    </row>
    <row r="1217" spans="1:26" ht="25.15" hidden="1" customHeight="1" x14ac:dyDescent="0.25">
      <c r="A1217" s="112">
        <v>46253.692604166667</v>
      </c>
      <c r="B1217" s="5" t="s">
        <v>624</v>
      </c>
      <c r="C1217" s="5" t="s">
        <v>792</v>
      </c>
      <c r="D1217" s="5">
        <v>714652</v>
      </c>
      <c r="E1217" s="33">
        <v>36</v>
      </c>
      <c r="F1217" s="60">
        <v>450</v>
      </c>
      <c r="G1217" s="60">
        <f>+OtherClients[[#This Row],[Boxes / Pieces]]*OtherClients[[#This Row],[Unit Quantity]]</f>
        <v>16200</v>
      </c>
      <c r="H1217" s="60">
        <v>292</v>
      </c>
      <c r="I1217" s="126" t="s">
        <v>278</v>
      </c>
      <c r="J1217" s="127"/>
      <c r="K1217" s="33" t="s">
        <v>278</v>
      </c>
      <c r="L1217" s="125"/>
      <c r="M1217" s="33" t="s">
        <v>278</v>
      </c>
      <c r="N1217" s="125"/>
      <c r="O1217" s="33" t="s">
        <v>278</v>
      </c>
      <c r="P1217" s="125"/>
      <c r="Q1217" s="33" t="s">
        <v>587</v>
      </c>
      <c r="R1217" s="125"/>
      <c r="S1217" s="33" t="s">
        <v>278</v>
      </c>
      <c r="T1217" s="125"/>
      <c r="U1217" s="33" t="s">
        <v>278</v>
      </c>
      <c r="V1217" s="125"/>
      <c r="W1217" s="59" t="s">
        <v>548</v>
      </c>
      <c r="X1217" s="33" t="str">
        <f>+VLOOKUP(OtherClients[[#This Row],[Part]],PartControl!$A$2:$E$564,5,FALSE)</f>
        <v>infasco</v>
      </c>
      <c r="Y1217" s="108">
        <f>IF(OtherClients[[#This Row],[Re-certified or New]]&lt;&gt;"Re-certified",IF(OtherClients[[#This Row],[Client]]="infasco",VLOOKUP(OtherClients[[#This Row],[Part]],PartControl!$A$2:$E$564,2,FALSE),OtherClients[[#This Row],[Total Quantity]]*VLOOKUP(OtherClients[[#This Row],[Part]],PartControl!$A$2:$E$564,2,FALSE)),0)</f>
        <v>106.94</v>
      </c>
      <c r="Z1217" s="108">
        <f>IF(OtherClients[[#This Row],[Re-certified or New]]&lt;&gt;"Re-certified",IF(OtherClients[[#This Row],[Client]]="infasco",VLOOKUP(OtherClients[[#This Row],[Part]],PartControl!$A$2:$E$564,2,FALSE),OtherClients[[#This Row],[Total Quantity]]*VLOOKUP(OtherClients[[#This Row],[Part]],PartControl!$A$2:$E$564,2,FALSE)),0)</f>
        <v>106.94</v>
      </c>
    </row>
    <row r="1218" spans="1:26" ht="25.15" hidden="1" customHeight="1" x14ac:dyDescent="0.25">
      <c r="A1218" s="112">
        <v>46253.692604166667</v>
      </c>
      <c r="B1218" s="5" t="s">
        <v>624</v>
      </c>
      <c r="C1218" s="5" t="s">
        <v>792</v>
      </c>
      <c r="D1218" s="5">
        <v>714648</v>
      </c>
      <c r="E1218" s="33">
        <v>15</v>
      </c>
      <c r="F1218" s="60">
        <v>450</v>
      </c>
      <c r="G1218" s="60">
        <f>+OtherClients[[#This Row],[Boxes / Pieces]]*OtherClients[[#This Row],[Unit Quantity]]</f>
        <v>6750</v>
      </c>
      <c r="H1218" s="60">
        <v>292</v>
      </c>
      <c r="I1218" s="126" t="s">
        <v>278</v>
      </c>
      <c r="J1218" s="127"/>
      <c r="K1218" s="33" t="s">
        <v>278</v>
      </c>
      <c r="L1218" s="125"/>
      <c r="M1218" s="33" t="s">
        <v>278</v>
      </c>
      <c r="N1218" s="125"/>
      <c r="O1218" s="33" t="s">
        <v>278</v>
      </c>
      <c r="P1218" s="125"/>
      <c r="Q1218" s="33" t="s">
        <v>587</v>
      </c>
      <c r="R1218" s="125"/>
      <c r="S1218" s="33" t="s">
        <v>278</v>
      </c>
      <c r="T1218" s="125"/>
      <c r="U1218" s="33" t="s">
        <v>278</v>
      </c>
      <c r="V1218" s="125"/>
      <c r="W1218" s="59" t="s">
        <v>548</v>
      </c>
      <c r="X1218" s="33" t="str">
        <f>+VLOOKUP(OtherClients[[#This Row],[Part]],PartControl!$A$2:$E$564,5,FALSE)</f>
        <v>infasco</v>
      </c>
      <c r="Y1218" s="108">
        <f>IF(OtherClients[[#This Row],[Re-certified or New]]&lt;&gt;"Re-certified",IF(OtherClients[[#This Row],[Client]]="infasco",VLOOKUP(OtherClients[[#This Row],[Part]],PartControl!$A$2:$E$564,2,FALSE),OtherClients[[#This Row],[Total Quantity]]*VLOOKUP(OtherClients[[#This Row],[Part]],PartControl!$A$2:$E$564,2,FALSE)),0)</f>
        <v>106.94</v>
      </c>
      <c r="Z1218" s="108">
        <f>IF(OtherClients[[#This Row],[Re-certified or New]]&lt;&gt;"Re-certified",IF(OtherClients[[#This Row],[Client]]="infasco",VLOOKUP(OtherClients[[#This Row],[Part]],PartControl!$A$2:$E$564,2,FALSE),OtherClients[[#This Row],[Total Quantity]]*VLOOKUP(OtherClients[[#This Row],[Part]],PartControl!$A$2:$E$564,2,FALSE)),0)</f>
        <v>106.94</v>
      </c>
    </row>
    <row r="1219" spans="1:26" ht="25.15" hidden="1" customHeight="1" x14ac:dyDescent="0.25">
      <c r="A1219" s="112">
        <v>46253.692604166667</v>
      </c>
      <c r="B1219" s="5" t="s">
        <v>244</v>
      </c>
      <c r="C1219" s="5" t="s">
        <v>700</v>
      </c>
      <c r="D1219" s="5">
        <v>714530</v>
      </c>
      <c r="E1219" s="33">
        <v>8</v>
      </c>
      <c r="F1219" s="60">
        <v>1000</v>
      </c>
      <c r="G1219" s="60">
        <f>+OtherClients[[#This Row],[Boxes / Pieces]]*OtherClients[[#This Row],[Unit Quantity]]</f>
        <v>8000</v>
      </c>
      <c r="H1219" s="60">
        <v>292</v>
      </c>
      <c r="I1219" s="126" t="s">
        <v>278</v>
      </c>
      <c r="J1219" s="127"/>
      <c r="K1219" s="33" t="s">
        <v>278</v>
      </c>
      <c r="L1219" s="125"/>
      <c r="M1219" s="33" t="s">
        <v>278</v>
      </c>
      <c r="N1219" s="125"/>
      <c r="O1219" s="33" t="s">
        <v>278</v>
      </c>
      <c r="P1219" s="125"/>
      <c r="Q1219" s="33" t="s">
        <v>587</v>
      </c>
      <c r="R1219" s="125"/>
      <c r="S1219" s="33" t="s">
        <v>278</v>
      </c>
      <c r="T1219" s="125"/>
      <c r="U1219" s="33" t="s">
        <v>278</v>
      </c>
      <c r="V1219" s="125"/>
      <c r="W1219" s="59" t="s">
        <v>548</v>
      </c>
      <c r="X1219" s="33" t="str">
        <f>+VLOOKUP(OtherClients[[#This Row],[Part]],PartControl!$A$2:$E$564,5,FALSE)</f>
        <v>infasco</v>
      </c>
      <c r="Y1219" s="108">
        <f>IF(OtherClients[[#This Row],[Re-certified or New]]&lt;&gt;"Re-certified",IF(OtherClients[[#This Row],[Client]]="infasco",VLOOKUP(OtherClients[[#This Row],[Part]],PartControl!$A$2:$E$564,2,FALSE),OtherClients[[#This Row],[Total Quantity]]*VLOOKUP(OtherClients[[#This Row],[Part]],PartControl!$A$2:$E$564,2,FALSE)),0)</f>
        <v>106.94</v>
      </c>
      <c r="Z1219" s="108">
        <f>IF(OtherClients[[#This Row],[Re-certified or New]]&lt;&gt;"Re-certified",IF(OtherClients[[#This Row],[Client]]="infasco",VLOOKUP(OtherClients[[#This Row],[Part]],PartControl!$A$2:$E$564,2,FALSE),OtherClients[[#This Row],[Total Quantity]]*VLOOKUP(OtherClients[[#This Row],[Part]],PartControl!$A$2:$E$564,2,FALSE)),0)</f>
        <v>106.94</v>
      </c>
    </row>
    <row r="1220" spans="1:26" ht="25.15" hidden="1" customHeight="1" x14ac:dyDescent="0.25">
      <c r="A1220" s="112">
        <v>46253.692604166667</v>
      </c>
      <c r="B1220" s="5" t="s">
        <v>244</v>
      </c>
      <c r="C1220" s="5" t="s">
        <v>667</v>
      </c>
      <c r="D1220" s="5">
        <v>714084</v>
      </c>
      <c r="E1220" s="33">
        <v>10</v>
      </c>
      <c r="F1220" s="60">
        <v>1600</v>
      </c>
      <c r="G1220" s="60">
        <f>+OtherClients[[#This Row],[Boxes / Pieces]]*OtherClients[[#This Row],[Unit Quantity]]</f>
        <v>16000</v>
      </c>
      <c r="H1220" s="60">
        <v>292</v>
      </c>
      <c r="I1220" s="126" t="s">
        <v>278</v>
      </c>
      <c r="J1220" s="127"/>
      <c r="K1220" s="33" t="s">
        <v>278</v>
      </c>
      <c r="L1220" s="125"/>
      <c r="M1220" s="33" t="s">
        <v>278</v>
      </c>
      <c r="N1220" s="125"/>
      <c r="O1220" s="33" t="s">
        <v>278</v>
      </c>
      <c r="P1220" s="125"/>
      <c r="Q1220" s="33" t="s">
        <v>587</v>
      </c>
      <c r="R1220" s="125"/>
      <c r="S1220" s="33" t="s">
        <v>278</v>
      </c>
      <c r="T1220" s="125"/>
      <c r="U1220" s="33" t="s">
        <v>278</v>
      </c>
      <c r="V1220" s="125"/>
      <c r="W1220" s="59" t="s">
        <v>633</v>
      </c>
      <c r="X1220" s="33" t="str">
        <f>+VLOOKUP(OtherClients[[#This Row],[Part]],PartControl!$A$2:$E$564,5,FALSE)</f>
        <v>infasco</v>
      </c>
      <c r="Y1220" s="108">
        <f>IF(OtherClients[[#This Row],[Re-certified or New]]&lt;&gt;"Re-certified",IF(OtherClients[[#This Row],[Client]]="infasco",VLOOKUP(OtherClients[[#This Row],[Part]],PartControl!$A$2:$E$564,2,FALSE),OtherClients[[#This Row],[Total Quantity]]*VLOOKUP(OtherClients[[#This Row],[Part]],PartControl!$A$2:$E$564,2,FALSE)),0)</f>
        <v>0</v>
      </c>
      <c r="Z1220" s="108">
        <f>IF(OtherClients[[#This Row],[Re-certified or New]]&lt;&gt;"Re-certified",IF(OtherClients[[#This Row],[Client]]="infasco",VLOOKUP(OtherClients[[#This Row],[Part]],PartControl!$A$2:$E$564,2,FALSE),OtherClients[[#This Row],[Total Quantity]]*VLOOKUP(OtherClients[[#This Row],[Part]],PartControl!$A$2:$E$564,2,FALSE)),0)</f>
        <v>0</v>
      </c>
    </row>
    <row r="1221" spans="1:26" ht="25.15" hidden="1" customHeight="1" x14ac:dyDescent="0.25">
      <c r="A1221" s="112">
        <v>46253.692604166667</v>
      </c>
      <c r="B1221" s="5" t="s">
        <v>246</v>
      </c>
      <c r="C1221" s="5" t="s">
        <v>667</v>
      </c>
      <c r="D1221" s="5">
        <v>714086</v>
      </c>
      <c r="E1221" s="33">
        <v>20</v>
      </c>
      <c r="F1221" s="60">
        <v>1600</v>
      </c>
      <c r="G1221" s="60">
        <f>+OtherClients[[#This Row],[Boxes / Pieces]]*OtherClients[[#This Row],[Unit Quantity]]</f>
        <v>32000</v>
      </c>
      <c r="H1221" s="60">
        <v>292</v>
      </c>
      <c r="I1221" s="126" t="s">
        <v>278</v>
      </c>
      <c r="J1221" s="127"/>
      <c r="K1221" s="33" t="s">
        <v>278</v>
      </c>
      <c r="L1221" s="125"/>
      <c r="M1221" s="33" t="s">
        <v>278</v>
      </c>
      <c r="N1221" s="125"/>
      <c r="O1221" s="33" t="s">
        <v>278</v>
      </c>
      <c r="P1221" s="125"/>
      <c r="Q1221" s="33" t="s">
        <v>587</v>
      </c>
      <c r="R1221" s="125"/>
      <c r="S1221" s="33" t="s">
        <v>278</v>
      </c>
      <c r="T1221" s="125"/>
      <c r="U1221" s="33" t="s">
        <v>278</v>
      </c>
      <c r="V1221" s="125"/>
      <c r="W1221" s="59" t="s">
        <v>548</v>
      </c>
      <c r="X1221" s="33" t="str">
        <f>+VLOOKUP(OtherClients[[#This Row],[Part]],PartControl!$A$2:$E$564,5,FALSE)</f>
        <v>infasco</v>
      </c>
      <c r="Y1221" s="108">
        <f>IF(OtherClients[[#This Row],[Re-certified or New]]&lt;&gt;"Re-certified",IF(OtherClients[[#This Row],[Client]]="infasco",VLOOKUP(OtherClients[[#This Row],[Part]],PartControl!$A$2:$E$564,2,FALSE),OtherClients[[#This Row],[Total Quantity]]*VLOOKUP(OtherClients[[#This Row],[Part]],PartControl!$A$2:$E$564,2,FALSE)),0)</f>
        <v>106.94</v>
      </c>
      <c r="Z1221" s="108">
        <f>IF(OtherClients[[#This Row],[Re-certified or New]]&lt;&gt;"Re-certified",IF(OtherClients[[#This Row],[Client]]="infasco",VLOOKUP(OtherClients[[#This Row],[Part]],PartControl!$A$2:$E$564,2,FALSE),OtherClients[[#This Row],[Total Quantity]]*VLOOKUP(OtherClients[[#This Row],[Part]],PartControl!$A$2:$E$564,2,FALSE)),0)</f>
        <v>106.94</v>
      </c>
    </row>
    <row r="1222" spans="1:26" ht="25.15" hidden="1" customHeight="1" x14ac:dyDescent="0.25">
      <c r="A1222" s="112">
        <v>46253.692604166667</v>
      </c>
      <c r="B1222" s="5" t="s">
        <v>246</v>
      </c>
      <c r="C1222" s="5" t="s">
        <v>667</v>
      </c>
      <c r="D1222" s="5">
        <v>714261</v>
      </c>
      <c r="E1222" s="33">
        <f>16+23</f>
        <v>39</v>
      </c>
      <c r="F1222" s="60">
        <v>1600</v>
      </c>
      <c r="G1222" s="60">
        <f>+OtherClients[[#This Row],[Boxes / Pieces]]*OtherClients[[#This Row],[Unit Quantity]]</f>
        <v>62400</v>
      </c>
      <c r="H1222" s="60">
        <v>292</v>
      </c>
      <c r="I1222" s="126" t="s">
        <v>278</v>
      </c>
      <c r="J1222" s="127"/>
      <c r="K1222" s="33" t="s">
        <v>278</v>
      </c>
      <c r="L1222" s="125"/>
      <c r="M1222" s="33" t="s">
        <v>278</v>
      </c>
      <c r="N1222" s="125"/>
      <c r="O1222" s="33" t="s">
        <v>278</v>
      </c>
      <c r="P1222" s="125"/>
      <c r="Q1222" s="33" t="s">
        <v>587</v>
      </c>
      <c r="R1222" s="125"/>
      <c r="S1222" s="33" t="s">
        <v>278</v>
      </c>
      <c r="T1222" s="125"/>
      <c r="U1222" s="33" t="s">
        <v>278</v>
      </c>
      <c r="V1222" s="125"/>
      <c r="W1222" s="59" t="s">
        <v>548</v>
      </c>
      <c r="X1222" s="33" t="str">
        <f>+VLOOKUP(OtherClients[[#This Row],[Part]],PartControl!$A$2:$E$564,5,FALSE)</f>
        <v>infasco</v>
      </c>
      <c r="Y1222" s="108">
        <f>IF(OtherClients[[#This Row],[Re-certified or New]]&lt;&gt;"Re-certified",IF(OtherClients[[#This Row],[Client]]="infasco",VLOOKUP(OtherClients[[#This Row],[Part]],PartControl!$A$2:$E$564,2,FALSE),OtherClients[[#This Row],[Total Quantity]]*VLOOKUP(OtherClients[[#This Row],[Part]],PartControl!$A$2:$E$564,2,FALSE)),0)</f>
        <v>106.94</v>
      </c>
      <c r="Z1222" s="108">
        <f>IF(OtherClients[[#This Row],[Re-certified or New]]&lt;&gt;"Re-certified",IF(OtherClients[[#This Row],[Client]]="infasco",VLOOKUP(OtherClients[[#This Row],[Part]],PartControl!$A$2:$E$564,2,FALSE),OtherClients[[#This Row],[Total Quantity]]*VLOOKUP(OtherClients[[#This Row],[Part]],PartControl!$A$2:$E$564,2,FALSE)),0)</f>
        <v>106.94</v>
      </c>
    </row>
    <row r="1223" spans="1:26" ht="25.15" hidden="1" customHeight="1" x14ac:dyDescent="0.25">
      <c r="A1223" s="112">
        <v>46253.692604166667</v>
      </c>
      <c r="B1223" s="5" t="s">
        <v>246</v>
      </c>
      <c r="C1223" s="5">
        <v>11610091</v>
      </c>
      <c r="D1223" s="5">
        <v>716454</v>
      </c>
      <c r="E1223" s="33">
        <v>10</v>
      </c>
      <c r="F1223" s="60">
        <v>2500</v>
      </c>
      <c r="G1223" s="60">
        <f>+OtherClients[[#This Row],[Boxes / Pieces]]*OtherClients[[#This Row],[Unit Quantity]]</f>
        <v>25000</v>
      </c>
      <c r="H1223" s="60">
        <v>292</v>
      </c>
      <c r="I1223" s="126" t="s">
        <v>278</v>
      </c>
      <c r="J1223" s="127"/>
      <c r="K1223" s="33" t="s">
        <v>278</v>
      </c>
      <c r="L1223" s="125"/>
      <c r="M1223" s="33" t="s">
        <v>278</v>
      </c>
      <c r="N1223" s="125"/>
      <c r="O1223" s="33" t="s">
        <v>278</v>
      </c>
      <c r="P1223" s="125"/>
      <c r="Q1223" s="33" t="s">
        <v>587</v>
      </c>
      <c r="R1223" s="125"/>
      <c r="S1223" s="33" t="s">
        <v>278</v>
      </c>
      <c r="T1223" s="125"/>
      <c r="U1223" s="33" t="s">
        <v>278</v>
      </c>
      <c r="V1223" s="125"/>
      <c r="W1223" s="59" t="s">
        <v>633</v>
      </c>
      <c r="X1223" s="33" t="str">
        <f>+VLOOKUP(OtherClients[[#This Row],[Part]],PartControl!$A$2:$E$564,5,FALSE)</f>
        <v>infasco</v>
      </c>
      <c r="Y1223" s="108">
        <f>IF(OtherClients[[#This Row],[Re-certified or New]]&lt;&gt;"Re-certified",IF(OtherClients[[#This Row],[Client]]="infasco",VLOOKUP(OtherClients[[#This Row],[Part]],PartControl!$A$2:$E$564,2,FALSE),OtherClients[[#This Row],[Total Quantity]]*VLOOKUP(OtherClients[[#This Row],[Part]],PartControl!$A$2:$E$564,2,FALSE)),0)</f>
        <v>0</v>
      </c>
      <c r="Z1223" s="108">
        <f>IF(OtherClients[[#This Row],[Re-certified or New]]&lt;&gt;"Re-certified",IF(OtherClients[[#This Row],[Client]]="infasco",VLOOKUP(OtherClients[[#This Row],[Part]],PartControl!$A$2:$E$564,2,FALSE),OtherClients[[#This Row],[Total Quantity]]*VLOOKUP(OtherClients[[#This Row],[Part]],PartControl!$A$2:$E$564,2,FALSE)),0)</f>
        <v>0</v>
      </c>
    </row>
    <row r="1224" spans="1:26" ht="25.15" hidden="1" customHeight="1" x14ac:dyDescent="0.25">
      <c r="A1224" s="112">
        <v>46253.692604166667</v>
      </c>
      <c r="B1224" s="5" t="s">
        <v>251</v>
      </c>
      <c r="C1224" s="5">
        <v>11549168</v>
      </c>
      <c r="D1224" s="5">
        <v>715768</v>
      </c>
      <c r="E1224" s="33">
        <f>36-20</f>
        <v>16</v>
      </c>
      <c r="F1224" s="60">
        <v>1000</v>
      </c>
      <c r="G1224" s="60">
        <f>+OtherClients[[#This Row],[Boxes / Pieces]]*OtherClients[[#This Row],[Unit Quantity]]</f>
        <v>16000</v>
      </c>
      <c r="H1224" s="60">
        <v>292</v>
      </c>
      <c r="I1224" s="126" t="s">
        <v>278</v>
      </c>
      <c r="J1224" s="127"/>
      <c r="K1224" s="33" t="s">
        <v>278</v>
      </c>
      <c r="L1224" s="125"/>
      <c r="M1224" s="33" t="s">
        <v>278</v>
      </c>
      <c r="N1224" s="125"/>
      <c r="O1224" s="33" t="s">
        <v>278</v>
      </c>
      <c r="P1224" s="125"/>
      <c r="Q1224" s="33" t="s">
        <v>587</v>
      </c>
      <c r="R1224" s="125"/>
      <c r="S1224" s="33" t="s">
        <v>278</v>
      </c>
      <c r="T1224" s="125"/>
      <c r="U1224" s="33" t="s">
        <v>278</v>
      </c>
      <c r="V1224" s="125"/>
      <c r="W1224" s="59" t="s">
        <v>548</v>
      </c>
      <c r="X1224" s="33" t="str">
        <f>+VLOOKUP(OtherClients[[#This Row],[Part]],PartControl!$A$2:$E$564,5,FALSE)</f>
        <v>INFASCO</v>
      </c>
      <c r="Y1224" s="108">
        <f>IF(OtherClients[[#This Row],[Re-certified or New]]&lt;&gt;"Re-certified",IF(OtherClients[[#This Row],[Client]]="infasco",VLOOKUP(OtherClients[[#This Row],[Part]],PartControl!$A$2:$E$564,2,FALSE),OtherClients[[#This Row],[Total Quantity]]*VLOOKUP(OtherClients[[#This Row],[Part]],PartControl!$A$2:$E$564,2,FALSE)),0)</f>
        <v>106.94</v>
      </c>
      <c r="Z1224" s="108">
        <f>IF(OtherClients[[#This Row],[Re-certified or New]]&lt;&gt;"Re-certified",IF(OtherClients[[#This Row],[Client]]="infasco",VLOOKUP(OtherClients[[#This Row],[Part]],PartControl!$A$2:$E$564,2,FALSE),OtherClients[[#This Row],[Total Quantity]]*VLOOKUP(OtherClients[[#This Row],[Part]],PartControl!$A$2:$E$564,2,FALSE)),0)</f>
        <v>106.94</v>
      </c>
    </row>
    <row r="1225" spans="1:26" ht="25.15" hidden="1" customHeight="1" x14ac:dyDescent="0.25">
      <c r="A1225" s="112">
        <v>46253.692604166667</v>
      </c>
      <c r="B1225" s="5" t="s">
        <v>251</v>
      </c>
      <c r="C1225" s="5">
        <v>11549168</v>
      </c>
      <c r="D1225" s="5">
        <v>715769</v>
      </c>
      <c r="E1225" s="33">
        <v>20</v>
      </c>
      <c r="F1225" s="60">
        <v>1000</v>
      </c>
      <c r="G1225" s="60">
        <f>+OtherClients[[#This Row],[Boxes / Pieces]]*OtherClients[[#This Row],[Unit Quantity]]</f>
        <v>20000</v>
      </c>
      <c r="H1225" s="60">
        <v>292</v>
      </c>
      <c r="I1225" s="126" t="s">
        <v>278</v>
      </c>
      <c r="J1225" s="127"/>
      <c r="K1225" s="33" t="s">
        <v>278</v>
      </c>
      <c r="L1225" s="125"/>
      <c r="M1225" s="33" t="s">
        <v>278</v>
      </c>
      <c r="N1225" s="125"/>
      <c r="O1225" s="33" t="s">
        <v>278</v>
      </c>
      <c r="P1225" s="125"/>
      <c r="Q1225" s="33" t="s">
        <v>587</v>
      </c>
      <c r="R1225" s="125"/>
      <c r="S1225" s="33" t="s">
        <v>278</v>
      </c>
      <c r="T1225" s="125"/>
      <c r="U1225" s="33" t="s">
        <v>278</v>
      </c>
      <c r="V1225" s="125"/>
      <c r="W1225" s="59" t="s">
        <v>633</v>
      </c>
      <c r="X1225" s="33" t="str">
        <f>+VLOOKUP(OtherClients[[#This Row],[Part]],PartControl!$A$2:$E$564,5,FALSE)</f>
        <v>INFASCO</v>
      </c>
      <c r="Y1225" s="108">
        <f>IF(OtherClients[[#This Row],[Re-certified or New]]&lt;&gt;"Re-certified",IF(OtherClients[[#This Row],[Client]]="infasco",VLOOKUP(OtherClients[[#This Row],[Part]],PartControl!$A$2:$E$564,2,FALSE),OtherClients[[#This Row],[Total Quantity]]*VLOOKUP(OtherClients[[#This Row],[Part]],PartControl!$A$2:$E$564,2,FALSE)),0)</f>
        <v>0</v>
      </c>
      <c r="Z1225" s="108">
        <f>IF(OtherClients[[#This Row],[Re-certified or New]]&lt;&gt;"Re-certified",IF(OtherClients[[#This Row],[Client]]="infasco",VLOOKUP(OtherClients[[#This Row],[Part]],PartControl!$A$2:$E$564,2,FALSE),OtherClients[[#This Row],[Total Quantity]]*VLOOKUP(OtherClients[[#This Row],[Part]],PartControl!$A$2:$E$564,2,FALSE)),0)</f>
        <v>0</v>
      </c>
    </row>
    <row r="1226" spans="1:26" ht="25.15" hidden="1" customHeight="1" x14ac:dyDescent="0.25">
      <c r="A1226" s="112">
        <v>46253.692604166667</v>
      </c>
      <c r="B1226" s="5" t="s">
        <v>245</v>
      </c>
      <c r="C1226" s="5" t="s">
        <v>706</v>
      </c>
      <c r="D1226" s="5">
        <v>714536</v>
      </c>
      <c r="E1226" s="33">
        <f>36+1-28</f>
        <v>9</v>
      </c>
      <c r="F1226" s="60">
        <v>1900</v>
      </c>
      <c r="G1226" s="60">
        <f>+OtherClients[[#This Row],[Boxes / Pieces]]*OtherClients[[#This Row],[Unit Quantity]]</f>
        <v>17100</v>
      </c>
      <c r="H1226" s="60">
        <v>292</v>
      </c>
      <c r="I1226" s="126" t="s">
        <v>278</v>
      </c>
      <c r="J1226" s="127"/>
      <c r="K1226" s="33" t="s">
        <v>278</v>
      </c>
      <c r="L1226" s="125"/>
      <c r="M1226" s="33" t="s">
        <v>278</v>
      </c>
      <c r="N1226" s="125"/>
      <c r="O1226" s="33" t="s">
        <v>278</v>
      </c>
      <c r="P1226" s="125"/>
      <c r="Q1226" s="33" t="s">
        <v>587</v>
      </c>
      <c r="R1226" s="125"/>
      <c r="S1226" s="33" t="s">
        <v>278</v>
      </c>
      <c r="T1226" s="125"/>
      <c r="U1226" s="33" t="s">
        <v>278</v>
      </c>
      <c r="V1226" s="125"/>
      <c r="W1226" s="59" t="s">
        <v>548</v>
      </c>
      <c r="X1226" s="33" t="str">
        <f>+VLOOKUP(OtherClients[[#This Row],[Part]],PartControl!$A$2:$E$564,5,FALSE)</f>
        <v>infasco</v>
      </c>
      <c r="Y1226" s="108">
        <f>IF(OtherClients[[#This Row],[Re-certified or New]]&lt;&gt;"Re-certified",IF(OtherClients[[#This Row],[Client]]="infasco",VLOOKUP(OtherClients[[#This Row],[Part]],PartControl!$A$2:$E$564,2,FALSE),OtherClients[[#This Row],[Total Quantity]]*VLOOKUP(OtherClients[[#This Row],[Part]],PartControl!$A$2:$E$564,2,FALSE)),0)</f>
        <v>106.94</v>
      </c>
      <c r="Z1226" s="108">
        <f>IF(OtherClients[[#This Row],[Re-certified or New]]&lt;&gt;"Re-certified",IF(OtherClients[[#This Row],[Client]]="infasco",VLOOKUP(OtherClients[[#This Row],[Part]],PartControl!$A$2:$E$564,2,FALSE),OtherClients[[#This Row],[Total Quantity]]*VLOOKUP(OtherClients[[#This Row],[Part]],PartControl!$A$2:$E$564,2,FALSE)),0)</f>
        <v>106.94</v>
      </c>
    </row>
    <row r="1227" spans="1:26" ht="25.15" hidden="1" customHeight="1" x14ac:dyDescent="0.25">
      <c r="A1227" s="112">
        <v>46253.692604166667</v>
      </c>
      <c r="B1227" s="5" t="s">
        <v>245</v>
      </c>
      <c r="C1227" s="5" t="s">
        <v>706</v>
      </c>
      <c r="D1227" s="5">
        <v>714541</v>
      </c>
      <c r="E1227" s="33">
        <v>10</v>
      </c>
      <c r="F1227" s="60">
        <v>1900</v>
      </c>
      <c r="G1227" s="60">
        <f>+OtherClients[[#This Row],[Boxes / Pieces]]*OtherClients[[#This Row],[Unit Quantity]]</f>
        <v>19000</v>
      </c>
      <c r="H1227" s="60">
        <v>292</v>
      </c>
      <c r="I1227" s="126" t="s">
        <v>278</v>
      </c>
      <c r="J1227" s="127"/>
      <c r="K1227" s="33" t="s">
        <v>278</v>
      </c>
      <c r="L1227" s="125"/>
      <c r="M1227" s="33" t="s">
        <v>278</v>
      </c>
      <c r="N1227" s="125"/>
      <c r="O1227" s="33" t="s">
        <v>278</v>
      </c>
      <c r="P1227" s="125"/>
      <c r="Q1227" s="33" t="s">
        <v>587</v>
      </c>
      <c r="R1227" s="125"/>
      <c r="S1227" s="33" t="s">
        <v>278</v>
      </c>
      <c r="T1227" s="125"/>
      <c r="U1227" s="33" t="s">
        <v>278</v>
      </c>
      <c r="V1227" s="125"/>
      <c r="W1227" s="59" t="s">
        <v>633</v>
      </c>
      <c r="X1227" s="33" t="str">
        <f>+VLOOKUP(OtherClients[[#This Row],[Part]],PartControl!$A$2:$E$564,5,FALSE)</f>
        <v>infasco</v>
      </c>
      <c r="Y1227" s="108">
        <f>IF(OtherClients[[#This Row],[Re-certified or New]]&lt;&gt;"Re-certified",IF(OtherClients[[#This Row],[Client]]="infasco",VLOOKUP(OtherClients[[#This Row],[Part]],PartControl!$A$2:$E$564,2,FALSE),OtherClients[[#This Row],[Total Quantity]]*VLOOKUP(OtherClients[[#This Row],[Part]],PartControl!$A$2:$E$564,2,FALSE)),0)</f>
        <v>0</v>
      </c>
      <c r="Z1227" s="108">
        <f>IF(OtherClients[[#This Row],[Re-certified or New]]&lt;&gt;"Re-certified",IF(OtherClients[[#This Row],[Client]]="infasco",VLOOKUP(OtherClients[[#This Row],[Part]],PartControl!$A$2:$E$564,2,FALSE),OtherClients[[#This Row],[Total Quantity]]*VLOOKUP(OtherClients[[#This Row],[Part]],PartControl!$A$2:$E$564,2,FALSE)),0)</f>
        <v>0</v>
      </c>
    </row>
    <row r="1228" spans="1:26" ht="25.15" hidden="1" customHeight="1" x14ac:dyDescent="0.25">
      <c r="A1228" s="112">
        <v>46253.692604166667</v>
      </c>
      <c r="B1228" s="5" t="s">
        <v>634</v>
      </c>
      <c r="C1228" s="5" t="s">
        <v>667</v>
      </c>
      <c r="D1228" s="5">
        <v>714087</v>
      </c>
      <c r="E1228" s="33">
        <v>37</v>
      </c>
      <c r="F1228" s="60">
        <v>1600</v>
      </c>
      <c r="G1228" s="60">
        <f>+OtherClients[[#This Row],[Boxes / Pieces]]*OtherClients[[#This Row],[Unit Quantity]]</f>
        <v>59200</v>
      </c>
      <c r="H1228" s="60">
        <v>280</v>
      </c>
      <c r="I1228" s="126" t="s">
        <v>278</v>
      </c>
      <c r="J1228" s="127"/>
      <c r="K1228" s="33" t="s">
        <v>278</v>
      </c>
      <c r="L1228" s="125"/>
      <c r="M1228" s="33" t="s">
        <v>278</v>
      </c>
      <c r="N1228" s="125"/>
      <c r="O1228" s="33" t="s">
        <v>278</v>
      </c>
      <c r="P1228" s="125"/>
      <c r="Q1228" s="33" t="s">
        <v>587</v>
      </c>
      <c r="R1228" s="125"/>
      <c r="S1228" s="33" t="s">
        <v>278</v>
      </c>
      <c r="T1228" s="125"/>
      <c r="U1228" s="33" t="s">
        <v>278</v>
      </c>
      <c r="V1228" s="125"/>
      <c r="W1228" s="59" t="s">
        <v>548</v>
      </c>
      <c r="X1228" s="33" t="str">
        <f>+VLOOKUP(OtherClients[[#This Row],[Part]],PartControl!$A$2:$E$564,5,FALSE)</f>
        <v>infasco</v>
      </c>
      <c r="Y1228" s="108">
        <f>IF(OtherClients[[#This Row],[Re-certified or New]]&lt;&gt;"Re-certified",IF(OtherClients[[#This Row],[Client]]="infasco",VLOOKUP(OtherClients[[#This Row],[Part]],PartControl!$A$2:$E$564,2,FALSE),OtherClients[[#This Row],[Total Quantity]]*VLOOKUP(OtherClients[[#This Row],[Part]],PartControl!$A$2:$E$564,2,FALSE)),0)</f>
        <v>106.94</v>
      </c>
      <c r="Z1228" s="108">
        <f>IF(OtherClients[[#This Row],[Re-certified or New]]&lt;&gt;"Re-certified",IF(OtherClients[[#This Row],[Client]]="infasco",VLOOKUP(OtherClients[[#This Row],[Part]],PartControl!$A$2:$E$564,2,FALSE),OtherClients[[#This Row],[Total Quantity]]*VLOOKUP(OtherClients[[#This Row],[Part]],PartControl!$A$2:$E$564,2,FALSE)),0)</f>
        <v>106.94</v>
      </c>
    </row>
    <row r="1229" spans="1:26" ht="25.15" hidden="1" customHeight="1" x14ac:dyDescent="0.25">
      <c r="A1229" s="112">
        <v>46253.692604166667</v>
      </c>
      <c r="B1229" s="5" t="s">
        <v>635</v>
      </c>
      <c r="C1229" s="5" t="s">
        <v>710</v>
      </c>
      <c r="D1229" s="5">
        <v>716334</v>
      </c>
      <c r="E1229" s="33">
        <v>23</v>
      </c>
      <c r="F1229" s="60">
        <v>3500</v>
      </c>
      <c r="G1229" s="60">
        <f>+OtherClients[[#This Row],[Boxes / Pieces]]*OtherClients[[#This Row],[Unit Quantity]]</f>
        <v>80500</v>
      </c>
      <c r="H1229" s="60">
        <v>280</v>
      </c>
      <c r="I1229" s="126" t="s">
        <v>278</v>
      </c>
      <c r="J1229" s="127"/>
      <c r="K1229" s="33" t="s">
        <v>278</v>
      </c>
      <c r="L1229" s="125"/>
      <c r="M1229" s="33" t="s">
        <v>278</v>
      </c>
      <c r="N1229" s="125"/>
      <c r="O1229" s="33" t="s">
        <v>278</v>
      </c>
      <c r="P1229" s="125"/>
      <c r="Q1229" s="33" t="s">
        <v>587</v>
      </c>
      <c r="R1229" s="125"/>
      <c r="S1229" s="33" t="s">
        <v>278</v>
      </c>
      <c r="T1229" s="125"/>
      <c r="U1229" s="33" t="s">
        <v>278</v>
      </c>
      <c r="V1229" s="125"/>
      <c r="W1229" s="59" t="s">
        <v>633</v>
      </c>
      <c r="X1229" s="33" t="str">
        <f>+VLOOKUP(OtherClients[[#This Row],[Part]],PartControl!$A$2:$E$564,5,FALSE)</f>
        <v>infasco</v>
      </c>
      <c r="Y1229" s="108">
        <f>IF(OtherClients[[#This Row],[Re-certified or New]]&lt;&gt;"Re-certified",IF(OtherClients[[#This Row],[Client]]="infasco",VLOOKUP(OtherClients[[#This Row],[Part]],PartControl!$A$2:$E$564,2,FALSE),OtherClients[[#This Row],[Total Quantity]]*VLOOKUP(OtherClients[[#This Row],[Part]],PartControl!$A$2:$E$564,2,FALSE)),0)</f>
        <v>0</v>
      </c>
      <c r="Z1229" s="108">
        <f>IF(OtherClients[[#This Row],[Re-certified or New]]&lt;&gt;"Re-certified",IF(OtherClients[[#This Row],[Client]]="infasco",VLOOKUP(OtherClients[[#This Row],[Part]],PartControl!$A$2:$E$564,2,FALSE),OtherClients[[#This Row],[Total Quantity]]*VLOOKUP(OtherClients[[#This Row],[Part]],PartControl!$A$2:$E$564,2,FALSE)),0)</f>
        <v>0</v>
      </c>
    </row>
    <row r="1230" spans="1:26" ht="25.15" hidden="1" customHeight="1" x14ac:dyDescent="0.25">
      <c r="A1230" s="112">
        <v>46253.692604166667</v>
      </c>
      <c r="B1230" s="5" t="s">
        <v>357</v>
      </c>
      <c r="C1230" s="5">
        <v>11546449</v>
      </c>
      <c r="D1230" s="5">
        <v>716523</v>
      </c>
      <c r="E1230" s="33">
        <f>36-4</f>
        <v>32</v>
      </c>
      <c r="F1230" s="60">
        <v>2500</v>
      </c>
      <c r="G1230" s="60">
        <f>+OtherClients[[#This Row],[Boxes / Pieces]]*OtherClients[[#This Row],[Unit Quantity]]</f>
        <v>80000</v>
      </c>
      <c r="H1230" s="60">
        <v>280</v>
      </c>
      <c r="I1230" s="126" t="s">
        <v>278</v>
      </c>
      <c r="J1230" s="127"/>
      <c r="K1230" s="33" t="s">
        <v>278</v>
      </c>
      <c r="L1230" s="125"/>
      <c r="M1230" s="33" t="s">
        <v>278</v>
      </c>
      <c r="N1230" s="125"/>
      <c r="O1230" s="33" t="s">
        <v>278</v>
      </c>
      <c r="P1230" s="125"/>
      <c r="Q1230" s="33" t="s">
        <v>587</v>
      </c>
      <c r="R1230" s="125"/>
      <c r="S1230" s="33" t="s">
        <v>278</v>
      </c>
      <c r="T1230" s="125"/>
      <c r="U1230" s="33" t="s">
        <v>278</v>
      </c>
      <c r="V1230" s="125"/>
      <c r="W1230" s="59" t="s">
        <v>548</v>
      </c>
      <c r="X1230" s="33" t="str">
        <f>+VLOOKUP(OtherClients[[#This Row],[Part]],PartControl!$A$2:$E$564,5,FALSE)</f>
        <v>INFASCO</v>
      </c>
      <c r="Y1230" s="108">
        <f>IF(OtherClients[[#This Row],[Re-certified or New]]&lt;&gt;"Re-certified",IF(OtherClients[[#This Row],[Client]]="infasco",VLOOKUP(OtherClients[[#This Row],[Part]],PartControl!$A$2:$E$564,2,FALSE),OtherClients[[#This Row],[Total Quantity]]*VLOOKUP(OtherClients[[#This Row],[Part]],PartControl!$A$2:$E$564,2,FALSE)),0)</f>
        <v>106.94</v>
      </c>
      <c r="Z1230" s="108">
        <f>IF(OtherClients[[#This Row],[Re-certified or New]]&lt;&gt;"Re-certified",IF(OtherClients[[#This Row],[Client]]="infasco",VLOOKUP(OtherClients[[#This Row],[Part]],PartControl!$A$2:$E$564,2,FALSE),OtherClients[[#This Row],[Total Quantity]]*VLOOKUP(OtherClients[[#This Row],[Part]],PartControl!$A$2:$E$564,2,FALSE)),0)</f>
        <v>106.94</v>
      </c>
    </row>
    <row r="1231" spans="1:26" ht="25.15" hidden="1" customHeight="1" x14ac:dyDescent="0.25">
      <c r="A1231" s="112">
        <v>46253.692604166667</v>
      </c>
      <c r="B1231" s="5" t="s">
        <v>357</v>
      </c>
      <c r="C1231" s="5">
        <v>11546449</v>
      </c>
      <c r="D1231" s="5">
        <v>716521</v>
      </c>
      <c r="E1231" s="33">
        <v>35</v>
      </c>
      <c r="F1231" s="60">
        <v>2500</v>
      </c>
      <c r="G1231" s="60">
        <f>+OtherClients[[#This Row],[Boxes / Pieces]]*OtherClients[[#This Row],[Unit Quantity]]</f>
        <v>87500</v>
      </c>
      <c r="H1231" s="60">
        <v>280</v>
      </c>
      <c r="I1231" s="126" t="s">
        <v>278</v>
      </c>
      <c r="J1231" s="127"/>
      <c r="K1231" s="33" t="s">
        <v>278</v>
      </c>
      <c r="L1231" s="125"/>
      <c r="M1231" s="33" t="s">
        <v>278</v>
      </c>
      <c r="N1231" s="125"/>
      <c r="O1231" s="33" t="s">
        <v>278</v>
      </c>
      <c r="P1231" s="125"/>
      <c r="Q1231" s="33" t="s">
        <v>587</v>
      </c>
      <c r="R1231" s="125"/>
      <c r="S1231" s="33" t="s">
        <v>278</v>
      </c>
      <c r="T1231" s="125"/>
      <c r="U1231" s="33" t="s">
        <v>278</v>
      </c>
      <c r="V1231" s="125"/>
      <c r="W1231" s="59" t="s">
        <v>548</v>
      </c>
      <c r="X1231" s="33" t="str">
        <f>+VLOOKUP(OtherClients[[#This Row],[Part]],PartControl!$A$2:$E$564,5,FALSE)</f>
        <v>INFASCO</v>
      </c>
      <c r="Y1231" s="108">
        <f>IF(OtherClients[[#This Row],[Re-certified or New]]&lt;&gt;"Re-certified",IF(OtherClients[[#This Row],[Client]]="infasco",VLOOKUP(OtherClients[[#This Row],[Part]],PartControl!$A$2:$E$564,2,FALSE),OtherClients[[#This Row],[Total Quantity]]*VLOOKUP(OtherClients[[#This Row],[Part]],PartControl!$A$2:$E$564,2,FALSE)),0)</f>
        <v>106.94</v>
      </c>
      <c r="Z1231" s="108">
        <f>IF(OtherClients[[#This Row],[Re-certified or New]]&lt;&gt;"Re-certified",IF(OtherClients[[#This Row],[Client]]="infasco",VLOOKUP(OtherClients[[#This Row],[Part]],PartControl!$A$2:$E$564,2,FALSE),OtherClients[[#This Row],[Total Quantity]]*VLOOKUP(OtherClients[[#This Row],[Part]],PartControl!$A$2:$E$564,2,FALSE)),0)</f>
        <v>106.94</v>
      </c>
    </row>
    <row r="1232" spans="1:26" ht="25.15" hidden="1" customHeight="1" x14ac:dyDescent="0.25">
      <c r="A1232" s="112">
        <v>46253.692604166667</v>
      </c>
      <c r="B1232" s="5" t="s">
        <v>357</v>
      </c>
      <c r="C1232" s="5">
        <v>11546449</v>
      </c>
      <c r="D1232" s="5">
        <v>716516</v>
      </c>
      <c r="E1232" s="33">
        <v>36</v>
      </c>
      <c r="F1232" s="60">
        <v>2500</v>
      </c>
      <c r="G1232" s="60">
        <f>+OtherClients[[#This Row],[Boxes / Pieces]]*OtherClients[[#This Row],[Unit Quantity]]</f>
        <v>90000</v>
      </c>
      <c r="H1232" s="60">
        <v>280</v>
      </c>
      <c r="I1232" s="126" t="s">
        <v>278</v>
      </c>
      <c r="J1232" s="127"/>
      <c r="K1232" s="33" t="s">
        <v>278</v>
      </c>
      <c r="L1232" s="125"/>
      <c r="M1232" s="33" t="s">
        <v>278</v>
      </c>
      <c r="N1232" s="125"/>
      <c r="O1232" s="33" t="s">
        <v>278</v>
      </c>
      <c r="P1232" s="125"/>
      <c r="Q1232" s="33" t="s">
        <v>587</v>
      </c>
      <c r="R1232" s="125"/>
      <c r="S1232" s="33" t="s">
        <v>278</v>
      </c>
      <c r="T1232" s="125"/>
      <c r="U1232" s="33" t="s">
        <v>278</v>
      </c>
      <c r="V1232" s="125"/>
      <c r="W1232" s="59" t="s">
        <v>548</v>
      </c>
      <c r="X1232" s="33" t="str">
        <f>+VLOOKUP(OtherClients[[#This Row],[Part]],PartControl!$A$2:$E$564,5,FALSE)</f>
        <v>INFASCO</v>
      </c>
      <c r="Y1232" s="108">
        <f>IF(OtherClients[[#This Row],[Re-certified or New]]&lt;&gt;"Re-certified",IF(OtherClients[[#This Row],[Client]]="infasco",VLOOKUP(OtherClients[[#This Row],[Part]],PartControl!$A$2:$E$564,2,FALSE),OtherClients[[#This Row],[Total Quantity]]*VLOOKUP(OtherClients[[#This Row],[Part]],PartControl!$A$2:$E$564,2,FALSE)),0)</f>
        <v>106.94</v>
      </c>
      <c r="Z1232" s="108">
        <f>IF(OtherClients[[#This Row],[Re-certified or New]]&lt;&gt;"Re-certified",IF(OtherClients[[#This Row],[Client]]="infasco",VLOOKUP(OtherClients[[#This Row],[Part]],PartControl!$A$2:$E$564,2,FALSE),OtherClients[[#This Row],[Total Quantity]]*VLOOKUP(OtherClients[[#This Row],[Part]],PartControl!$A$2:$E$564,2,FALSE)),0)</f>
        <v>106.94</v>
      </c>
    </row>
    <row r="1233" spans="1:26" ht="25.15" hidden="1" customHeight="1" x14ac:dyDescent="0.25">
      <c r="A1233" s="112">
        <v>46253.692604166667</v>
      </c>
      <c r="B1233" s="5" t="s">
        <v>636</v>
      </c>
      <c r="C1233" s="5" t="s">
        <v>703</v>
      </c>
      <c r="D1233" s="5">
        <v>715722</v>
      </c>
      <c r="E1233" s="33">
        <v>20</v>
      </c>
      <c r="F1233" s="60">
        <v>700</v>
      </c>
      <c r="G1233" s="60">
        <f>+OtherClients[[#This Row],[Boxes / Pieces]]*OtherClients[[#This Row],[Unit Quantity]]</f>
        <v>14000</v>
      </c>
      <c r="H1233" s="60">
        <v>280</v>
      </c>
      <c r="I1233" s="126" t="s">
        <v>278</v>
      </c>
      <c r="J1233" s="127"/>
      <c r="K1233" s="33" t="s">
        <v>278</v>
      </c>
      <c r="L1233" s="125"/>
      <c r="M1233" s="33" t="s">
        <v>278</v>
      </c>
      <c r="N1233" s="125"/>
      <c r="O1233" s="33" t="s">
        <v>278</v>
      </c>
      <c r="P1233" s="125"/>
      <c r="Q1233" s="33" t="s">
        <v>587</v>
      </c>
      <c r="R1233" s="125"/>
      <c r="S1233" s="33" t="s">
        <v>278</v>
      </c>
      <c r="T1233" s="125"/>
      <c r="U1233" s="33" t="s">
        <v>278</v>
      </c>
      <c r="V1233" s="125"/>
      <c r="W1233" s="59" t="s">
        <v>548</v>
      </c>
      <c r="X1233" s="33" t="str">
        <f>+VLOOKUP(OtherClients[[#This Row],[Part]],PartControl!$A$2:$E$564,5,FALSE)</f>
        <v>infasco</v>
      </c>
      <c r="Y1233" s="108">
        <f>IF(OtherClients[[#This Row],[Re-certified or New]]&lt;&gt;"Re-certified",IF(OtherClients[[#This Row],[Client]]="infasco",VLOOKUP(OtherClients[[#This Row],[Part]],PartControl!$A$2:$E$564,2,FALSE),OtherClients[[#This Row],[Total Quantity]]*VLOOKUP(OtherClients[[#This Row],[Part]],PartControl!$A$2:$E$564,2,FALSE)),0)</f>
        <v>106.94</v>
      </c>
      <c r="Z1233" s="108">
        <f>IF(OtherClients[[#This Row],[Re-certified or New]]&lt;&gt;"Re-certified",IF(OtherClients[[#This Row],[Client]]="infasco",VLOOKUP(OtherClients[[#This Row],[Part]],PartControl!$A$2:$E$564,2,FALSE),OtherClients[[#This Row],[Total Quantity]]*VLOOKUP(OtherClients[[#This Row],[Part]],PartControl!$A$2:$E$564,2,FALSE)),0)</f>
        <v>106.94</v>
      </c>
    </row>
    <row r="1234" spans="1:26" ht="25.15" hidden="1" customHeight="1" x14ac:dyDescent="0.25">
      <c r="A1234" s="112">
        <v>46253.692604166667</v>
      </c>
      <c r="B1234" s="5" t="s">
        <v>636</v>
      </c>
      <c r="C1234" s="5" t="s">
        <v>703</v>
      </c>
      <c r="D1234" s="5">
        <v>716137</v>
      </c>
      <c r="E1234" s="33">
        <v>33</v>
      </c>
      <c r="F1234" s="60">
        <v>700</v>
      </c>
      <c r="G1234" s="60">
        <f>+OtherClients[[#This Row],[Boxes / Pieces]]*OtherClients[[#This Row],[Unit Quantity]]</f>
        <v>23100</v>
      </c>
      <c r="H1234" s="60">
        <v>280</v>
      </c>
      <c r="I1234" s="126" t="s">
        <v>278</v>
      </c>
      <c r="J1234" s="127"/>
      <c r="K1234" s="33" t="s">
        <v>278</v>
      </c>
      <c r="L1234" s="125"/>
      <c r="M1234" s="33" t="s">
        <v>278</v>
      </c>
      <c r="N1234" s="125"/>
      <c r="O1234" s="33" t="s">
        <v>278</v>
      </c>
      <c r="P1234" s="125"/>
      <c r="Q1234" s="33" t="s">
        <v>587</v>
      </c>
      <c r="R1234" s="125"/>
      <c r="S1234" s="33" t="s">
        <v>278</v>
      </c>
      <c r="T1234" s="125"/>
      <c r="U1234" s="33" t="s">
        <v>278</v>
      </c>
      <c r="V1234" s="125"/>
      <c r="W1234" s="59" t="s">
        <v>548</v>
      </c>
      <c r="X1234" s="33" t="str">
        <f>+VLOOKUP(OtherClients[[#This Row],[Part]],PartControl!$A$2:$E$564,5,FALSE)</f>
        <v>infasco</v>
      </c>
      <c r="Y1234" s="108">
        <f>IF(OtherClients[[#This Row],[Re-certified or New]]&lt;&gt;"Re-certified",IF(OtherClients[[#This Row],[Client]]="infasco",VLOOKUP(OtherClients[[#This Row],[Part]],PartControl!$A$2:$E$564,2,FALSE),OtherClients[[#This Row],[Total Quantity]]*VLOOKUP(OtherClients[[#This Row],[Part]],PartControl!$A$2:$E$564,2,FALSE)),0)</f>
        <v>106.94</v>
      </c>
      <c r="Z1234" s="108">
        <f>IF(OtherClients[[#This Row],[Re-certified or New]]&lt;&gt;"Re-certified",IF(OtherClients[[#This Row],[Client]]="infasco",VLOOKUP(OtherClients[[#This Row],[Part]],PartControl!$A$2:$E$564,2,FALSE),OtherClients[[#This Row],[Total Quantity]]*VLOOKUP(OtherClients[[#This Row],[Part]],PartControl!$A$2:$E$564,2,FALSE)),0)</f>
        <v>106.94</v>
      </c>
    </row>
    <row r="1235" spans="1:26" ht="25.15" hidden="1" customHeight="1" x14ac:dyDescent="0.25">
      <c r="A1235" s="112">
        <v>46253.692604166667</v>
      </c>
      <c r="B1235" s="5" t="s">
        <v>637</v>
      </c>
      <c r="C1235" s="5">
        <v>11546449</v>
      </c>
      <c r="D1235" s="5">
        <v>715763</v>
      </c>
      <c r="E1235" s="33">
        <f>36-18</f>
        <v>18</v>
      </c>
      <c r="F1235" s="60">
        <v>2500</v>
      </c>
      <c r="G1235" s="60">
        <f>+OtherClients[[#This Row],[Boxes / Pieces]]*OtherClients[[#This Row],[Unit Quantity]]</f>
        <v>45000</v>
      </c>
      <c r="H1235" s="60">
        <v>280</v>
      </c>
      <c r="I1235" s="126" t="s">
        <v>278</v>
      </c>
      <c r="J1235" s="127"/>
      <c r="K1235" s="33" t="s">
        <v>278</v>
      </c>
      <c r="L1235" s="125"/>
      <c r="M1235" s="33" t="s">
        <v>278</v>
      </c>
      <c r="N1235" s="125"/>
      <c r="O1235" s="33" t="s">
        <v>278</v>
      </c>
      <c r="P1235" s="125"/>
      <c r="Q1235" s="33" t="s">
        <v>587</v>
      </c>
      <c r="R1235" s="125"/>
      <c r="S1235" s="33" t="s">
        <v>278</v>
      </c>
      <c r="T1235" s="125"/>
      <c r="U1235" s="33" t="s">
        <v>278</v>
      </c>
      <c r="V1235" s="125"/>
      <c r="W1235" s="59" t="s">
        <v>548</v>
      </c>
      <c r="X1235" s="33" t="str">
        <f>+VLOOKUP(OtherClients[[#This Row],[Part]],PartControl!$A$2:$E$564,5,FALSE)</f>
        <v>INFASCO</v>
      </c>
      <c r="Y1235" s="108">
        <f>IF(OtherClients[[#This Row],[Re-certified or New]]&lt;&gt;"Re-certified",IF(OtherClients[[#This Row],[Client]]="infasco",VLOOKUP(OtherClients[[#This Row],[Part]],PartControl!$A$2:$E$564,2,FALSE),OtherClients[[#This Row],[Total Quantity]]*VLOOKUP(OtherClients[[#This Row],[Part]],PartControl!$A$2:$E$564,2,FALSE)),0)</f>
        <v>106.94</v>
      </c>
      <c r="Z1235" s="108">
        <f>IF(OtherClients[[#This Row],[Re-certified or New]]&lt;&gt;"Re-certified",IF(OtherClients[[#This Row],[Client]]="infasco",VLOOKUP(OtherClients[[#This Row],[Part]],PartControl!$A$2:$E$564,2,FALSE),OtherClients[[#This Row],[Total Quantity]]*VLOOKUP(OtherClients[[#This Row],[Part]],PartControl!$A$2:$E$564,2,FALSE)),0)</f>
        <v>106.94</v>
      </c>
    </row>
    <row r="1236" spans="1:26" ht="25.15" hidden="1" customHeight="1" x14ac:dyDescent="0.25">
      <c r="A1236" s="112">
        <v>46253.692604166667</v>
      </c>
      <c r="B1236" s="5" t="s">
        <v>637</v>
      </c>
      <c r="C1236" s="5">
        <v>11546449</v>
      </c>
      <c r="D1236" s="5">
        <v>716526</v>
      </c>
      <c r="E1236" s="33">
        <v>36</v>
      </c>
      <c r="F1236" s="60">
        <v>2500</v>
      </c>
      <c r="G1236" s="60">
        <f>+OtherClients[[#This Row],[Boxes / Pieces]]*OtherClients[[#This Row],[Unit Quantity]]</f>
        <v>90000</v>
      </c>
      <c r="H1236" s="60">
        <v>280</v>
      </c>
      <c r="I1236" s="126" t="s">
        <v>278</v>
      </c>
      <c r="J1236" s="127"/>
      <c r="K1236" s="33" t="s">
        <v>278</v>
      </c>
      <c r="L1236" s="125"/>
      <c r="M1236" s="33" t="s">
        <v>278</v>
      </c>
      <c r="N1236" s="125"/>
      <c r="O1236" s="33" t="s">
        <v>278</v>
      </c>
      <c r="P1236" s="125"/>
      <c r="Q1236" s="33" t="s">
        <v>587</v>
      </c>
      <c r="R1236" s="125"/>
      <c r="S1236" s="33" t="s">
        <v>278</v>
      </c>
      <c r="T1236" s="125"/>
      <c r="U1236" s="33" t="s">
        <v>278</v>
      </c>
      <c r="V1236" s="125"/>
      <c r="W1236" s="59" t="s">
        <v>548</v>
      </c>
      <c r="X1236" s="33" t="str">
        <f>+VLOOKUP(OtherClients[[#This Row],[Part]],PartControl!$A$2:$E$564,5,FALSE)</f>
        <v>INFASCO</v>
      </c>
      <c r="Y1236" s="108">
        <f>IF(OtherClients[[#This Row],[Re-certified or New]]&lt;&gt;"Re-certified",IF(OtherClients[[#This Row],[Client]]="infasco",VLOOKUP(OtherClients[[#This Row],[Part]],PartControl!$A$2:$E$564,2,FALSE),OtherClients[[#This Row],[Total Quantity]]*VLOOKUP(OtherClients[[#This Row],[Part]],PartControl!$A$2:$E$564,2,FALSE)),0)</f>
        <v>106.94</v>
      </c>
      <c r="Z1236" s="108">
        <f>IF(OtherClients[[#This Row],[Re-certified or New]]&lt;&gt;"Re-certified",IF(OtherClients[[#This Row],[Client]]="infasco",VLOOKUP(OtherClients[[#This Row],[Part]],PartControl!$A$2:$E$564,2,FALSE),OtherClients[[#This Row],[Total Quantity]]*VLOOKUP(OtherClients[[#This Row],[Part]],PartControl!$A$2:$E$564,2,FALSE)),0)</f>
        <v>106.94</v>
      </c>
    </row>
    <row r="1237" spans="1:26" ht="25.15" hidden="1" customHeight="1" x14ac:dyDescent="0.25">
      <c r="A1237" s="112">
        <v>46253.692604166667</v>
      </c>
      <c r="B1237" s="5" t="s">
        <v>637</v>
      </c>
      <c r="C1237" s="5">
        <v>11546449</v>
      </c>
      <c r="D1237" s="5">
        <v>716519</v>
      </c>
      <c r="E1237" s="33">
        <v>36</v>
      </c>
      <c r="F1237" s="60">
        <v>2500</v>
      </c>
      <c r="G1237" s="60">
        <f>+OtherClients[[#This Row],[Boxes / Pieces]]*OtherClients[[#This Row],[Unit Quantity]]</f>
        <v>90000</v>
      </c>
      <c r="H1237" s="60">
        <v>280</v>
      </c>
      <c r="I1237" s="126" t="s">
        <v>278</v>
      </c>
      <c r="J1237" s="127"/>
      <c r="K1237" s="33" t="s">
        <v>278</v>
      </c>
      <c r="L1237" s="125"/>
      <c r="M1237" s="33" t="s">
        <v>278</v>
      </c>
      <c r="N1237" s="125"/>
      <c r="O1237" s="33" t="s">
        <v>278</v>
      </c>
      <c r="P1237" s="125"/>
      <c r="Q1237" s="33" t="s">
        <v>587</v>
      </c>
      <c r="R1237" s="125"/>
      <c r="S1237" s="33" t="s">
        <v>278</v>
      </c>
      <c r="T1237" s="125"/>
      <c r="U1237" s="33" t="s">
        <v>278</v>
      </c>
      <c r="V1237" s="125"/>
      <c r="W1237" s="59" t="s">
        <v>548</v>
      </c>
      <c r="X1237" s="33" t="str">
        <f>+VLOOKUP(OtherClients[[#This Row],[Part]],PartControl!$A$2:$E$564,5,FALSE)</f>
        <v>INFASCO</v>
      </c>
      <c r="Y1237" s="108">
        <f>IF(OtherClients[[#This Row],[Re-certified or New]]&lt;&gt;"Re-certified",IF(OtherClients[[#This Row],[Client]]="infasco",VLOOKUP(OtherClients[[#This Row],[Part]],PartControl!$A$2:$E$564,2,FALSE),OtherClients[[#This Row],[Total Quantity]]*VLOOKUP(OtherClients[[#This Row],[Part]],PartControl!$A$2:$E$564,2,FALSE)),0)</f>
        <v>106.94</v>
      </c>
      <c r="Z1237" s="108">
        <f>IF(OtherClients[[#This Row],[Re-certified or New]]&lt;&gt;"Re-certified",IF(OtherClients[[#This Row],[Client]]="infasco",VLOOKUP(OtherClients[[#This Row],[Part]],PartControl!$A$2:$E$564,2,FALSE),OtherClients[[#This Row],[Total Quantity]]*VLOOKUP(OtherClients[[#This Row],[Part]],PartControl!$A$2:$E$564,2,FALSE)),0)</f>
        <v>106.94</v>
      </c>
    </row>
    <row r="1238" spans="1:26" ht="25.15" hidden="1" customHeight="1" x14ac:dyDescent="0.25">
      <c r="A1238" s="112">
        <v>46253.692604166667</v>
      </c>
      <c r="B1238" s="5" t="s">
        <v>637</v>
      </c>
      <c r="C1238" s="5">
        <v>11546449</v>
      </c>
      <c r="D1238" s="5">
        <v>716524</v>
      </c>
      <c r="E1238" s="33">
        <v>20</v>
      </c>
      <c r="F1238" s="60">
        <v>2500</v>
      </c>
      <c r="G1238" s="60">
        <f>+OtherClients[[#This Row],[Boxes / Pieces]]*OtherClients[[#This Row],[Unit Quantity]]</f>
        <v>50000</v>
      </c>
      <c r="H1238" s="60">
        <v>280</v>
      </c>
      <c r="I1238" s="126" t="s">
        <v>278</v>
      </c>
      <c r="J1238" s="127"/>
      <c r="K1238" s="33" t="s">
        <v>278</v>
      </c>
      <c r="L1238" s="125"/>
      <c r="M1238" s="33" t="s">
        <v>278</v>
      </c>
      <c r="N1238" s="125"/>
      <c r="O1238" s="33" t="s">
        <v>278</v>
      </c>
      <c r="P1238" s="125"/>
      <c r="Q1238" s="33" t="s">
        <v>587</v>
      </c>
      <c r="R1238" s="125"/>
      <c r="S1238" s="33" t="s">
        <v>278</v>
      </c>
      <c r="T1238" s="125"/>
      <c r="U1238" s="33" t="s">
        <v>278</v>
      </c>
      <c r="V1238" s="125"/>
      <c r="W1238" s="59" t="s">
        <v>633</v>
      </c>
      <c r="X1238" s="33" t="str">
        <f>+VLOOKUP(OtherClients[[#This Row],[Part]],PartControl!$A$2:$E$564,5,FALSE)</f>
        <v>INFASCO</v>
      </c>
      <c r="Y1238" s="108">
        <f>IF(OtherClients[[#This Row],[Re-certified or New]]&lt;&gt;"Re-certified",IF(OtherClients[[#This Row],[Client]]="infasco",VLOOKUP(OtherClients[[#This Row],[Part]],PartControl!$A$2:$E$564,2,FALSE),OtherClients[[#This Row],[Total Quantity]]*VLOOKUP(OtherClients[[#This Row],[Part]],PartControl!$A$2:$E$564,2,FALSE)),0)</f>
        <v>0</v>
      </c>
      <c r="Z1238" s="108">
        <f>IF(OtherClients[[#This Row],[Re-certified or New]]&lt;&gt;"Re-certified",IF(OtherClients[[#This Row],[Client]]="infasco",VLOOKUP(OtherClients[[#This Row],[Part]],PartControl!$A$2:$E$564,2,FALSE),OtherClients[[#This Row],[Total Quantity]]*VLOOKUP(OtherClients[[#This Row],[Part]],PartControl!$A$2:$E$564,2,FALSE)),0)</f>
        <v>0</v>
      </c>
    </row>
    <row r="1239" spans="1:26" ht="25.15" hidden="1" customHeight="1" x14ac:dyDescent="0.25">
      <c r="A1239" s="112">
        <v>46253.692604166667</v>
      </c>
      <c r="B1239" s="5" t="s">
        <v>249</v>
      </c>
      <c r="C1239" s="5">
        <v>11612078</v>
      </c>
      <c r="D1239" s="5">
        <v>709057</v>
      </c>
      <c r="E1239" s="33">
        <v>20</v>
      </c>
      <c r="F1239" s="60">
        <v>1850</v>
      </c>
      <c r="G1239" s="60">
        <f>+OtherClients[[#This Row],[Boxes / Pieces]]*OtherClients[[#This Row],[Unit Quantity]]</f>
        <v>37000</v>
      </c>
      <c r="H1239" s="60">
        <v>4</v>
      </c>
      <c r="I1239" s="126" t="s">
        <v>278</v>
      </c>
      <c r="J1239" s="127"/>
      <c r="K1239" s="33" t="s">
        <v>278</v>
      </c>
      <c r="L1239" s="125"/>
      <c r="M1239" s="33" t="s">
        <v>278</v>
      </c>
      <c r="N1239" s="125"/>
      <c r="O1239" s="33" t="s">
        <v>278</v>
      </c>
      <c r="P1239" s="125"/>
      <c r="Q1239" s="33" t="s">
        <v>587</v>
      </c>
      <c r="R1239" s="125"/>
      <c r="S1239" s="33" t="s">
        <v>278</v>
      </c>
      <c r="T1239" s="125"/>
      <c r="U1239" s="33" t="s">
        <v>278</v>
      </c>
      <c r="V1239" s="125"/>
      <c r="W1239" s="59" t="s">
        <v>548</v>
      </c>
      <c r="X1239" s="33" t="str">
        <f>+VLOOKUP(OtherClients[[#This Row],[Part]],PartControl!$A$2:$E$564,5,FALSE)</f>
        <v>infasco</v>
      </c>
      <c r="Y1239" s="108">
        <f>IF(OtherClients[[#This Row],[Re-certified or New]]&lt;&gt;"Re-certified",IF(OtherClients[[#This Row],[Client]]="infasco",VLOOKUP(OtherClients[[#This Row],[Part]],PartControl!$A$2:$E$564,2,FALSE),OtherClients[[#This Row],[Total Quantity]]*VLOOKUP(OtherClients[[#This Row],[Part]],PartControl!$A$2:$E$564,2,FALSE)),0)</f>
        <v>247.64</v>
      </c>
      <c r="Z1239" s="108">
        <f>IF(OtherClients[[#This Row],[Re-certified or New]]&lt;&gt;"Re-certified",IF(OtherClients[[#This Row],[Client]]="infasco",VLOOKUP(OtherClients[[#This Row],[Part]],PartControl!$A$2:$E$564,2,FALSE),OtherClients[[#This Row],[Total Quantity]]*VLOOKUP(OtherClients[[#This Row],[Part]],PartControl!$A$2:$E$564,2,FALSE)),0)</f>
        <v>247.64</v>
      </c>
    </row>
    <row r="1240" spans="1:26" ht="25.15" hidden="1" customHeight="1" x14ac:dyDescent="0.25">
      <c r="A1240" s="112">
        <v>46253.692604166667</v>
      </c>
      <c r="B1240" s="5" t="s">
        <v>249</v>
      </c>
      <c r="C1240" s="5">
        <v>11612078</v>
      </c>
      <c r="D1240" s="5">
        <v>708874</v>
      </c>
      <c r="E1240" s="33">
        <v>3</v>
      </c>
      <c r="F1240" s="60">
        <v>1850</v>
      </c>
      <c r="G1240" s="60">
        <f>+OtherClients[[#This Row],[Boxes / Pieces]]*OtherClients[[#This Row],[Unit Quantity]]</f>
        <v>5550</v>
      </c>
      <c r="H1240" s="60">
        <v>4</v>
      </c>
      <c r="I1240" s="126" t="s">
        <v>278</v>
      </c>
      <c r="J1240" s="127"/>
      <c r="K1240" s="33" t="s">
        <v>278</v>
      </c>
      <c r="L1240" s="125"/>
      <c r="M1240" s="33" t="s">
        <v>278</v>
      </c>
      <c r="N1240" s="125"/>
      <c r="O1240" s="33" t="s">
        <v>278</v>
      </c>
      <c r="P1240" s="125"/>
      <c r="Q1240" s="33" t="s">
        <v>587</v>
      </c>
      <c r="R1240" s="125"/>
      <c r="S1240" s="33" t="s">
        <v>278</v>
      </c>
      <c r="T1240" s="125"/>
      <c r="U1240" s="33" t="s">
        <v>278</v>
      </c>
      <c r="V1240" s="125"/>
      <c r="W1240" s="59" t="s">
        <v>633</v>
      </c>
      <c r="X1240" s="33" t="str">
        <f>+VLOOKUP(OtherClients[[#This Row],[Part]],PartControl!$A$2:$E$564,5,FALSE)</f>
        <v>infasco</v>
      </c>
      <c r="Y1240" s="108">
        <f>IF(OtherClients[[#This Row],[Re-certified or New]]&lt;&gt;"Re-certified",IF(OtherClients[[#This Row],[Client]]="infasco",VLOOKUP(OtherClients[[#This Row],[Part]],PartControl!$A$2:$E$564,2,FALSE),OtherClients[[#This Row],[Total Quantity]]*VLOOKUP(OtherClients[[#This Row],[Part]],PartControl!$A$2:$E$564,2,FALSE)),0)</f>
        <v>0</v>
      </c>
      <c r="Z1240" s="108">
        <f>IF(OtherClients[[#This Row],[Re-certified or New]]&lt;&gt;"Re-certified",IF(OtherClients[[#This Row],[Client]]="infasco",VLOOKUP(OtherClients[[#This Row],[Part]],PartControl!$A$2:$E$564,2,FALSE),OtherClients[[#This Row],[Total Quantity]]*VLOOKUP(OtherClients[[#This Row],[Part]],PartControl!$A$2:$E$564,2,FALSE)),0)</f>
        <v>0</v>
      </c>
    </row>
    <row r="1241" spans="1:26" ht="25.15" hidden="1" customHeight="1" x14ac:dyDescent="0.25">
      <c r="A1241" s="112">
        <v>46253.692604166667</v>
      </c>
      <c r="B1241" s="5" t="s">
        <v>342</v>
      </c>
      <c r="C1241" s="5" t="s">
        <v>696</v>
      </c>
      <c r="D1241" s="5">
        <v>716771</v>
      </c>
      <c r="E1241" s="33">
        <v>9</v>
      </c>
      <c r="F1241" s="60">
        <v>360</v>
      </c>
      <c r="G1241" s="60">
        <f>+OtherClients[[#This Row],[Boxes / Pieces]]*OtherClients[[#This Row],[Unit Quantity]]</f>
        <v>3240</v>
      </c>
      <c r="H1241" s="60" t="s">
        <v>811</v>
      </c>
      <c r="I1241" s="126" t="s">
        <v>278</v>
      </c>
      <c r="J1241" s="127"/>
      <c r="K1241" s="33" t="s">
        <v>278</v>
      </c>
      <c r="L1241" s="125"/>
      <c r="M1241" s="33" t="s">
        <v>278</v>
      </c>
      <c r="N1241" s="125"/>
      <c r="O1241" s="33" t="s">
        <v>278</v>
      </c>
      <c r="P1241" s="125"/>
      <c r="Q1241" s="33" t="s">
        <v>587</v>
      </c>
      <c r="R1241" s="125"/>
      <c r="S1241" s="33" t="s">
        <v>278</v>
      </c>
      <c r="T1241" s="125"/>
      <c r="U1241" s="33" t="s">
        <v>278</v>
      </c>
      <c r="V1241" s="125"/>
      <c r="W1241" s="59" t="s">
        <v>548</v>
      </c>
      <c r="X1241" s="33" t="str">
        <f>+VLOOKUP(OtherClients[[#This Row],[Part]],PartControl!$A$2:$E$564,5,FALSE)</f>
        <v>infasco</v>
      </c>
      <c r="Y1241" s="108">
        <f>IF(OtherClients[[#This Row],[Re-certified or New]]&lt;&gt;"Re-certified",IF(OtherClients[[#This Row],[Client]]="infasco",VLOOKUP(OtherClients[[#This Row],[Part]],PartControl!$A$2:$E$564,2,FALSE),OtherClients[[#This Row],[Total Quantity]]*VLOOKUP(OtherClients[[#This Row],[Part]],PartControl!$A$2:$E$564,2,FALSE)),0)</f>
        <v>135.08000000000001</v>
      </c>
      <c r="Z1241" s="108">
        <f>IF(OtherClients[[#This Row],[Re-certified or New]]&lt;&gt;"Re-certified",IF(OtherClients[[#This Row],[Client]]="infasco",VLOOKUP(OtherClients[[#This Row],[Part]],PartControl!$A$2:$E$564,2,FALSE),OtherClients[[#This Row],[Total Quantity]]*VLOOKUP(OtherClients[[#This Row],[Part]],PartControl!$A$2:$E$564,2,FALSE)),0)</f>
        <v>135.08000000000001</v>
      </c>
    </row>
    <row r="1242" spans="1:26" ht="25.15" hidden="1" customHeight="1" x14ac:dyDescent="0.25">
      <c r="A1242" s="112">
        <v>46253.692604166667</v>
      </c>
      <c r="B1242" s="5" t="s">
        <v>342</v>
      </c>
      <c r="C1242" s="5">
        <v>11602659</v>
      </c>
      <c r="D1242" s="5">
        <v>714714</v>
      </c>
      <c r="E1242" s="33">
        <v>31</v>
      </c>
      <c r="F1242" s="60">
        <v>550</v>
      </c>
      <c r="G1242" s="60">
        <f>+OtherClients[[#This Row],[Boxes / Pieces]]*OtherClients[[#This Row],[Unit Quantity]]</f>
        <v>17050</v>
      </c>
      <c r="H1242" s="60" t="s">
        <v>811</v>
      </c>
      <c r="I1242" s="126" t="s">
        <v>278</v>
      </c>
      <c r="J1242" s="127"/>
      <c r="K1242" s="33" t="s">
        <v>278</v>
      </c>
      <c r="L1242" s="125"/>
      <c r="M1242" s="33" t="s">
        <v>278</v>
      </c>
      <c r="N1242" s="125"/>
      <c r="O1242" s="33" t="s">
        <v>278</v>
      </c>
      <c r="P1242" s="125"/>
      <c r="Q1242" s="33" t="s">
        <v>587</v>
      </c>
      <c r="R1242" s="125"/>
      <c r="S1242" s="33" t="s">
        <v>278</v>
      </c>
      <c r="T1242" s="125"/>
      <c r="U1242" s="33" t="s">
        <v>278</v>
      </c>
      <c r="V1242" s="125"/>
      <c r="W1242" s="59" t="s">
        <v>548</v>
      </c>
      <c r="X1242" s="33" t="str">
        <f>+VLOOKUP(OtherClients[[#This Row],[Part]],PartControl!$A$2:$E$564,5,FALSE)</f>
        <v>infasco</v>
      </c>
      <c r="Y1242" s="108">
        <f>IF(OtherClients[[#This Row],[Re-certified or New]]&lt;&gt;"Re-certified",IF(OtherClients[[#This Row],[Client]]="infasco",VLOOKUP(OtherClients[[#This Row],[Part]],PartControl!$A$2:$E$564,2,FALSE),OtherClients[[#This Row],[Total Quantity]]*VLOOKUP(OtherClients[[#This Row],[Part]],PartControl!$A$2:$E$564,2,FALSE)),0)</f>
        <v>135.07999999999998</v>
      </c>
      <c r="Z1242" s="108">
        <f>IF(OtherClients[[#This Row],[Re-certified or New]]&lt;&gt;"Re-certified",IF(OtherClients[[#This Row],[Client]]="infasco",VLOOKUP(OtherClients[[#This Row],[Part]],PartControl!$A$2:$E$564,2,FALSE),OtherClients[[#This Row],[Total Quantity]]*VLOOKUP(OtherClients[[#This Row],[Part]],PartControl!$A$2:$E$564,2,FALSE)),0)</f>
        <v>135.07999999999998</v>
      </c>
    </row>
    <row r="1243" spans="1:26" ht="25.15" hidden="1" customHeight="1" x14ac:dyDescent="0.25">
      <c r="A1243" s="112">
        <v>46253.692604166667</v>
      </c>
      <c r="B1243" s="5" t="s">
        <v>342</v>
      </c>
      <c r="C1243" s="5" t="s">
        <v>665</v>
      </c>
      <c r="D1243" s="5">
        <v>714614</v>
      </c>
      <c r="E1243" s="33">
        <v>48</v>
      </c>
      <c r="F1243" s="60">
        <v>410</v>
      </c>
      <c r="G1243" s="60">
        <f>+OtherClients[[#This Row],[Boxes / Pieces]]*OtherClients[[#This Row],[Unit Quantity]]</f>
        <v>19680</v>
      </c>
      <c r="H1243" s="60" t="s">
        <v>811</v>
      </c>
      <c r="I1243" s="126" t="s">
        <v>278</v>
      </c>
      <c r="J1243" s="127"/>
      <c r="K1243" s="33" t="s">
        <v>278</v>
      </c>
      <c r="L1243" s="125"/>
      <c r="M1243" s="33" t="s">
        <v>278</v>
      </c>
      <c r="N1243" s="125"/>
      <c r="O1243" s="33" t="s">
        <v>278</v>
      </c>
      <c r="P1243" s="125"/>
      <c r="Q1243" s="33" t="s">
        <v>587</v>
      </c>
      <c r="R1243" s="125"/>
      <c r="S1243" s="33" t="s">
        <v>278</v>
      </c>
      <c r="T1243" s="125"/>
      <c r="U1243" s="33" t="s">
        <v>278</v>
      </c>
      <c r="V1243" s="125"/>
      <c r="W1243" s="59" t="s">
        <v>548</v>
      </c>
      <c r="X1243" s="33" t="str">
        <f>+VLOOKUP(OtherClients[[#This Row],[Part]],PartControl!$A$2:$E$564,5,FALSE)</f>
        <v>infasco</v>
      </c>
      <c r="Y1243" s="108">
        <f>IF(OtherClients[[#This Row],[Re-certified or New]]&lt;&gt;"Re-certified",IF(OtherClients[[#This Row],[Client]]="infasco",VLOOKUP(OtherClients[[#This Row],[Part]],PartControl!$A$2:$E$564,2,FALSE),OtherClients[[#This Row],[Total Quantity]]*VLOOKUP(OtherClients[[#This Row],[Part]],PartControl!$A$2:$E$564,2,FALSE)),0)</f>
        <v>135.07999999999998</v>
      </c>
      <c r="Z1243" s="108">
        <f>IF(OtherClients[[#This Row],[Re-certified or New]]&lt;&gt;"Re-certified",IF(OtherClients[[#This Row],[Client]]="infasco",VLOOKUP(OtherClients[[#This Row],[Part]],PartControl!$A$2:$E$564,2,FALSE),OtherClients[[#This Row],[Total Quantity]]*VLOOKUP(OtherClients[[#This Row],[Part]],PartControl!$A$2:$E$564,2,FALSE)),0)</f>
        <v>135.07999999999998</v>
      </c>
    </row>
    <row r="1244" spans="1:26" ht="25.15" hidden="1" customHeight="1" x14ac:dyDescent="0.25">
      <c r="A1244" s="112">
        <v>46253.692604166667</v>
      </c>
      <c r="B1244" s="5" t="s">
        <v>342</v>
      </c>
      <c r="C1244" s="5" t="s">
        <v>835</v>
      </c>
      <c r="D1244" s="5">
        <v>716289</v>
      </c>
      <c r="E1244" s="33">
        <v>36</v>
      </c>
      <c r="F1244" s="60">
        <v>660</v>
      </c>
      <c r="G1244" s="60">
        <f>+OtherClients[[#This Row],[Boxes / Pieces]]*OtherClients[[#This Row],[Unit Quantity]]</f>
        <v>23760</v>
      </c>
      <c r="H1244" s="60" t="s">
        <v>811</v>
      </c>
      <c r="I1244" s="126" t="s">
        <v>278</v>
      </c>
      <c r="J1244" s="127"/>
      <c r="K1244" s="33" t="s">
        <v>278</v>
      </c>
      <c r="L1244" s="125"/>
      <c r="M1244" s="33" t="s">
        <v>278</v>
      </c>
      <c r="N1244" s="125"/>
      <c r="O1244" s="33" t="s">
        <v>278</v>
      </c>
      <c r="P1244" s="125"/>
      <c r="Q1244" s="33" t="s">
        <v>587</v>
      </c>
      <c r="R1244" s="125"/>
      <c r="S1244" s="33" t="s">
        <v>278</v>
      </c>
      <c r="T1244" s="125"/>
      <c r="U1244" s="33" t="s">
        <v>278</v>
      </c>
      <c r="V1244" s="125"/>
      <c r="W1244" s="59" t="s">
        <v>548</v>
      </c>
      <c r="X1244" s="33" t="str">
        <f>+VLOOKUP(OtherClients[[#This Row],[Part]],PartControl!$A$2:$E$564,5,FALSE)</f>
        <v>infasco</v>
      </c>
      <c r="Y1244" s="108">
        <f>IF(OtherClients[[#This Row],[Re-certified or New]]&lt;&gt;"Re-certified",IF(OtherClients[[#This Row],[Client]]="infasco",VLOOKUP(OtherClients[[#This Row],[Part]],PartControl!$A$2:$E$564,2,FALSE),OtherClients[[#This Row],[Total Quantity]]*VLOOKUP(OtherClients[[#This Row],[Part]],PartControl!$A$2:$E$564,2,FALSE)),0)</f>
        <v>135.08000000000001</v>
      </c>
      <c r="Z1244" s="108">
        <f>IF(OtherClients[[#This Row],[Re-certified or New]]&lt;&gt;"Re-certified",IF(OtherClients[[#This Row],[Client]]="infasco",VLOOKUP(OtherClients[[#This Row],[Part]],PartControl!$A$2:$E$564,2,FALSE),OtherClients[[#This Row],[Total Quantity]]*VLOOKUP(OtherClients[[#This Row],[Part]],PartControl!$A$2:$E$564,2,FALSE)),0)</f>
        <v>135.08000000000001</v>
      </c>
    </row>
    <row r="1245" spans="1:26" ht="25.15" hidden="1" customHeight="1" x14ac:dyDescent="0.25">
      <c r="A1245" s="112">
        <v>46253.692604166667</v>
      </c>
      <c r="B1245" s="5" t="s">
        <v>342</v>
      </c>
      <c r="C1245" s="5" t="s">
        <v>835</v>
      </c>
      <c r="D1245" s="5">
        <v>716291</v>
      </c>
      <c r="E1245" s="33">
        <v>27</v>
      </c>
      <c r="F1245" s="60">
        <v>660</v>
      </c>
      <c r="G1245" s="60">
        <f>+OtherClients[[#This Row],[Boxes / Pieces]]*OtherClients[[#This Row],[Unit Quantity]]</f>
        <v>17820</v>
      </c>
      <c r="H1245" s="60" t="s">
        <v>811</v>
      </c>
      <c r="I1245" s="126" t="s">
        <v>278</v>
      </c>
      <c r="J1245" s="127"/>
      <c r="K1245" s="33" t="s">
        <v>278</v>
      </c>
      <c r="L1245" s="125"/>
      <c r="M1245" s="33" t="s">
        <v>278</v>
      </c>
      <c r="N1245" s="125"/>
      <c r="O1245" s="33" t="s">
        <v>278</v>
      </c>
      <c r="P1245" s="125"/>
      <c r="Q1245" s="33" t="s">
        <v>587</v>
      </c>
      <c r="R1245" s="125"/>
      <c r="S1245" s="33" t="s">
        <v>278</v>
      </c>
      <c r="T1245" s="125"/>
      <c r="U1245" s="33" t="s">
        <v>278</v>
      </c>
      <c r="V1245" s="125"/>
      <c r="W1245" s="59" t="s">
        <v>548</v>
      </c>
      <c r="X1245" s="33" t="str">
        <f>+VLOOKUP(OtherClients[[#This Row],[Part]],PartControl!$A$2:$E$564,5,FALSE)</f>
        <v>infasco</v>
      </c>
      <c r="Y1245" s="108">
        <f>IF(OtherClients[[#This Row],[Re-certified or New]]&lt;&gt;"Re-certified",IF(OtherClients[[#This Row],[Client]]="infasco",VLOOKUP(OtherClients[[#This Row],[Part]],PartControl!$A$2:$E$564,2,FALSE),OtherClients[[#This Row],[Total Quantity]]*VLOOKUP(OtherClients[[#This Row],[Part]],PartControl!$A$2:$E$564,2,FALSE)),0)</f>
        <v>135.08000000000001</v>
      </c>
      <c r="Z1245" s="108">
        <f>IF(OtherClients[[#This Row],[Re-certified or New]]&lt;&gt;"Re-certified",IF(OtherClients[[#This Row],[Client]]="infasco",VLOOKUP(OtherClients[[#This Row],[Part]],PartControl!$A$2:$E$564,2,FALSE),OtherClients[[#This Row],[Total Quantity]]*VLOOKUP(OtherClients[[#This Row],[Part]],PartControl!$A$2:$E$564,2,FALSE)),0)</f>
        <v>135.08000000000001</v>
      </c>
    </row>
    <row r="1246" spans="1:26" ht="25.15" hidden="1" customHeight="1" x14ac:dyDescent="0.25">
      <c r="A1246" s="112">
        <v>46253.692604166667</v>
      </c>
      <c r="B1246" s="5" t="s">
        <v>342</v>
      </c>
      <c r="C1246" s="5" t="s">
        <v>664</v>
      </c>
      <c r="D1246" s="5">
        <v>714526</v>
      </c>
      <c r="E1246" s="33">
        <v>36</v>
      </c>
      <c r="F1246" s="60">
        <v>1050</v>
      </c>
      <c r="G1246" s="60">
        <f>+OtherClients[[#This Row],[Boxes / Pieces]]*OtherClients[[#This Row],[Unit Quantity]]</f>
        <v>37800</v>
      </c>
      <c r="H1246" s="60" t="s">
        <v>811</v>
      </c>
      <c r="I1246" s="126" t="s">
        <v>278</v>
      </c>
      <c r="J1246" s="127"/>
      <c r="K1246" s="33" t="s">
        <v>278</v>
      </c>
      <c r="L1246" s="125"/>
      <c r="M1246" s="33" t="s">
        <v>278</v>
      </c>
      <c r="N1246" s="125"/>
      <c r="O1246" s="33" t="s">
        <v>278</v>
      </c>
      <c r="P1246" s="125"/>
      <c r="Q1246" s="33" t="s">
        <v>587</v>
      </c>
      <c r="R1246" s="125"/>
      <c r="S1246" s="33" t="s">
        <v>278</v>
      </c>
      <c r="T1246" s="125"/>
      <c r="U1246" s="33" t="s">
        <v>278</v>
      </c>
      <c r="V1246" s="125"/>
      <c r="W1246" s="59" t="s">
        <v>548</v>
      </c>
      <c r="X1246" s="33" t="str">
        <f>+VLOOKUP(OtherClients[[#This Row],[Part]],PartControl!$A$2:$E$564,5,FALSE)</f>
        <v>infasco</v>
      </c>
      <c r="Y1246" s="108">
        <f>IF(OtherClients[[#This Row],[Re-certified or New]]&lt;&gt;"Re-certified",IF(OtherClients[[#This Row],[Client]]="infasco",VLOOKUP(OtherClients[[#This Row],[Part]],PartControl!$A$2:$E$564,2,FALSE),OtherClients[[#This Row],[Total Quantity]]*VLOOKUP(OtherClients[[#This Row],[Part]],PartControl!$A$2:$E$564,2,FALSE)),0)</f>
        <v>106.94</v>
      </c>
      <c r="Z1246" s="108">
        <f>IF(OtherClients[[#This Row],[Re-certified or New]]&lt;&gt;"Re-certified",IF(OtherClients[[#This Row],[Client]]="infasco",VLOOKUP(OtherClients[[#This Row],[Part]],PartControl!$A$2:$E$564,2,FALSE),OtherClients[[#This Row],[Total Quantity]]*VLOOKUP(OtherClients[[#This Row],[Part]],PartControl!$A$2:$E$564,2,FALSE)),0)</f>
        <v>106.94</v>
      </c>
    </row>
    <row r="1247" spans="1:26" ht="25.15" hidden="1" customHeight="1" x14ac:dyDescent="0.25">
      <c r="A1247" s="112">
        <v>46253.692604166667</v>
      </c>
      <c r="B1247" s="5" t="s">
        <v>342</v>
      </c>
      <c r="C1247" s="5" t="s">
        <v>664</v>
      </c>
      <c r="D1247" s="5">
        <v>714529</v>
      </c>
      <c r="E1247" s="33">
        <v>8</v>
      </c>
      <c r="F1247" s="60">
        <v>1050</v>
      </c>
      <c r="G1247" s="60">
        <f>+OtherClients[[#This Row],[Boxes / Pieces]]*OtherClients[[#This Row],[Unit Quantity]]</f>
        <v>8400</v>
      </c>
      <c r="H1247" s="60" t="s">
        <v>811</v>
      </c>
      <c r="I1247" s="126" t="s">
        <v>278</v>
      </c>
      <c r="J1247" s="127"/>
      <c r="K1247" s="33" t="s">
        <v>278</v>
      </c>
      <c r="L1247" s="125"/>
      <c r="M1247" s="33" t="s">
        <v>278</v>
      </c>
      <c r="N1247" s="125"/>
      <c r="O1247" s="33" t="s">
        <v>278</v>
      </c>
      <c r="P1247" s="125"/>
      <c r="Q1247" s="33" t="s">
        <v>587</v>
      </c>
      <c r="R1247" s="125"/>
      <c r="S1247" s="33" t="s">
        <v>278</v>
      </c>
      <c r="T1247" s="125"/>
      <c r="U1247" s="33" t="s">
        <v>278</v>
      </c>
      <c r="V1247" s="125"/>
      <c r="W1247" s="59" t="s">
        <v>548</v>
      </c>
      <c r="X1247" s="33" t="str">
        <f>+VLOOKUP(OtherClients[[#This Row],[Part]],PartControl!$A$2:$E$564,5,FALSE)</f>
        <v>infasco</v>
      </c>
      <c r="Y1247" s="108">
        <f>IF(OtherClients[[#This Row],[Re-certified or New]]&lt;&gt;"Re-certified",IF(OtherClients[[#This Row],[Client]]="infasco",VLOOKUP(OtherClients[[#This Row],[Part]],PartControl!$A$2:$E$564,2,FALSE),OtherClients[[#This Row],[Total Quantity]]*VLOOKUP(OtherClients[[#This Row],[Part]],PartControl!$A$2:$E$564,2,FALSE)),0)</f>
        <v>106.94</v>
      </c>
      <c r="Z1247" s="108">
        <f>IF(OtherClients[[#This Row],[Re-certified or New]]&lt;&gt;"Re-certified",IF(OtherClients[[#This Row],[Client]]="infasco",VLOOKUP(OtherClients[[#This Row],[Part]],PartControl!$A$2:$E$564,2,FALSE),OtherClients[[#This Row],[Total Quantity]]*VLOOKUP(OtherClients[[#This Row],[Part]],PartControl!$A$2:$E$564,2,FALSE)),0)</f>
        <v>106.94</v>
      </c>
    </row>
    <row r="1248" spans="1:26" ht="25.15" hidden="1" customHeight="1" x14ac:dyDescent="0.25">
      <c r="A1248" s="112">
        <v>46253.692604166667</v>
      </c>
      <c r="B1248" s="5" t="s">
        <v>342</v>
      </c>
      <c r="C1248" s="5" t="s">
        <v>818</v>
      </c>
      <c r="D1248" s="5">
        <v>716688</v>
      </c>
      <c r="E1248" s="33">
        <v>33</v>
      </c>
      <c r="F1248" s="60">
        <v>670</v>
      </c>
      <c r="G1248" s="60">
        <f>+OtherClients[[#This Row],[Boxes / Pieces]]*OtherClients[[#This Row],[Unit Quantity]]</f>
        <v>22110</v>
      </c>
      <c r="H1248" s="60" t="s">
        <v>811</v>
      </c>
      <c r="I1248" s="126" t="s">
        <v>278</v>
      </c>
      <c r="J1248" s="127"/>
      <c r="K1248" s="33" t="s">
        <v>278</v>
      </c>
      <c r="L1248" s="125"/>
      <c r="M1248" s="33" t="s">
        <v>278</v>
      </c>
      <c r="N1248" s="125"/>
      <c r="O1248" s="33" t="s">
        <v>278</v>
      </c>
      <c r="P1248" s="125"/>
      <c r="Q1248" s="33" t="s">
        <v>587</v>
      </c>
      <c r="R1248" s="125"/>
      <c r="S1248" s="33" t="s">
        <v>278</v>
      </c>
      <c r="T1248" s="125"/>
      <c r="U1248" s="33" t="s">
        <v>278</v>
      </c>
      <c r="V1248" s="125"/>
      <c r="W1248" s="59" t="s">
        <v>548</v>
      </c>
      <c r="X1248" s="33" t="str">
        <f>+VLOOKUP(OtherClients[[#This Row],[Part]],PartControl!$A$2:$E$564,5,FALSE)</f>
        <v>infasco</v>
      </c>
      <c r="Y1248" s="108">
        <f>IF(OtherClients[[#This Row],[Re-certified or New]]&lt;&gt;"Re-certified",IF(OtherClients[[#This Row],[Client]]="infasco",VLOOKUP(OtherClients[[#This Row],[Part]],PartControl!$A$2:$E$564,2,FALSE),OtherClients[[#This Row],[Total Quantity]]*VLOOKUP(OtherClients[[#This Row],[Part]],PartControl!$A$2:$E$564,2,FALSE)),0)</f>
        <v>280.16000000000003</v>
      </c>
      <c r="Z1248" s="108">
        <f>IF(OtherClients[[#This Row],[Re-certified or New]]&lt;&gt;"Re-certified",IF(OtherClients[[#This Row],[Client]]="infasco",VLOOKUP(OtherClients[[#This Row],[Part]],PartControl!$A$2:$E$564,2,FALSE),OtherClients[[#This Row],[Total Quantity]]*VLOOKUP(OtherClients[[#This Row],[Part]],PartControl!$A$2:$E$564,2,FALSE)),0)</f>
        <v>280.16000000000003</v>
      </c>
    </row>
    <row r="1249" spans="1:26" ht="25.15" hidden="1" customHeight="1" x14ac:dyDescent="0.25">
      <c r="A1249" s="112">
        <v>46253.692604166667</v>
      </c>
      <c r="B1249" s="5" t="s">
        <v>342</v>
      </c>
      <c r="C1249" s="5" t="s">
        <v>818</v>
      </c>
      <c r="D1249" s="5">
        <v>716691</v>
      </c>
      <c r="E1249" s="33">
        <v>36</v>
      </c>
      <c r="F1249" s="60">
        <v>670</v>
      </c>
      <c r="G1249" s="60">
        <f>+OtherClients[[#This Row],[Boxes / Pieces]]*OtherClients[[#This Row],[Unit Quantity]]</f>
        <v>24120</v>
      </c>
      <c r="H1249" s="60" t="s">
        <v>811</v>
      </c>
      <c r="I1249" s="126" t="s">
        <v>278</v>
      </c>
      <c r="J1249" s="127"/>
      <c r="K1249" s="33" t="s">
        <v>278</v>
      </c>
      <c r="L1249" s="125"/>
      <c r="M1249" s="33" t="s">
        <v>278</v>
      </c>
      <c r="N1249" s="125"/>
      <c r="O1249" s="33" t="s">
        <v>278</v>
      </c>
      <c r="P1249" s="125"/>
      <c r="Q1249" s="33" t="s">
        <v>587</v>
      </c>
      <c r="R1249" s="125"/>
      <c r="S1249" s="33" t="s">
        <v>278</v>
      </c>
      <c r="T1249" s="125"/>
      <c r="U1249" s="33" t="s">
        <v>278</v>
      </c>
      <c r="V1249" s="125"/>
      <c r="W1249" s="59" t="s">
        <v>548</v>
      </c>
      <c r="X1249" s="33" t="str">
        <f>+VLOOKUP(OtherClients[[#This Row],[Part]],PartControl!$A$2:$E$564,5,FALSE)</f>
        <v>infasco</v>
      </c>
      <c r="Y1249" s="108">
        <f>IF(OtherClients[[#This Row],[Re-certified or New]]&lt;&gt;"Re-certified",IF(OtherClients[[#This Row],[Client]]="infasco",VLOOKUP(OtherClients[[#This Row],[Part]],PartControl!$A$2:$E$564,2,FALSE),OtherClients[[#This Row],[Total Quantity]]*VLOOKUP(OtherClients[[#This Row],[Part]],PartControl!$A$2:$E$564,2,FALSE)),0)</f>
        <v>280.16000000000003</v>
      </c>
      <c r="Z1249" s="108">
        <f>IF(OtherClients[[#This Row],[Re-certified or New]]&lt;&gt;"Re-certified",IF(OtherClients[[#This Row],[Client]]="infasco",VLOOKUP(OtherClients[[#This Row],[Part]],PartControl!$A$2:$E$564,2,FALSE),OtherClients[[#This Row],[Total Quantity]]*VLOOKUP(OtherClients[[#This Row],[Part]],PartControl!$A$2:$E$564,2,FALSE)),0)</f>
        <v>280.16000000000003</v>
      </c>
    </row>
    <row r="1250" spans="1:26" ht="25.15" hidden="1" customHeight="1" x14ac:dyDescent="0.25">
      <c r="A1250" s="112">
        <v>46253.692604166667</v>
      </c>
      <c r="B1250" s="5" t="s">
        <v>342</v>
      </c>
      <c r="C1250" s="5" t="s">
        <v>818</v>
      </c>
      <c r="D1250" s="5">
        <v>716695</v>
      </c>
      <c r="E1250" s="33">
        <v>22</v>
      </c>
      <c r="F1250" s="60">
        <v>670</v>
      </c>
      <c r="G1250" s="60">
        <f>+OtherClients[[#This Row],[Boxes / Pieces]]*OtherClients[[#This Row],[Unit Quantity]]</f>
        <v>14740</v>
      </c>
      <c r="H1250" s="60" t="s">
        <v>811</v>
      </c>
      <c r="I1250" s="126" t="s">
        <v>278</v>
      </c>
      <c r="J1250" s="127"/>
      <c r="K1250" s="33" t="s">
        <v>278</v>
      </c>
      <c r="L1250" s="125"/>
      <c r="M1250" s="33" t="s">
        <v>278</v>
      </c>
      <c r="N1250" s="125"/>
      <c r="O1250" s="33" t="s">
        <v>278</v>
      </c>
      <c r="P1250" s="125"/>
      <c r="Q1250" s="33" t="s">
        <v>587</v>
      </c>
      <c r="R1250" s="125"/>
      <c r="S1250" s="33" t="s">
        <v>278</v>
      </c>
      <c r="T1250" s="125"/>
      <c r="U1250" s="33" t="s">
        <v>278</v>
      </c>
      <c r="V1250" s="125"/>
      <c r="W1250" s="59" t="s">
        <v>548</v>
      </c>
      <c r="X1250" s="33" t="str">
        <f>+VLOOKUP(OtherClients[[#This Row],[Part]],PartControl!$A$2:$E$564,5,FALSE)</f>
        <v>infasco</v>
      </c>
      <c r="Y1250" s="108">
        <f>IF(OtherClients[[#This Row],[Re-certified or New]]&lt;&gt;"Re-certified",IF(OtherClients[[#This Row],[Client]]="infasco",VLOOKUP(OtherClients[[#This Row],[Part]],PartControl!$A$2:$E$564,2,FALSE),OtherClients[[#This Row],[Total Quantity]]*VLOOKUP(OtherClients[[#This Row],[Part]],PartControl!$A$2:$E$564,2,FALSE)),0)</f>
        <v>280.16000000000003</v>
      </c>
      <c r="Z1250" s="108">
        <f>IF(OtherClients[[#This Row],[Re-certified or New]]&lt;&gt;"Re-certified",IF(OtherClients[[#This Row],[Client]]="infasco",VLOOKUP(OtherClients[[#This Row],[Part]],PartControl!$A$2:$E$564,2,FALSE),OtherClients[[#This Row],[Total Quantity]]*VLOOKUP(OtherClients[[#This Row],[Part]],PartControl!$A$2:$E$564,2,FALSE)),0)</f>
        <v>280.16000000000003</v>
      </c>
    </row>
    <row r="1251" spans="1:26" ht="25.15" hidden="1" customHeight="1" x14ac:dyDescent="0.25">
      <c r="A1251" s="112">
        <v>46253.692604166667</v>
      </c>
      <c r="B1251" s="5" t="s">
        <v>342</v>
      </c>
      <c r="C1251" s="5">
        <v>11588714</v>
      </c>
      <c r="D1251" s="5">
        <v>717085</v>
      </c>
      <c r="E1251" s="33">
        <v>22</v>
      </c>
      <c r="F1251" s="60">
        <v>1400</v>
      </c>
      <c r="G1251" s="60">
        <f>+OtherClients[[#This Row],[Boxes / Pieces]]*OtherClients[[#This Row],[Unit Quantity]]</f>
        <v>30800</v>
      </c>
      <c r="H1251" s="60" t="s">
        <v>811</v>
      </c>
      <c r="I1251" s="126" t="s">
        <v>278</v>
      </c>
      <c r="J1251" s="127"/>
      <c r="K1251" s="33" t="s">
        <v>278</v>
      </c>
      <c r="L1251" s="125"/>
      <c r="M1251" s="33" t="s">
        <v>278</v>
      </c>
      <c r="N1251" s="125"/>
      <c r="O1251" s="33" t="s">
        <v>278</v>
      </c>
      <c r="P1251" s="125"/>
      <c r="Q1251" s="33" t="s">
        <v>587</v>
      </c>
      <c r="R1251" s="125"/>
      <c r="S1251" s="33" t="s">
        <v>278</v>
      </c>
      <c r="T1251" s="125"/>
      <c r="U1251" s="33" t="s">
        <v>278</v>
      </c>
      <c r="V1251" s="125"/>
      <c r="W1251" s="59" t="s">
        <v>548</v>
      </c>
      <c r="X1251" s="33" t="str">
        <f>+VLOOKUP(OtherClients[[#This Row],[Part]],PartControl!$A$2:$E$564,5,FALSE)</f>
        <v>INFASCO</v>
      </c>
      <c r="Y1251" s="108">
        <f>IF(OtherClients[[#This Row],[Re-certified or New]]&lt;&gt;"Re-certified",IF(OtherClients[[#This Row],[Client]]="infasco",VLOOKUP(OtherClients[[#This Row],[Part]],PartControl!$A$2:$E$564,2,FALSE),OtherClients[[#This Row],[Total Quantity]]*VLOOKUP(OtherClients[[#This Row],[Part]],PartControl!$A$2:$E$564,2,FALSE)),0)</f>
        <v>280.15999999999997</v>
      </c>
      <c r="Z1251" s="108">
        <f>IF(OtherClients[[#This Row],[Re-certified or New]]&lt;&gt;"Re-certified",IF(OtherClients[[#This Row],[Client]]="infasco",VLOOKUP(OtherClients[[#This Row],[Part]],PartControl!$A$2:$E$564,2,FALSE),OtherClients[[#This Row],[Total Quantity]]*VLOOKUP(OtherClients[[#This Row],[Part]],PartControl!$A$2:$E$564,2,FALSE)),0)</f>
        <v>280.15999999999997</v>
      </c>
    </row>
    <row r="1252" spans="1:26" ht="25.15" hidden="1" customHeight="1" x14ac:dyDescent="0.25">
      <c r="A1252" s="112">
        <v>46253.692604166667</v>
      </c>
      <c r="B1252" s="5" t="s">
        <v>342</v>
      </c>
      <c r="C1252" s="5" t="s">
        <v>861</v>
      </c>
      <c r="D1252" s="5">
        <v>716251</v>
      </c>
      <c r="E1252" s="33">
        <v>1</v>
      </c>
      <c r="F1252" s="60">
        <f>10*300</f>
        <v>3000</v>
      </c>
      <c r="G1252" s="60">
        <f>+OtherClients[[#This Row],[Boxes / Pieces]]*OtherClients[[#This Row],[Unit Quantity]]</f>
        <v>3000</v>
      </c>
      <c r="H1252" s="60" t="s">
        <v>811</v>
      </c>
      <c r="I1252" s="126" t="s">
        <v>278</v>
      </c>
      <c r="J1252" s="127"/>
      <c r="K1252" s="33" t="s">
        <v>278</v>
      </c>
      <c r="L1252" s="125"/>
      <c r="M1252" s="33" t="s">
        <v>278</v>
      </c>
      <c r="N1252" s="125"/>
      <c r="O1252" s="33" t="s">
        <v>278</v>
      </c>
      <c r="P1252" s="125"/>
      <c r="Q1252" s="33" t="s">
        <v>587</v>
      </c>
      <c r="R1252" s="125"/>
      <c r="S1252" s="33" t="s">
        <v>278</v>
      </c>
      <c r="T1252" s="125"/>
      <c r="U1252" s="33" t="s">
        <v>278</v>
      </c>
      <c r="V1252" s="125"/>
      <c r="W1252" s="59" t="s">
        <v>633</v>
      </c>
      <c r="X1252" s="33" t="str">
        <f>+VLOOKUP(OtherClients[[#This Row],[Part]],PartControl!$A$2:$E$564,5,FALSE)</f>
        <v>Infasco</v>
      </c>
      <c r="Y1252" s="108">
        <f>IF(OtherClients[[#This Row],[Re-certified or New]]&lt;&gt;"Re-certified",IF(OtherClients[[#This Row],[Client]]="infasco",VLOOKUP(OtherClients[[#This Row],[Part]],PartControl!$A$2:$E$564,2,FALSE),OtherClients[[#This Row],[Total Quantity]]*VLOOKUP(OtherClients[[#This Row],[Part]],PartControl!$A$2:$E$564,2,FALSE)),0)</f>
        <v>0</v>
      </c>
      <c r="Z1252" s="108">
        <f>IF(OtherClients[[#This Row],[Re-certified or New]]&lt;&gt;"Re-certified",IF(OtherClients[[#This Row],[Client]]="infasco",VLOOKUP(OtherClients[[#This Row],[Part]],PartControl!$A$2:$E$564,2,FALSE),OtherClients[[#This Row],[Total Quantity]]*VLOOKUP(OtherClients[[#This Row],[Part]],PartControl!$A$2:$E$564,2,FALSE)),0)</f>
        <v>0</v>
      </c>
    </row>
    <row r="1253" spans="1:26" ht="25.15" hidden="1" customHeight="1" x14ac:dyDescent="0.25">
      <c r="A1253" s="112">
        <v>46253.692604166667</v>
      </c>
      <c r="B1253" s="5" t="s">
        <v>344</v>
      </c>
      <c r="C1253" s="5" t="s">
        <v>665</v>
      </c>
      <c r="D1253" s="5">
        <v>714617</v>
      </c>
      <c r="E1253" s="33">
        <f>36+2</f>
        <v>38</v>
      </c>
      <c r="F1253" s="60">
        <v>410</v>
      </c>
      <c r="G1253" s="60">
        <f>+OtherClients[[#This Row],[Boxes / Pieces]]*OtherClients[[#This Row],[Unit Quantity]]</f>
        <v>15580</v>
      </c>
      <c r="H1253" s="60" t="s">
        <v>816</v>
      </c>
      <c r="I1253" s="126" t="s">
        <v>278</v>
      </c>
      <c r="J1253" s="127"/>
      <c r="K1253" s="33" t="s">
        <v>278</v>
      </c>
      <c r="L1253" s="125"/>
      <c r="M1253" s="33" t="s">
        <v>278</v>
      </c>
      <c r="N1253" s="125"/>
      <c r="O1253" s="33" t="s">
        <v>278</v>
      </c>
      <c r="P1253" s="125"/>
      <c r="Q1253" s="33" t="s">
        <v>587</v>
      </c>
      <c r="R1253" s="125"/>
      <c r="S1253" s="33" t="s">
        <v>278</v>
      </c>
      <c r="T1253" s="125"/>
      <c r="U1253" s="33" t="s">
        <v>278</v>
      </c>
      <c r="V1253" s="125"/>
      <c r="W1253" s="59" t="s">
        <v>548</v>
      </c>
      <c r="X1253" s="33" t="str">
        <f>+VLOOKUP(OtherClients[[#This Row],[Part]],PartControl!$A$2:$E$564,5,FALSE)</f>
        <v>infasco</v>
      </c>
      <c r="Y1253" s="108">
        <f>IF(OtherClients[[#This Row],[Re-certified or New]]&lt;&gt;"Re-certified",IF(OtherClients[[#This Row],[Client]]="infasco",VLOOKUP(OtherClients[[#This Row],[Part]],PartControl!$A$2:$E$564,2,FALSE),OtherClients[[#This Row],[Total Quantity]]*VLOOKUP(OtherClients[[#This Row],[Part]],PartControl!$A$2:$E$564,2,FALSE)),0)</f>
        <v>135.07999999999998</v>
      </c>
      <c r="Z1253" s="108">
        <f>IF(OtherClients[[#This Row],[Re-certified or New]]&lt;&gt;"Re-certified",IF(OtherClients[[#This Row],[Client]]="infasco",VLOOKUP(OtherClients[[#This Row],[Part]],PartControl!$A$2:$E$564,2,FALSE),OtherClients[[#This Row],[Total Quantity]]*VLOOKUP(OtherClients[[#This Row],[Part]],PartControl!$A$2:$E$564,2,FALSE)),0)</f>
        <v>135.07999999999998</v>
      </c>
    </row>
    <row r="1254" spans="1:26" ht="25.15" hidden="1" customHeight="1" x14ac:dyDescent="0.25">
      <c r="A1254" s="112">
        <v>46253.692604166667</v>
      </c>
      <c r="B1254" s="5" t="s">
        <v>344</v>
      </c>
      <c r="C1254" s="5" t="s">
        <v>665</v>
      </c>
      <c r="D1254" s="5">
        <v>713044</v>
      </c>
      <c r="E1254" s="33">
        <f>36+3</f>
        <v>39</v>
      </c>
      <c r="F1254" s="60">
        <v>410</v>
      </c>
      <c r="G1254" s="60">
        <f>+OtherClients[[#This Row],[Boxes / Pieces]]*OtherClients[[#This Row],[Unit Quantity]]</f>
        <v>15990</v>
      </c>
      <c r="H1254" s="60" t="s">
        <v>816</v>
      </c>
      <c r="I1254" s="126" t="s">
        <v>278</v>
      </c>
      <c r="J1254" s="127"/>
      <c r="K1254" s="33" t="s">
        <v>278</v>
      </c>
      <c r="L1254" s="125"/>
      <c r="M1254" s="33" t="s">
        <v>278</v>
      </c>
      <c r="N1254" s="125"/>
      <c r="O1254" s="33" t="s">
        <v>278</v>
      </c>
      <c r="P1254" s="125"/>
      <c r="Q1254" s="33" t="s">
        <v>587</v>
      </c>
      <c r="R1254" s="125"/>
      <c r="S1254" s="33" t="s">
        <v>278</v>
      </c>
      <c r="T1254" s="125"/>
      <c r="U1254" s="33" t="s">
        <v>278</v>
      </c>
      <c r="V1254" s="125"/>
      <c r="W1254" s="59" t="s">
        <v>548</v>
      </c>
      <c r="X1254" s="33" t="str">
        <f>+VLOOKUP(OtherClients[[#This Row],[Part]],PartControl!$A$2:$E$564,5,FALSE)</f>
        <v>infasco</v>
      </c>
      <c r="Y1254" s="108">
        <f>IF(OtherClients[[#This Row],[Re-certified or New]]&lt;&gt;"Re-certified",IF(OtherClients[[#This Row],[Client]]="infasco",VLOOKUP(OtherClients[[#This Row],[Part]],PartControl!$A$2:$E$564,2,FALSE),OtherClients[[#This Row],[Total Quantity]]*VLOOKUP(OtherClients[[#This Row],[Part]],PartControl!$A$2:$E$564,2,FALSE)),0)</f>
        <v>135.07999999999998</v>
      </c>
      <c r="Z1254" s="108">
        <f>IF(OtherClients[[#This Row],[Re-certified or New]]&lt;&gt;"Re-certified",IF(OtherClients[[#This Row],[Client]]="infasco",VLOOKUP(OtherClients[[#This Row],[Part]],PartControl!$A$2:$E$564,2,FALSE),OtherClients[[#This Row],[Total Quantity]]*VLOOKUP(OtherClients[[#This Row],[Part]],PartControl!$A$2:$E$564,2,FALSE)),0)</f>
        <v>135.07999999999998</v>
      </c>
    </row>
    <row r="1255" spans="1:26" ht="25.15" hidden="1" customHeight="1" x14ac:dyDescent="0.25">
      <c r="A1255" s="112">
        <v>46253.692604166667</v>
      </c>
      <c r="B1255" s="5" t="s">
        <v>344</v>
      </c>
      <c r="C1255" s="5">
        <v>11602659</v>
      </c>
      <c r="D1255" s="5">
        <v>714715</v>
      </c>
      <c r="E1255" s="33">
        <v>33</v>
      </c>
      <c r="F1255" s="60">
        <v>550</v>
      </c>
      <c r="G1255" s="60">
        <f>+OtherClients[[#This Row],[Boxes / Pieces]]*OtherClients[[#This Row],[Unit Quantity]]</f>
        <v>18150</v>
      </c>
      <c r="H1255" s="60" t="s">
        <v>816</v>
      </c>
      <c r="I1255" s="126" t="s">
        <v>278</v>
      </c>
      <c r="J1255" s="127"/>
      <c r="K1255" s="33" t="s">
        <v>278</v>
      </c>
      <c r="L1255" s="125"/>
      <c r="M1255" s="33" t="s">
        <v>278</v>
      </c>
      <c r="N1255" s="125"/>
      <c r="O1255" s="33" t="s">
        <v>278</v>
      </c>
      <c r="P1255" s="125"/>
      <c r="Q1255" s="33" t="s">
        <v>587</v>
      </c>
      <c r="R1255" s="125"/>
      <c r="S1255" s="33" t="s">
        <v>278</v>
      </c>
      <c r="T1255" s="125"/>
      <c r="U1255" s="33" t="s">
        <v>278</v>
      </c>
      <c r="V1255" s="125"/>
      <c r="W1255" s="59" t="s">
        <v>548</v>
      </c>
      <c r="X1255" s="33" t="str">
        <f>+VLOOKUP(OtherClients[[#This Row],[Part]],PartControl!$A$2:$E$564,5,FALSE)</f>
        <v>infasco</v>
      </c>
      <c r="Y1255" s="108">
        <f>IF(OtherClients[[#This Row],[Re-certified or New]]&lt;&gt;"Re-certified",IF(OtherClients[[#This Row],[Client]]="infasco",VLOOKUP(OtherClients[[#This Row],[Part]],PartControl!$A$2:$E$564,2,FALSE),OtherClients[[#This Row],[Total Quantity]]*VLOOKUP(OtherClients[[#This Row],[Part]],PartControl!$A$2:$E$564,2,FALSE)),0)</f>
        <v>135.07999999999998</v>
      </c>
      <c r="Z1255" s="108">
        <f>IF(OtherClients[[#This Row],[Re-certified or New]]&lt;&gt;"Re-certified",IF(OtherClients[[#This Row],[Client]]="infasco",VLOOKUP(OtherClients[[#This Row],[Part]],PartControl!$A$2:$E$564,2,FALSE),OtherClients[[#This Row],[Total Quantity]]*VLOOKUP(OtherClients[[#This Row],[Part]],PartControl!$A$2:$E$564,2,FALSE)),0)</f>
        <v>135.07999999999998</v>
      </c>
    </row>
    <row r="1256" spans="1:26" ht="25.15" hidden="1" customHeight="1" x14ac:dyDescent="0.25">
      <c r="A1256" s="112">
        <v>46253.692604166667</v>
      </c>
      <c r="B1256" s="5" t="s">
        <v>344</v>
      </c>
      <c r="C1256" s="5" t="s">
        <v>835</v>
      </c>
      <c r="D1256" s="5">
        <v>716288</v>
      </c>
      <c r="E1256" s="33">
        <v>22</v>
      </c>
      <c r="F1256" s="60">
        <v>660</v>
      </c>
      <c r="G1256" s="60">
        <f>+OtherClients[[#This Row],[Boxes / Pieces]]*OtherClients[[#This Row],[Unit Quantity]]</f>
        <v>14520</v>
      </c>
      <c r="H1256" s="60" t="s">
        <v>816</v>
      </c>
      <c r="I1256" s="126" t="s">
        <v>278</v>
      </c>
      <c r="J1256" s="127"/>
      <c r="K1256" s="33" t="s">
        <v>278</v>
      </c>
      <c r="L1256" s="125"/>
      <c r="M1256" s="33" t="s">
        <v>278</v>
      </c>
      <c r="N1256" s="125"/>
      <c r="O1256" s="33" t="s">
        <v>278</v>
      </c>
      <c r="P1256" s="125"/>
      <c r="Q1256" s="33" t="s">
        <v>587</v>
      </c>
      <c r="R1256" s="125"/>
      <c r="S1256" s="33" t="s">
        <v>278</v>
      </c>
      <c r="T1256" s="125"/>
      <c r="U1256" s="33" t="s">
        <v>278</v>
      </c>
      <c r="V1256" s="125"/>
      <c r="W1256" s="59" t="s">
        <v>548</v>
      </c>
      <c r="X1256" s="33" t="str">
        <f>+VLOOKUP(OtherClients[[#This Row],[Part]],PartControl!$A$2:$E$564,5,FALSE)</f>
        <v>infasco</v>
      </c>
      <c r="Y1256" s="108">
        <f>IF(OtherClients[[#This Row],[Re-certified or New]]&lt;&gt;"Re-certified",IF(OtherClients[[#This Row],[Client]]="infasco",VLOOKUP(OtherClients[[#This Row],[Part]],PartControl!$A$2:$E$564,2,FALSE),OtherClients[[#This Row],[Total Quantity]]*VLOOKUP(OtherClients[[#This Row],[Part]],PartControl!$A$2:$E$564,2,FALSE)),0)</f>
        <v>135.08000000000001</v>
      </c>
      <c r="Z1256" s="108">
        <f>IF(OtherClients[[#This Row],[Re-certified or New]]&lt;&gt;"Re-certified",IF(OtherClients[[#This Row],[Client]]="infasco",VLOOKUP(OtherClients[[#This Row],[Part]],PartControl!$A$2:$E$564,2,FALSE),OtherClients[[#This Row],[Total Quantity]]*VLOOKUP(OtherClients[[#This Row],[Part]],PartControl!$A$2:$E$564,2,FALSE)),0)</f>
        <v>135.08000000000001</v>
      </c>
    </row>
    <row r="1257" spans="1:26" ht="25.15" hidden="1" customHeight="1" x14ac:dyDescent="0.25">
      <c r="A1257" s="112">
        <v>46253.692604166667</v>
      </c>
      <c r="B1257" s="5" t="s">
        <v>344</v>
      </c>
      <c r="C1257" s="5" t="s">
        <v>881</v>
      </c>
      <c r="D1257" s="5">
        <v>660087</v>
      </c>
      <c r="E1257" s="33">
        <v>37</v>
      </c>
      <c r="F1257" s="60">
        <v>900</v>
      </c>
      <c r="G1257" s="60">
        <f>+OtherClients[[#This Row],[Boxes / Pieces]]*OtherClients[[#This Row],[Unit Quantity]]</f>
        <v>33300</v>
      </c>
      <c r="H1257" s="60" t="s">
        <v>816</v>
      </c>
      <c r="I1257" s="126" t="s">
        <v>278</v>
      </c>
      <c r="J1257" s="127"/>
      <c r="K1257" s="33" t="s">
        <v>278</v>
      </c>
      <c r="L1257" s="125"/>
      <c r="M1257" s="33" t="s">
        <v>278</v>
      </c>
      <c r="N1257" s="125"/>
      <c r="O1257" s="33" t="s">
        <v>278</v>
      </c>
      <c r="P1257" s="125"/>
      <c r="Q1257" s="33" t="s">
        <v>587</v>
      </c>
      <c r="R1257" s="125"/>
      <c r="S1257" s="33" t="s">
        <v>278</v>
      </c>
      <c r="T1257" s="125"/>
      <c r="U1257" s="33" t="s">
        <v>278</v>
      </c>
      <c r="V1257" s="125"/>
      <c r="W1257" s="59" t="s">
        <v>548</v>
      </c>
      <c r="X1257" s="33" t="str">
        <f>+VLOOKUP(OtherClients[[#This Row],[Part]],PartControl!$A$2:$E$564,5,FALSE)</f>
        <v>INFASCO</v>
      </c>
      <c r="Y1257" s="108">
        <f>IF(OtherClients[[#This Row],[Re-certified or New]]&lt;&gt;"Re-certified",IF(OtherClients[[#This Row],[Client]]="infasco",VLOOKUP(OtherClients[[#This Row],[Part]],PartControl!$A$2:$E$564,2,FALSE),OtherClients[[#This Row],[Total Quantity]]*VLOOKUP(OtherClients[[#This Row],[Part]],PartControl!$A$2:$E$564,2,FALSE)),0)</f>
        <v>106.94</v>
      </c>
      <c r="Z1257" s="108">
        <f>IF(OtherClients[[#This Row],[Re-certified or New]]&lt;&gt;"Re-certified",IF(OtherClients[[#This Row],[Client]]="infasco",VLOOKUP(OtherClients[[#This Row],[Part]],PartControl!$A$2:$E$564,2,FALSE),OtherClients[[#This Row],[Total Quantity]]*VLOOKUP(OtherClients[[#This Row],[Part]],PartControl!$A$2:$E$564,2,FALSE)),0)</f>
        <v>106.94</v>
      </c>
    </row>
    <row r="1258" spans="1:26" ht="25.15" hidden="1" customHeight="1" x14ac:dyDescent="0.25">
      <c r="A1258" s="112">
        <v>46253.692604166667</v>
      </c>
      <c r="B1258" s="5" t="s">
        <v>344</v>
      </c>
      <c r="C1258" s="5">
        <v>11562515</v>
      </c>
      <c r="D1258" s="5">
        <v>713210</v>
      </c>
      <c r="E1258" s="33">
        <v>20</v>
      </c>
      <c r="F1258" s="60">
        <v>1900</v>
      </c>
      <c r="G1258" s="60">
        <f>+OtherClients[[#This Row],[Boxes / Pieces]]*OtherClients[[#This Row],[Unit Quantity]]</f>
        <v>38000</v>
      </c>
      <c r="H1258" s="60" t="s">
        <v>816</v>
      </c>
      <c r="I1258" s="126" t="s">
        <v>278</v>
      </c>
      <c r="J1258" s="127"/>
      <c r="K1258" s="33" t="s">
        <v>278</v>
      </c>
      <c r="L1258" s="125"/>
      <c r="M1258" s="33" t="s">
        <v>278</v>
      </c>
      <c r="N1258" s="125"/>
      <c r="O1258" s="33" t="s">
        <v>278</v>
      </c>
      <c r="P1258" s="125"/>
      <c r="Q1258" s="33" t="s">
        <v>587</v>
      </c>
      <c r="R1258" s="125"/>
      <c r="S1258" s="33" t="s">
        <v>278</v>
      </c>
      <c r="T1258" s="125"/>
      <c r="U1258" s="33" t="s">
        <v>278</v>
      </c>
      <c r="V1258" s="125"/>
      <c r="W1258" s="59" t="s">
        <v>548</v>
      </c>
      <c r="X1258" s="33" t="str">
        <f>+VLOOKUP(OtherClients[[#This Row],[Part]],PartControl!$A$2:$E$564,5,FALSE)</f>
        <v>INFASCO</v>
      </c>
      <c r="Y1258" s="108">
        <f>IF(OtherClients[[#This Row],[Re-certified or New]]&lt;&gt;"Re-certified",IF(OtherClients[[#This Row],[Client]]="infasco",VLOOKUP(OtherClients[[#This Row],[Part]],PartControl!$A$2:$E$564,2,FALSE),OtherClients[[#This Row],[Total Quantity]]*VLOOKUP(OtherClients[[#This Row],[Part]],PartControl!$A$2:$E$564,2,FALSE)),0)</f>
        <v>135.07999999999998</v>
      </c>
      <c r="Z1258" s="108">
        <f>IF(OtherClients[[#This Row],[Re-certified or New]]&lt;&gt;"Re-certified",IF(OtherClients[[#This Row],[Client]]="infasco",VLOOKUP(OtherClients[[#This Row],[Part]],PartControl!$A$2:$E$564,2,FALSE),OtherClients[[#This Row],[Total Quantity]]*VLOOKUP(OtherClients[[#This Row],[Part]],PartControl!$A$2:$E$564,2,FALSE)),0)</f>
        <v>135.07999999999998</v>
      </c>
    </row>
    <row r="1259" spans="1:26" ht="25.15" hidden="1" customHeight="1" x14ac:dyDescent="0.25">
      <c r="A1259" s="112">
        <v>46253.692604166667</v>
      </c>
      <c r="B1259" s="5" t="s">
        <v>344</v>
      </c>
      <c r="C1259" s="5" t="s">
        <v>818</v>
      </c>
      <c r="D1259" s="5">
        <v>716698</v>
      </c>
      <c r="E1259" s="33">
        <v>36</v>
      </c>
      <c r="F1259" s="60">
        <v>670</v>
      </c>
      <c r="G1259" s="60">
        <f>+OtherClients[[#This Row],[Boxes / Pieces]]*OtherClients[[#This Row],[Unit Quantity]]</f>
        <v>24120</v>
      </c>
      <c r="H1259" s="60" t="s">
        <v>816</v>
      </c>
      <c r="I1259" s="126" t="s">
        <v>278</v>
      </c>
      <c r="J1259" s="127"/>
      <c r="K1259" s="33" t="s">
        <v>278</v>
      </c>
      <c r="L1259" s="125"/>
      <c r="M1259" s="33" t="s">
        <v>278</v>
      </c>
      <c r="N1259" s="125"/>
      <c r="O1259" s="33" t="s">
        <v>278</v>
      </c>
      <c r="P1259" s="125"/>
      <c r="Q1259" s="33" t="s">
        <v>587</v>
      </c>
      <c r="R1259" s="125"/>
      <c r="S1259" s="33" t="s">
        <v>278</v>
      </c>
      <c r="T1259" s="125"/>
      <c r="U1259" s="33" t="s">
        <v>278</v>
      </c>
      <c r="V1259" s="125"/>
      <c r="W1259" s="59" t="s">
        <v>548</v>
      </c>
      <c r="X1259" s="33" t="str">
        <f>+VLOOKUP(OtherClients[[#This Row],[Part]],PartControl!$A$2:$E$564,5,FALSE)</f>
        <v>infasco</v>
      </c>
      <c r="Y1259" s="108">
        <f>IF(OtherClients[[#This Row],[Re-certified or New]]&lt;&gt;"Re-certified",IF(OtherClients[[#This Row],[Client]]="infasco",VLOOKUP(OtherClients[[#This Row],[Part]],PartControl!$A$2:$E$564,2,FALSE),OtherClients[[#This Row],[Total Quantity]]*VLOOKUP(OtherClients[[#This Row],[Part]],PartControl!$A$2:$E$564,2,FALSE)),0)</f>
        <v>280.16000000000003</v>
      </c>
      <c r="Z1259" s="108">
        <f>IF(OtherClients[[#This Row],[Re-certified or New]]&lt;&gt;"Re-certified",IF(OtherClients[[#This Row],[Client]]="infasco",VLOOKUP(OtherClients[[#This Row],[Part]],PartControl!$A$2:$E$564,2,FALSE),OtherClients[[#This Row],[Total Quantity]]*VLOOKUP(OtherClients[[#This Row],[Part]],PartControl!$A$2:$E$564,2,FALSE)),0)</f>
        <v>280.16000000000003</v>
      </c>
    </row>
    <row r="1260" spans="1:26" ht="25.15" hidden="1" customHeight="1" x14ac:dyDescent="0.25">
      <c r="A1260" s="112">
        <v>46253.692604166667</v>
      </c>
      <c r="B1260" s="5" t="s">
        <v>344</v>
      </c>
      <c r="C1260" s="5" t="s">
        <v>818</v>
      </c>
      <c r="D1260" s="5">
        <v>716687</v>
      </c>
      <c r="E1260" s="33">
        <v>36</v>
      </c>
      <c r="F1260" s="60">
        <v>670</v>
      </c>
      <c r="G1260" s="60">
        <f>+OtherClients[[#This Row],[Boxes / Pieces]]*OtherClients[[#This Row],[Unit Quantity]]</f>
        <v>24120</v>
      </c>
      <c r="H1260" s="60" t="s">
        <v>816</v>
      </c>
      <c r="I1260" s="126" t="s">
        <v>278</v>
      </c>
      <c r="J1260" s="127"/>
      <c r="K1260" s="33" t="s">
        <v>278</v>
      </c>
      <c r="L1260" s="125"/>
      <c r="M1260" s="33" t="s">
        <v>278</v>
      </c>
      <c r="N1260" s="125"/>
      <c r="O1260" s="33" t="s">
        <v>278</v>
      </c>
      <c r="P1260" s="125"/>
      <c r="Q1260" s="33" t="s">
        <v>587</v>
      </c>
      <c r="R1260" s="125"/>
      <c r="S1260" s="33" t="s">
        <v>278</v>
      </c>
      <c r="T1260" s="125"/>
      <c r="U1260" s="33" t="s">
        <v>278</v>
      </c>
      <c r="V1260" s="125"/>
      <c r="W1260" s="59" t="s">
        <v>548</v>
      </c>
      <c r="X1260" s="33" t="str">
        <f>+VLOOKUP(OtherClients[[#This Row],[Part]],PartControl!$A$2:$E$564,5,FALSE)</f>
        <v>infasco</v>
      </c>
      <c r="Y1260" s="108">
        <f>IF(OtherClients[[#This Row],[Re-certified or New]]&lt;&gt;"Re-certified",IF(OtherClients[[#This Row],[Client]]="infasco",VLOOKUP(OtherClients[[#This Row],[Part]],PartControl!$A$2:$E$564,2,FALSE),OtherClients[[#This Row],[Total Quantity]]*VLOOKUP(OtherClients[[#This Row],[Part]],PartControl!$A$2:$E$564,2,FALSE)),0)</f>
        <v>280.16000000000003</v>
      </c>
      <c r="Z1260" s="108">
        <f>IF(OtherClients[[#This Row],[Re-certified or New]]&lt;&gt;"Re-certified",IF(OtherClients[[#This Row],[Client]]="infasco",VLOOKUP(OtherClients[[#This Row],[Part]],PartControl!$A$2:$E$564,2,FALSE),OtherClients[[#This Row],[Total Quantity]]*VLOOKUP(OtherClients[[#This Row],[Part]],PartControl!$A$2:$E$564,2,FALSE)),0)</f>
        <v>280.16000000000003</v>
      </c>
    </row>
    <row r="1261" spans="1:26" ht="25.15" hidden="1" customHeight="1" x14ac:dyDescent="0.25">
      <c r="A1261" s="112">
        <v>46253.692604166667</v>
      </c>
      <c r="B1261" s="5" t="s">
        <v>344</v>
      </c>
      <c r="C1261" s="5" t="s">
        <v>818</v>
      </c>
      <c r="D1261" s="5">
        <v>716692</v>
      </c>
      <c r="E1261" s="33">
        <v>36</v>
      </c>
      <c r="F1261" s="60">
        <v>670</v>
      </c>
      <c r="G1261" s="60">
        <f>+OtherClients[[#This Row],[Boxes / Pieces]]*OtherClients[[#This Row],[Unit Quantity]]</f>
        <v>24120</v>
      </c>
      <c r="H1261" s="60" t="s">
        <v>816</v>
      </c>
      <c r="I1261" s="126" t="s">
        <v>278</v>
      </c>
      <c r="J1261" s="127"/>
      <c r="K1261" s="33" t="s">
        <v>278</v>
      </c>
      <c r="L1261" s="125"/>
      <c r="M1261" s="33" t="s">
        <v>278</v>
      </c>
      <c r="N1261" s="125"/>
      <c r="O1261" s="33" t="s">
        <v>278</v>
      </c>
      <c r="P1261" s="125"/>
      <c r="Q1261" s="33" t="s">
        <v>587</v>
      </c>
      <c r="R1261" s="125"/>
      <c r="S1261" s="33" t="s">
        <v>278</v>
      </c>
      <c r="T1261" s="125"/>
      <c r="U1261" s="33" t="s">
        <v>278</v>
      </c>
      <c r="V1261" s="125"/>
      <c r="W1261" s="59" t="s">
        <v>548</v>
      </c>
      <c r="X1261" s="33" t="str">
        <f>+VLOOKUP(OtherClients[[#This Row],[Part]],PartControl!$A$2:$E$564,5,FALSE)</f>
        <v>infasco</v>
      </c>
      <c r="Y1261" s="108">
        <f>IF(OtherClients[[#This Row],[Re-certified or New]]&lt;&gt;"Re-certified",IF(OtherClients[[#This Row],[Client]]="infasco",VLOOKUP(OtherClients[[#This Row],[Part]],PartControl!$A$2:$E$564,2,FALSE),OtherClients[[#This Row],[Total Quantity]]*VLOOKUP(OtherClients[[#This Row],[Part]],PartControl!$A$2:$E$564,2,FALSE)),0)</f>
        <v>280.16000000000003</v>
      </c>
      <c r="Z1261" s="108">
        <f>IF(OtherClients[[#This Row],[Re-certified or New]]&lt;&gt;"Re-certified",IF(OtherClients[[#This Row],[Client]]="infasco",VLOOKUP(OtherClients[[#This Row],[Part]],PartControl!$A$2:$E$564,2,FALSE),OtherClients[[#This Row],[Total Quantity]]*VLOOKUP(OtherClients[[#This Row],[Part]],PartControl!$A$2:$E$564,2,FALSE)),0)</f>
        <v>280.16000000000003</v>
      </c>
    </row>
    <row r="1262" spans="1:26" ht="25.15" hidden="1" customHeight="1" x14ac:dyDescent="0.25">
      <c r="A1262" s="112">
        <v>46253.692604166667</v>
      </c>
      <c r="B1262" s="5" t="s">
        <v>344</v>
      </c>
      <c r="C1262" s="5" t="s">
        <v>818</v>
      </c>
      <c r="D1262" s="5">
        <v>716696</v>
      </c>
      <c r="E1262" s="33">
        <v>16</v>
      </c>
      <c r="F1262" s="60">
        <v>670</v>
      </c>
      <c r="G1262" s="60">
        <f>+OtherClients[[#This Row],[Boxes / Pieces]]*OtherClients[[#This Row],[Unit Quantity]]</f>
        <v>10720</v>
      </c>
      <c r="H1262" s="60" t="s">
        <v>816</v>
      </c>
      <c r="I1262" s="126" t="s">
        <v>278</v>
      </c>
      <c r="J1262" s="127"/>
      <c r="K1262" s="33" t="s">
        <v>278</v>
      </c>
      <c r="L1262" s="125"/>
      <c r="M1262" s="33" t="s">
        <v>278</v>
      </c>
      <c r="N1262" s="125"/>
      <c r="O1262" s="33" t="s">
        <v>278</v>
      </c>
      <c r="P1262" s="125"/>
      <c r="Q1262" s="33" t="s">
        <v>587</v>
      </c>
      <c r="R1262" s="125"/>
      <c r="S1262" s="33" t="s">
        <v>278</v>
      </c>
      <c r="T1262" s="125"/>
      <c r="U1262" s="33" t="s">
        <v>278</v>
      </c>
      <c r="V1262" s="125"/>
      <c r="W1262" s="59" t="s">
        <v>548</v>
      </c>
      <c r="X1262" s="33" t="str">
        <f>+VLOOKUP(OtherClients[[#This Row],[Part]],PartControl!$A$2:$E$564,5,FALSE)</f>
        <v>infasco</v>
      </c>
      <c r="Y1262" s="108">
        <f>IF(OtherClients[[#This Row],[Re-certified or New]]&lt;&gt;"Re-certified",IF(OtherClients[[#This Row],[Client]]="infasco",VLOOKUP(OtherClients[[#This Row],[Part]],PartControl!$A$2:$E$564,2,FALSE),OtherClients[[#This Row],[Total Quantity]]*VLOOKUP(OtherClients[[#This Row],[Part]],PartControl!$A$2:$E$564,2,FALSE)),0)</f>
        <v>280.16000000000003</v>
      </c>
      <c r="Z1262" s="108">
        <f>IF(OtherClients[[#This Row],[Re-certified or New]]&lt;&gt;"Re-certified",IF(OtherClients[[#This Row],[Client]]="infasco",VLOOKUP(OtherClients[[#This Row],[Part]],PartControl!$A$2:$E$564,2,FALSE),OtherClients[[#This Row],[Total Quantity]]*VLOOKUP(OtherClients[[#This Row],[Part]],PartControl!$A$2:$E$564,2,FALSE)),0)</f>
        <v>280.16000000000003</v>
      </c>
    </row>
    <row r="1263" spans="1:26" ht="25.15" hidden="1" customHeight="1" x14ac:dyDescent="0.25">
      <c r="A1263" s="112">
        <v>46253.692604166667</v>
      </c>
      <c r="B1263" s="5" t="s">
        <v>345</v>
      </c>
      <c r="C1263" s="5">
        <v>11602031</v>
      </c>
      <c r="D1263" s="5">
        <v>716713</v>
      </c>
      <c r="E1263" s="33">
        <v>27</v>
      </c>
      <c r="F1263" s="60">
        <v>145</v>
      </c>
      <c r="G1263" s="60">
        <f>+OtherClients[[#This Row],[Boxes / Pieces]]*OtherClients[[#This Row],[Unit Quantity]]</f>
        <v>3915</v>
      </c>
      <c r="H1263" s="60" t="s">
        <v>849</v>
      </c>
      <c r="I1263" s="126" t="s">
        <v>278</v>
      </c>
      <c r="J1263" s="127"/>
      <c r="K1263" s="33" t="s">
        <v>278</v>
      </c>
      <c r="L1263" s="125"/>
      <c r="M1263" s="33" t="s">
        <v>278</v>
      </c>
      <c r="N1263" s="125"/>
      <c r="O1263" s="33" t="s">
        <v>278</v>
      </c>
      <c r="P1263" s="125"/>
      <c r="Q1263" s="33" t="s">
        <v>587</v>
      </c>
      <c r="R1263" s="125"/>
      <c r="S1263" s="33" t="s">
        <v>278</v>
      </c>
      <c r="T1263" s="125"/>
      <c r="U1263" s="33" t="s">
        <v>278</v>
      </c>
      <c r="V1263" s="125"/>
      <c r="W1263" s="59" t="s">
        <v>548</v>
      </c>
      <c r="X1263" s="33" t="str">
        <f>+VLOOKUP(OtherClients[[#This Row],[Part]],PartControl!$A$2:$E$564,5,FALSE)</f>
        <v>INFASCO</v>
      </c>
      <c r="Y1263" s="108">
        <f>IF(OtherClients[[#This Row],[Re-certified or New]]&lt;&gt;"Re-certified",IF(OtherClients[[#This Row],[Client]]="infasco",VLOOKUP(OtherClients[[#This Row],[Part]],PartControl!$A$2:$E$564,2,FALSE),OtherClients[[#This Row],[Total Quantity]]*VLOOKUP(OtherClients[[#This Row],[Part]],PartControl!$A$2:$E$564,2,FALSE)),0)</f>
        <v>135.07999999999998</v>
      </c>
      <c r="Z1263" s="108">
        <f>IF(OtherClients[[#This Row],[Re-certified or New]]&lt;&gt;"Re-certified",IF(OtherClients[[#This Row],[Client]]="infasco",VLOOKUP(OtherClients[[#This Row],[Part]],PartControl!$A$2:$E$564,2,FALSE),OtherClients[[#This Row],[Total Quantity]]*VLOOKUP(OtherClients[[#This Row],[Part]],PartControl!$A$2:$E$564,2,FALSE)),0)</f>
        <v>135.07999999999998</v>
      </c>
    </row>
    <row r="1264" spans="1:26" ht="25.15" hidden="1" customHeight="1" x14ac:dyDescent="0.25">
      <c r="A1264" s="112">
        <v>46253.692604166667</v>
      </c>
      <c r="B1264" s="5" t="s">
        <v>345</v>
      </c>
      <c r="C1264" s="5" t="s">
        <v>665</v>
      </c>
      <c r="D1264" s="5">
        <v>713045</v>
      </c>
      <c r="E1264" s="33">
        <v>30</v>
      </c>
      <c r="F1264" s="60">
        <v>410</v>
      </c>
      <c r="G1264" s="60">
        <f>+OtherClients[[#This Row],[Boxes / Pieces]]*OtherClients[[#This Row],[Unit Quantity]]</f>
        <v>12300</v>
      </c>
      <c r="H1264" s="60" t="s">
        <v>849</v>
      </c>
      <c r="I1264" s="126" t="s">
        <v>278</v>
      </c>
      <c r="J1264" s="127"/>
      <c r="K1264" s="33" t="s">
        <v>278</v>
      </c>
      <c r="L1264" s="125"/>
      <c r="M1264" s="33" t="s">
        <v>278</v>
      </c>
      <c r="N1264" s="125"/>
      <c r="O1264" s="33" t="s">
        <v>278</v>
      </c>
      <c r="P1264" s="125"/>
      <c r="Q1264" s="33" t="s">
        <v>587</v>
      </c>
      <c r="R1264" s="125"/>
      <c r="S1264" s="33" t="s">
        <v>278</v>
      </c>
      <c r="T1264" s="125"/>
      <c r="U1264" s="33" t="s">
        <v>278</v>
      </c>
      <c r="V1264" s="125"/>
      <c r="W1264" s="59" t="s">
        <v>548</v>
      </c>
      <c r="X1264" s="33" t="str">
        <f>+VLOOKUP(OtherClients[[#This Row],[Part]],PartControl!$A$2:$E$564,5,FALSE)</f>
        <v>infasco</v>
      </c>
      <c r="Y1264" s="108">
        <f>IF(OtherClients[[#This Row],[Re-certified or New]]&lt;&gt;"Re-certified",IF(OtherClients[[#This Row],[Client]]="infasco",VLOOKUP(OtherClients[[#This Row],[Part]],PartControl!$A$2:$E$564,2,FALSE),OtherClients[[#This Row],[Total Quantity]]*VLOOKUP(OtherClients[[#This Row],[Part]],PartControl!$A$2:$E$564,2,FALSE)),0)</f>
        <v>135.07999999999998</v>
      </c>
      <c r="Z1264" s="108">
        <f>IF(OtherClients[[#This Row],[Re-certified or New]]&lt;&gt;"Re-certified",IF(OtherClients[[#This Row],[Client]]="infasco",VLOOKUP(OtherClients[[#This Row],[Part]],PartControl!$A$2:$E$564,2,FALSE),OtherClients[[#This Row],[Total Quantity]]*VLOOKUP(OtherClients[[#This Row],[Part]],PartControl!$A$2:$E$564,2,FALSE)),0)</f>
        <v>135.07999999999998</v>
      </c>
    </row>
    <row r="1265" spans="1:26" ht="25.15" hidden="1" customHeight="1" x14ac:dyDescent="0.25">
      <c r="A1265" s="112">
        <v>46253.692604166667</v>
      </c>
      <c r="B1265" s="5" t="s">
        <v>345</v>
      </c>
      <c r="C1265" s="5">
        <v>11602659</v>
      </c>
      <c r="D1265" s="5">
        <v>714718</v>
      </c>
      <c r="E1265" s="33">
        <v>32</v>
      </c>
      <c r="F1265" s="60">
        <v>550</v>
      </c>
      <c r="G1265" s="60">
        <f>+OtherClients[[#This Row],[Boxes / Pieces]]*OtherClients[[#This Row],[Unit Quantity]]</f>
        <v>17600</v>
      </c>
      <c r="H1265" s="60" t="s">
        <v>849</v>
      </c>
      <c r="I1265" s="126" t="s">
        <v>278</v>
      </c>
      <c r="J1265" s="127"/>
      <c r="K1265" s="33" t="s">
        <v>278</v>
      </c>
      <c r="L1265" s="125"/>
      <c r="M1265" s="33" t="s">
        <v>278</v>
      </c>
      <c r="N1265" s="125"/>
      <c r="O1265" s="33" t="s">
        <v>278</v>
      </c>
      <c r="P1265" s="125"/>
      <c r="Q1265" s="33" t="s">
        <v>587</v>
      </c>
      <c r="R1265" s="125"/>
      <c r="S1265" s="33" t="s">
        <v>278</v>
      </c>
      <c r="T1265" s="125"/>
      <c r="U1265" s="33" t="s">
        <v>278</v>
      </c>
      <c r="V1265" s="125"/>
      <c r="W1265" s="59" t="s">
        <v>548</v>
      </c>
      <c r="X1265" s="33" t="str">
        <f>+VLOOKUP(OtherClients[[#This Row],[Part]],PartControl!$A$2:$E$564,5,FALSE)</f>
        <v>infasco</v>
      </c>
      <c r="Y1265" s="108">
        <f>IF(OtherClients[[#This Row],[Re-certified or New]]&lt;&gt;"Re-certified",IF(OtherClients[[#This Row],[Client]]="infasco",VLOOKUP(OtherClients[[#This Row],[Part]],PartControl!$A$2:$E$564,2,FALSE),OtherClients[[#This Row],[Total Quantity]]*VLOOKUP(OtherClients[[#This Row],[Part]],PartControl!$A$2:$E$564,2,FALSE)),0)</f>
        <v>135.07999999999998</v>
      </c>
      <c r="Z1265" s="108">
        <f>IF(OtherClients[[#This Row],[Re-certified or New]]&lt;&gt;"Re-certified",IF(OtherClients[[#This Row],[Client]]="infasco",VLOOKUP(OtherClients[[#This Row],[Part]],PartControl!$A$2:$E$564,2,FALSE),OtherClients[[#This Row],[Total Quantity]]*VLOOKUP(OtherClients[[#This Row],[Part]],PartControl!$A$2:$E$564,2,FALSE)),0)</f>
        <v>135.07999999999998</v>
      </c>
    </row>
    <row r="1266" spans="1:26" ht="25.15" hidden="1" customHeight="1" x14ac:dyDescent="0.25">
      <c r="A1266" s="112">
        <v>46253.692604166667</v>
      </c>
      <c r="B1266" s="5" t="s">
        <v>345</v>
      </c>
      <c r="C1266" s="5" t="s">
        <v>835</v>
      </c>
      <c r="D1266" s="5">
        <v>716290</v>
      </c>
      <c r="E1266" s="33">
        <v>34</v>
      </c>
      <c r="F1266" s="60">
        <v>660</v>
      </c>
      <c r="G1266" s="60">
        <f>+OtherClients[[#This Row],[Boxes / Pieces]]*OtherClients[[#This Row],[Unit Quantity]]</f>
        <v>22440</v>
      </c>
      <c r="H1266" s="60" t="s">
        <v>849</v>
      </c>
      <c r="I1266" s="126" t="s">
        <v>278</v>
      </c>
      <c r="J1266" s="127"/>
      <c r="K1266" s="33" t="s">
        <v>278</v>
      </c>
      <c r="L1266" s="125"/>
      <c r="M1266" s="33" t="s">
        <v>278</v>
      </c>
      <c r="N1266" s="125"/>
      <c r="O1266" s="33" t="s">
        <v>278</v>
      </c>
      <c r="P1266" s="125"/>
      <c r="Q1266" s="33" t="s">
        <v>587</v>
      </c>
      <c r="R1266" s="125"/>
      <c r="S1266" s="33" t="s">
        <v>278</v>
      </c>
      <c r="T1266" s="125"/>
      <c r="U1266" s="33" t="s">
        <v>278</v>
      </c>
      <c r="V1266" s="125"/>
      <c r="W1266" s="59" t="s">
        <v>548</v>
      </c>
      <c r="X1266" s="33" t="str">
        <f>+VLOOKUP(OtherClients[[#This Row],[Part]],PartControl!$A$2:$E$564,5,FALSE)</f>
        <v>infasco</v>
      </c>
      <c r="Y1266" s="108">
        <f>IF(OtherClients[[#This Row],[Re-certified or New]]&lt;&gt;"Re-certified",IF(OtherClients[[#This Row],[Client]]="infasco",VLOOKUP(OtherClients[[#This Row],[Part]],PartControl!$A$2:$E$564,2,FALSE),OtherClients[[#This Row],[Total Quantity]]*VLOOKUP(OtherClients[[#This Row],[Part]],PartControl!$A$2:$E$564,2,FALSE)),0)</f>
        <v>135.08000000000001</v>
      </c>
      <c r="Z1266" s="108">
        <f>IF(OtherClients[[#This Row],[Re-certified or New]]&lt;&gt;"Re-certified",IF(OtherClients[[#This Row],[Client]]="infasco",VLOOKUP(OtherClients[[#This Row],[Part]],PartControl!$A$2:$E$564,2,FALSE),OtherClients[[#This Row],[Total Quantity]]*VLOOKUP(OtherClients[[#This Row],[Part]],PartControl!$A$2:$E$564,2,FALSE)),0)</f>
        <v>135.08000000000001</v>
      </c>
    </row>
    <row r="1267" spans="1:26" ht="25.15" hidden="1" customHeight="1" x14ac:dyDescent="0.25">
      <c r="A1267" s="112">
        <v>46253.692604166667</v>
      </c>
      <c r="B1267" s="5" t="s">
        <v>345</v>
      </c>
      <c r="C1267" s="5" t="s">
        <v>882</v>
      </c>
      <c r="D1267" s="5">
        <v>714393</v>
      </c>
      <c r="E1267" s="33">
        <v>5</v>
      </c>
      <c r="F1267" s="60">
        <v>1700</v>
      </c>
      <c r="G1267" s="60">
        <f>+OtherClients[[#This Row],[Boxes / Pieces]]*OtherClients[[#This Row],[Unit Quantity]]</f>
        <v>8500</v>
      </c>
      <c r="H1267" s="60" t="s">
        <v>849</v>
      </c>
      <c r="I1267" s="126" t="s">
        <v>278</v>
      </c>
      <c r="J1267" s="127"/>
      <c r="K1267" s="33" t="s">
        <v>278</v>
      </c>
      <c r="L1267" s="125"/>
      <c r="M1267" s="33" t="s">
        <v>278</v>
      </c>
      <c r="N1267" s="125"/>
      <c r="O1267" s="33" t="s">
        <v>278</v>
      </c>
      <c r="P1267" s="125"/>
      <c r="Q1267" s="33" t="s">
        <v>587</v>
      </c>
      <c r="R1267" s="125"/>
      <c r="S1267" s="33" t="s">
        <v>278</v>
      </c>
      <c r="T1267" s="125"/>
      <c r="U1267" s="33" t="s">
        <v>278</v>
      </c>
      <c r="V1267" s="125"/>
      <c r="W1267" s="59" t="s">
        <v>548</v>
      </c>
      <c r="X1267" s="33" t="str">
        <f>+VLOOKUP(OtherClients[[#This Row],[Part]],PartControl!$A$2:$E$564,5,FALSE)</f>
        <v>INFASCO</v>
      </c>
      <c r="Y1267" s="108">
        <f>IF(OtherClients[[#This Row],[Re-certified or New]]&lt;&gt;"Re-certified",IF(OtherClients[[#This Row],[Client]]="infasco",VLOOKUP(OtherClients[[#This Row],[Part]],PartControl!$A$2:$E$564,2,FALSE),OtherClients[[#This Row],[Total Quantity]]*VLOOKUP(OtherClients[[#This Row],[Part]],PartControl!$A$2:$E$564,2,FALSE)),0)</f>
        <v>106.94</v>
      </c>
      <c r="Z1267" s="108">
        <f>IF(OtherClients[[#This Row],[Re-certified or New]]&lt;&gt;"Re-certified",IF(OtherClients[[#This Row],[Client]]="infasco",VLOOKUP(OtherClients[[#This Row],[Part]],PartControl!$A$2:$E$564,2,FALSE),OtherClients[[#This Row],[Total Quantity]]*VLOOKUP(OtherClients[[#This Row],[Part]],PartControl!$A$2:$E$564,2,FALSE)),0)</f>
        <v>106.94</v>
      </c>
    </row>
    <row r="1268" spans="1:26" ht="25.15" hidden="1" customHeight="1" x14ac:dyDescent="0.25">
      <c r="A1268" s="112">
        <v>46253.692604166667</v>
      </c>
      <c r="B1268" s="5" t="s">
        <v>345</v>
      </c>
      <c r="C1268" s="5" t="s">
        <v>792</v>
      </c>
      <c r="D1268" s="5">
        <v>714649</v>
      </c>
      <c r="E1268" s="33">
        <v>17</v>
      </c>
      <c r="F1268" s="60">
        <v>450</v>
      </c>
      <c r="G1268" s="60">
        <f>+OtherClients[[#This Row],[Boxes / Pieces]]*OtherClients[[#This Row],[Unit Quantity]]</f>
        <v>7650</v>
      </c>
      <c r="H1268" s="60" t="s">
        <v>849</v>
      </c>
      <c r="I1268" s="126" t="s">
        <v>278</v>
      </c>
      <c r="J1268" s="127"/>
      <c r="K1268" s="33" t="s">
        <v>278</v>
      </c>
      <c r="L1268" s="125"/>
      <c r="M1268" s="33" t="s">
        <v>278</v>
      </c>
      <c r="N1268" s="125"/>
      <c r="O1268" s="33" t="s">
        <v>278</v>
      </c>
      <c r="P1268" s="125"/>
      <c r="Q1268" s="33" t="s">
        <v>587</v>
      </c>
      <c r="R1268" s="125"/>
      <c r="S1268" s="33" t="s">
        <v>278</v>
      </c>
      <c r="T1268" s="125"/>
      <c r="U1268" s="33" t="s">
        <v>278</v>
      </c>
      <c r="V1268" s="125"/>
      <c r="W1268" s="59" t="s">
        <v>548</v>
      </c>
      <c r="X1268" s="33" t="str">
        <f>+VLOOKUP(OtherClients[[#This Row],[Part]],PartControl!$A$2:$E$564,5,FALSE)</f>
        <v>infasco</v>
      </c>
      <c r="Y1268" s="108">
        <f>IF(OtherClients[[#This Row],[Re-certified or New]]&lt;&gt;"Re-certified",IF(OtherClients[[#This Row],[Client]]="infasco",VLOOKUP(OtherClients[[#This Row],[Part]],PartControl!$A$2:$E$564,2,FALSE),OtherClients[[#This Row],[Total Quantity]]*VLOOKUP(OtherClients[[#This Row],[Part]],PartControl!$A$2:$E$564,2,FALSE)),0)</f>
        <v>106.94</v>
      </c>
      <c r="Z1268" s="108">
        <f>IF(OtherClients[[#This Row],[Re-certified or New]]&lt;&gt;"Re-certified",IF(OtherClients[[#This Row],[Client]]="infasco",VLOOKUP(OtherClients[[#This Row],[Part]],PartControl!$A$2:$E$564,2,FALSE),OtherClients[[#This Row],[Total Quantity]]*VLOOKUP(OtherClients[[#This Row],[Part]],PartControl!$A$2:$E$564,2,FALSE)),0)</f>
        <v>106.94</v>
      </c>
    </row>
    <row r="1269" spans="1:26" ht="25.15" hidden="1" customHeight="1" x14ac:dyDescent="0.25">
      <c r="A1269" s="112">
        <v>46253.692604166667</v>
      </c>
      <c r="B1269" s="5" t="s">
        <v>345</v>
      </c>
      <c r="C1269" s="5">
        <v>11562515</v>
      </c>
      <c r="D1269" s="5">
        <v>713213</v>
      </c>
      <c r="E1269" s="33">
        <v>23</v>
      </c>
      <c r="F1269" s="60">
        <v>1900</v>
      </c>
      <c r="G1269" s="60">
        <f>+OtherClients[[#This Row],[Boxes / Pieces]]*OtherClients[[#This Row],[Unit Quantity]]</f>
        <v>43700</v>
      </c>
      <c r="H1269" s="60" t="s">
        <v>849</v>
      </c>
      <c r="I1269" s="126" t="s">
        <v>278</v>
      </c>
      <c r="J1269" s="127"/>
      <c r="K1269" s="33" t="s">
        <v>278</v>
      </c>
      <c r="L1269" s="125"/>
      <c r="M1269" s="33" t="s">
        <v>278</v>
      </c>
      <c r="N1269" s="125"/>
      <c r="O1269" s="33" t="s">
        <v>278</v>
      </c>
      <c r="P1269" s="125"/>
      <c r="Q1269" s="33" t="s">
        <v>587</v>
      </c>
      <c r="R1269" s="125"/>
      <c r="S1269" s="33" t="s">
        <v>278</v>
      </c>
      <c r="T1269" s="125"/>
      <c r="U1269" s="33" t="s">
        <v>278</v>
      </c>
      <c r="V1269" s="125"/>
      <c r="W1269" s="59" t="s">
        <v>548</v>
      </c>
      <c r="X1269" s="33" t="str">
        <f>+VLOOKUP(OtherClients[[#This Row],[Part]],PartControl!$A$2:$E$564,5,FALSE)</f>
        <v>INFASCO</v>
      </c>
      <c r="Y1269" s="108">
        <f>IF(OtherClients[[#This Row],[Re-certified or New]]&lt;&gt;"Re-certified",IF(OtherClients[[#This Row],[Client]]="infasco",VLOOKUP(OtherClients[[#This Row],[Part]],PartControl!$A$2:$E$564,2,FALSE),OtherClients[[#This Row],[Total Quantity]]*VLOOKUP(OtherClients[[#This Row],[Part]],PartControl!$A$2:$E$564,2,FALSE)),0)</f>
        <v>135.07999999999998</v>
      </c>
      <c r="Z1269" s="108">
        <f>IF(OtherClients[[#This Row],[Re-certified or New]]&lt;&gt;"Re-certified",IF(OtherClients[[#This Row],[Client]]="infasco",VLOOKUP(OtherClients[[#This Row],[Part]],PartControl!$A$2:$E$564,2,FALSE),OtherClients[[#This Row],[Total Quantity]]*VLOOKUP(OtherClients[[#This Row],[Part]],PartControl!$A$2:$E$564,2,FALSE)),0)</f>
        <v>135.07999999999998</v>
      </c>
    </row>
    <row r="1270" spans="1:26" ht="25.15" hidden="1" customHeight="1" x14ac:dyDescent="0.25">
      <c r="A1270" s="112">
        <v>46253.692604166667</v>
      </c>
      <c r="B1270" s="5" t="s">
        <v>345</v>
      </c>
      <c r="C1270" s="5" t="s">
        <v>792</v>
      </c>
      <c r="D1270" s="5">
        <v>714274</v>
      </c>
      <c r="E1270" s="33">
        <v>27</v>
      </c>
      <c r="F1270" s="60">
        <v>450</v>
      </c>
      <c r="G1270" s="60">
        <f>+OtherClients[[#This Row],[Boxes / Pieces]]*OtherClients[[#This Row],[Unit Quantity]]</f>
        <v>12150</v>
      </c>
      <c r="H1270" s="60" t="s">
        <v>849</v>
      </c>
      <c r="I1270" s="126" t="s">
        <v>278</v>
      </c>
      <c r="J1270" s="127"/>
      <c r="K1270" s="33" t="s">
        <v>278</v>
      </c>
      <c r="L1270" s="125"/>
      <c r="M1270" s="33" t="s">
        <v>278</v>
      </c>
      <c r="N1270" s="125"/>
      <c r="O1270" s="33" t="s">
        <v>278</v>
      </c>
      <c r="P1270" s="125"/>
      <c r="Q1270" s="33" t="s">
        <v>587</v>
      </c>
      <c r="R1270" s="125"/>
      <c r="S1270" s="33" t="s">
        <v>278</v>
      </c>
      <c r="T1270" s="125"/>
      <c r="U1270" s="33" t="s">
        <v>278</v>
      </c>
      <c r="V1270" s="125"/>
      <c r="W1270" s="59" t="s">
        <v>548</v>
      </c>
      <c r="X1270" s="33" t="str">
        <f>+VLOOKUP(OtherClients[[#This Row],[Part]],PartControl!$A$2:$E$564,5,FALSE)</f>
        <v>infasco</v>
      </c>
      <c r="Y1270" s="108">
        <f>IF(OtherClients[[#This Row],[Re-certified or New]]&lt;&gt;"Re-certified",IF(OtherClients[[#This Row],[Client]]="infasco",VLOOKUP(OtherClients[[#This Row],[Part]],PartControl!$A$2:$E$564,2,FALSE),OtherClients[[#This Row],[Total Quantity]]*VLOOKUP(OtherClients[[#This Row],[Part]],PartControl!$A$2:$E$564,2,FALSE)),0)</f>
        <v>106.94</v>
      </c>
      <c r="Z1270" s="108">
        <f>IF(OtherClients[[#This Row],[Re-certified or New]]&lt;&gt;"Re-certified",IF(OtherClients[[#This Row],[Client]]="infasco",VLOOKUP(OtherClients[[#This Row],[Part]],PartControl!$A$2:$E$564,2,FALSE),OtherClients[[#This Row],[Total Quantity]]*VLOOKUP(OtherClients[[#This Row],[Part]],PartControl!$A$2:$E$564,2,FALSE)),0)</f>
        <v>106.94</v>
      </c>
    </row>
    <row r="1271" spans="1:26" ht="25.15" hidden="1" customHeight="1" x14ac:dyDescent="0.25">
      <c r="A1271" s="112">
        <v>46253.692604166667</v>
      </c>
      <c r="B1271" s="5" t="s">
        <v>345</v>
      </c>
      <c r="C1271" s="5" t="s">
        <v>792</v>
      </c>
      <c r="D1271" s="5">
        <v>714651</v>
      </c>
      <c r="E1271" s="33">
        <v>25</v>
      </c>
      <c r="F1271" s="60">
        <v>450</v>
      </c>
      <c r="G1271" s="60">
        <f>+OtherClients[[#This Row],[Boxes / Pieces]]*OtherClients[[#This Row],[Unit Quantity]]</f>
        <v>11250</v>
      </c>
      <c r="H1271" s="60" t="s">
        <v>849</v>
      </c>
      <c r="I1271" s="126" t="s">
        <v>278</v>
      </c>
      <c r="J1271" s="127"/>
      <c r="K1271" s="33" t="s">
        <v>278</v>
      </c>
      <c r="L1271" s="125"/>
      <c r="M1271" s="33" t="s">
        <v>278</v>
      </c>
      <c r="N1271" s="125"/>
      <c r="O1271" s="33" t="s">
        <v>278</v>
      </c>
      <c r="P1271" s="125"/>
      <c r="Q1271" s="33" t="s">
        <v>587</v>
      </c>
      <c r="R1271" s="125"/>
      <c r="S1271" s="33" t="s">
        <v>278</v>
      </c>
      <c r="T1271" s="125"/>
      <c r="U1271" s="33" t="s">
        <v>278</v>
      </c>
      <c r="V1271" s="125"/>
      <c r="W1271" s="59" t="s">
        <v>548</v>
      </c>
      <c r="X1271" s="33" t="str">
        <f>+VLOOKUP(OtherClients[[#This Row],[Part]],PartControl!$A$2:$E$564,5,FALSE)</f>
        <v>infasco</v>
      </c>
      <c r="Y1271" s="108">
        <f>IF(OtherClients[[#This Row],[Re-certified or New]]&lt;&gt;"Re-certified",IF(OtherClients[[#This Row],[Client]]="infasco",VLOOKUP(OtherClients[[#This Row],[Part]],PartControl!$A$2:$E$564,2,FALSE),OtherClients[[#This Row],[Total Quantity]]*VLOOKUP(OtherClients[[#This Row],[Part]],PartControl!$A$2:$E$564,2,FALSE)),0)</f>
        <v>106.94</v>
      </c>
      <c r="Z1271" s="108">
        <f>IF(OtherClients[[#This Row],[Re-certified or New]]&lt;&gt;"Re-certified",IF(OtherClients[[#This Row],[Client]]="infasco",VLOOKUP(OtherClients[[#This Row],[Part]],PartControl!$A$2:$E$564,2,FALSE),OtherClients[[#This Row],[Total Quantity]]*VLOOKUP(OtherClients[[#This Row],[Part]],PartControl!$A$2:$E$564,2,FALSE)),0)</f>
        <v>106.94</v>
      </c>
    </row>
    <row r="1272" spans="1:26" ht="25.15" hidden="1" customHeight="1" x14ac:dyDescent="0.25">
      <c r="A1272" s="112">
        <v>46253.692604166667</v>
      </c>
      <c r="B1272" s="5" t="s">
        <v>345</v>
      </c>
      <c r="C1272" s="5">
        <v>11588714</v>
      </c>
      <c r="D1272" s="5">
        <v>717084</v>
      </c>
      <c r="E1272" s="33">
        <v>27</v>
      </c>
      <c r="F1272" s="60">
        <v>1400</v>
      </c>
      <c r="G1272" s="60">
        <f>+OtherClients[[#This Row],[Boxes / Pieces]]*OtherClients[[#This Row],[Unit Quantity]]</f>
        <v>37800</v>
      </c>
      <c r="H1272" s="60">
        <v>252</v>
      </c>
      <c r="I1272" s="126" t="s">
        <v>278</v>
      </c>
      <c r="J1272" s="127"/>
      <c r="K1272" s="33" t="s">
        <v>278</v>
      </c>
      <c r="L1272" s="125"/>
      <c r="M1272" s="33" t="s">
        <v>278</v>
      </c>
      <c r="N1272" s="125"/>
      <c r="O1272" s="33" t="s">
        <v>278</v>
      </c>
      <c r="P1272" s="125"/>
      <c r="Q1272" s="33" t="s">
        <v>587</v>
      </c>
      <c r="R1272" s="125"/>
      <c r="S1272" s="33" t="s">
        <v>278</v>
      </c>
      <c r="T1272" s="125"/>
      <c r="U1272" s="33" t="s">
        <v>278</v>
      </c>
      <c r="V1272" s="125"/>
      <c r="W1272" s="59" t="s">
        <v>548</v>
      </c>
      <c r="X1272" s="33" t="str">
        <f>+VLOOKUP(OtherClients[[#This Row],[Part]],PartControl!$A$2:$E$564,5,FALSE)</f>
        <v>INFASCO</v>
      </c>
      <c r="Y1272" s="108">
        <f>IF(OtherClients[[#This Row],[Re-certified or New]]&lt;&gt;"Re-certified",IF(OtherClients[[#This Row],[Client]]="infasco",VLOOKUP(OtherClients[[#This Row],[Part]],PartControl!$A$2:$E$564,2,FALSE),OtherClients[[#This Row],[Total Quantity]]*VLOOKUP(OtherClients[[#This Row],[Part]],PartControl!$A$2:$E$564,2,FALSE)),0)</f>
        <v>280.15999999999997</v>
      </c>
      <c r="Z1272" s="108">
        <f>IF(OtherClients[[#This Row],[Re-certified or New]]&lt;&gt;"Re-certified",IF(OtherClients[[#This Row],[Client]]="infasco",VLOOKUP(OtherClients[[#This Row],[Part]],PartControl!$A$2:$E$564,2,FALSE),OtherClients[[#This Row],[Total Quantity]]*VLOOKUP(OtherClients[[#This Row],[Part]],PartControl!$A$2:$E$564,2,FALSE)),0)</f>
        <v>280.15999999999997</v>
      </c>
    </row>
    <row r="1273" spans="1:26" ht="25.15" hidden="1" customHeight="1" x14ac:dyDescent="0.25">
      <c r="A1273" s="112">
        <v>46253.692604166667</v>
      </c>
      <c r="B1273" s="5" t="s">
        <v>345</v>
      </c>
      <c r="C1273" s="5">
        <v>11588714</v>
      </c>
      <c r="D1273" s="5">
        <v>717086</v>
      </c>
      <c r="E1273" s="33">
        <v>18</v>
      </c>
      <c r="F1273" s="60">
        <v>1400</v>
      </c>
      <c r="G1273" s="60">
        <f>+OtherClients[[#This Row],[Boxes / Pieces]]*OtherClients[[#This Row],[Unit Quantity]]</f>
        <v>25200</v>
      </c>
      <c r="H1273" s="60">
        <v>252</v>
      </c>
      <c r="I1273" s="126" t="s">
        <v>278</v>
      </c>
      <c r="J1273" s="127"/>
      <c r="K1273" s="33" t="s">
        <v>278</v>
      </c>
      <c r="L1273" s="125"/>
      <c r="M1273" s="33" t="s">
        <v>278</v>
      </c>
      <c r="N1273" s="125"/>
      <c r="O1273" s="33" t="s">
        <v>278</v>
      </c>
      <c r="P1273" s="125"/>
      <c r="Q1273" s="33" t="s">
        <v>587</v>
      </c>
      <c r="R1273" s="125"/>
      <c r="S1273" s="33" t="s">
        <v>278</v>
      </c>
      <c r="T1273" s="125"/>
      <c r="U1273" s="33" t="s">
        <v>278</v>
      </c>
      <c r="V1273" s="125"/>
      <c r="W1273" s="59" t="s">
        <v>633</v>
      </c>
      <c r="X1273" s="33" t="str">
        <f>+VLOOKUP(OtherClients[[#This Row],[Part]],PartControl!$A$2:$E$564,5,FALSE)</f>
        <v>INFASCO</v>
      </c>
      <c r="Y1273" s="108">
        <f>IF(OtherClients[[#This Row],[Re-certified or New]]&lt;&gt;"Re-certified",IF(OtherClients[[#This Row],[Client]]="infasco",VLOOKUP(OtherClients[[#This Row],[Part]],PartControl!$A$2:$E$564,2,FALSE),OtherClients[[#This Row],[Total Quantity]]*VLOOKUP(OtherClients[[#This Row],[Part]],PartControl!$A$2:$E$564,2,FALSE)),0)</f>
        <v>0</v>
      </c>
      <c r="Z1273" s="108">
        <f>IF(OtherClients[[#This Row],[Re-certified or New]]&lt;&gt;"Re-certified",IF(OtherClients[[#This Row],[Client]]="infasco",VLOOKUP(OtherClients[[#This Row],[Part]],PartControl!$A$2:$E$564,2,FALSE),OtherClients[[#This Row],[Total Quantity]]*VLOOKUP(OtherClients[[#This Row],[Part]],PartControl!$A$2:$E$564,2,FALSE)),0)</f>
        <v>0</v>
      </c>
    </row>
    <row r="1274" spans="1:26" ht="25.15" hidden="1" customHeight="1" x14ac:dyDescent="0.25">
      <c r="A1274" s="112">
        <v>46253.692604166667</v>
      </c>
      <c r="B1274" s="5" t="s">
        <v>346</v>
      </c>
      <c r="C1274" s="5" t="s">
        <v>696</v>
      </c>
      <c r="D1274" s="5">
        <v>716772</v>
      </c>
      <c r="E1274" s="33">
        <f>28-10</f>
        <v>18</v>
      </c>
      <c r="F1274" s="60">
        <v>360</v>
      </c>
      <c r="G1274" s="60">
        <f>+OtherClients[[#This Row],[Boxes / Pieces]]*OtherClients[[#This Row],[Unit Quantity]]</f>
        <v>6480</v>
      </c>
      <c r="H1274" s="60" t="s">
        <v>871</v>
      </c>
      <c r="I1274" s="126" t="s">
        <v>278</v>
      </c>
      <c r="J1274" s="127"/>
      <c r="K1274" s="33" t="s">
        <v>278</v>
      </c>
      <c r="L1274" s="125"/>
      <c r="M1274" s="33" t="s">
        <v>278</v>
      </c>
      <c r="N1274" s="125"/>
      <c r="O1274" s="33" t="s">
        <v>278</v>
      </c>
      <c r="P1274" s="125"/>
      <c r="Q1274" s="33" t="s">
        <v>587</v>
      </c>
      <c r="R1274" s="125"/>
      <c r="S1274" s="33" t="s">
        <v>278</v>
      </c>
      <c r="T1274" s="125"/>
      <c r="U1274" s="33" t="s">
        <v>278</v>
      </c>
      <c r="V1274" s="125"/>
      <c r="W1274" s="59" t="s">
        <v>548</v>
      </c>
      <c r="X1274" s="33" t="str">
        <f>+VLOOKUP(OtherClients[[#This Row],[Part]],PartControl!$A$2:$E$564,5,FALSE)</f>
        <v>infasco</v>
      </c>
      <c r="Y1274" s="108">
        <f>IF(OtherClients[[#This Row],[Re-certified or New]]&lt;&gt;"Re-certified",IF(OtherClients[[#This Row],[Client]]="infasco",VLOOKUP(OtherClients[[#This Row],[Part]],PartControl!$A$2:$E$564,2,FALSE),OtherClients[[#This Row],[Total Quantity]]*VLOOKUP(OtherClients[[#This Row],[Part]],PartControl!$A$2:$E$564,2,FALSE)),0)</f>
        <v>135.08000000000001</v>
      </c>
      <c r="Z1274" s="108">
        <f>IF(OtherClients[[#This Row],[Re-certified or New]]&lt;&gt;"Re-certified",IF(OtherClients[[#This Row],[Client]]="infasco",VLOOKUP(OtherClients[[#This Row],[Part]],PartControl!$A$2:$E$564,2,FALSE),OtherClients[[#This Row],[Total Quantity]]*VLOOKUP(OtherClients[[#This Row],[Part]],PartControl!$A$2:$E$564,2,FALSE)),0)</f>
        <v>135.08000000000001</v>
      </c>
    </row>
    <row r="1275" spans="1:26" ht="25.15" hidden="1" customHeight="1" x14ac:dyDescent="0.25">
      <c r="A1275" s="112">
        <v>46253.692604166667</v>
      </c>
      <c r="B1275" s="5" t="s">
        <v>346</v>
      </c>
      <c r="C1275" s="5" t="s">
        <v>854</v>
      </c>
      <c r="D1275" s="5">
        <v>713918</v>
      </c>
      <c r="E1275" s="33">
        <v>37</v>
      </c>
      <c r="F1275" s="60">
        <v>700</v>
      </c>
      <c r="G1275" s="60">
        <f>+OtherClients[[#This Row],[Boxes / Pieces]]*OtherClients[[#This Row],[Unit Quantity]]</f>
        <v>25900</v>
      </c>
      <c r="H1275" s="60" t="s">
        <v>871</v>
      </c>
      <c r="I1275" s="126" t="s">
        <v>278</v>
      </c>
      <c r="J1275" s="127"/>
      <c r="K1275" s="33" t="s">
        <v>278</v>
      </c>
      <c r="L1275" s="125"/>
      <c r="M1275" s="33" t="s">
        <v>278</v>
      </c>
      <c r="N1275" s="125"/>
      <c r="O1275" s="33" t="s">
        <v>278</v>
      </c>
      <c r="P1275" s="125"/>
      <c r="Q1275" s="33" t="s">
        <v>587</v>
      </c>
      <c r="R1275" s="125"/>
      <c r="S1275" s="33" t="s">
        <v>278</v>
      </c>
      <c r="T1275" s="125"/>
      <c r="U1275" s="33" t="s">
        <v>278</v>
      </c>
      <c r="V1275" s="125"/>
      <c r="W1275" s="59" t="s">
        <v>548</v>
      </c>
      <c r="X1275" s="33" t="str">
        <f>+VLOOKUP(OtherClients[[#This Row],[Part]],PartControl!$A$2:$E$564,5,FALSE)</f>
        <v>infasco</v>
      </c>
      <c r="Y1275" s="108">
        <f>IF(OtherClients[[#This Row],[Re-certified or New]]&lt;&gt;"Re-certified",IF(OtherClients[[#This Row],[Client]]="infasco",VLOOKUP(OtherClients[[#This Row],[Part]],PartControl!$A$2:$E$564,2,FALSE),OtherClients[[#This Row],[Total Quantity]]*VLOOKUP(OtherClients[[#This Row],[Part]],PartControl!$A$2:$E$564,2,FALSE)),0)</f>
        <v>213.88</v>
      </c>
      <c r="Z1275" s="108">
        <f>IF(OtherClients[[#This Row],[Re-certified or New]]&lt;&gt;"Re-certified",IF(OtherClients[[#This Row],[Client]]="infasco",VLOOKUP(OtherClients[[#This Row],[Part]],PartControl!$A$2:$E$564,2,FALSE),OtherClients[[#This Row],[Total Quantity]]*VLOOKUP(OtherClients[[#This Row],[Part]],PartControl!$A$2:$E$564,2,FALSE)),0)</f>
        <v>213.88</v>
      </c>
    </row>
    <row r="1276" spans="1:26" ht="25.15" hidden="1" customHeight="1" x14ac:dyDescent="0.25">
      <c r="A1276" s="112">
        <v>46253.692604166667</v>
      </c>
      <c r="B1276" s="5" t="s">
        <v>346</v>
      </c>
      <c r="C1276" s="5" t="s">
        <v>881</v>
      </c>
      <c r="D1276" s="5">
        <v>660088</v>
      </c>
      <c r="E1276" s="33">
        <v>43</v>
      </c>
      <c r="F1276" s="60">
        <v>900</v>
      </c>
      <c r="G1276" s="60">
        <f>+OtherClients[[#This Row],[Boxes / Pieces]]*OtherClients[[#This Row],[Unit Quantity]]</f>
        <v>38700</v>
      </c>
      <c r="H1276" s="60" t="s">
        <v>871</v>
      </c>
      <c r="I1276" s="126" t="s">
        <v>278</v>
      </c>
      <c r="J1276" s="127"/>
      <c r="K1276" s="33" t="s">
        <v>278</v>
      </c>
      <c r="L1276" s="125"/>
      <c r="M1276" s="33" t="s">
        <v>278</v>
      </c>
      <c r="N1276" s="125"/>
      <c r="O1276" s="33" t="s">
        <v>278</v>
      </c>
      <c r="P1276" s="125"/>
      <c r="Q1276" s="33" t="s">
        <v>587</v>
      </c>
      <c r="R1276" s="125"/>
      <c r="S1276" s="33" t="s">
        <v>278</v>
      </c>
      <c r="T1276" s="125"/>
      <c r="U1276" s="33" t="s">
        <v>278</v>
      </c>
      <c r="V1276" s="125"/>
      <c r="W1276" s="59" t="s">
        <v>548</v>
      </c>
      <c r="X1276" s="33" t="str">
        <f>+VLOOKUP(OtherClients[[#This Row],[Part]],PartControl!$A$2:$E$564,5,FALSE)</f>
        <v>INFASCO</v>
      </c>
      <c r="Y1276" s="108">
        <f>IF(OtherClients[[#This Row],[Re-certified or New]]&lt;&gt;"Re-certified",IF(OtherClients[[#This Row],[Client]]="infasco",VLOOKUP(OtherClients[[#This Row],[Part]],PartControl!$A$2:$E$564,2,FALSE),OtherClients[[#This Row],[Total Quantity]]*VLOOKUP(OtherClients[[#This Row],[Part]],PartControl!$A$2:$E$564,2,FALSE)),0)</f>
        <v>106.94</v>
      </c>
      <c r="Z1276" s="108">
        <f>IF(OtherClients[[#This Row],[Re-certified or New]]&lt;&gt;"Re-certified",IF(OtherClients[[#This Row],[Client]]="infasco",VLOOKUP(OtherClients[[#This Row],[Part]],PartControl!$A$2:$E$564,2,FALSE),OtherClients[[#This Row],[Total Quantity]]*VLOOKUP(OtherClients[[#This Row],[Part]],PartControl!$A$2:$E$564,2,FALSE)),0)</f>
        <v>106.94</v>
      </c>
    </row>
    <row r="1277" spans="1:26" ht="25.15" hidden="1" customHeight="1" x14ac:dyDescent="0.25">
      <c r="A1277" s="112">
        <v>46253.692604166667</v>
      </c>
      <c r="B1277" s="5" t="s">
        <v>346</v>
      </c>
      <c r="C1277" s="5" t="s">
        <v>664</v>
      </c>
      <c r="D1277" s="5">
        <v>714528</v>
      </c>
      <c r="E1277" s="33">
        <v>42</v>
      </c>
      <c r="F1277" s="60">
        <v>1050</v>
      </c>
      <c r="G1277" s="60">
        <f>+OtherClients[[#This Row],[Boxes / Pieces]]*OtherClients[[#This Row],[Unit Quantity]]</f>
        <v>44100</v>
      </c>
      <c r="H1277" s="60" t="s">
        <v>871</v>
      </c>
      <c r="I1277" s="126" t="s">
        <v>278</v>
      </c>
      <c r="J1277" s="127"/>
      <c r="K1277" s="33" t="s">
        <v>278</v>
      </c>
      <c r="L1277" s="125"/>
      <c r="M1277" s="33" t="s">
        <v>278</v>
      </c>
      <c r="N1277" s="125"/>
      <c r="O1277" s="33" t="s">
        <v>278</v>
      </c>
      <c r="P1277" s="125"/>
      <c r="Q1277" s="33" t="s">
        <v>587</v>
      </c>
      <c r="R1277" s="125"/>
      <c r="S1277" s="33" t="s">
        <v>278</v>
      </c>
      <c r="T1277" s="125"/>
      <c r="U1277" s="33" t="s">
        <v>278</v>
      </c>
      <c r="V1277" s="125"/>
      <c r="W1277" s="59" t="s">
        <v>548</v>
      </c>
      <c r="X1277" s="33" t="str">
        <f>+VLOOKUP(OtherClients[[#This Row],[Part]],PartControl!$A$2:$E$564,5,FALSE)</f>
        <v>infasco</v>
      </c>
      <c r="Y1277" s="108">
        <f>IF(OtherClients[[#This Row],[Re-certified or New]]&lt;&gt;"Re-certified",IF(OtherClients[[#This Row],[Client]]="infasco",VLOOKUP(OtherClients[[#This Row],[Part]],PartControl!$A$2:$E$564,2,FALSE),OtherClients[[#This Row],[Total Quantity]]*VLOOKUP(OtherClients[[#This Row],[Part]],PartControl!$A$2:$E$564,2,FALSE)),0)</f>
        <v>106.94</v>
      </c>
      <c r="Z1277" s="108">
        <f>IF(OtherClients[[#This Row],[Re-certified or New]]&lt;&gt;"Re-certified",IF(OtherClients[[#This Row],[Client]]="infasco",VLOOKUP(OtherClients[[#This Row],[Part]],PartControl!$A$2:$E$564,2,FALSE),OtherClients[[#This Row],[Total Quantity]]*VLOOKUP(OtherClients[[#This Row],[Part]],PartControl!$A$2:$E$564,2,FALSE)),0)</f>
        <v>106.94</v>
      </c>
    </row>
    <row r="1278" spans="1:26" ht="25.15" hidden="1" customHeight="1" x14ac:dyDescent="0.25">
      <c r="A1278" s="112">
        <v>46253.692604166667</v>
      </c>
      <c r="B1278" s="5" t="s">
        <v>346</v>
      </c>
      <c r="C1278" s="5" t="s">
        <v>818</v>
      </c>
      <c r="D1278" s="5">
        <v>716694</v>
      </c>
      <c r="E1278" s="33">
        <v>28</v>
      </c>
      <c r="F1278" s="60">
        <v>670</v>
      </c>
      <c r="G1278" s="60">
        <f>+OtherClients[[#This Row],[Boxes / Pieces]]*OtherClients[[#This Row],[Unit Quantity]]</f>
        <v>18760</v>
      </c>
      <c r="H1278" s="60" t="s">
        <v>871</v>
      </c>
      <c r="I1278" s="126" t="s">
        <v>278</v>
      </c>
      <c r="J1278" s="127"/>
      <c r="K1278" s="33" t="s">
        <v>278</v>
      </c>
      <c r="L1278" s="125"/>
      <c r="M1278" s="33" t="s">
        <v>278</v>
      </c>
      <c r="N1278" s="125"/>
      <c r="O1278" s="33" t="s">
        <v>278</v>
      </c>
      <c r="P1278" s="125"/>
      <c r="Q1278" s="33" t="s">
        <v>587</v>
      </c>
      <c r="R1278" s="125"/>
      <c r="S1278" s="33" t="s">
        <v>278</v>
      </c>
      <c r="T1278" s="125"/>
      <c r="U1278" s="33" t="s">
        <v>278</v>
      </c>
      <c r="V1278" s="125"/>
      <c r="W1278" s="59" t="s">
        <v>548</v>
      </c>
      <c r="X1278" s="33" t="str">
        <f>+VLOOKUP(OtherClients[[#This Row],[Part]],PartControl!$A$2:$E$564,5,FALSE)</f>
        <v>infasco</v>
      </c>
      <c r="Y1278" s="108">
        <f>IF(OtherClients[[#This Row],[Re-certified or New]]&lt;&gt;"Re-certified",IF(OtherClients[[#This Row],[Client]]="infasco",VLOOKUP(OtherClients[[#This Row],[Part]],PartControl!$A$2:$E$564,2,FALSE),OtherClients[[#This Row],[Total Quantity]]*VLOOKUP(OtherClients[[#This Row],[Part]],PartControl!$A$2:$E$564,2,FALSE)),0)</f>
        <v>280.16000000000003</v>
      </c>
      <c r="Z1278" s="108">
        <f>IF(OtherClients[[#This Row],[Re-certified or New]]&lt;&gt;"Re-certified",IF(OtherClients[[#This Row],[Client]]="infasco",VLOOKUP(OtherClients[[#This Row],[Part]],PartControl!$A$2:$E$564,2,FALSE),OtherClients[[#This Row],[Total Quantity]]*VLOOKUP(OtherClients[[#This Row],[Part]],PartControl!$A$2:$E$564,2,FALSE)),0)</f>
        <v>280.16000000000003</v>
      </c>
    </row>
    <row r="1279" spans="1:26" ht="25.15" hidden="1" customHeight="1" x14ac:dyDescent="0.25">
      <c r="A1279" s="112">
        <v>46253.692604166667</v>
      </c>
      <c r="B1279" s="5" t="s">
        <v>346</v>
      </c>
      <c r="C1279" s="5">
        <v>11588714</v>
      </c>
      <c r="D1279" s="5">
        <v>717114</v>
      </c>
      <c r="E1279" s="33">
        <v>36</v>
      </c>
      <c r="F1279" s="60">
        <v>1400</v>
      </c>
      <c r="G1279" s="60">
        <f>+OtherClients[[#This Row],[Boxes / Pieces]]*OtherClients[[#This Row],[Unit Quantity]]</f>
        <v>50400</v>
      </c>
      <c r="H1279" s="60" t="s">
        <v>871</v>
      </c>
      <c r="I1279" s="126" t="s">
        <v>278</v>
      </c>
      <c r="J1279" s="127"/>
      <c r="K1279" s="33" t="s">
        <v>278</v>
      </c>
      <c r="L1279" s="125"/>
      <c r="M1279" s="33" t="s">
        <v>278</v>
      </c>
      <c r="N1279" s="125"/>
      <c r="O1279" s="33" t="s">
        <v>278</v>
      </c>
      <c r="P1279" s="125"/>
      <c r="Q1279" s="33" t="s">
        <v>587</v>
      </c>
      <c r="R1279" s="125"/>
      <c r="S1279" s="33" t="s">
        <v>278</v>
      </c>
      <c r="T1279" s="125"/>
      <c r="U1279" s="33" t="s">
        <v>278</v>
      </c>
      <c r="V1279" s="125"/>
      <c r="W1279" s="59" t="s">
        <v>548</v>
      </c>
      <c r="X1279" s="33" t="str">
        <f>+VLOOKUP(OtherClients[[#This Row],[Part]],PartControl!$A$2:$E$564,5,FALSE)</f>
        <v>INFASCO</v>
      </c>
      <c r="Y1279" s="108">
        <f>IF(OtherClients[[#This Row],[Re-certified or New]]&lt;&gt;"Re-certified",IF(OtherClients[[#This Row],[Client]]="infasco",VLOOKUP(OtherClients[[#This Row],[Part]],PartControl!$A$2:$E$564,2,FALSE),OtherClients[[#This Row],[Total Quantity]]*VLOOKUP(OtherClients[[#This Row],[Part]],PartControl!$A$2:$E$564,2,FALSE)),0)</f>
        <v>280.15999999999997</v>
      </c>
      <c r="Z1279" s="108">
        <f>IF(OtherClients[[#This Row],[Re-certified or New]]&lt;&gt;"Re-certified",IF(OtherClients[[#This Row],[Client]]="infasco",VLOOKUP(OtherClients[[#This Row],[Part]],PartControl!$A$2:$E$564,2,FALSE),OtherClients[[#This Row],[Total Quantity]]*VLOOKUP(OtherClients[[#This Row],[Part]],PartControl!$A$2:$E$564,2,FALSE)),0)</f>
        <v>280.15999999999997</v>
      </c>
    </row>
    <row r="1280" spans="1:26" ht="25.15" hidden="1" customHeight="1" x14ac:dyDescent="0.25">
      <c r="A1280" s="112">
        <v>46253.692604166667</v>
      </c>
      <c r="B1280" s="5" t="s">
        <v>346</v>
      </c>
      <c r="C1280" s="5">
        <v>11588714</v>
      </c>
      <c r="D1280" s="5">
        <v>717083</v>
      </c>
      <c r="E1280" s="33">
        <v>15</v>
      </c>
      <c r="F1280" s="60">
        <v>1400</v>
      </c>
      <c r="G1280" s="60">
        <f>+OtherClients[[#This Row],[Boxes / Pieces]]*OtherClients[[#This Row],[Unit Quantity]]</f>
        <v>21000</v>
      </c>
      <c r="H1280" s="60" t="s">
        <v>871</v>
      </c>
      <c r="I1280" s="126" t="s">
        <v>278</v>
      </c>
      <c r="J1280" s="127"/>
      <c r="K1280" s="33" t="s">
        <v>278</v>
      </c>
      <c r="L1280" s="125"/>
      <c r="M1280" s="33" t="s">
        <v>278</v>
      </c>
      <c r="N1280" s="125"/>
      <c r="O1280" s="33" t="s">
        <v>278</v>
      </c>
      <c r="P1280" s="125"/>
      <c r="Q1280" s="33" t="s">
        <v>587</v>
      </c>
      <c r="R1280" s="125"/>
      <c r="S1280" s="33" t="s">
        <v>278</v>
      </c>
      <c r="T1280" s="125"/>
      <c r="U1280" s="33" t="s">
        <v>278</v>
      </c>
      <c r="V1280" s="125"/>
      <c r="W1280" s="59" t="s">
        <v>548</v>
      </c>
      <c r="X1280" s="33" t="str">
        <f>+VLOOKUP(OtherClients[[#This Row],[Part]],PartControl!$A$2:$E$564,5,FALSE)</f>
        <v>INFASCO</v>
      </c>
      <c r="Y1280" s="108">
        <f>IF(OtherClients[[#This Row],[Re-certified or New]]&lt;&gt;"Re-certified",IF(OtherClients[[#This Row],[Client]]="infasco",VLOOKUP(OtherClients[[#This Row],[Part]],PartControl!$A$2:$E$564,2,FALSE),OtherClients[[#This Row],[Total Quantity]]*VLOOKUP(OtherClients[[#This Row],[Part]],PartControl!$A$2:$E$564,2,FALSE)),0)</f>
        <v>280.15999999999997</v>
      </c>
      <c r="Z1280" s="108">
        <f>IF(OtherClients[[#This Row],[Re-certified or New]]&lt;&gt;"Re-certified",IF(OtherClients[[#This Row],[Client]]="infasco",VLOOKUP(OtherClients[[#This Row],[Part]],PartControl!$A$2:$E$564,2,FALSE),OtherClients[[#This Row],[Total Quantity]]*VLOOKUP(OtherClients[[#This Row],[Part]],PartControl!$A$2:$E$564,2,FALSE)),0)</f>
        <v>280.15999999999997</v>
      </c>
    </row>
    <row r="1281" spans="1:26" ht="25.15" hidden="1" customHeight="1" x14ac:dyDescent="0.25">
      <c r="A1281" s="112">
        <v>46252.688807870371</v>
      </c>
      <c r="B1281" s="5" t="s">
        <v>636</v>
      </c>
      <c r="C1281" s="5" t="s">
        <v>703</v>
      </c>
      <c r="D1281" s="5">
        <v>715722</v>
      </c>
      <c r="E1281" s="33">
        <v>16</v>
      </c>
      <c r="F1281" s="60">
        <v>700</v>
      </c>
      <c r="G1281" s="60">
        <f>+OtherClients[[#This Row],[Boxes / Pieces]]*OtherClients[[#This Row],[Unit Quantity]]</f>
        <v>11200</v>
      </c>
      <c r="H1281" s="60">
        <v>280</v>
      </c>
      <c r="I1281" s="126" t="s">
        <v>278</v>
      </c>
      <c r="J1281" s="127"/>
      <c r="K1281" s="33" t="s">
        <v>278</v>
      </c>
      <c r="L1281" s="125"/>
      <c r="M1281" s="33" t="s">
        <v>278</v>
      </c>
      <c r="N1281" s="125"/>
      <c r="O1281" s="33" t="s">
        <v>278</v>
      </c>
      <c r="P1281" s="125"/>
      <c r="Q1281" s="33" t="s">
        <v>587</v>
      </c>
      <c r="R1281" s="125"/>
      <c r="S1281" s="33" t="s">
        <v>278</v>
      </c>
      <c r="T1281" s="125"/>
      <c r="U1281" s="33" t="s">
        <v>278</v>
      </c>
      <c r="V1281" s="125"/>
      <c r="W1281" s="59" t="s">
        <v>633</v>
      </c>
      <c r="X1281" s="33" t="str">
        <f>+VLOOKUP(OtherClients[[#This Row],[Part]],PartControl!$A$2:$E$564,5,FALSE)</f>
        <v>infasco</v>
      </c>
      <c r="Y1281" s="108">
        <f>IF(OtherClients[[#This Row],[Re-certified or New]]&lt;&gt;"Re-certified",IF(OtherClients[[#This Row],[Client]]="infasco",VLOOKUP(OtherClients[[#This Row],[Part]],PartControl!$A$2:$E$564,2,FALSE),OtherClients[[#This Row],[Total Quantity]]*VLOOKUP(OtherClients[[#This Row],[Part]],PartControl!$A$2:$E$564,2,FALSE)),0)</f>
        <v>0</v>
      </c>
      <c r="Z1281" s="108">
        <f>IF(OtherClients[[#This Row],[Re-certified or New]]&lt;&gt;"Re-certified",IF(OtherClients[[#This Row],[Client]]="infasco",VLOOKUP(OtherClients[[#This Row],[Part]],PartControl!$A$2:$E$564,2,FALSE),OtherClients[[#This Row],[Total Quantity]]*VLOOKUP(OtherClients[[#This Row],[Part]],PartControl!$A$2:$E$564,2,FALSE)),0)</f>
        <v>0</v>
      </c>
    </row>
    <row r="1282" spans="1:26" ht="25.15" hidden="1" customHeight="1" x14ac:dyDescent="0.25">
      <c r="A1282" s="112">
        <v>46254.679212962961</v>
      </c>
      <c r="B1282" s="5" t="s">
        <v>249</v>
      </c>
      <c r="C1282" s="5">
        <v>11612078</v>
      </c>
      <c r="D1282" s="5">
        <v>708874</v>
      </c>
      <c r="E1282" s="33">
        <v>25</v>
      </c>
      <c r="F1282" s="60">
        <v>1850</v>
      </c>
      <c r="G1282" s="60">
        <f>+OtherClients[[#This Row],[Boxes / Pieces]]*OtherClients[[#This Row],[Unit Quantity]]</f>
        <v>46250</v>
      </c>
      <c r="H1282" s="60">
        <v>4</v>
      </c>
      <c r="I1282" s="126" t="s">
        <v>278</v>
      </c>
      <c r="J1282" s="127"/>
      <c r="K1282" s="33" t="s">
        <v>278</v>
      </c>
      <c r="L1282" s="125"/>
      <c r="M1282" s="33" t="s">
        <v>278</v>
      </c>
      <c r="N1282" s="125"/>
      <c r="O1282" s="33" t="s">
        <v>278</v>
      </c>
      <c r="P1282" s="125"/>
      <c r="Q1282" s="33" t="s">
        <v>587</v>
      </c>
      <c r="R1282" s="125"/>
      <c r="S1282" s="33" t="s">
        <v>278</v>
      </c>
      <c r="T1282" s="125"/>
      <c r="U1282" s="33" t="s">
        <v>278</v>
      </c>
      <c r="V1282" s="125"/>
      <c r="W1282" s="59" t="s">
        <v>633</v>
      </c>
      <c r="X1282" s="33" t="str">
        <f>+VLOOKUP(OtherClients[[#This Row],[Part]],PartControl!$A$2:$E$564,5,FALSE)</f>
        <v>infasco</v>
      </c>
      <c r="Y1282" s="108">
        <f>IF(OtherClients[[#This Row],[Re-certified or New]]&lt;&gt;"Re-certified",IF(OtherClients[[#This Row],[Client]]="infasco",VLOOKUP(OtherClients[[#This Row],[Part]],PartControl!$A$2:$E$564,2,FALSE),OtherClients[[#This Row],[Total Quantity]]*VLOOKUP(OtherClients[[#This Row],[Part]],PartControl!$A$2:$E$564,2,FALSE)),0)</f>
        <v>0</v>
      </c>
      <c r="Z1282" s="108">
        <f>IF(OtherClients[[#This Row],[Re-certified or New]]&lt;&gt;"Re-certified",IF(OtherClients[[#This Row],[Client]]="infasco",VLOOKUP(OtherClients[[#This Row],[Part]],PartControl!$A$2:$E$564,2,FALSE),OtherClients[[#This Row],[Total Quantity]]*VLOOKUP(OtherClients[[#This Row],[Part]],PartControl!$A$2:$E$564,2,FALSE)),0)</f>
        <v>0</v>
      </c>
    </row>
    <row r="1283" spans="1:26" ht="25.15" hidden="1" customHeight="1" x14ac:dyDescent="0.25">
      <c r="A1283" s="112">
        <v>46255.694016203706</v>
      </c>
      <c r="B1283" s="5" t="s">
        <v>249</v>
      </c>
      <c r="C1283" s="5">
        <v>11612078</v>
      </c>
      <c r="D1283" s="5">
        <v>708874</v>
      </c>
      <c r="E1283" s="33">
        <v>8</v>
      </c>
      <c r="F1283" s="60">
        <v>1850</v>
      </c>
      <c r="G1283" s="60">
        <f>+OtherClients[[#This Row],[Boxes / Pieces]]*OtherClients[[#This Row],[Unit Quantity]]</f>
        <v>14800</v>
      </c>
      <c r="H1283" s="60">
        <v>4</v>
      </c>
      <c r="I1283" s="126" t="s">
        <v>278</v>
      </c>
      <c r="J1283" s="127"/>
      <c r="K1283" s="33" t="s">
        <v>278</v>
      </c>
      <c r="L1283" s="125"/>
      <c r="M1283" s="33" t="s">
        <v>278</v>
      </c>
      <c r="N1283" s="125"/>
      <c r="O1283" s="33" t="s">
        <v>278</v>
      </c>
      <c r="P1283" s="125"/>
      <c r="Q1283" s="33" t="s">
        <v>587</v>
      </c>
      <c r="R1283" s="125"/>
      <c r="S1283" s="33" t="s">
        <v>278</v>
      </c>
      <c r="T1283" s="125"/>
      <c r="U1283" s="33" t="s">
        <v>278</v>
      </c>
      <c r="V1283" s="125"/>
      <c r="W1283" s="59" t="s">
        <v>548</v>
      </c>
      <c r="X1283" s="33" t="str">
        <f>+VLOOKUP(OtherClients[[#This Row],[Part]],PartControl!$A$2:$E$564,5,FALSE)</f>
        <v>infasco</v>
      </c>
      <c r="Y1283" s="108">
        <f>IF(OtherClients[[#This Row],[Re-certified or New]]&lt;&gt;"Re-certified",IF(OtherClients[[#This Row],[Client]]="infasco",VLOOKUP(OtherClients[[#This Row],[Part]],PartControl!$A$2:$E$564,2,FALSE),OtherClients[[#This Row],[Total Quantity]]*VLOOKUP(OtherClients[[#This Row],[Part]],PartControl!$A$2:$E$564,2,FALSE)),0)</f>
        <v>247.64</v>
      </c>
      <c r="Z1283" s="108">
        <f>IF(OtherClients[[#This Row],[Re-certified or New]]&lt;&gt;"Re-certified",IF(OtherClients[[#This Row],[Client]]="infasco",VLOOKUP(OtherClients[[#This Row],[Part]],PartControl!$A$2:$E$564,2,FALSE),OtherClients[[#This Row],[Total Quantity]]*VLOOKUP(OtherClients[[#This Row],[Part]],PartControl!$A$2:$E$564,2,FALSE)),0)</f>
        <v>247.64</v>
      </c>
    </row>
    <row r="1284" spans="1:26" ht="25.15" hidden="1" customHeight="1" x14ac:dyDescent="0.25">
      <c r="A1284" s="112">
        <v>46255.694016203706</v>
      </c>
      <c r="B1284" s="5" t="s">
        <v>249</v>
      </c>
      <c r="C1284" s="5">
        <v>11612078</v>
      </c>
      <c r="D1284" s="5">
        <v>709059</v>
      </c>
      <c r="E1284" s="33">
        <v>14</v>
      </c>
      <c r="F1284" s="60">
        <v>1850</v>
      </c>
      <c r="G1284" s="60">
        <f>+OtherClients[[#This Row],[Boxes / Pieces]]*OtherClients[[#This Row],[Unit Quantity]]</f>
        <v>25900</v>
      </c>
      <c r="H1284" s="60">
        <v>4</v>
      </c>
      <c r="I1284" s="126" t="s">
        <v>278</v>
      </c>
      <c r="J1284" s="127"/>
      <c r="K1284" s="33" t="s">
        <v>278</v>
      </c>
      <c r="L1284" s="125"/>
      <c r="M1284" s="33" t="s">
        <v>278</v>
      </c>
      <c r="N1284" s="125"/>
      <c r="O1284" s="33" t="s">
        <v>278</v>
      </c>
      <c r="P1284" s="125"/>
      <c r="Q1284" s="33" t="s">
        <v>587</v>
      </c>
      <c r="R1284" s="125"/>
      <c r="S1284" s="33" t="s">
        <v>278</v>
      </c>
      <c r="T1284" s="125"/>
      <c r="U1284" s="33" t="s">
        <v>278</v>
      </c>
      <c r="V1284" s="125"/>
      <c r="W1284" s="59" t="s">
        <v>633</v>
      </c>
      <c r="X1284" s="33" t="str">
        <f>+VLOOKUP(OtherClients[[#This Row],[Part]],PartControl!$A$2:$E$564,5,FALSE)</f>
        <v>infasco</v>
      </c>
      <c r="Y1284" s="108">
        <f>IF(OtherClients[[#This Row],[Re-certified or New]]&lt;&gt;"Re-certified",IF(OtherClients[[#This Row],[Client]]="infasco",VLOOKUP(OtherClients[[#This Row],[Part]],PartControl!$A$2:$E$564,2,FALSE),OtherClients[[#This Row],[Total Quantity]]*VLOOKUP(OtherClients[[#This Row],[Part]],PartControl!$A$2:$E$564,2,FALSE)),0)</f>
        <v>0</v>
      </c>
      <c r="Z1284" s="108">
        <f>IF(OtherClients[[#This Row],[Re-certified or New]]&lt;&gt;"Re-certified",IF(OtherClients[[#This Row],[Client]]="infasco",VLOOKUP(OtherClients[[#This Row],[Part]],PartControl!$A$2:$E$564,2,FALSE),OtherClients[[#This Row],[Total Quantity]]*VLOOKUP(OtherClients[[#This Row],[Part]],PartControl!$A$2:$E$564,2,FALSE)),0)</f>
        <v>0</v>
      </c>
    </row>
    <row r="1285" spans="1:26" ht="25.15" hidden="1" customHeight="1" x14ac:dyDescent="0.25">
      <c r="A1285" s="112">
        <v>46256</v>
      </c>
      <c r="B1285" s="5" t="s">
        <v>232</v>
      </c>
      <c r="C1285" s="5">
        <v>11546437</v>
      </c>
      <c r="D1285" s="5">
        <v>716760</v>
      </c>
      <c r="E1285" s="33">
        <v>9</v>
      </c>
      <c r="F1285" s="60">
        <v>1500</v>
      </c>
      <c r="G1285" s="60">
        <f>+OtherClients[[#This Row],[Boxes / Pieces]]*OtherClients[[#This Row],[Unit Quantity]]</f>
        <v>13500</v>
      </c>
      <c r="H1285" s="60">
        <v>275</v>
      </c>
      <c r="I1285" s="126" t="s">
        <v>278</v>
      </c>
      <c r="J1285" s="127"/>
      <c r="K1285" s="33" t="s">
        <v>278</v>
      </c>
      <c r="L1285" s="125"/>
      <c r="M1285" s="33" t="s">
        <v>278</v>
      </c>
      <c r="N1285" s="125"/>
      <c r="O1285" s="33" t="s">
        <v>278</v>
      </c>
      <c r="P1285" s="125"/>
      <c r="Q1285" s="33" t="s">
        <v>587</v>
      </c>
      <c r="R1285" s="125"/>
      <c r="S1285" s="33" t="s">
        <v>278</v>
      </c>
      <c r="T1285" s="125"/>
      <c r="U1285" s="33" t="s">
        <v>278</v>
      </c>
      <c r="V1285" s="125"/>
      <c r="W1285" s="59" t="s">
        <v>633</v>
      </c>
      <c r="X1285" s="33" t="str">
        <f>+VLOOKUP(OtherClients[[#This Row],[Part]],PartControl!$A$2:$E$564,5,FALSE)</f>
        <v>infasco</v>
      </c>
      <c r="Y1285" s="108">
        <f>IF(OtherClients[[#This Row],[Re-certified or New]]&lt;&gt;"Re-certified",IF(OtherClients[[#This Row],[Client]]="infasco",VLOOKUP(OtherClients[[#This Row],[Part]],PartControl!$A$2:$E$564,2,FALSE),OtherClients[[#This Row],[Total Quantity]]*VLOOKUP(OtherClients[[#This Row],[Part]],PartControl!$A$2:$E$564,2,FALSE)),0)</f>
        <v>0</v>
      </c>
      <c r="Z1285" s="108">
        <f>IF(OtherClients[[#This Row],[Re-certified or New]]&lt;&gt;"Re-certified",IF(OtherClients[[#This Row],[Client]]="infasco",VLOOKUP(OtherClients[[#This Row],[Part]],PartControl!$A$2:$E$564,2,FALSE),OtherClients[[#This Row],[Total Quantity]]*VLOOKUP(OtherClients[[#This Row],[Part]],PartControl!$A$2:$E$564,2,FALSE)),0)</f>
        <v>0</v>
      </c>
    </row>
    <row r="1286" spans="1:26" ht="25.15" hidden="1" customHeight="1" x14ac:dyDescent="0.25">
      <c r="A1286" s="112">
        <v>46256</v>
      </c>
      <c r="B1286" s="5" t="s">
        <v>232</v>
      </c>
      <c r="C1286" s="5">
        <v>11546449</v>
      </c>
      <c r="D1286" s="5">
        <v>716878</v>
      </c>
      <c r="E1286" s="33">
        <f>32-15</f>
        <v>17</v>
      </c>
      <c r="F1286" s="60">
        <v>2500</v>
      </c>
      <c r="G1286" s="60">
        <f>+OtherClients[[#This Row],[Boxes / Pieces]]*OtherClients[[#This Row],[Unit Quantity]]</f>
        <v>42500</v>
      </c>
      <c r="H1286" s="60">
        <v>275</v>
      </c>
      <c r="I1286" s="126" t="s">
        <v>278</v>
      </c>
      <c r="J1286" s="127"/>
      <c r="K1286" s="33" t="s">
        <v>278</v>
      </c>
      <c r="L1286" s="125"/>
      <c r="M1286" s="33" t="s">
        <v>278</v>
      </c>
      <c r="N1286" s="125"/>
      <c r="O1286" s="33" t="s">
        <v>278</v>
      </c>
      <c r="P1286" s="125"/>
      <c r="Q1286" s="33" t="s">
        <v>587</v>
      </c>
      <c r="R1286" s="125"/>
      <c r="S1286" s="33" t="s">
        <v>278</v>
      </c>
      <c r="T1286" s="125"/>
      <c r="U1286" s="33" t="s">
        <v>278</v>
      </c>
      <c r="V1286" s="125"/>
      <c r="W1286" s="59" t="s">
        <v>548</v>
      </c>
      <c r="X1286" s="33" t="str">
        <f>+VLOOKUP(OtherClients[[#This Row],[Part]],PartControl!$A$2:$E$564,5,FALSE)</f>
        <v>INFASCO</v>
      </c>
      <c r="Y1286" s="108">
        <f>IF(OtherClients[[#This Row],[Re-certified or New]]&lt;&gt;"Re-certified",IF(OtherClients[[#This Row],[Client]]="infasco",VLOOKUP(OtherClients[[#This Row],[Part]],PartControl!$A$2:$E$564,2,FALSE),OtherClients[[#This Row],[Total Quantity]]*VLOOKUP(OtherClients[[#This Row],[Part]],PartControl!$A$2:$E$564,2,FALSE)),0)</f>
        <v>106.94</v>
      </c>
      <c r="Z1286" s="108">
        <f>IF(OtherClients[[#This Row],[Re-certified or New]]&lt;&gt;"Re-certified",IF(OtherClients[[#This Row],[Client]]="infasco",VLOOKUP(OtherClients[[#This Row],[Part]],PartControl!$A$2:$E$564,2,FALSE),OtherClients[[#This Row],[Total Quantity]]*VLOOKUP(OtherClients[[#This Row],[Part]],PartControl!$A$2:$E$564,2,FALSE)),0)</f>
        <v>106.94</v>
      </c>
    </row>
    <row r="1287" spans="1:26" ht="25.15" hidden="1" customHeight="1" x14ac:dyDescent="0.25">
      <c r="A1287" s="112">
        <v>46255.694016203706</v>
      </c>
      <c r="B1287" s="5" t="s">
        <v>634</v>
      </c>
      <c r="C1287" s="5" t="s">
        <v>667</v>
      </c>
      <c r="D1287" s="5">
        <v>713267</v>
      </c>
      <c r="E1287" s="33">
        <v>27</v>
      </c>
      <c r="F1287" s="60">
        <v>1600</v>
      </c>
      <c r="G1287" s="60">
        <f>+OtherClients[[#This Row],[Boxes / Pieces]]*OtherClients[[#This Row],[Unit Quantity]]</f>
        <v>43200</v>
      </c>
      <c r="H1287" s="60">
        <v>280</v>
      </c>
      <c r="I1287" s="126" t="s">
        <v>278</v>
      </c>
      <c r="J1287" s="127"/>
      <c r="K1287" s="33" t="s">
        <v>278</v>
      </c>
      <c r="L1287" s="125"/>
      <c r="M1287" s="33" t="s">
        <v>278</v>
      </c>
      <c r="N1287" s="125"/>
      <c r="O1287" s="33" t="s">
        <v>278</v>
      </c>
      <c r="P1287" s="125"/>
      <c r="Q1287" s="33" t="s">
        <v>587</v>
      </c>
      <c r="R1287" s="125"/>
      <c r="S1287" s="33" t="s">
        <v>278</v>
      </c>
      <c r="T1287" s="125"/>
      <c r="U1287" s="33" t="s">
        <v>278</v>
      </c>
      <c r="V1287" s="125"/>
      <c r="W1287" s="59" t="s">
        <v>548</v>
      </c>
      <c r="X1287" s="33" t="str">
        <f>+VLOOKUP(OtherClients[[#This Row],[Part]],PartControl!$A$2:$E$564,5,FALSE)</f>
        <v>infasco</v>
      </c>
      <c r="Y1287" s="108">
        <f>IF(OtherClients[[#This Row],[Re-certified or New]]&lt;&gt;"Re-certified",IF(OtherClients[[#This Row],[Client]]="infasco",VLOOKUP(OtherClients[[#This Row],[Part]],PartControl!$A$2:$E$564,2,FALSE),OtherClients[[#This Row],[Total Quantity]]*VLOOKUP(OtherClients[[#This Row],[Part]],PartControl!$A$2:$E$564,2,FALSE)),0)</f>
        <v>106.94</v>
      </c>
      <c r="Z1287" s="108">
        <f>IF(OtherClients[[#This Row],[Re-certified or New]]&lt;&gt;"Re-certified",IF(OtherClients[[#This Row],[Client]]="infasco",VLOOKUP(OtherClients[[#This Row],[Part]],PartControl!$A$2:$E$564,2,FALSE),OtherClients[[#This Row],[Total Quantity]]*VLOOKUP(OtherClients[[#This Row],[Part]],PartControl!$A$2:$E$564,2,FALSE)),0)</f>
        <v>106.94</v>
      </c>
    </row>
    <row r="1288" spans="1:26" ht="25.15" hidden="1" customHeight="1" x14ac:dyDescent="0.25">
      <c r="A1288" s="112">
        <v>46254.679212962961</v>
      </c>
      <c r="B1288" s="5" t="s">
        <v>345</v>
      </c>
      <c r="C1288" s="5">
        <v>11548535</v>
      </c>
      <c r="D1288" s="5">
        <v>713508</v>
      </c>
      <c r="E1288" s="33">
        <v>37</v>
      </c>
      <c r="F1288" s="60">
        <v>150</v>
      </c>
      <c r="G1288" s="60">
        <f>+OtherClients[[#This Row],[Boxes / Pieces]]*OtherClients[[#This Row],[Unit Quantity]]</f>
        <v>5550</v>
      </c>
      <c r="H1288" s="60" t="s">
        <v>849</v>
      </c>
      <c r="I1288" s="126" t="s">
        <v>278</v>
      </c>
      <c r="J1288" s="127"/>
      <c r="K1288" s="33" t="s">
        <v>278</v>
      </c>
      <c r="L1288" s="125"/>
      <c r="M1288" s="33" t="s">
        <v>278</v>
      </c>
      <c r="N1288" s="125"/>
      <c r="O1288" s="33" t="s">
        <v>278</v>
      </c>
      <c r="P1288" s="125"/>
      <c r="Q1288" s="33" t="s">
        <v>587</v>
      </c>
      <c r="R1288" s="125"/>
      <c r="S1288" s="33" t="s">
        <v>278</v>
      </c>
      <c r="T1288" s="125"/>
      <c r="U1288" s="33" t="s">
        <v>278</v>
      </c>
      <c r="V1288" s="125"/>
      <c r="W1288" s="59" t="s">
        <v>548</v>
      </c>
      <c r="X1288" s="33" t="str">
        <f>+VLOOKUP(OtherClients[[#This Row],[Part]],PartControl!$A$2:$E$564,5,FALSE)</f>
        <v>infasco</v>
      </c>
      <c r="Y1288" s="108">
        <f>IF(OtherClients[[#This Row],[Re-certified or New]]&lt;&gt;"Re-certified",IF(OtherClients[[#This Row],[Client]]="infasco",VLOOKUP(OtherClients[[#This Row],[Part]],PartControl!$A$2:$E$564,2,FALSE),OtherClients[[#This Row],[Total Quantity]]*VLOOKUP(OtherClients[[#This Row],[Part]],PartControl!$A$2:$E$564,2,FALSE)),0)</f>
        <v>106.94</v>
      </c>
      <c r="Z1288" s="108">
        <f>IF(OtherClients[[#This Row],[Re-certified or New]]&lt;&gt;"Re-certified",IF(OtherClients[[#This Row],[Client]]="infasco",VLOOKUP(OtherClients[[#This Row],[Part]],PartControl!$A$2:$E$564,2,FALSE),OtherClients[[#This Row],[Total Quantity]]*VLOOKUP(OtherClients[[#This Row],[Part]],PartControl!$A$2:$E$564,2,FALSE)),0)</f>
        <v>106.94</v>
      </c>
    </row>
    <row r="1289" spans="1:26" ht="25.15" hidden="1" customHeight="1" x14ac:dyDescent="0.25">
      <c r="A1289" s="112">
        <v>46254.679212962961</v>
      </c>
      <c r="B1289" s="5" t="s">
        <v>250</v>
      </c>
      <c r="C1289" s="5">
        <v>11546774</v>
      </c>
      <c r="D1289" s="5">
        <v>713582</v>
      </c>
      <c r="E1289" s="33">
        <v>36</v>
      </c>
      <c r="F1289" s="60">
        <v>450</v>
      </c>
      <c r="G1289" s="60">
        <f>+OtherClients[[#This Row],[Boxes / Pieces]]*OtherClients[[#This Row],[Unit Quantity]]</f>
        <v>16200</v>
      </c>
      <c r="H1289" s="60">
        <v>290</v>
      </c>
      <c r="I1289" s="126" t="s">
        <v>278</v>
      </c>
      <c r="J1289" s="127"/>
      <c r="K1289" s="33" t="s">
        <v>278</v>
      </c>
      <c r="L1289" s="125"/>
      <c r="M1289" s="33" t="s">
        <v>278</v>
      </c>
      <c r="N1289" s="125"/>
      <c r="O1289" s="33" t="s">
        <v>278</v>
      </c>
      <c r="P1289" s="125"/>
      <c r="Q1289" s="33" t="s">
        <v>587</v>
      </c>
      <c r="R1289" s="125"/>
      <c r="S1289" s="33" t="s">
        <v>278</v>
      </c>
      <c r="T1289" s="125"/>
      <c r="U1289" s="33" t="s">
        <v>278</v>
      </c>
      <c r="V1289" s="125"/>
      <c r="W1289" s="59" t="s">
        <v>548</v>
      </c>
      <c r="X1289" s="33" t="str">
        <f>+VLOOKUP(OtherClients[[#This Row],[Part]],PartControl!$A$2:$E$564,5,FALSE)</f>
        <v>infasco</v>
      </c>
      <c r="Y1289" s="108">
        <f>IF(OtherClients[[#This Row],[Re-certified or New]]&lt;&gt;"Re-certified",IF(OtherClients[[#This Row],[Client]]="infasco",VLOOKUP(OtherClients[[#This Row],[Part]],PartControl!$A$2:$E$564,2,FALSE),OtherClients[[#This Row],[Total Quantity]]*VLOOKUP(OtherClients[[#This Row],[Part]],PartControl!$A$2:$E$564,2,FALSE)),0)</f>
        <v>106.94</v>
      </c>
      <c r="Z1289" s="108">
        <f>IF(OtherClients[[#This Row],[Re-certified or New]]&lt;&gt;"Re-certified",IF(OtherClients[[#This Row],[Client]]="infasco",VLOOKUP(OtherClients[[#This Row],[Part]],PartControl!$A$2:$E$564,2,FALSE),OtherClients[[#This Row],[Total Quantity]]*VLOOKUP(OtherClients[[#This Row],[Part]],PartControl!$A$2:$E$564,2,FALSE)),0)</f>
        <v>106.94</v>
      </c>
    </row>
    <row r="1290" spans="1:26" ht="25.15" hidden="1" customHeight="1" x14ac:dyDescent="0.25">
      <c r="A1290" s="112">
        <v>46254.679212962961</v>
      </c>
      <c r="B1290" s="5" t="s">
        <v>250</v>
      </c>
      <c r="C1290" s="5">
        <v>11546774</v>
      </c>
      <c r="D1290" s="5">
        <v>713584</v>
      </c>
      <c r="E1290" s="33">
        <v>6</v>
      </c>
      <c r="F1290" s="60">
        <v>450</v>
      </c>
      <c r="G1290" s="60">
        <f>+OtherClients[[#This Row],[Boxes / Pieces]]*OtherClients[[#This Row],[Unit Quantity]]</f>
        <v>2700</v>
      </c>
      <c r="H1290" s="60">
        <v>290</v>
      </c>
      <c r="I1290" s="126" t="s">
        <v>278</v>
      </c>
      <c r="J1290" s="127"/>
      <c r="K1290" s="33" t="s">
        <v>278</v>
      </c>
      <c r="L1290" s="125"/>
      <c r="M1290" s="33" t="s">
        <v>278</v>
      </c>
      <c r="N1290" s="125"/>
      <c r="O1290" s="33" t="s">
        <v>278</v>
      </c>
      <c r="P1290" s="125"/>
      <c r="Q1290" s="33" t="s">
        <v>587</v>
      </c>
      <c r="R1290" s="125"/>
      <c r="S1290" s="33" t="s">
        <v>278</v>
      </c>
      <c r="T1290" s="125"/>
      <c r="U1290" s="33" t="s">
        <v>278</v>
      </c>
      <c r="V1290" s="125"/>
      <c r="W1290" s="59" t="s">
        <v>633</v>
      </c>
      <c r="X1290" s="33" t="str">
        <f>+VLOOKUP(OtherClients[[#This Row],[Part]],PartControl!$A$2:$E$564,5,FALSE)</f>
        <v>infasco</v>
      </c>
      <c r="Y1290" s="108">
        <f>IF(OtherClients[[#This Row],[Re-certified or New]]&lt;&gt;"Re-certified",IF(OtherClients[[#This Row],[Client]]="infasco",VLOOKUP(OtherClients[[#This Row],[Part]],PartControl!$A$2:$E$564,2,FALSE),OtherClients[[#This Row],[Total Quantity]]*VLOOKUP(OtherClients[[#This Row],[Part]],PartControl!$A$2:$E$564,2,FALSE)),0)</f>
        <v>0</v>
      </c>
      <c r="Z1290" s="108">
        <f>IF(OtherClients[[#This Row],[Re-certified or New]]&lt;&gt;"Re-certified",IF(OtherClients[[#This Row],[Client]]="infasco",VLOOKUP(OtherClients[[#This Row],[Part]],PartControl!$A$2:$E$564,2,FALSE),OtherClients[[#This Row],[Total Quantity]]*VLOOKUP(OtherClients[[#This Row],[Part]],PartControl!$A$2:$E$564,2,FALSE)),0)</f>
        <v>0</v>
      </c>
    </row>
    <row r="1291" spans="1:26" ht="25.15" hidden="1" customHeight="1" x14ac:dyDescent="0.25">
      <c r="A1291" s="112">
        <v>46255.694016203706</v>
      </c>
      <c r="B1291" s="5" t="s">
        <v>250</v>
      </c>
      <c r="C1291" s="5">
        <v>11546774</v>
      </c>
      <c r="D1291" s="5">
        <v>713584</v>
      </c>
      <c r="E1291" s="33">
        <v>7</v>
      </c>
      <c r="F1291" s="60">
        <v>450</v>
      </c>
      <c r="G1291" s="60">
        <f>+OtherClients[[#This Row],[Boxes / Pieces]]*OtherClients[[#This Row],[Unit Quantity]]</f>
        <v>3150</v>
      </c>
      <c r="H1291" s="60">
        <v>290</v>
      </c>
      <c r="I1291" s="126" t="s">
        <v>278</v>
      </c>
      <c r="J1291" s="127"/>
      <c r="K1291" s="33" t="s">
        <v>278</v>
      </c>
      <c r="L1291" s="125"/>
      <c r="M1291" s="33" t="s">
        <v>278</v>
      </c>
      <c r="N1291" s="125"/>
      <c r="O1291" s="33" t="s">
        <v>278</v>
      </c>
      <c r="P1291" s="125"/>
      <c r="Q1291" s="33" t="s">
        <v>587</v>
      </c>
      <c r="R1291" s="125"/>
      <c r="S1291" s="33" t="s">
        <v>278</v>
      </c>
      <c r="T1291" s="125"/>
      <c r="U1291" s="33" t="s">
        <v>278</v>
      </c>
      <c r="V1291" s="125"/>
      <c r="W1291" s="59" t="s">
        <v>548</v>
      </c>
      <c r="X1291" s="33" t="str">
        <f>+VLOOKUP(OtherClients[[#This Row],[Part]],PartControl!$A$2:$E$564,5,FALSE)</f>
        <v>infasco</v>
      </c>
      <c r="Y1291" s="108">
        <f>IF(OtherClients[[#This Row],[Re-certified or New]]&lt;&gt;"Re-certified",IF(OtherClients[[#This Row],[Client]]="infasco",VLOOKUP(OtherClients[[#This Row],[Part]],PartControl!$A$2:$E$564,2,FALSE),OtherClients[[#This Row],[Total Quantity]]*VLOOKUP(OtherClients[[#This Row],[Part]],PartControl!$A$2:$E$564,2,FALSE)),0)</f>
        <v>106.94</v>
      </c>
      <c r="Z1291" s="108">
        <f>IF(OtherClients[[#This Row],[Re-certified or New]]&lt;&gt;"Re-certified",IF(OtherClients[[#This Row],[Client]]="infasco",VLOOKUP(OtherClients[[#This Row],[Part]],PartControl!$A$2:$E$564,2,FALSE),OtherClients[[#This Row],[Total Quantity]]*VLOOKUP(OtherClients[[#This Row],[Part]],PartControl!$A$2:$E$564,2,FALSE)),0)</f>
        <v>106.94</v>
      </c>
    </row>
    <row r="1292" spans="1:26" ht="25.15" hidden="1" customHeight="1" x14ac:dyDescent="0.25">
      <c r="A1292" s="112">
        <v>46254.679212962961</v>
      </c>
      <c r="B1292" s="5" t="s">
        <v>343</v>
      </c>
      <c r="C1292" s="5">
        <v>11546703</v>
      </c>
      <c r="D1292" s="5">
        <v>713853</v>
      </c>
      <c r="E1292" s="33">
        <v>35</v>
      </c>
      <c r="F1292" s="60">
        <v>4000</v>
      </c>
      <c r="G1292" s="60">
        <f>+OtherClients[[#This Row],[Boxes / Pieces]]*OtherClients[[#This Row],[Unit Quantity]]</f>
        <v>140000</v>
      </c>
      <c r="H1292" s="60" t="s">
        <v>757</v>
      </c>
      <c r="I1292" s="126" t="s">
        <v>278</v>
      </c>
      <c r="J1292" s="127"/>
      <c r="K1292" s="33" t="s">
        <v>278</v>
      </c>
      <c r="L1292" s="125"/>
      <c r="M1292" s="33" t="s">
        <v>278</v>
      </c>
      <c r="N1292" s="125"/>
      <c r="O1292" s="33" t="s">
        <v>278</v>
      </c>
      <c r="P1292" s="125"/>
      <c r="Q1292" s="33" t="s">
        <v>587</v>
      </c>
      <c r="R1292" s="125"/>
      <c r="S1292" s="33" t="s">
        <v>278</v>
      </c>
      <c r="T1292" s="125"/>
      <c r="U1292" s="33" t="s">
        <v>278</v>
      </c>
      <c r="V1292" s="125"/>
      <c r="W1292" s="59" t="s">
        <v>548</v>
      </c>
      <c r="X1292" s="33" t="str">
        <f>+VLOOKUP(OtherClients[[#This Row],[Part]],PartControl!$A$2:$E$564,5,FALSE)</f>
        <v>infasco</v>
      </c>
      <c r="Y1292" s="108">
        <f>IF(OtherClients[[#This Row],[Re-certified or New]]&lt;&gt;"Re-certified",IF(OtherClients[[#This Row],[Client]]="infasco",VLOOKUP(OtherClients[[#This Row],[Part]],PartControl!$A$2:$E$564,2,FALSE),OtherClients[[#This Row],[Total Quantity]]*VLOOKUP(OtherClients[[#This Row],[Part]],PartControl!$A$2:$E$564,2,FALSE)),0)</f>
        <v>135.07999999999998</v>
      </c>
      <c r="Z1292" s="108">
        <f>IF(OtherClients[[#This Row],[Re-certified or New]]&lt;&gt;"Re-certified",IF(OtherClients[[#This Row],[Client]]="infasco",VLOOKUP(OtherClients[[#This Row],[Part]],PartControl!$A$2:$E$564,2,FALSE),OtherClients[[#This Row],[Total Quantity]]*VLOOKUP(OtherClients[[#This Row],[Part]],PartControl!$A$2:$E$564,2,FALSE)),0)</f>
        <v>135.07999999999998</v>
      </c>
    </row>
    <row r="1293" spans="1:26" ht="25.15" hidden="1" customHeight="1" x14ac:dyDescent="0.25">
      <c r="A1293" s="112">
        <v>46255.694016203706</v>
      </c>
      <c r="B1293" s="5" t="s">
        <v>345</v>
      </c>
      <c r="C1293" s="5">
        <v>11546703</v>
      </c>
      <c r="D1293" s="5">
        <v>713854</v>
      </c>
      <c r="E1293" s="33">
        <v>24</v>
      </c>
      <c r="F1293" s="60">
        <v>4000</v>
      </c>
      <c r="G1293" s="60">
        <f>+OtherClients[[#This Row],[Boxes / Pieces]]*OtherClients[[#This Row],[Unit Quantity]]</f>
        <v>96000</v>
      </c>
      <c r="H1293" s="60">
        <v>252</v>
      </c>
      <c r="I1293" s="126" t="s">
        <v>278</v>
      </c>
      <c r="J1293" s="127"/>
      <c r="K1293" s="33" t="s">
        <v>278</v>
      </c>
      <c r="L1293" s="125"/>
      <c r="M1293" s="33" t="s">
        <v>278</v>
      </c>
      <c r="N1293" s="125"/>
      <c r="O1293" s="33" t="s">
        <v>278</v>
      </c>
      <c r="P1293" s="125"/>
      <c r="Q1293" s="33" t="s">
        <v>587</v>
      </c>
      <c r="R1293" s="125"/>
      <c r="S1293" s="33" t="s">
        <v>278</v>
      </c>
      <c r="T1293" s="125"/>
      <c r="U1293" s="33" t="s">
        <v>278</v>
      </c>
      <c r="V1293" s="125"/>
      <c r="W1293" s="59" t="s">
        <v>633</v>
      </c>
      <c r="X1293" s="33" t="str">
        <f>+VLOOKUP(OtherClients[[#This Row],[Part]],PartControl!$A$2:$E$564,5,FALSE)</f>
        <v>infasco</v>
      </c>
      <c r="Y1293" s="108">
        <f>IF(OtherClients[[#This Row],[Re-certified or New]]&lt;&gt;"Re-certified",IF(OtherClients[[#This Row],[Client]]="infasco",VLOOKUP(OtherClients[[#This Row],[Part]],PartControl!$A$2:$E$564,2,FALSE),OtherClients[[#This Row],[Total Quantity]]*VLOOKUP(OtherClients[[#This Row],[Part]],PartControl!$A$2:$E$564,2,FALSE)),0)</f>
        <v>0</v>
      </c>
      <c r="Z1293" s="108">
        <f>IF(OtherClients[[#This Row],[Re-certified or New]]&lt;&gt;"Re-certified",IF(OtherClients[[#This Row],[Client]]="infasco",VLOOKUP(OtherClients[[#This Row],[Part]],PartControl!$A$2:$E$564,2,FALSE),OtherClients[[#This Row],[Total Quantity]]*VLOOKUP(OtherClients[[#This Row],[Part]],PartControl!$A$2:$E$564,2,FALSE)),0)</f>
        <v>0</v>
      </c>
    </row>
    <row r="1294" spans="1:26" ht="25.15" hidden="1" customHeight="1" x14ac:dyDescent="0.25">
      <c r="A1294" s="112">
        <v>46256</v>
      </c>
      <c r="B1294" s="5" t="s">
        <v>233</v>
      </c>
      <c r="C1294" s="5" t="s">
        <v>663</v>
      </c>
      <c r="D1294" s="5">
        <v>714691</v>
      </c>
      <c r="E1294" s="33">
        <v>38</v>
      </c>
      <c r="F1294" s="60">
        <v>3000</v>
      </c>
      <c r="G1294" s="60">
        <f>+OtherClients[[#This Row],[Boxes / Pieces]]*OtherClients[[#This Row],[Unit Quantity]]</f>
        <v>114000</v>
      </c>
      <c r="H1294" s="60">
        <v>275</v>
      </c>
      <c r="I1294" s="126" t="s">
        <v>278</v>
      </c>
      <c r="J1294" s="127"/>
      <c r="K1294" s="33" t="s">
        <v>278</v>
      </c>
      <c r="L1294" s="125"/>
      <c r="M1294" s="33" t="s">
        <v>278</v>
      </c>
      <c r="N1294" s="125"/>
      <c r="O1294" s="33" t="s">
        <v>278</v>
      </c>
      <c r="P1294" s="125"/>
      <c r="Q1294" s="33" t="s">
        <v>587</v>
      </c>
      <c r="R1294" s="125"/>
      <c r="S1294" s="33" t="s">
        <v>278</v>
      </c>
      <c r="T1294" s="125"/>
      <c r="U1294" s="33" t="s">
        <v>278</v>
      </c>
      <c r="V1294" s="125"/>
      <c r="W1294" s="59" t="s">
        <v>548</v>
      </c>
      <c r="X1294" s="33" t="str">
        <f>+VLOOKUP(OtherClients[[#This Row],[Part]],PartControl!$A$2:$E$564,5,FALSE)</f>
        <v>infasco</v>
      </c>
      <c r="Y1294" s="108">
        <f>IF(OtherClients[[#This Row],[Re-certified or New]]&lt;&gt;"Re-certified",IF(OtherClients[[#This Row],[Client]]="infasco",VLOOKUP(OtherClients[[#This Row],[Part]],PartControl!$A$2:$E$564,2,FALSE),OtherClients[[#This Row],[Total Quantity]]*VLOOKUP(OtherClients[[#This Row],[Part]],PartControl!$A$2:$E$564,2,FALSE)),0)</f>
        <v>106.94</v>
      </c>
      <c r="Z1294" s="108">
        <f>IF(OtherClients[[#This Row],[Re-certified or New]]&lt;&gt;"Re-certified",IF(OtherClients[[#This Row],[Client]]="infasco",VLOOKUP(OtherClients[[#This Row],[Part]],PartControl!$A$2:$E$564,2,FALSE),OtherClients[[#This Row],[Total Quantity]]*VLOOKUP(OtherClients[[#This Row],[Part]],PartControl!$A$2:$E$564,2,FALSE)),0)</f>
        <v>106.94</v>
      </c>
    </row>
    <row r="1295" spans="1:26" ht="25.15" hidden="1" customHeight="1" x14ac:dyDescent="0.25">
      <c r="A1295" s="112">
        <v>46254.679212962961</v>
      </c>
      <c r="B1295" s="5" t="s">
        <v>346</v>
      </c>
      <c r="C1295" s="5">
        <v>11546703</v>
      </c>
      <c r="D1295" s="5">
        <v>713858</v>
      </c>
      <c r="E1295" s="33">
        <v>31</v>
      </c>
      <c r="F1295" s="60">
        <v>4000</v>
      </c>
      <c r="G1295" s="60">
        <f>+OtherClients[[#This Row],[Boxes / Pieces]]*OtherClients[[#This Row],[Unit Quantity]]</f>
        <v>124000</v>
      </c>
      <c r="H1295" s="60" t="s">
        <v>871</v>
      </c>
      <c r="I1295" s="126" t="s">
        <v>278</v>
      </c>
      <c r="J1295" s="127"/>
      <c r="K1295" s="33" t="s">
        <v>278</v>
      </c>
      <c r="L1295" s="125"/>
      <c r="M1295" s="33" t="s">
        <v>278</v>
      </c>
      <c r="N1295" s="125"/>
      <c r="O1295" s="33" t="s">
        <v>278</v>
      </c>
      <c r="P1295" s="125"/>
      <c r="Q1295" s="33" t="s">
        <v>587</v>
      </c>
      <c r="R1295" s="125"/>
      <c r="S1295" s="33" t="s">
        <v>278</v>
      </c>
      <c r="T1295" s="125"/>
      <c r="U1295" s="33" t="s">
        <v>278</v>
      </c>
      <c r="V1295" s="125"/>
      <c r="W1295" s="59" t="s">
        <v>548</v>
      </c>
      <c r="X1295" s="33" t="str">
        <f>+VLOOKUP(OtherClients[[#This Row],[Part]],PartControl!$A$2:$E$564,5,FALSE)</f>
        <v>infasco</v>
      </c>
      <c r="Y1295" s="108">
        <f>IF(OtherClients[[#This Row],[Re-certified or New]]&lt;&gt;"Re-certified",IF(OtherClients[[#This Row],[Client]]="infasco",VLOOKUP(OtherClients[[#This Row],[Part]],PartControl!$A$2:$E$564,2,FALSE),OtherClients[[#This Row],[Total Quantity]]*VLOOKUP(OtherClients[[#This Row],[Part]],PartControl!$A$2:$E$564,2,FALSE)),0)</f>
        <v>135.07999999999998</v>
      </c>
      <c r="Z1295" s="108">
        <f>IF(OtherClients[[#This Row],[Re-certified or New]]&lt;&gt;"Re-certified",IF(OtherClients[[#This Row],[Client]]="infasco",VLOOKUP(OtherClients[[#This Row],[Part]],PartControl!$A$2:$E$564,2,FALSE),OtherClients[[#This Row],[Total Quantity]]*VLOOKUP(OtherClients[[#This Row],[Part]],PartControl!$A$2:$E$564,2,FALSE)),0)</f>
        <v>135.07999999999998</v>
      </c>
    </row>
    <row r="1296" spans="1:26" ht="25.15" hidden="1" customHeight="1" x14ac:dyDescent="0.25">
      <c r="A1296" s="112">
        <v>46255.694016203706</v>
      </c>
      <c r="B1296" s="5" t="s">
        <v>343</v>
      </c>
      <c r="C1296" s="5">
        <v>11546703</v>
      </c>
      <c r="D1296" s="5">
        <v>713859</v>
      </c>
      <c r="E1296" s="33">
        <v>34</v>
      </c>
      <c r="F1296" s="60">
        <v>4000</v>
      </c>
      <c r="G1296" s="60">
        <f>+OtherClients[[#This Row],[Boxes / Pieces]]*OtherClients[[#This Row],[Unit Quantity]]</f>
        <v>136000</v>
      </c>
      <c r="H1296" s="60" t="s">
        <v>757</v>
      </c>
      <c r="I1296" s="126" t="s">
        <v>278</v>
      </c>
      <c r="J1296" s="127"/>
      <c r="K1296" s="33" t="s">
        <v>278</v>
      </c>
      <c r="L1296" s="125"/>
      <c r="M1296" s="33" t="s">
        <v>278</v>
      </c>
      <c r="N1296" s="125"/>
      <c r="O1296" s="33" t="s">
        <v>278</v>
      </c>
      <c r="P1296" s="125"/>
      <c r="Q1296" s="33" t="s">
        <v>587</v>
      </c>
      <c r="R1296" s="125"/>
      <c r="S1296" s="33" t="s">
        <v>278</v>
      </c>
      <c r="T1296" s="125"/>
      <c r="U1296" s="33" t="s">
        <v>278</v>
      </c>
      <c r="V1296" s="125"/>
      <c r="W1296" s="59" t="s">
        <v>548</v>
      </c>
      <c r="X1296" s="33" t="str">
        <f>+VLOOKUP(OtherClients[[#This Row],[Part]],PartControl!$A$2:$E$564,5,FALSE)</f>
        <v>infasco</v>
      </c>
      <c r="Y1296" s="108">
        <f>IF(OtherClients[[#This Row],[Re-certified or New]]&lt;&gt;"Re-certified",IF(OtherClients[[#This Row],[Client]]="infasco",VLOOKUP(OtherClients[[#This Row],[Part]],PartControl!$A$2:$E$564,2,FALSE),OtherClients[[#This Row],[Total Quantity]]*VLOOKUP(OtherClients[[#This Row],[Part]],PartControl!$A$2:$E$564,2,FALSE)),0)</f>
        <v>135.07999999999998</v>
      </c>
      <c r="Z1296" s="108">
        <f>IF(OtherClients[[#This Row],[Re-certified or New]]&lt;&gt;"Re-certified",IF(OtherClients[[#This Row],[Client]]="infasco",VLOOKUP(OtherClients[[#This Row],[Part]],PartControl!$A$2:$E$564,2,FALSE),OtherClients[[#This Row],[Total Quantity]]*VLOOKUP(OtherClients[[#This Row],[Part]],PartControl!$A$2:$E$564,2,FALSE)),0)</f>
        <v>135.07999999999998</v>
      </c>
    </row>
    <row r="1297" spans="1:26" ht="25.15" hidden="1" customHeight="1" x14ac:dyDescent="0.25">
      <c r="A1297" s="112">
        <v>46256</v>
      </c>
      <c r="B1297" s="5" t="s">
        <v>234</v>
      </c>
      <c r="C1297" s="5">
        <v>11546437</v>
      </c>
      <c r="D1297" s="5">
        <v>716759</v>
      </c>
      <c r="E1297" s="33">
        <f>36+12-9</f>
        <v>39</v>
      </c>
      <c r="F1297" s="60">
        <v>1500</v>
      </c>
      <c r="G1297" s="60">
        <f>+OtherClients[[#This Row],[Boxes / Pieces]]*OtherClients[[#This Row],[Unit Quantity]]</f>
        <v>58500</v>
      </c>
      <c r="H1297" s="60">
        <v>275</v>
      </c>
      <c r="I1297" s="126" t="s">
        <v>278</v>
      </c>
      <c r="J1297" s="127"/>
      <c r="K1297" s="33" t="s">
        <v>278</v>
      </c>
      <c r="L1297" s="125"/>
      <c r="M1297" s="33" t="s">
        <v>278</v>
      </c>
      <c r="N1297" s="125"/>
      <c r="O1297" s="33" t="s">
        <v>278</v>
      </c>
      <c r="P1297" s="125"/>
      <c r="Q1297" s="33" t="s">
        <v>587</v>
      </c>
      <c r="R1297" s="125"/>
      <c r="S1297" s="33" t="s">
        <v>278</v>
      </c>
      <c r="T1297" s="125"/>
      <c r="U1297" s="33" t="s">
        <v>278</v>
      </c>
      <c r="V1297" s="125"/>
      <c r="W1297" s="59" t="s">
        <v>548</v>
      </c>
      <c r="X1297" s="33" t="str">
        <f>+VLOOKUP(OtherClients[[#This Row],[Part]],PartControl!$A$2:$E$564,5,FALSE)</f>
        <v>infasco</v>
      </c>
      <c r="Y1297" s="108">
        <f>IF(OtherClients[[#This Row],[Re-certified or New]]&lt;&gt;"Re-certified",IF(OtherClients[[#This Row],[Client]]="infasco",VLOOKUP(OtherClients[[#This Row],[Part]],PartControl!$A$2:$E$564,2,FALSE),OtherClients[[#This Row],[Total Quantity]]*VLOOKUP(OtherClients[[#This Row],[Part]],PartControl!$A$2:$E$564,2,FALSE)),0)</f>
        <v>106.94</v>
      </c>
      <c r="Z1297" s="108">
        <f>IF(OtherClients[[#This Row],[Re-certified or New]]&lt;&gt;"Re-certified",IF(OtherClients[[#This Row],[Client]]="infasco",VLOOKUP(OtherClients[[#This Row],[Part]],PartControl!$A$2:$E$564,2,FALSE),OtherClients[[#This Row],[Total Quantity]]*VLOOKUP(OtherClients[[#This Row],[Part]],PartControl!$A$2:$E$564,2,FALSE)),0)</f>
        <v>106.94</v>
      </c>
    </row>
    <row r="1298" spans="1:26" ht="25.15" hidden="1" customHeight="1" x14ac:dyDescent="0.25">
      <c r="A1298" s="112">
        <v>46256</v>
      </c>
      <c r="B1298" s="5" t="s">
        <v>234</v>
      </c>
      <c r="C1298" s="5">
        <v>11546437</v>
      </c>
      <c r="D1298" s="5">
        <v>716761</v>
      </c>
      <c r="E1298" s="33">
        <v>9</v>
      </c>
      <c r="F1298" s="60">
        <v>1500</v>
      </c>
      <c r="G1298" s="60">
        <f>+OtherClients[[#This Row],[Boxes / Pieces]]*OtherClients[[#This Row],[Unit Quantity]]</f>
        <v>13500</v>
      </c>
      <c r="H1298" s="60">
        <v>275</v>
      </c>
      <c r="I1298" s="126" t="s">
        <v>278</v>
      </c>
      <c r="J1298" s="127"/>
      <c r="K1298" s="33" t="s">
        <v>278</v>
      </c>
      <c r="L1298" s="125"/>
      <c r="M1298" s="33" t="s">
        <v>278</v>
      </c>
      <c r="N1298" s="125"/>
      <c r="O1298" s="33" t="s">
        <v>278</v>
      </c>
      <c r="P1298" s="125"/>
      <c r="Q1298" s="33" t="s">
        <v>587</v>
      </c>
      <c r="R1298" s="125"/>
      <c r="S1298" s="33" t="s">
        <v>278</v>
      </c>
      <c r="T1298" s="125"/>
      <c r="U1298" s="33" t="s">
        <v>278</v>
      </c>
      <c r="V1298" s="125"/>
      <c r="W1298" s="59" t="s">
        <v>633</v>
      </c>
      <c r="X1298" s="33" t="str">
        <f>+VLOOKUP(OtherClients[[#This Row],[Part]],PartControl!$A$2:$E$564,5,FALSE)</f>
        <v>infasco</v>
      </c>
      <c r="Y1298" s="108">
        <f>IF(OtherClients[[#This Row],[Re-certified or New]]&lt;&gt;"Re-certified",IF(OtherClients[[#This Row],[Client]]="infasco",VLOOKUP(OtherClients[[#This Row],[Part]],PartControl!$A$2:$E$564,2,FALSE),OtherClients[[#This Row],[Total Quantity]]*VLOOKUP(OtherClients[[#This Row],[Part]],PartControl!$A$2:$E$564,2,FALSE)),0)</f>
        <v>0</v>
      </c>
      <c r="Z1298" s="108">
        <f>IF(OtherClients[[#This Row],[Re-certified or New]]&lt;&gt;"Re-certified",IF(OtherClients[[#This Row],[Client]]="infasco",VLOOKUP(OtherClients[[#This Row],[Part]],PartControl!$A$2:$E$564,2,FALSE),OtherClients[[#This Row],[Total Quantity]]*VLOOKUP(OtherClients[[#This Row],[Part]],PartControl!$A$2:$E$564,2,FALSE)),0)</f>
        <v>0</v>
      </c>
    </row>
    <row r="1299" spans="1:26" ht="25.15" hidden="1" customHeight="1" x14ac:dyDescent="0.25">
      <c r="A1299" s="112">
        <v>46256</v>
      </c>
      <c r="B1299" s="5" t="s">
        <v>235</v>
      </c>
      <c r="C1299" s="5" t="s">
        <v>795</v>
      </c>
      <c r="D1299" s="5">
        <v>716680</v>
      </c>
      <c r="E1299" s="33">
        <f>19-12</f>
        <v>7</v>
      </c>
      <c r="F1299" s="60">
        <v>800</v>
      </c>
      <c r="G1299" s="60">
        <f>+OtherClients[[#This Row],[Boxes / Pieces]]*OtherClients[[#This Row],[Unit Quantity]]</f>
        <v>5600</v>
      </c>
      <c r="H1299" s="60">
        <v>290</v>
      </c>
      <c r="I1299" s="126" t="s">
        <v>278</v>
      </c>
      <c r="J1299" s="127"/>
      <c r="K1299" s="33" t="s">
        <v>278</v>
      </c>
      <c r="L1299" s="125"/>
      <c r="M1299" s="33" t="s">
        <v>278</v>
      </c>
      <c r="N1299" s="125"/>
      <c r="O1299" s="33" t="s">
        <v>278</v>
      </c>
      <c r="P1299" s="125"/>
      <c r="Q1299" s="33" t="s">
        <v>587</v>
      </c>
      <c r="R1299" s="125"/>
      <c r="S1299" s="33" t="s">
        <v>278</v>
      </c>
      <c r="T1299" s="125"/>
      <c r="U1299" s="33" t="s">
        <v>278</v>
      </c>
      <c r="V1299" s="125"/>
      <c r="W1299" s="59" t="s">
        <v>548</v>
      </c>
      <c r="X1299" s="33" t="str">
        <f>+VLOOKUP(OtherClients[[#This Row],[Part]],PartControl!$A$2:$E$564,5,FALSE)</f>
        <v>infasco</v>
      </c>
      <c r="Y1299" s="108">
        <f>IF(OtherClients[[#This Row],[Re-certified or New]]&lt;&gt;"Re-certified",IF(OtherClients[[#This Row],[Client]]="infasco",VLOOKUP(OtherClients[[#This Row],[Part]],PartControl!$A$2:$E$564,2,FALSE),OtherClients[[#This Row],[Total Quantity]]*VLOOKUP(OtherClients[[#This Row],[Part]],PartControl!$A$2:$E$564,2,FALSE)),0)</f>
        <v>280.16000000000003</v>
      </c>
      <c r="Z1299" s="108">
        <f>IF(OtherClients[[#This Row],[Re-certified or New]]&lt;&gt;"Re-certified",IF(OtherClients[[#This Row],[Client]]="infasco",VLOOKUP(OtherClients[[#This Row],[Part]],PartControl!$A$2:$E$564,2,FALSE),OtherClients[[#This Row],[Total Quantity]]*VLOOKUP(OtherClients[[#This Row],[Part]],PartControl!$A$2:$E$564,2,FALSE)),0)</f>
        <v>280.16000000000003</v>
      </c>
    </row>
    <row r="1300" spans="1:26" ht="25.15" hidden="1" customHeight="1" x14ac:dyDescent="0.25">
      <c r="A1300" s="112">
        <v>46256</v>
      </c>
      <c r="B1300" s="5" t="s">
        <v>235</v>
      </c>
      <c r="C1300" s="5" t="s">
        <v>656</v>
      </c>
      <c r="D1300" s="5">
        <v>716989</v>
      </c>
      <c r="E1300" s="33">
        <v>13</v>
      </c>
      <c r="F1300" s="60">
        <v>825</v>
      </c>
      <c r="G1300" s="60">
        <f>+OtherClients[[#This Row],[Boxes / Pieces]]*OtherClients[[#This Row],[Unit Quantity]]</f>
        <v>10725</v>
      </c>
      <c r="H1300" s="60">
        <v>290</v>
      </c>
      <c r="I1300" s="126" t="s">
        <v>278</v>
      </c>
      <c r="J1300" s="127"/>
      <c r="K1300" s="33" t="s">
        <v>278</v>
      </c>
      <c r="L1300" s="125"/>
      <c r="M1300" s="33" t="s">
        <v>278</v>
      </c>
      <c r="N1300" s="125"/>
      <c r="O1300" s="33" t="s">
        <v>278</v>
      </c>
      <c r="P1300" s="125"/>
      <c r="Q1300" s="33" t="s">
        <v>587</v>
      </c>
      <c r="R1300" s="125"/>
      <c r="S1300" s="33" t="s">
        <v>278</v>
      </c>
      <c r="T1300" s="125"/>
      <c r="U1300" s="33" t="s">
        <v>278</v>
      </c>
      <c r="V1300" s="125"/>
      <c r="W1300" s="59" t="s">
        <v>633</v>
      </c>
      <c r="X1300" s="33" t="str">
        <f>+VLOOKUP(OtherClients[[#This Row],[Part]],PartControl!$A$2:$E$564,5,FALSE)</f>
        <v>infasco</v>
      </c>
      <c r="Y1300" s="108">
        <f>IF(OtherClients[[#This Row],[Re-certified or New]]&lt;&gt;"Re-certified",IF(OtherClients[[#This Row],[Client]]="infasco",VLOOKUP(OtherClients[[#This Row],[Part]],PartControl!$A$2:$E$564,2,FALSE),OtherClients[[#This Row],[Total Quantity]]*VLOOKUP(OtherClients[[#This Row],[Part]],PartControl!$A$2:$E$564,2,FALSE)),0)</f>
        <v>0</v>
      </c>
      <c r="Z1300" s="108">
        <f>IF(OtherClients[[#This Row],[Re-certified or New]]&lt;&gt;"Re-certified",IF(OtherClients[[#This Row],[Client]]="infasco",VLOOKUP(OtherClients[[#This Row],[Part]],PartControl!$A$2:$E$564,2,FALSE),OtherClients[[#This Row],[Total Quantity]]*VLOOKUP(OtherClients[[#This Row],[Part]],PartControl!$A$2:$E$564,2,FALSE)),0)</f>
        <v>0</v>
      </c>
    </row>
    <row r="1301" spans="1:26" ht="25.15" hidden="1" customHeight="1" x14ac:dyDescent="0.25">
      <c r="A1301" s="112">
        <v>46256</v>
      </c>
      <c r="B1301" s="5" t="s">
        <v>236</v>
      </c>
      <c r="C1301" s="5">
        <v>11546449</v>
      </c>
      <c r="D1301" s="5">
        <v>716870</v>
      </c>
      <c r="E1301" s="33">
        <f>18+14</f>
        <v>32</v>
      </c>
      <c r="F1301" s="60">
        <v>2500</v>
      </c>
      <c r="G1301" s="60">
        <f>+OtherClients[[#This Row],[Boxes / Pieces]]*OtherClients[[#This Row],[Unit Quantity]]</f>
        <v>80000</v>
      </c>
      <c r="H1301" s="60">
        <v>290</v>
      </c>
      <c r="I1301" s="126" t="s">
        <v>278</v>
      </c>
      <c r="J1301" s="127"/>
      <c r="K1301" s="33" t="s">
        <v>278</v>
      </c>
      <c r="L1301" s="125"/>
      <c r="M1301" s="33" t="s">
        <v>278</v>
      </c>
      <c r="N1301" s="125"/>
      <c r="O1301" s="33" t="s">
        <v>278</v>
      </c>
      <c r="P1301" s="125"/>
      <c r="Q1301" s="33" t="s">
        <v>587</v>
      </c>
      <c r="R1301" s="125"/>
      <c r="S1301" s="33" t="s">
        <v>278</v>
      </c>
      <c r="T1301" s="125"/>
      <c r="U1301" s="33" t="s">
        <v>278</v>
      </c>
      <c r="V1301" s="125"/>
      <c r="W1301" s="59" t="s">
        <v>633</v>
      </c>
      <c r="X1301" s="33" t="str">
        <f>+VLOOKUP(OtherClients[[#This Row],[Part]],PartControl!$A$2:$E$564,5,FALSE)</f>
        <v>INFASCO</v>
      </c>
      <c r="Y1301" s="108">
        <f>IF(OtherClients[[#This Row],[Re-certified or New]]&lt;&gt;"Re-certified",IF(OtherClients[[#This Row],[Client]]="infasco",VLOOKUP(OtherClients[[#This Row],[Part]],PartControl!$A$2:$E$564,2,FALSE),OtherClients[[#This Row],[Total Quantity]]*VLOOKUP(OtherClients[[#This Row],[Part]],PartControl!$A$2:$E$564,2,FALSE)),0)</f>
        <v>0</v>
      </c>
      <c r="Z1301" s="108">
        <f>IF(OtherClients[[#This Row],[Re-certified or New]]&lt;&gt;"Re-certified",IF(OtherClients[[#This Row],[Client]]="infasco",VLOOKUP(OtherClients[[#This Row],[Part]],PartControl!$A$2:$E$564,2,FALSE),OtherClients[[#This Row],[Total Quantity]]*VLOOKUP(OtherClients[[#This Row],[Part]],PartControl!$A$2:$E$564,2,FALSE)),0)</f>
        <v>0</v>
      </c>
    </row>
    <row r="1302" spans="1:26" ht="25.15" hidden="1" customHeight="1" x14ac:dyDescent="0.25">
      <c r="A1302" s="112">
        <v>46254.679212962961</v>
      </c>
      <c r="B1302" s="5" t="s">
        <v>244</v>
      </c>
      <c r="C1302" s="5" t="s">
        <v>667</v>
      </c>
      <c r="D1302" s="5">
        <v>714084</v>
      </c>
      <c r="E1302" s="33">
        <f>26-10</f>
        <v>16</v>
      </c>
      <c r="F1302" s="60">
        <v>1600</v>
      </c>
      <c r="G1302" s="60">
        <f>+OtherClients[[#This Row],[Boxes / Pieces]]*OtherClients[[#This Row],[Unit Quantity]]</f>
        <v>25600</v>
      </c>
      <c r="H1302" s="60">
        <v>292</v>
      </c>
      <c r="I1302" s="126" t="s">
        <v>278</v>
      </c>
      <c r="J1302" s="127"/>
      <c r="K1302" s="33" t="s">
        <v>278</v>
      </c>
      <c r="L1302" s="125"/>
      <c r="M1302" s="33" t="s">
        <v>278</v>
      </c>
      <c r="N1302" s="125"/>
      <c r="O1302" s="33" t="s">
        <v>278</v>
      </c>
      <c r="P1302" s="125"/>
      <c r="Q1302" s="33" t="s">
        <v>587</v>
      </c>
      <c r="R1302" s="125"/>
      <c r="S1302" s="33" t="s">
        <v>278</v>
      </c>
      <c r="T1302" s="125"/>
      <c r="U1302" s="33" t="s">
        <v>278</v>
      </c>
      <c r="V1302" s="125"/>
      <c r="W1302" s="59" t="s">
        <v>633</v>
      </c>
      <c r="X1302" s="33" t="str">
        <f>+VLOOKUP(OtherClients[[#This Row],[Part]],PartControl!$A$2:$E$564,5,FALSE)</f>
        <v>infasco</v>
      </c>
      <c r="Y1302" s="108">
        <f>IF(OtherClients[[#This Row],[Re-certified or New]]&lt;&gt;"Re-certified",IF(OtherClients[[#This Row],[Client]]="infasco",VLOOKUP(OtherClients[[#This Row],[Part]],PartControl!$A$2:$E$564,2,FALSE),OtherClients[[#This Row],[Total Quantity]]*VLOOKUP(OtherClients[[#This Row],[Part]],PartControl!$A$2:$E$564,2,FALSE)),0)</f>
        <v>0</v>
      </c>
      <c r="Z1302" s="108">
        <f>IF(OtherClients[[#This Row],[Re-certified or New]]&lt;&gt;"Re-certified",IF(OtherClients[[#This Row],[Client]]="infasco",VLOOKUP(OtherClients[[#This Row],[Part]],PartControl!$A$2:$E$564,2,FALSE),OtherClients[[#This Row],[Total Quantity]]*VLOOKUP(OtherClients[[#This Row],[Part]],PartControl!$A$2:$E$564,2,FALSE)),0)</f>
        <v>0</v>
      </c>
    </row>
    <row r="1303" spans="1:26" ht="25.15" hidden="1" customHeight="1" x14ac:dyDescent="0.25">
      <c r="A1303" s="112">
        <v>46255.694016203706</v>
      </c>
      <c r="B1303" s="5" t="s">
        <v>244</v>
      </c>
      <c r="C1303" s="5" t="s">
        <v>667</v>
      </c>
      <c r="D1303" s="5">
        <v>714084</v>
      </c>
      <c r="E1303" s="33">
        <f>32-26</f>
        <v>6</v>
      </c>
      <c r="F1303" s="60">
        <v>1600</v>
      </c>
      <c r="G1303" s="60">
        <f>+OtherClients[[#This Row],[Boxes / Pieces]]*OtherClients[[#This Row],[Unit Quantity]]</f>
        <v>9600</v>
      </c>
      <c r="H1303" s="60">
        <v>292</v>
      </c>
      <c r="I1303" s="126" t="s">
        <v>278</v>
      </c>
      <c r="J1303" s="127"/>
      <c r="K1303" s="33" t="s">
        <v>278</v>
      </c>
      <c r="L1303" s="125"/>
      <c r="M1303" s="33" t="s">
        <v>278</v>
      </c>
      <c r="N1303" s="125"/>
      <c r="O1303" s="33" t="s">
        <v>278</v>
      </c>
      <c r="P1303" s="125"/>
      <c r="Q1303" s="33" t="s">
        <v>587</v>
      </c>
      <c r="R1303" s="125"/>
      <c r="S1303" s="33" t="s">
        <v>278</v>
      </c>
      <c r="T1303" s="125"/>
      <c r="U1303" s="33" t="s">
        <v>278</v>
      </c>
      <c r="V1303" s="125"/>
      <c r="W1303" s="59" t="s">
        <v>548</v>
      </c>
      <c r="X1303" s="33" t="str">
        <f>+VLOOKUP(OtherClients[[#This Row],[Part]],PartControl!$A$2:$E$564,5,FALSE)</f>
        <v>infasco</v>
      </c>
      <c r="Y1303" s="108">
        <f>IF(OtherClients[[#This Row],[Re-certified or New]]&lt;&gt;"Re-certified",IF(OtherClients[[#This Row],[Client]]="infasco",VLOOKUP(OtherClients[[#This Row],[Part]],PartControl!$A$2:$E$564,2,FALSE),OtherClients[[#This Row],[Total Quantity]]*VLOOKUP(OtherClients[[#This Row],[Part]],PartControl!$A$2:$E$564,2,FALSE)),0)</f>
        <v>106.94</v>
      </c>
      <c r="Z1303" s="108">
        <f>IF(OtherClients[[#This Row],[Re-certified or New]]&lt;&gt;"Re-certified",IF(OtherClients[[#This Row],[Client]]="infasco",VLOOKUP(OtherClients[[#This Row],[Part]],PartControl!$A$2:$E$564,2,FALSE),OtherClients[[#This Row],[Total Quantity]]*VLOOKUP(OtherClients[[#This Row],[Part]],PartControl!$A$2:$E$564,2,FALSE)),0)</f>
        <v>106.94</v>
      </c>
    </row>
    <row r="1304" spans="1:26" ht="25.15" hidden="1" customHeight="1" x14ac:dyDescent="0.25">
      <c r="A1304" s="112">
        <v>46254.679212962961</v>
      </c>
      <c r="B1304" s="5" t="s">
        <v>634</v>
      </c>
      <c r="C1304" s="5" t="s">
        <v>667</v>
      </c>
      <c r="D1304" s="5">
        <v>714085</v>
      </c>
      <c r="E1304" s="33">
        <v>28</v>
      </c>
      <c r="F1304" s="60">
        <v>1600</v>
      </c>
      <c r="G1304" s="60">
        <f>+OtherClients[[#This Row],[Boxes / Pieces]]*OtherClients[[#This Row],[Unit Quantity]]</f>
        <v>44800</v>
      </c>
      <c r="H1304" s="60">
        <v>280</v>
      </c>
      <c r="I1304" s="126" t="s">
        <v>278</v>
      </c>
      <c r="J1304" s="127"/>
      <c r="K1304" s="33" t="s">
        <v>278</v>
      </c>
      <c r="L1304" s="125"/>
      <c r="M1304" s="33" t="s">
        <v>278</v>
      </c>
      <c r="N1304" s="125"/>
      <c r="O1304" s="33" t="s">
        <v>278</v>
      </c>
      <c r="P1304" s="125"/>
      <c r="Q1304" s="33" t="s">
        <v>587</v>
      </c>
      <c r="R1304" s="125"/>
      <c r="S1304" s="33" t="s">
        <v>278</v>
      </c>
      <c r="T1304" s="125"/>
      <c r="U1304" s="33" t="s">
        <v>278</v>
      </c>
      <c r="V1304" s="125"/>
      <c r="W1304" s="59" t="s">
        <v>633</v>
      </c>
      <c r="X1304" s="33" t="str">
        <f>+VLOOKUP(OtherClients[[#This Row],[Part]],PartControl!$A$2:$E$564,5,FALSE)</f>
        <v>infasco</v>
      </c>
      <c r="Y1304" s="108">
        <f>IF(OtherClients[[#This Row],[Re-certified or New]]&lt;&gt;"Re-certified",IF(OtherClients[[#This Row],[Client]]="infasco",VLOOKUP(OtherClients[[#This Row],[Part]],PartControl!$A$2:$E$564,2,FALSE),OtherClients[[#This Row],[Total Quantity]]*VLOOKUP(OtherClients[[#This Row],[Part]],PartControl!$A$2:$E$564,2,FALSE)),0)</f>
        <v>0</v>
      </c>
      <c r="Z1304" s="108">
        <f>IF(OtherClients[[#This Row],[Re-certified or New]]&lt;&gt;"Re-certified",IF(OtherClients[[#This Row],[Client]]="infasco",VLOOKUP(OtherClients[[#This Row],[Part]],PartControl!$A$2:$E$564,2,FALSE),OtherClients[[#This Row],[Total Quantity]]*VLOOKUP(OtherClients[[#This Row],[Part]],PartControl!$A$2:$E$564,2,FALSE)),0)</f>
        <v>0</v>
      </c>
    </row>
    <row r="1305" spans="1:26" ht="25.15" hidden="1" customHeight="1" x14ac:dyDescent="0.25">
      <c r="A1305" s="112">
        <v>46255.694016203706</v>
      </c>
      <c r="B1305" s="5" t="s">
        <v>634</v>
      </c>
      <c r="C1305" s="5" t="s">
        <v>667</v>
      </c>
      <c r="D1305" s="5">
        <v>714085</v>
      </c>
      <c r="E1305" s="33">
        <f>30-28</f>
        <v>2</v>
      </c>
      <c r="F1305" s="60">
        <v>1600</v>
      </c>
      <c r="G1305" s="60">
        <f>+OtherClients[[#This Row],[Boxes / Pieces]]*OtherClients[[#This Row],[Unit Quantity]]</f>
        <v>3200</v>
      </c>
      <c r="H1305" s="60">
        <v>280</v>
      </c>
      <c r="I1305" s="126" t="s">
        <v>278</v>
      </c>
      <c r="J1305" s="127"/>
      <c r="K1305" s="33" t="s">
        <v>278</v>
      </c>
      <c r="L1305" s="125"/>
      <c r="M1305" s="33" t="s">
        <v>278</v>
      </c>
      <c r="N1305" s="125"/>
      <c r="O1305" s="33" t="s">
        <v>278</v>
      </c>
      <c r="P1305" s="125"/>
      <c r="Q1305" s="33" t="s">
        <v>587</v>
      </c>
      <c r="R1305" s="125"/>
      <c r="S1305" s="33" t="s">
        <v>278</v>
      </c>
      <c r="T1305" s="125"/>
      <c r="U1305" s="33" t="s">
        <v>278</v>
      </c>
      <c r="V1305" s="125"/>
      <c r="W1305" s="59" t="s">
        <v>548</v>
      </c>
      <c r="X1305" s="33" t="str">
        <f>+VLOOKUP(OtherClients[[#This Row],[Part]],PartControl!$A$2:$E$564,5,FALSE)</f>
        <v>infasco</v>
      </c>
      <c r="Y1305" s="108">
        <f>IF(OtherClients[[#This Row],[Re-certified or New]]&lt;&gt;"Re-certified",IF(OtherClients[[#This Row],[Client]]="infasco",VLOOKUP(OtherClients[[#This Row],[Part]],PartControl!$A$2:$E$564,2,FALSE),OtherClients[[#This Row],[Total Quantity]]*VLOOKUP(OtherClients[[#This Row],[Part]],PartControl!$A$2:$E$564,2,FALSE)),0)</f>
        <v>106.94</v>
      </c>
      <c r="Z1305" s="108">
        <f>IF(OtherClients[[#This Row],[Re-certified or New]]&lt;&gt;"Re-certified",IF(OtherClients[[#This Row],[Client]]="infasco",VLOOKUP(OtherClients[[#This Row],[Part]],PartControl!$A$2:$E$564,2,FALSE),OtherClients[[#This Row],[Total Quantity]]*VLOOKUP(OtherClients[[#This Row],[Part]],PartControl!$A$2:$E$564,2,FALSE)),0)</f>
        <v>106.94</v>
      </c>
    </row>
    <row r="1306" spans="1:26" ht="25.15" hidden="1" customHeight="1" x14ac:dyDescent="0.25">
      <c r="A1306" s="112">
        <v>46254.679212962961</v>
      </c>
      <c r="B1306" s="5" t="s">
        <v>239</v>
      </c>
      <c r="C1306" s="5" t="s">
        <v>705</v>
      </c>
      <c r="D1306" s="5">
        <v>714099</v>
      </c>
      <c r="E1306" s="33">
        <f>34-24</f>
        <v>10</v>
      </c>
      <c r="F1306" s="60">
        <v>450</v>
      </c>
      <c r="G1306" s="60">
        <f>+OtherClients[[#This Row],[Boxes / Pieces]]*OtherClients[[#This Row],[Unit Quantity]]</f>
        <v>4500</v>
      </c>
      <c r="H1306" s="60">
        <v>290</v>
      </c>
      <c r="I1306" s="126" t="s">
        <v>278</v>
      </c>
      <c r="J1306" s="127"/>
      <c r="K1306" s="33" t="s">
        <v>278</v>
      </c>
      <c r="L1306" s="125"/>
      <c r="M1306" s="33" t="s">
        <v>278</v>
      </c>
      <c r="N1306" s="125"/>
      <c r="O1306" s="33" t="s">
        <v>278</v>
      </c>
      <c r="P1306" s="125"/>
      <c r="Q1306" s="33" t="s">
        <v>587</v>
      </c>
      <c r="R1306" s="125"/>
      <c r="S1306" s="33" t="s">
        <v>278</v>
      </c>
      <c r="T1306" s="125"/>
      <c r="U1306" s="33" t="s">
        <v>278</v>
      </c>
      <c r="V1306" s="125"/>
      <c r="W1306" s="59" t="s">
        <v>548</v>
      </c>
      <c r="X1306" s="33" t="str">
        <f>+VLOOKUP(OtherClients[[#This Row],[Part]],PartControl!$A$2:$E$564,5,FALSE)</f>
        <v>infasco</v>
      </c>
      <c r="Y1306" s="108">
        <f>IF(OtherClients[[#This Row],[Re-certified or New]]&lt;&gt;"Re-certified",IF(OtherClients[[#This Row],[Client]]="infasco",VLOOKUP(OtherClients[[#This Row],[Part]],PartControl!$A$2:$E$564,2,FALSE),OtherClients[[#This Row],[Total Quantity]]*VLOOKUP(OtherClients[[#This Row],[Part]],PartControl!$A$2:$E$564,2,FALSE)),0)</f>
        <v>106.94</v>
      </c>
      <c r="Z1306" s="108">
        <f>IF(OtherClients[[#This Row],[Re-certified or New]]&lt;&gt;"Re-certified",IF(OtherClients[[#This Row],[Client]]="infasco",VLOOKUP(OtherClients[[#This Row],[Part]],PartControl!$A$2:$E$564,2,FALSE),OtherClients[[#This Row],[Total Quantity]]*VLOOKUP(OtherClients[[#This Row],[Part]],PartControl!$A$2:$E$564,2,FALSE)),0)</f>
        <v>106.94</v>
      </c>
    </row>
    <row r="1307" spans="1:26" ht="25.15" hidden="1" customHeight="1" x14ac:dyDescent="0.25">
      <c r="A1307" s="112">
        <v>46254.679212962961</v>
      </c>
      <c r="B1307" s="5" t="s">
        <v>238</v>
      </c>
      <c r="C1307" s="5" t="s">
        <v>705</v>
      </c>
      <c r="D1307" s="5">
        <v>714101</v>
      </c>
      <c r="E1307" s="33">
        <v>36</v>
      </c>
      <c r="F1307" s="60">
        <v>450</v>
      </c>
      <c r="G1307" s="60">
        <f>+OtherClients[[#This Row],[Boxes / Pieces]]*OtherClients[[#This Row],[Unit Quantity]]</f>
        <v>16200</v>
      </c>
      <c r="H1307" s="60">
        <v>275</v>
      </c>
      <c r="I1307" s="126" t="s">
        <v>278</v>
      </c>
      <c r="J1307" s="127"/>
      <c r="K1307" s="33" t="s">
        <v>278</v>
      </c>
      <c r="L1307" s="125"/>
      <c r="M1307" s="33" t="s">
        <v>278</v>
      </c>
      <c r="N1307" s="125"/>
      <c r="O1307" s="33" t="s">
        <v>278</v>
      </c>
      <c r="P1307" s="125"/>
      <c r="Q1307" s="33" t="s">
        <v>587</v>
      </c>
      <c r="R1307" s="125"/>
      <c r="S1307" s="33" t="s">
        <v>278</v>
      </c>
      <c r="T1307" s="125"/>
      <c r="U1307" s="33" t="s">
        <v>278</v>
      </c>
      <c r="V1307" s="125"/>
      <c r="W1307" s="59" t="s">
        <v>548</v>
      </c>
      <c r="X1307" s="33" t="str">
        <f>+VLOOKUP(OtherClients[[#This Row],[Part]],PartControl!$A$2:$E$564,5,FALSE)</f>
        <v>infasco</v>
      </c>
      <c r="Y1307" s="108">
        <f>IF(OtherClients[[#This Row],[Re-certified or New]]&lt;&gt;"Re-certified",IF(OtherClients[[#This Row],[Client]]="infasco",VLOOKUP(OtherClients[[#This Row],[Part]],PartControl!$A$2:$E$564,2,FALSE),OtherClients[[#This Row],[Total Quantity]]*VLOOKUP(OtherClients[[#This Row],[Part]],PartControl!$A$2:$E$564,2,FALSE)),0)</f>
        <v>106.94</v>
      </c>
      <c r="Z1307" s="108">
        <f>IF(OtherClients[[#This Row],[Re-certified or New]]&lt;&gt;"Re-certified",IF(OtherClients[[#This Row],[Client]]="infasco",VLOOKUP(OtherClients[[#This Row],[Part]],PartControl!$A$2:$E$564,2,FALSE),OtherClients[[#This Row],[Total Quantity]]*VLOOKUP(OtherClients[[#This Row],[Part]],PartControl!$A$2:$E$564,2,FALSE)),0)</f>
        <v>106.94</v>
      </c>
    </row>
    <row r="1308" spans="1:26" ht="25.15" hidden="1" customHeight="1" x14ac:dyDescent="0.25">
      <c r="A1308" s="112">
        <v>46254.679212962961</v>
      </c>
      <c r="B1308" s="5" t="s">
        <v>239</v>
      </c>
      <c r="C1308" s="5" t="s">
        <v>705</v>
      </c>
      <c r="D1308" s="5">
        <v>714102</v>
      </c>
      <c r="E1308" s="33">
        <v>38</v>
      </c>
      <c r="F1308" s="60">
        <v>450</v>
      </c>
      <c r="G1308" s="60">
        <f>+OtherClients[[#This Row],[Boxes / Pieces]]*OtherClients[[#This Row],[Unit Quantity]]</f>
        <v>17100</v>
      </c>
      <c r="H1308" s="60">
        <v>290</v>
      </c>
      <c r="I1308" s="126" t="s">
        <v>278</v>
      </c>
      <c r="J1308" s="127"/>
      <c r="K1308" s="33" t="s">
        <v>278</v>
      </c>
      <c r="L1308" s="125"/>
      <c r="M1308" s="33" t="s">
        <v>278</v>
      </c>
      <c r="N1308" s="125"/>
      <c r="O1308" s="33" t="s">
        <v>278</v>
      </c>
      <c r="P1308" s="125"/>
      <c r="Q1308" s="33" t="s">
        <v>587</v>
      </c>
      <c r="R1308" s="125"/>
      <c r="S1308" s="33" t="s">
        <v>278</v>
      </c>
      <c r="T1308" s="125"/>
      <c r="U1308" s="33" t="s">
        <v>278</v>
      </c>
      <c r="V1308" s="125"/>
      <c r="W1308" s="59" t="s">
        <v>548</v>
      </c>
      <c r="X1308" s="33" t="str">
        <f>+VLOOKUP(OtherClients[[#This Row],[Part]],PartControl!$A$2:$E$564,5,FALSE)</f>
        <v>infasco</v>
      </c>
      <c r="Y1308" s="108">
        <f>IF(OtherClients[[#This Row],[Re-certified or New]]&lt;&gt;"Re-certified",IF(OtherClients[[#This Row],[Client]]="infasco",VLOOKUP(OtherClients[[#This Row],[Part]],PartControl!$A$2:$E$564,2,FALSE),OtherClients[[#This Row],[Total Quantity]]*VLOOKUP(OtherClients[[#This Row],[Part]],PartControl!$A$2:$E$564,2,FALSE)),0)</f>
        <v>106.94</v>
      </c>
      <c r="Z1308" s="108">
        <f>IF(OtherClients[[#This Row],[Re-certified or New]]&lt;&gt;"Re-certified",IF(OtherClients[[#This Row],[Client]]="infasco",VLOOKUP(OtherClients[[#This Row],[Part]],PartControl!$A$2:$E$564,2,FALSE),OtherClients[[#This Row],[Total Quantity]]*VLOOKUP(OtherClients[[#This Row],[Part]],PartControl!$A$2:$E$564,2,FALSE)),0)</f>
        <v>106.94</v>
      </c>
    </row>
    <row r="1309" spans="1:26" ht="25.15" hidden="1" customHeight="1" x14ac:dyDescent="0.25">
      <c r="A1309" s="112">
        <v>46254.679212962961</v>
      </c>
      <c r="B1309" s="5" t="s">
        <v>239</v>
      </c>
      <c r="C1309" s="5" t="s">
        <v>705</v>
      </c>
      <c r="D1309" s="5">
        <v>714175</v>
      </c>
      <c r="E1309" s="33">
        <v>38</v>
      </c>
      <c r="F1309" s="60">
        <v>450</v>
      </c>
      <c r="G1309" s="60">
        <f>+OtherClients[[#This Row],[Boxes / Pieces]]*OtherClients[[#This Row],[Unit Quantity]]</f>
        <v>17100</v>
      </c>
      <c r="H1309" s="60">
        <v>290</v>
      </c>
      <c r="I1309" s="126" t="s">
        <v>278</v>
      </c>
      <c r="J1309" s="127"/>
      <c r="K1309" s="33" t="s">
        <v>278</v>
      </c>
      <c r="L1309" s="125"/>
      <c r="M1309" s="33" t="s">
        <v>278</v>
      </c>
      <c r="N1309" s="125"/>
      <c r="O1309" s="33" t="s">
        <v>278</v>
      </c>
      <c r="P1309" s="125"/>
      <c r="Q1309" s="33" t="s">
        <v>587</v>
      </c>
      <c r="R1309" s="125"/>
      <c r="S1309" s="33" t="s">
        <v>278</v>
      </c>
      <c r="T1309" s="125"/>
      <c r="U1309" s="33" t="s">
        <v>278</v>
      </c>
      <c r="V1309" s="125"/>
      <c r="W1309" s="59" t="s">
        <v>548</v>
      </c>
      <c r="X1309" s="33" t="str">
        <f>+VLOOKUP(OtherClients[[#This Row],[Part]],PartControl!$A$2:$E$564,5,FALSE)</f>
        <v>infasco</v>
      </c>
      <c r="Y1309" s="108">
        <f>IF(OtherClients[[#This Row],[Re-certified or New]]&lt;&gt;"Re-certified",IF(OtherClients[[#This Row],[Client]]="infasco",VLOOKUP(OtherClients[[#This Row],[Part]],PartControl!$A$2:$E$564,2,FALSE),OtherClients[[#This Row],[Total Quantity]]*VLOOKUP(OtherClients[[#This Row],[Part]],PartControl!$A$2:$E$564,2,FALSE)),0)</f>
        <v>106.94</v>
      </c>
      <c r="Z1309" s="108">
        <f>IF(OtherClients[[#This Row],[Re-certified or New]]&lt;&gt;"Re-certified",IF(OtherClients[[#This Row],[Client]]="infasco",VLOOKUP(OtherClients[[#This Row],[Part]],PartControl!$A$2:$E$564,2,FALSE),OtherClients[[#This Row],[Total Quantity]]*VLOOKUP(OtherClients[[#This Row],[Part]],PartControl!$A$2:$E$564,2,FALSE)),0)</f>
        <v>106.94</v>
      </c>
    </row>
    <row r="1310" spans="1:26" ht="25.15" hidden="1" customHeight="1" x14ac:dyDescent="0.25">
      <c r="A1310" s="112">
        <v>46254.679212962961</v>
      </c>
      <c r="B1310" s="5" t="s">
        <v>242</v>
      </c>
      <c r="C1310" s="5" t="s">
        <v>705</v>
      </c>
      <c r="D1310" s="5">
        <v>714178</v>
      </c>
      <c r="E1310" s="33">
        <v>29</v>
      </c>
      <c r="F1310" s="60">
        <v>450</v>
      </c>
      <c r="G1310" s="60">
        <f>+OtherClients[[#This Row],[Boxes / Pieces]]*OtherClients[[#This Row],[Unit Quantity]]</f>
        <v>13050</v>
      </c>
      <c r="H1310" s="60">
        <v>275</v>
      </c>
      <c r="I1310" s="126" t="s">
        <v>278</v>
      </c>
      <c r="J1310" s="127"/>
      <c r="K1310" s="33" t="s">
        <v>278</v>
      </c>
      <c r="L1310" s="125"/>
      <c r="M1310" s="33" t="s">
        <v>278</v>
      </c>
      <c r="N1310" s="125"/>
      <c r="O1310" s="33" t="s">
        <v>278</v>
      </c>
      <c r="P1310" s="125"/>
      <c r="Q1310" s="33" t="s">
        <v>587</v>
      </c>
      <c r="R1310" s="125"/>
      <c r="S1310" s="33" t="s">
        <v>278</v>
      </c>
      <c r="T1310" s="125"/>
      <c r="U1310" s="33" t="s">
        <v>278</v>
      </c>
      <c r="V1310" s="125"/>
      <c r="W1310" s="59" t="s">
        <v>548</v>
      </c>
      <c r="X1310" s="33" t="str">
        <f>+VLOOKUP(OtherClients[[#This Row],[Part]],PartControl!$A$2:$E$564,5,FALSE)</f>
        <v>infasco</v>
      </c>
      <c r="Y1310" s="108">
        <f>IF(OtherClients[[#This Row],[Re-certified or New]]&lt;&gt;"Re-certified",IF(OtherClients[[#This Row],[Client]]="infasco",VLOOKUP(OtherClients[[#This Row],[Part]],PartControl!$A$2:$E$564,2,FALSE),OtherClients[[#This Row],[Total Quantity]]*VLOOKUP(OtherClients[[#This Row],[Part]],PartControl!$A$2:$E$564,2,FALSE)),0)</f>
        <v>106.94</v>
      </c>
      <c r="Z1310" s="108">
        <f>IF(OtherClients[[#This Row],[Re-certified or New]]&lt;&gt;"Re-certified",IF(OtherClients[[#This Row],[Client]]="infasco",VLOOKUP(OtherClients[[#This Row],[Part]],PartControl!$A$2:$E$564,2,FALSE),OtherClients[[#This Row],[Total Quantity]]*VLOOKUP(OtherClients[[#This Row],[Part]],PartControl!$A$2:$E$564,2,FALSE)),0)</f>
        <v>106.94</v>
      </c>
    </row>
    <row r="1311" spans="1:26" ht="25.15" hidden="1" customHeight="1" x14ac:dyDescent="0.25">
      <c r="A1311" s="112">
        <v>46254.679212962961</v>
      </c>
      <c r="B1311" s="5" t="s">
        <v>242</v>
      </c>
      <c r="C1311" s="5" t="s">
        <v>705</v>
      </c>
      <c r="D1311" s="5">
        <v>714180</v>
      </c>
      <c r="E1311" s="33">
        <f>36-15</f>
        <v>21</v>
      </c>
      <c r="F1311" s="60">
        <v>450</v>
      </c>
      <c r="G1311" s="60">
        <f>+OtherClients[[#This Row],[Boxes / Pieces]]*OtherClients[[#This Row],[Unit Quantity]]</f>
        <v>9450</v>
      </c>
      <c r="H1311" s="60">
        <v>275</v>
      </c>
      <c r="I1311" s="126" t="s">
        <v>278</v>
      </c>
      <c r="J1311" s="127"/>
      <c r="K1311" s="33" t="s">
        <v>278</v>
      </c>
      <c r="L1311" s="125"/>
      <c r="M1311" s="33" t="s">
        <v>278</v>
      </c>
      <c r="N1311" s="125"/>
      <c r="O1311" s="33" t="s">
        <v>278</v>
      </c>
      <c r="P1311" s="125"/>
      <c r="Q1311" s="33" t="s">
        <v>587</v>
      </c>
      <c r="R1311" s="125"/>
      <c r="S1311" s="33" t="s">
        <v>278</v>
      </c>
      <c r="T1311" s="125"/>
      <c r="U1311" s="33" t="s">
        <v>278</v>
      </c>
      <c r="V1311" s="125"/>
      <c r="W1311" s="59" t="s">
        <v>548</v>
      </c>
      <c r="X1311" s="33" t="str">
        <f>+VLOOKUP(OtherClients[[#This Row],[Part]],PartControl!$A$2:$E$564,5,FALSE)</f>
        <v>infasco</v>
      </c>
      <c r="Y1311" s="108">
        <f>IF(OtherClients[[#This Row],[Re-certified or New]]&lt;&gt;"Re-certified",IF(OtherClients[[#This Row],[Client]]="infasco",VLOOKUP(OtherClients[[#This Row],[Part]],PartControl!$A$2:$E$564,2,FALSE),OtherClients[[#This Row],[Total Quantity]]*VLOOKUP(OtherClients[[#This Row],[Part]],PartControl!$A$2:$E$564,2,FALSE)),0)</f>
        <v>106.94</v>
      </c>
      <c r="Z1311" s="108">
        <f>IF(OtherClients[[#This Row],[Re-certified or New]]&lt;&gt;"Re-certified",IF(OtherClients[[#This Row],[Client]]="infasco",VLOOKUP(OtherClients[[#This Row],[Part]],PartControl!$A$2:$E$564,2,FALSE),OtherClients[[#This Row],[Total Quantity]]*VLOOKUP(OtherClients[[#This Row],[Part]],PartControl!$A$2:$E$564,2,FALSE)),0)</f>
        <v>106.94</v>
      </c>
    </row>
    <row r="1312" spans="1:26" ht="25.15" hidden="1" customHeight="1" x14ac:dyDescent="0.25">
      <c r="A1312" s="112">
        <v>46254.679212962961</v>
      </c>
      <c r="B1312" s="5" t="s">
        <v>238</v>
      </c>
      <c r="C1312" s="5" t="s">
        <v>705</v>
      </c>
      <c r="D1312" s="5">
        <v>714181</v>
      </c>
      <c r="E1312" s="33">
        <v>36</v>
      </c>
      <c r="F1312" s="60">
        <v>450</v>
      </c>
      <c r="G1312" s="60">
        <f>+OtherClients[[#This Row],[Boxes / Pieces]]*OtherClients[[#This Row],[Unit Quantity]]</f>
        <v>16200</v>
      </c>
      <c r="H1312" s="60">
        <v>275</v>
      </c>
      <c r="I1312" s="126" t="s">
        <v>278</v>
      </c>
      <c r="J1312" s="127"/>
      <c r="K1312" s="33" t="s">
        <v>278</v>
      </c>
      <c r="L1312" s="125"/>
      <c r="M1312" s="33" t="s">
        <v>278</v>
      </c>
      <c r="N1312" s="125"/>
      <c r="O1312" s="33" t="s">
        <v>278</v>
      </c>
      <c r="P1312" s="125"/>
      <c r="Q1312" s="33" t="s">
        <v>587</v>
      </c>
      <c r="R1312" s="125"/>
      <c r="S1312" s="33" t="s">
        <v>278</v>
      </c>
      <c r="T1312" s="125"/>
      <c r="U1312" s="33" t="s">
        <v>278</v>
      </c>
      <c r="V1312" s="125"/>
      <c r="W1312" s="59" t="s">
        <v>548</v>
      </c>
      <c r="X1312" s="33" t="str">
        <f>+VLOOKUP(OtherClients[[#This Row],[Part]],PartControl!$A$2:$E$564,5,FALSE)</f>
        <v>infasco</v>
      </c>
      <c r="Y1312" s="108">
        <f>IF(OtherClients[[#This Row],[Re-certified or New]]&lt;&gt;"Re-certified",IF(OtherClients[[#This Row],[Client]]="infasco",VLOOKUP(OtherClients[[#This Row],[Part]],PartControl!$A$2:$E$564,2,FALSE),OtherClients[[#This Row],[Total Quantity]]*VLOOKUP(OtherClients[[#This Row],[Part]],PartControl!$A$2:$E$564,2,FALSE)),0)</f>
        <v>106.94</v>
      </c>
      <c r="Z1312" s="108">
        <f>IF(OtherClients[[#This Row],[Re-certified or New]]&lt;&gt;"Re-certified",IF(OtherClients[[#This Row],[Client]]="infasco",VLOOKUP(OtherClients[[#This Row],[Part]],PartControl!$A$2:$E$564,2,FALSE),OtherClients[[#This Row],[Total Quantity]]*VLOOKUP(OtherClients[[#This Row],[Part]],PartControl!$A$2:$E$564,2,FALSE)),0)</f>
        <v>106.94</v>
      </c>
    </row>
    <row r="1313" spans="1:26" ht="25.15" hidden="1" customHeight="1" x14ac:dyDescent="0.25">
      <c r="A1313" s="112">
        <v>46254.679212962961</v>
      </c>
      <c r="B1313" s="5" t="s">
        <v>624</v>
      </c>
      <c r="C1313" s="5" t="s">
        <v>792</v>
      </c>
      <c r="D1313" s="5">
        <v>714275</v>
      </c>
      <c r="E1313" s="33">
        <f>21+10</f>
        <v>31</v>
      </c>
      <c r="F1313" s="60">
        <v>450</v>
      </c>
      <c r="G1313" s="60">
        <f>+OtherClients[[#This Row],[Boxes / Pieces]]*OtherClients[[#This Row],[Unit Quantity]]</f>
        <v>13950</v>
      </c>
      <c r="H1313" s="60">
        <v>292</v>
      </c>
      <c r="I1313" s="126" t="s">
        <v>278</v>
      </c>
      <c r="J1313" s="127"/>
      <c r="K1313" s="33" t="s">
        <v>278</v>
      </c>
      <c r="L1313" s="125"/>
      <c r="M1313" s="33" t="s">
        <v>278</v>
      </c>
      <c r="N1313" s="125"/>
      <c r="O1313" s="33" t="s">
        <v>278</v>
      </c>
      <c r="P1313" s="125"/>
      <c r="Q1313" s="33" t="s">
        <v>587</v>
      </c>
      <c r="R1313" s="125"/>
      <c r="S1313" s="33" t="s">
        <v>278</v>
      </c>
      <c r="T1313" s="125"/>
      <c r="U1313" s="33" t="s">
        <v>278</v>
      </c>
      <c r="V1313" s="125"/>
      <c r="W1313" s="59" t="s">
        <v>548</v>
      </c>
      <c r="X1313" s="33" t="str">
        <f>+VLOOKUP(OtherClients[[#This Row],[Part]],PartControl!$A$2:$E$564,5,FALSE)</f>
        <v>infasco</v>
      </c>
      <c r="Y1313" s="108">
        <f>IF(OtherClients[[#This Row],[Re-certified or New]]&lt;&gt;"Re-certified",IF(OtherClients[[#This Row],[Client]]="infasco",VLOOKUP(OtherClients[[#This Row],[Part]],PartControl!$A$2:$E$564,2,FALSE),OtherClients[[#This Row],[Total Quantity]]*VLOOKUP(OtherClients[[#This Row],[Part]],PartControl!$A$2:$E$564,2,FALSE)),0)</f>
        <v>106.94</v>
      </c>
      <c r="Z1313" s="108">
        <f>IF(OtherClients[[#This Row],[Re-certified or New]]&lt;&gt;"Re-certified",IF(OtherClients[[#This Row],[Client]]="infasco",VLOOKUP(OtherClients[[#This Row],[Part]],PartControl!$A$2:$E$564,2,FALSE),OtherClients[[#This Row],[Total Quantity]]*VLOOKUP(OtherClients[[#This Row],[Part]],PartControl!$A$2:$E$564,2,FALSE)),0)</f>
        <v>106.94</v>
      </c>
    </row>
    <row r="1314" spans="1:26" ht="25.15" hidden="1" customHeight="1" x14ac:dyDescent="0.25">
      <c r="A1314" s="112">
        <v>46254.679212962961</v>
      </c>
      <c r="B1314" s="5" t="s">
        <v>624</v>
      </c>
      <c r="C1314" s="5" t="s">
        <v>792</v>
      </c>
      <c r="D1314" s="5">
        <v>714276</v>
      </c>
      <c r="E1314" s="33">
        <v>10</v>
      </c>
      <c r="F1314" s="60">
        <v>450</v>
      </c>
      <c r="G1314" s="60">
        <f>+OtherClients[[#This Row],[Boxes / Pieces]]*OtherClients[[#This Row],[Unit Quantity]]</f>
        <v>4500</v>
      </c>
      <c r="H1314" s="60">
        <v>292</v>
      </c>
      <c r="I1314" s="126" t="s">
        <v>278</v>
      </c>
      <c r="J1314" s="127"/>
      <c r="K1314" s="33" t="s">
        <v>278</v>
      </c>
      <c r="L1314" s="125"/>
      <c r="M1314" s="33" t="s">
        <v>278</v>
      </c>
      <c r="N1314" s="125"/>
      <c r="O1314" s="33" t="s">
        <v>278</v>
      </c>
      <c r="P1314" s="125"/>
      <c r="Q1314" s="33" t="s">
        <v>587</v>
      </c>
      <c r="R1314" s="125"/>
      <c r="S1314" s="33" t="s">
        <v>278</v>
      </c>
      <c r="T1314" s="125"/>
      <c r="U1314" s="33" t="s">
        <v>278</v>
      </c>
      <c r="V1314" s="125"/>
      <c r="W1314" s="59" t="s">
        <v>633</v>
      </c>
      <c r="X1314" s="33" t="str">
        <f>+VLOOKUP(OtherClients[[#This Row],[Part]],PartControl!$A$2:$E$564,5,FALSE)</f>
        <v>infasco</v>
      </c>
      <c r="Y1314" s="108">
        <f>IF(OtherClients[[#This Row],[Re-certified or New]]&lt;&gt;"Re-certified",IF(OtherClients[[#This Row],[Client]]="infasco",VLOOKUP(OtherClients[[#This Row],[Part]],PartControl!$A$2:$E$564,2,FALSE),OtherClients[[#This Row],[Total Quantity]]*VLOOKUP(OtherClients[[#This Row],[Part]],PartControl!$A$2:$E$564,2,FALSE)),0)</f>
        <v>0</v>
      </c>
      <c r="Z1314" s="108">
        <f>IF(OtherClients[[#This Row],[Re-certified or New]]&lt;&gt;"Re-certified",IF(OtherClients[[#This Row],[Client]]="infasco",VLOOKUP(OtherClients[[#This Row],[Part]],PartControl!$A$2:$E$564,2,FALSE),OtherClients[[#This Row],[Total Quantity]]*VLOOKUP(OtherClients[[#This Row],[Part]],PartControl!$A$2:$E$564,2,FALSE)),0)</f>
        <v>0</v>
      </c>
    </row>
    <row r="1315" spans="1:26" ht="25.15" hidden="1" customHeight="1" x14ac:dyDescent="0.25">
      <c r="A1315" s="112">
        <v>46255.694016203706</v>
      </c>
      <c r="B1315" s="5" t="s">
        <v>624</v>
      </c>
      <c r="C1315" s="5" t="s">
        <v>792</v>
      </c>
      <c r="D1315" s="5">
        <v>714276</v>
      </c>
      <c r="E1315" s="33">
        <f>29-10</f>
        <v>19</v>
      </c>
      <c r="F1315" s="60">
        <v>450</v>
      </c>
      <c r="G1315" s="60">
        <f>+OtherClients[[#This Row],[Boxes / Pieces]]*OtherClients[[#This Row],[Unit Quantity]]</f>
        <v>8550</v>
      </c>
      <c r="H1315" s="60">
        <v>292</v>
      </c>
      <c r="I1315" s="126" t="s">
        <v>278</v>
      </c>
      <c r="J1315" s="127"/>
      <c r="K1315" s="33" t="s">
        <v>278</v>
      </c>
      <c r="L1315" s="125"/>
      <c r="M1315" s="33" t="s">
        <v>278</v>
      </c>
      <c r="N1315" s="125"/>
      <c r="O1315" s="33" t="s">
        <v>278</v>
      </c>
      <c r="P1315" s="125"/>
      <c r="Q1315" s="33" t="s">
        <v>587</v>
      </c>
      <c r="R1315" s="125"/>
      <c r="S1315" s="33" t="s">
        <v>278</v>
      </c>
      <c r="T1315" s="125"/>
      <c r="U1315" s="33" t="s">
        <v>278</v>
      </c>
      <c r="V1315" s="125"/>
      <c r="W1315" s="59" t="s">
        <v>548</v>
      </c>
      <c r="X1315" s="33" t="str">
        <f>+VLOOKUP(OtherClients[[#This Row],[Part]],PartControl!$A$2:$E$564,5,FALSE)</f>
        <v>infasco</v>
      </c>
      <c r="Y1315" s="108">
        <f>IF(OtherClients[[#This Row],[Re-certified or New]]&lt;&gt;"Re-certified",IF(OtherClients[[#This Row],[Client]]="infasco",VLOOKUP(OtherClients[[#This Row],[Part]],PartControl!$A$2:$E$564,2,FALSE),OtherClients[[#This Row],[Total Quantity]]*VLOOKUP(OtherClients[[#This Row],[Part]],PartControl!$A$2:$E$564,2,FALSE)),0)</f>
        <v>106.94</v>
      </c>
      <c r="Z1315" s="108">
        <f>IF(OtherClients[[#This Row],[Re-certified or New]]&lt;&gt;"Re-certified",IF(OtherClients[[#This Row],[Client]]="infasco",VLOOKUP(OtherClients[[#This Row],[Part]],PartControl!$A$2:$E$564,2,FALSE),OtherClients[[#This Row],[Total Quantity]]*VLOOKUP(OtherClients[[#This Row],[Part]],PartControl!$A$2:$E$564,2,FALSE)),0)</f>
        <v>106.94</v>
      </c>
    </row>
    <row r="1316" spans="1:26" ht="25.15" hidden="1" customHeight="1" x14ac:dyDescent="0.25">
      <c r="A1316" s="112">
        <v>46254.679212962961</v>
      </c>
      <c r="B1316" s="5" t="s">
        <v>344</v>
      </c>
      <c r="C1316" s="5">
        <v>11546703</v>
      </c>
      <c r="D1316" s="5">
        <v>714420</v>
      </c>
      <c r="E1316" s="33">
        <v>11</v>
      </c>
      <c r="F1316" s="60">
        <v>4000</v>
      </c>
      <c r="G1316" s="60">
        <f>+OtherClients[[#This Row],[Boxes / Pieces]]*OtherClients[[#This Row],[Unit Quantity]]</f>
        <v>44000</v>
      </c>
      <c r="H1316" s="60" t="s">
        <v>816</v>
      </c>
      <c r="I1316" s="126" t="s">
        <v>278</v>
      </c>
      <c r="J1316" s="127"/>
      <c r="K1316" s="33" t="s">
        <v>278</v>
      </c>
      <c r="L1316" s="125"/>
      <c r="M1316" s="33" t="s">
        <v>278</v>
      </c>
      <c r="N1316" s="125"/>
      <c r="O1316" s="33" t="s">
        <v>278</v>
      </c>
      <c r="P1316" s="125"/>
      <c r="Q1316" s="33" t="s">
        <v>587</v>
      </c>
      <c r="R1316" s="125"/>
      <c r="S1316" s="33" t="s">
        <v>278</v>
      </c>
      <c r="T1316" s="125"/>
      <c r="U1316" s="33" t="s">
        <v>278</v>
      </c>
      <c r="V1316" s="125"/>
      <c r="W1316" s="59" t="s">
        <v>633</v>
      </c>
      <c r="X1316" s="33" t="str">
        <f>+VLOOKUP(OtherClients[[#This Row],[Part]],PartControl!$A$2:$E$564,5,FALSE)</f>
        <v>infasco</v>
      </c>
      <c r="Y1316" s="108">
        <f>IF(OtherClients[[#This Row],[Re-certified or New]]&lt;&gt;"Re-certified",IF(OtherClients[[#This Row],[Client]]="infasco",VLOOKUP(OtherClients[[#This Row],[Part]],PartControl!$A$2:$E$564,2,FALSE),OtherClients[[#This Row],[Total Quantity]]*VLOOKUP(OtherClients[[#This Row],[Part]],PartControl!$A$2:$E$564,2,FALSE)),0)</f>
        <v>0</v>
      </c>
      <c r="Z1316" s="108">
        <f>IF(OtherClients[[#This Row],[Re-certified or New]]&lt;&gt;"Re-certified",IF(OtherClients[[#This Row],[Client]]="infasco",VLOOKUP(OtherClients[[#This Row],[Part]],PartControl!$A$2:$E$564,2,FALSE),OtherClients[[#This Row],[Total Quantity]]*VLOOKUP(OtherClients[[#This Row],[Part]],PartControl!$A$2:$E$564,2,FALSE)),0)</f>
        <v>0</v>
      </c>
    </row>
    <row r="1317" spans="1:26" ht="25.15" hidden="1" customHeight="1" x14ac:dyDescent="0.25">
      <c r="A1317" s="112">
        <v>46255.694016203706</v>
      </c>
      <c r="B1317" s="5" t="s">
        <v>344</v>
      </c>
      <c r="C1317" s="5">
        <v>11546703</v>
      </c>
      <c r="D1317" s="5">
        <v>714420</v>
      </c>
      <c r="E1317" s="33">
        <f>34-11</f>
        <v>23</v>
      </c>
      <c r="F1317" s="60">
        <v>4000</v>
      </c>
      <c r="G1317" s="60">
        <f>+OtherClients[[#This Row],[Boxes / Pieces]]*OtherClients[[#This Row],[Unit Quantity]]</f>
        <v>92000</v>
      </c>
      <c r="H1317" s="60" t="s">
        <v>816</v>
      </c>
      <c r="I1317" s="126" t="s">
        <v>278</v>
      </c>
      <c r="J1317" s="127"/>
      <c r="K1317" s="33" t="s">
        <v>278</v>
      </c>
      <c r="L1317" s="125"/>
      <c r="M1317" s="33" t="s">
        <v>278</v>
      </c>
      <c r="N1317" s="125"/>
      <c r="O1317" s="33" t="s">
        <v>278</v>
      </c>
      <c r="P1317" s="125"/>
      <c r="Q1317" s="33" t="s">
        <v>587</v>
      </c>
      <c r="R1317" s="125"/>
      <c r="S1317" s="33" t="s">
        <v>278</v>
      </c>
      <c r="T1317" s="125"/>
      <c r="U1317" s="33" t="s">
        <v>278</v>
      </c>
      <c r="V1317" s="125"/>
      <c r="W1317" s="59" t="s">
        <v>548</v>
      </c>
      <c r="X1317" s="33" t="str">
        <f>+VLOOKUP(OtherClients[[#This Row],[Part]],PartControl!$A$2:$E$564,5,FALSE)</f>
        <v>infasco</v>
      </c>
      <c r="Y1317" s="108">
        <f>IF(OtherClients[[#This Row],[Re-certified or New]]&lt;&gt;"Re-certified",IF(OtherClients[[#This Row],[Client]]="infasco",VLOOKUP(OtherClients[[#This Row],[Part]],PartControl!$A$2:$E$564,2,FALSE),OtherClients[[#This Row],[Total Quantity]]*VLOOKUP(OtherClients[[#This Row],[Part]],PartControl!$A$2:$E$564,2,FALSE)),0)</f>
        <v>135.07999999999998</v>
      </c>
      <c r="Z1317" s="108">
        <f>IF(OtherClients[[#This Row],[Re-certified or New]]&lt;&gt;"Re-certified",IF(OtherClients[[#This Row],[Client]]="infasco",VLOOKUP(OtherClients[[#This Row],[Part]],PartControl!$A$2:$E$564,2,FALSE),OtherClients[[#This Row],[Total Quantity]]*VLOOKUP(OtherClients[[#This Row],[Part]],PartControl!$A$2:$E$564,2,FALSE)),0)</f>
        <v>135.07999999999998</v>
      </c>
    </row>
    <row r="1318" spans="1:26" ht="25.15" hidden="1" customHeight="1" x14ac:dyDescent="0.25">
      <c r="A1318" s="112">
        <v>46254.679212962961</v>
      </c>
      <c r="B1318" s="5" t="s">
        <v>345</v>
      </c>
      <c r="C1318" s="5">
        <v>11546703</v>
      </c>
      <c r="D1318" s="5">
        <v>714422</v>
      </c>
      <c r="E1318" s="33">
        <v>29</v>
      </c>
      <c r="F1318" s="60">
        <v>4000</v>
      </c>
      <c r="G1318" s="60">
        <f>+OtherClients[[#This Row],[Boxes / Pieces]]*OtherClients[[#This Row],[Unit Quantity]]</f>
        <v>116000</v>
      </c>
      <c r="H1318" s="60" t="s">
        <v>849</v>
      </c>
      <c r="I1318" s="126" t="s">
        <v>278</v>
      </c>
      <c r="J1318" s="127"/>
      <c r="K1318" s="33" t="s">
        <v>278</v>
      </c>
      <c r="L1318" s="125"/>
      <c r="M1318" s="33" t="s">
        <v>278</v>
      </c>
      <c r="N1318" s="125"/>
      <c r="O1318" s="33" t="s">
        <v>278</v>
      </c>
      <c r="P1318" s="125"/>
      <c r="Q1318" s="33" t="s">
        <v>587</v>
      </c>
      <c r="R1318" s="125"/>
      <c r="S1318" s="33" t="s">
        <v>278</v>
      </c>
      <c r="T1318" s="125"/>
      <c r="U1318" s="33" t="s">
        <v>278</v>
      </c>
      <c r="V1318" s="125"/>
      <c r="W1318" s="59" t="s">
        <v>548</v>
      </c>
      <c r="X1318" s="33" t="str">
        <f>+VLOOKUP(OtherClients[[#This Row],[Part]],PartControl!$A$2:$E$564,5,FALSE)</f>
        <v>infasco</v>
      </c>
      <c r="Y1318" s="108">
        <f>IF(OtherClients[[#This Row],[Re-certified or New]]&lt;&gt;"Re-certified",IF(OtherClients[[#This Row],[Client]]="infasco",VLOOKUP(OtherClients[[#This Row],[Part]],PartControl!$A$2:$E$564,2,FALSE),OtherClients[[#This Row],[Total Quantity]]*VLOOKUP(OtherClients[[#This Row],[Part]],PartControl!$A$2:$E$564,2,FALSE)),0)</f>
        <v>135.07999999999998</v>
      </c>
      <c r="Z1318" s="108">
        <f>IF(OtherClients[[#This Row],[Re-certified or New]]&lt;&gt;"Re-certified",IF(OtherClients[[#This Row],[Client]]="infasco",VLOOKUP(OtherClients[[#This Row],[Part]],PartControl!$A$2:$E$564,2,FALSE),OtherClients[[#This Row],[Total Quantity]]*VLOOKUP(OtherClients[[#This Row],[Part]],PartControl!$A$2:$E$564,2,FALSE)),0)</f>
        <v>135.07999999999998</v>
      </c>
    </row>
    <row r="1319" spans="1:26" ht="25.15" hidden="1" customHeight="1" x14ac:dyDescent="0.25">
      <c r="A1319" s="112">
        <v>46256</v>
      </c>
      <c r="B1319" s="5" t="s">
        <v>236</v>
      </c>
      <c r="C1319" s="5">
        <v>11546449</v>
      </c>
      <c r="D1319" s="5">
        <v>716872</v>
      </c>
      <c r="E1319" s="33">
        <v>1</v>
      </c>
      <c r="F1319" s="60">
        <v>2500</v>
      </c>
      <c r="G1319" s="60">
        <f>+OtherClients[[#This Row],[Boxes / Pieces]]*OtherClients[[#This Row],[Unit Quantity]]</f>
        <v>2500</v>
      </c>
      <c r="H1319" s="60">
        <v>290</v>
      </c>
      <c r="I1319" s="126" t="s">
        <v>278</v>
      </c>
      <c r="J1319" s="127"/>
      <c r="K1319" s="33" t="s">
        <v>278</v>
      </c>
      <c r="L1319" s="125"/>
      <c r="M1319" s="33" t="s">
        <v>278</v>
      </c>
      <c r="N1319" s="125"/>
      <c r="O1319" s="33" t="s">
        <v>278</v>
      </c>
      <c r="P1319" s="125"/>
      <c r="Q1319" s="33" t="s">
        <v>587</v>
      </c>
      <c r="R1319" s="125"/>
      <c r="S1319" s="33" t="s">
        <v>278</v>
      </c>
      <c r="T1319" s="125"/>
      <c r="U1319" s="33" t="s">
        <v>278</v>
      </c>
      <c r="V1319" s="125"/>
      <c r="W1319" s="59" t="s">
        <v>548</v>
      </c>
      <c r="X1319" s="33" t="str">
        <f>+VLOOKUP(OtherClients[[#This Row],[Part]],PartControl!$A$2:$E$564,5,FALSE)</f>
        <v>INFASCO</v>
      </c>
      <c r="Y1319" s="108">
        <f>IF(OtherClients[[#This Row],[Re-certified or New]]&lt;&gt;"Re-certified",IF(OtherClients[[#This Row],[Client]]="infasco",VLOOKUP(OtherClients[[#This Row],[Part]],PartControl!$A$2:$E$564,2,FALSE),OtherClients[[#This Row],[Total Quantity]]*VLOOKUP(OtherClients[[#This Row],[Part]],PartControl!$A$2:$E$564,2,FALSE)),0)</f>
        <v>106.94</v>
      </c>
      <c r="Z1319" s="108">
        <f>IF(OtherClients[[#This Row],[Re-certified or New]]&lt;&gt;"Re-certified",IF(OtherClients[[#This Row],[Client]]="infasco",VLOOKUP(OtherClients[[#This Row],[Part]],PartControl!$A$2:$E$564,2,FALSE),OtherClients[[#This Row],[Total Quantity]]*VLOOKUP(OtherClients[[#This Row],[Part]],PartControl!$A$2:$E$564,2,FALSE)),0)</f>
        <v>106.94</v>
      </c>
    </row>
    <row r="1320" spans="1:26" ht="25.15" hidden="1" customHeight="1" x14ac:dyDescent="0.25">
      <c r="A1320" s="112">
        <v>46254.679212962961</v>
      </c>
      <c r="B1320" s="5" t="s">
        <v>346</v>
      </c>
      <c r="C1320" s="5" t="s">
        <v>664</v>
      </c>
      <c r="D1320" s="5">
        <v>714527</v>
      </c>
      <c r="E1320" s="33">
        <v>3</v>
      </c>
      <c r="F1320" s="60">
        <v>1050</v>
      </c>
      <c r="G1320" s="60">
        <f>+OtherClients[[#This Row],[Boxes / Pieces]]*OtherClients[[#This Row],[Unit Quantity]]</f>
        <v>3150</v>
      </c>
      <c r="H1320" s="60" t="s">
        <v>871</v>
      </c>
      <c r="I1320" s="126" t="s">
        <v>278</v>
      </c>
      <c r="J1320" s="127"/>
      <c r="K1320" s="33" t="s">
        <v>278</v>
      </c>
      <c r="L1320" s="125"/>
      <c r="M1320" s="33" t="s">
        <v>278</v>
      </c>
      <c r="N1320" s="125"/>
      <c r="O1320" s="33" t="s">
        <v>278</v>
      </c>
      <c r="P1320" s="125"/>
      <c r="Q1320" s="33" t="s">
        <v>587</v>
      </c>
      <c r="R1320" s="125"/>
      <c r="S1320" s="33" t="s">
        <v>278</v>
      </c>
      <c r="T1320" s="125"/>
      <c r="U1320" s="33" t="s">
        <v>278</v>
      </c>
      <c r="V1320" s="125"/>
      <c r="W1320" s="59" t="s">
        <v>633</v>
      </c>
      <c r="X1320" s="33" t="str">
        <f>+VLOOKUP(OtherClients[[#This Row],[Part]],PartControl!$A$2:$E$564,5,FALSE)</f>
        <v>infasco</v>
      </c>
      <c r="Y1320" s="108">
        <f>IF(OtherClients[[#This Row],[Re-certified or New]]&lt;&gt;"Re-certified",IF(OtherClients[[#This Row],[Client]]="infasco",VLOOKUP(OtherClients[[#This Row],[Part]],PartControl!$A$2:$E$564,2,FALSE),OtherClients[[#This Row],[Total Quantity]]*VLOOKUP(OtherClients[[#This Row],[Part]],PartControl!$A$2:$E$564,2,FALSE)),0)</f>
        <v>0</v>
      </c>
      <c r="Z1320" s="108">
        <f>IF(OtherClients[[#This Row],[Re-certified or New]]&lt;&gt;"Re-certified",IF(OtherClients[[#This Row],[Client]]="infasco",VLOOKUP(OtherClients[[#This Row],[Part]],PartControl!$A$2:$E$564,2,FALSE),OtherClients[[#This Row],[Total Quantity]]*VLOOKUP(OtherClients[[#This Row],[Part]],PartControl!$A$2:$E$564,2,FALSE)),0)</f>
        <v>0</v>
      </c>
    </row>
    <row r="1321" spans="1:26" ht="25.15" hidden="1" customHeight="1" x14ac:dyDescent="0.25">
      <c r="A1321" s="112">
        <v>46255.694016203706</v>
      </c>
      <c r="B1321" s="5" t="s">
        <v>346</v>
      </c>
      <c r="C1321" s="5" t="s">
        <v>664</v>
      </c>
      <c r="D1321" s="5">
        <v>714527</v>
      </c>
      <c r="E1321" s="33">
        <v>13</v>
      </c>
      <c r="F1321" s="60">
        <v>1050</v>
      </c>
      <c r="G1321" s="60">
        <f>+OtherClients[[#This Row],[Boxes / Pieces]]*OtherClients[[#This Row],[Unit Quantity]]</f>
        <v>13650</v>
      </c>
      <c r="H1321" s="60" t="s">
        <v>871</v>
      </c>
      <c r="I1321" s="126" t="s">
        <v>278</v>
      </c>
      <c r="J1321" s="127"/>
      <c r="K1321" s="33" t="s">
        <v>278</v>
      </c>
      <c r="L1321" s="125"/>
      <c r="M1321" s="33" t="s">
        <v>278</v>
      </c>
      <c r="N1321" s="125"/>
      <c r="O1321" s="33" t="s">
        <v>278</v>
      </c>
      <c r="P1321" s="125"/>
      <c r="Q1321" s="33" t="s">
        <v>587</v>
      </c>
      <c r="R1321" s="125"/>
      <c r="S1321" s="33" t="s">
        <v>278</v>
      </c>
      <c r="T1321" s="125"/>
      <c r="U1321" s="33" t="s">
        <v>278</v>
      </c>
      <c r="V1321" s="125"/>
      <c r="W1321" s="59" t="s">
        <v>633</v>
      </c>
      <c r="X1321" s="33" t="str">
        <f>+VLOOKUP(OtherClients[[#This Row],[Part]],PartControl!$A$2:$E$564,5,FALSE)</f>
        <v>infasco</v>
      </c>
      <c r="Y1321" s="108">
        <f>IF(OtherClients[[#This Row],[Re-certified or New]]&lt;&gt;"Re-certified",IF(OtherClients[[#This Row],[Client]]="infasco",VLOOKUP(OtherClients[[#This Row],[Part]],PartControl!$A$2:$E$564,2,FALSE),OtherClients[[#This Row],[Total Quantity]]*VLOOKUP(OtherClients[[#This Row],[Part]],PartControl!$A$2:$E$564,2,FALSE)),0)</f>
        <v>0</v>
      </c>
      <c r="Z1321" s="108">
        <f>IF(OtherClients[[#This Row],[Re-certified or New]]&lt;&gt;"Re-certified",IF(OtherClients[[#This Row],[Client]]="infasco",VLOOKUP(OtherClients[[#This Row],[Part]],PartControl!$A$2:$E$564,2,FALSE),OtherClients[[#This Row],[Total Quantity]]*VLOOKUP(OtherClients[[#This Row],[Part]],PartControl!$A$2:$E$564,2,FALSE)),0)</f>
        <v>0</v>
      </c>
    </row>
    <row r="1322" spans="1:26" ht="25.15" hidden="1" customHeight="1" x14ac:dyDescent="0.25">
      <c r="A1322" s="112">
        <v>46256</v>
      </c>
      <c r="B1322" s="5" t="s">
        <v>237</v>
      </c>
      <c r="C1322" s="5" t="s">
        <v>705</v>
      </c>
      <c r="D1322" s="5">
        <v>713963</v>
      </c>
      <c r="E1322" s="33">
        <f>36-22</f>
        <v>14</v>
      </c>
      <c r="F1322" s="60">
        <v>1250</v>
      </c>
      <c r="G1322" s="60">
        <f>+OtherClients[[#This Row],[Boxes / Pieces]]*OtherClients[[#This Row],[Unit Quantity]]</f>
        <v>17500</v>
      </c>
      <c r="H1322" s="60">
        <v>290</v>
      </c>
      <c r="I1322" s="126" t="s">
        <v>278</v>
      </c>
      <c r="J1322" s="127"/>
      <c r="K1322" s="33" t="s">
        <v>278</v>
      </c>
      <c r="L1322" s="125"/>
      <c r="M1322" s="33" t="s">
        <v>278</v>
      </c>
      <c r="N1322" s="125"/>
      <c r="O1322" s="33" t="s">
        <v>278</v>
      </c>
      <c r="P1322" s="125"/>
      <c r="Q1322" s="33" t="s">
        <v>587</v>
      </c>
      <c r="R1322" s="125"/>
      <c r="S1322" s="33" t="s">
        <v>278</v>
      </c>
      <c r="T1322" s="125"/>
      <c r="U1322" s="33" t="s">
        <v>278</v>
      </c>
      <c r="V1322" s="125"/>
      <c r="W1322" s="59" t="s">
        <v>548</v>
      </c>
      <c r="X1322" s="33" t="str">
        <f>+VLOOKUP(OtherClients[[#This Row],[Part]],PartControl!$A$2:$E$564,5,FALSE)</f>
        <v>infasco</v>
      </c>
      <c r="Y1322" s="108">
        <f>IF(OtherClients[[#This Row],[Re-certified or New]]&lt;&gt;"Re-certified",IF(OtherClients[[#This Row],[Client]]="infasco",VLOOKUP(OtherClients[[#This Row],[Part]],PartControl!$A$2:$E$564,2,FALSE),OtherClients[[#This Row],[Total Quantity]]*VLOOKUP(OtherClients[[#This Row],[Part]],PartControl!$A$2:$E$564,2,FALSE)),0)</f>
        <v>106.94</v>
      </c>
      <c r="Z1322" s="108">
        <f>IF(OtherClients[[#This Row],[Re-certified or New]]&lt;&gt;"Re-certified",IF(OtherClients[[#This Row],[Client]]="infasco",VLOOKUP(OtherClients[[#This Row],[Part]],PartControl!$A$2:$E$564,2,FALSE),OtherClients[[#This Row],[Total Quantity]]*VLOOKUP(OtherClients[[#This Row],[Part]],PartControl!$A$2:$E$564,2,FALSE)),0)</f>
        <v>106.94</v>
      </c>
    </row>
    <row r="1323" spans="1:26" ht="25.15" hidden="1" customHeight="1" x14ac:dyDescent="0.25">
      <c r="A1323" s="112">
        <v>46255.694016203706</v>
      </c>
      <c r="B1323" s="5" t="s">
        <v>245</v>
      </c>
      <c r="C1323" s="5" t="s">
        <v>706</v>
      </c>
      <c r="D1323" s="5">
        <v>714537</v>
      </c>
      <c r="E1323" s="33">
        <v>18</v>
      </c>
      <c r="F1323" s="60">
        <v>1900</v>
      </c>
      <c r="G1323" s="60">
        <f>+OtherClients[[#This Row],[Boxes / Pieces]]*OtherClients[[#This Row],[Unit Quantity]]</f>
        <v>34200</v>
      </c>
      <c r="H1323" s="60">
        <v>292</v>
      </c>
      <c r="I1323" s="126" t="s">
        <v>278</v>
      </c>
      <c r="J1323" s="127"/>
      <c r="K1323" s="33" t="s">
        <v>278</v>
      </c>
      <c r="L1323" s="125"/>
      <c r="M1323" s="33" t="s">
        <v>278</v>
      </c>
      <c r="N1323" s="125"/>
      <c r="O1323" s="33" t="s">
        <v>278</v>
      </c>
      <c r="P1323" s="125"/>
      <c r="Q1323" s="33" t="s">
        <v>587</v>
      </c>
      <c r="R1323" s="125"/>
      <c r="S1323" s="33" t="s">
        <v>278</v>
      </c>
      <c r="T1323" s="125"/>
      <c r="U1323" s="33" t="s">
        <v>278</v>
      </c>
      <c r="V1323" s="125"/>
      <c r="W1323" s="59" t="s">
        <v>548</v>
      </c>
      <c r="X1323" s="33" t="str">
        <f>+VLOOKUP(OtherClients[[#This Row],[Part]],PartControl!$A$2:$E$564,5,FALSE)</f>
        <v>infasco</v>
      </c>
      <c r="Y1323" s="108">
        <f>IF(OtherClients[[#This Row],[Re-certified or New]]&lt;&gt;"Re-certified",IF(OtherClients[[#This Row],[Client]]="infasco",VLOOKUP(OtherClients[[#This Row],[Part]],PartControl!$A$2:$E$564,2,FALSE),OtherClients[[#This Row],[Total Quantity]]*VLOOKUP(OtherClients[[#This Row],[Part]],PartControl!$A$2:$E$564,2,FALSE)),0)</f>
        <v>106.94</v>
      </c>
      <c r="Z1323" s="108">
        <f>IF(OtherClients[[#This Row],[Re-certified or New]]&lt;&gt;"Re-certified",IF(OtherClients[[#This Row],[Client]]="infasco",VLOOKUP(OtherClients[[#This Row],[Part]],PartControl!$A$2:$E$564,2,FALSE),OtherClients[[#This Row],[Total Quantity]]*VLOOKUP(OtherClients[[#This Row],[Part]],PartControl!$A$2:$E$564,2,FALSE)),0)</f>
        <v>106.94</v>
      </c>
    </row>
    <row r="1324" spans="1:26" ht="25.15" hidden="1" customHeight="1" x14ac:dyDescent="0.25">
      <c r="A1324" s="112">
        <v>46254.679212962961</v>
      </c>
      <c r="B1324" s="5" t="s">
        <v>252</v>
      </c>
      <c r="C1324" s="5" t="s">
        <v>706</v>
      </c>
      <c r="D1324" s="5">
        <v>714538</v>
      </c>
      <c r="E1324" s="33">
        <v>14</v>
      </c>
      <c r="F1324" s="60">
        <v>1900</v>
      </c>
      <c r="G1324" s="60">
        <v>26600</v>
      </c>
      <c r="H1324" s="60">
        <v>275</v>
      </c>
      <c r="I1324" s="126" t="s">
        <v>278</v>
      </c>
      <c r="J1324" s="127"/>
      <c r="K1324" s="33" t="s">
        <v>278</v>
      </c>
      <c r="L1324" s="125"/>
      <c r="M1324" s="33" t="s">
        <v>278</v>
      </c>
      <c r="N1324" s="125"/>
      <c r="O1324" s="33" t="s">
        <v>278</v>
      </c>
      <c r="P1324" s="125"/>
      <c r="Q1324" s="33" t="s">
        <v>587</v>
      </c>
      <c r="R1324" s="125"/>
      <c r="S1324" s="33" t="s">
        <v>278</v>
      </c>
      <c r="T1324" s="125"/>
      <c r="U1324" s="33" t="s">
        <v>278</v>
      </c>
      <c r="V1324" s="125"/>
      <c r="W1324" s="128" t="s">
        <v>548</v>
      </c>
      <c r="X1324" s="33" t="str">
        <f>+VLOOKUP(OtherClients[[#This Row],[Part]],PartControl!$A$2:$E$564,5,FALSE)</f>
        <v>infasco</v>
      </c>
      <c r="Y1324" s="108">
        <f>IF(OtherClients[[#This Row],[Re-certified or New]]&lt;&gt;"Re-certified",IF(OtherClients[[#This Row],[Client]]="infasco",VLOOKUP(OtherClients[[#This Row],[Part]],PartControl!$A$2:$E$564,2,FALSE),OtherClients[[#This Row],[Total Quantity]]*VLOOKUP(OtherClients[[#This Row],[Part]],PartControl!$A$2:$E$564,2,FALSE)),0)</f>
        <v>106.94</v>
      </c>
      <c r="Z1324" s="108">
        <f>IF(OtherClients[[#This Row],[Re-certified or New]]&lt;&gt;"Re-certified",IF(OtherClients[[#This Row],[Client]]="infasco",VLOOKUP(OtherClients[[#This Row],[Part]],PartControl!$A$2:$E$564,2,FALSE),OtherClients[[#This Row],[Total Quantity]]*VLOOKUP(OtherClients[[#This Row],[Part]],PartControl!$A$2:$E$564,2,FALSE)),0)</f>
        <v>106.94</v>
      </c>
    </row>
    <row r="1325" spans="1:26" ht="25.15" hidden="1" customHeight="1" x14ac:dyDescent="0.25">
      <c r="A1325" s="112">
        <v>46254.679212962961</v>
      </c>
      <c r="B1325" s="5" t="s">
        <v>245</v>
      </c>
      <c r="C1325" s="5" t="s">
        <v>706</v>
      </c>
      <c r="D1325" s="5">
        <v>714541</v>
      </c>
      <c r="E1325" s="33">
        <f>36-10</f>
        <v>26</v>
      </c>
      <c r="F1325" s="60">
        <v>1900</v>
      </c>
      <c r="G1325" s="60">
        <f>+OtherClients[[#This Row],[Boxes / Pieces]]*OtherClients[[#This Row],[Unit Quantity]]</f>
        <v>49400</v>
      </c>
      <c r="H1325" s="60">
        <v>292</v>
      </c>
      <c r="I1325" s="126" t="s">
        <v>278</v>
      </c>
      <c r="J1325" s="127"/>
      <c r="K1325" s="33" t="s">
        <v>278</v>
      </c>
      <c r="L1325" s="125"/>
      <c r="M1325" s="33" t="s">
        <v>278</v>
      </c>
      <c r="N1325" s="125"/>
      <c r="O1325" s="33" t="s">
        <v>278</v>
      </c>
      <c r="P1325" s="125"/>
      <c r="Q1325" s="33" t="s">
        <v>587</v>
      </c>
      <c r="R1325" s="125"/>
      <c r="S1325" s="33" t="s">
        <v>278</v>
      </c>
      <c r="T1325" s="125"/>
      <c r="U1325" s="33" t="s">
        <v>278</v>
      </c>
      <c r="V1325" s="125"/>
      <c r="W1325" s="59" t="s">
        <v>548</v>
      </c>
      <c r="X1325" s="33" t="str">
        <f>+VLOOKUP(OtherClients[[#This Row],[Part]],PartControl!$A$2:$E$564,5,FALSE)</f>
        <v>infasco</v>
      </c>
      <c r="Y1325" s="108">
        <f>IF(OtherClients[[#This Row],[Re-certified or New]]&lt;&gt;"Re-certified",IF(OtherClients[[#This Row],[Client]]="infasco",VLOOKUP(OtherClients[[#This Row],[Part]],PartControl!$A$2:$E$564,2,FALSE),OtherClients[[#This Row],[Total Quantity]]*VLOOKUP(OtherClients[[#This Row],[Part]],PartControl!$A$2:$E$564,2,FALSE)),0)</f>
        <v>106.94</v>
      </c>
      <c r="Z1325" s="108">
        <f>IF(OtherClients[[#This Row],[Re-certified or New]]&lt;&gt;"Re-certified",IF(OtherClients[[#This Row],[Client]]="infasco",VLOOKUP(OtherClients[[#This Row],[Part]],PartControl!$A$2:$E$564,2,FALSE),OtherClients[[#This Row],[Total Quantity]]*VLOOKUP(OtherClients[[#This Row],[Part]],PartControl!$A$2:$E$564,2,FALSE)),0)</f>
        <v>106.94</v>
      </c>
    </row>
    <row r="1326" spans="1:26" ht="25.15" hidden="1" customHeight="1" x14ac:dyDescent="0.25">
      <c r="A1326" s="112">
        <v>46255.694016203706</v>
      </c>
      <c r="B1326" s="5" t="s">
        <v>342</v>
      </c>
      <c r="C1326" s="5" t="s">
        <v>643</v>
      </c>
      <c r="D1326" s="5">
        <v>714580</v>
      </c>
      <c r="E1326" s="33">
        <v>28</v>
      </c>
      <c r="F1326" s="60">
        <v>700</v>
      </c>
      <c r="G1326" s="60">
        <f>+OtherClients[[#This Row],[Boxes / Pieces]]*OtherClients[[#This Row],[Unit Quantity]]</f>
        <v>19600</v>
      </c>
      <c r="H1326" s="60" t="s">
        <v>811</v>
      </c>
      <c r="I1326" s="126" t="s">
        <v>278</v>
      </c>
      <c r="J1326" s="127"/>
      <c r="K1326" s="33" t="s">
        <v>278</v>
      </c>
      <c r="L1326" s="125"/>
      <c r="M1326" s="33" t="s">
        <v>278</v>
      </c>
      <c r="N1326" s="125"/>
      <c r="O1326" s="33" t="s">
        <v>278</v>
      </c>
      <c r="P1326" s="125"/>
      <c r="Q1326" s="33" t="s">
        <v>587</v>
      </c>
      <c r="R1326" s="125"/>
      <c r="S1326" s="33" t="s">
        <v>278</v>
      </c>
      <c r="T1326" s="125"/>
      <c r="U1326" s="33" t="s">
        <v>278</v>
      </c>
      <c r="V1326" s="125"/>
      <c r="W1326" s="59" t="s">
        <v>548</v>
      </c>
      <c r="X1326" s="33" t="str">
        <f>+VLOOKUP(OtherClients[[#This Row],[Part]],PartControl!$A$2:$E$564,5,FALSE)</f>
        <v>infasco</v>
      </c>
      <c r="Y1326" s="108">
        <f>IF(OtherClients[[#This Row],[Re-certified or New]]&lt;&gt;"Re-certified",IF(OtherClients[[#This Row],[Client]]="infasco",VLOOKUP(OtherClients[[#This Row],[Part]],PartControl!$A$2:$E$564,2,FALSE),OtherClients[[#This Row],[Total Quantity]]*VLOOKUP(OtherClients[[#This Row],[Part]],PartControl!$A$2:$E$564,2,FALSE)),0)</f>
        <v>135.07999999999998</v>
      </c>
      <c r="Z1326" s="108">
        <f>IF(OtherClients[[#This Row],[Re-certified or New]]&lt;&gt;"Re-certified",IF(OtherClients[[#This Row],[Client]]="infasco",VLOOKUP(OtherClients[[#This Row],[Part]],PartControl!$A$2:$E$564,2,FALSE),OtherClients[[#This Row],[Total Quantity]]*VLOOKUP(OtherClients[[#This Row],[Part]],PartControl!$A$2:$E$564,2,FALSE)),0)</f>
        <v>135.07999999999998</v>
      </c>
    </row>
    <row r="1327" spans="1:26" ht="25.15" hidden="1" customHeight="1" x14ac:dyDescent="0.25">
      <c r="A1327" s="112">
        <v>46255.694016203706</v>
      </c>
      <c r="B1327" s="5" t="s">
        <v>346</v>
      </c>
      <c r="C1327" s="5" t="s">
        <v>643</v>
      </c>
      <c r="D1327" s="5">
        <v>714581</v>
      </c>
      <c r="E1327" s="33">
        <v>30</v>
      </c>
      <c r="F1327" s="60">
        <v>700</v>
      </c>
      <c r="G1327" s="60">
        <f>+OtherClients[[#This Row],[Boxes / Pieces]]*OtherClients[[#This Row],[Unit Quantity]]</f>
        <v>21000</v>
      </c>
      <c r="H1327" s="60" t="s">
        <v>871</v>
      </c>
      <c r="I1327" s="126" t="s">
        <v>278</v>
      </c>
      <c r="J1327" s="127"/>
      <c r="K1327" s="33" t="s">
        <v>278</v>
      </c>
      <c r="L1327" s="125"/>
      <c r="M1327" s="33" t="s">
        <v>278</v>
      </c>
      <c r="N1327" s="125"/>
      <c r="O1327" s="33" t="s">
        <v>278</v>
      </c>
      <c r="P1327" s="125"/>
      <c r="Q1327" s="33" t="s">
        <v>587</v>
      </c>
      <c r="R1327" s="125"/>
      <c r="S1327" s="33" t="s">
        <v>278</v>
      </c>
      <c r="T1327" s="125"/>
      <c r="U1327" s="33" t="s">
        <v>278</v>
      </c>
      <c r="V1327" s="125"/>
      <c r="W1327" s="59" t="s">
        <v>548</v>
      </c>
      <c r="X1327" s="33" t="str">
        <f>+VLOOKUP(OtherClients[[#This Row],[Part]],PartControl!$A$2:$E$564,5,FALSE)</f>
        <v>infasco</v>
      </c>
      <c r="Y1327" s="108">
        <f>IF(OtherClients[[#This Row],[Re-certified or New]]&lt;&gt;"Re-certified",IF(OtherClients[[#This Row],[Client]]="infasco",VLOOKUP(OtherClients[[#This Row],[Part]],PartControl!$A$2:$E$564,2,FALSE),OtherClients[[#This Row],[Total Quantity]]*VLOOKUP(OtherClients[[#This Row],[Part]],PartControl!$A$2:$E$564,2,FALSE)),0)</f>
        <v>135.07999999999998</v>
      </c>
      <c r="Z1327" s="108">
        <f>IF(OtherClients[[#This Row],[Re-certified or New]]&lt;&gt;"Re-certified",IF(OtherClients[[#This Row],[Client]]="infasco",VLOOKUP(OtherClients[[#This Row],[Part]],PartControl!$A$2:$E$564,2,FALSE),OtherClients[[#This Row],[Total Quantity]]*VLOOKUP(OtherClients[[#This Row],[Part]],PartControl!$A$2:$E$564,2,FALSE)),0)</f>
        <v>135.07999999999998</v>
      </c>
    </row>
    <row r="1328" spans="1:26" ht="25.15" hidden="1" customHeight="1" x14ac:dyDescent="0.25">
      <c r="A1328" s="112">
        <v>46256</v>
      </c>
      <c r="B1328" s="5" t="s">
        <v>237</v>
      </c>
      <c r="C1328" s="5" t="s">
        <v>860</v>
      </c>
      <c r="D1328" s="5">
        <v>716464</v>
      </c>
      <c r="E1328" s="33">
        <v>36</v>
      </c>
      <c r="F1328" s="60">
        <v>1250</v>
      </c>
      <c r="G1328" s="60">
        <f>+OtherClients[[#This Row],[Boxes / Pieces]]*OtherClients[[#This Row],[Unit Quantity]]</f>
        <v>45000</v>
      </c>
      <c r="H1328" s="60">
        <v>290</v>
      </c>
      <c r="I1328" s="126" t="s">
        <v>278</v>
      </c>
      <c r="J1328" s="127"/>
      <c r="K1328" s="33" t="s">
        <v>278</v>
      </c>
      <c r="L1328" s="125"/>
      <c r="M1328" s="33" t="s">
        <v>278</v>
      </c>
      <c r="N1328" s="125"/>
      <c r="O1328" s="33" t="s">
        <v>278</v>
      </c>
      <c r="P1328" s="125"/>
      <c r="Q1328" s="33" t="s">
        <v>587</v>
      </c>
      <c r="R1328" s="125"/>
      <c r="S1328" s="33" t="s">
        <v>278</v>
      </c>
      <c r="T1328" s="125"/>
      <c r="U1328" s="33" t="s">
        <v>278</v>
      </c>
      <c r="V1328" s="125"/>
      <c r="W1328" s="59" t="s">
        <v>548</v>
      </c>
      <c r="X1328" s="33" t="str">
        <f>+VLOOKUP(OtherClients[[#This Row],[Part]],PartControl!$A$2:$E$564,5,FALSE)</f>
        <v>infasco</v>
      </c>
      <c r="Y1328" s="108">
        <f>IF(OtherClients[[#This Row],[Re-certified or New]]&lt;&gt;"Re-certified",IF(OtherClients[[#This Row],[Client]]="infasco",VLOOKUP(OtherClients[[#This Row],[Part]],PartControl!$A$2:$E$564,2,FALSE),OtherClients[[#This Row],[Total Quantity]]*VLOOKUP(OtherClients[[#This Row],[Part]],PartControl!$A$2:$E$564,2,FALSE)),0)</f>
        <v>106.94</v>
      </c>
      <c r="Z1328" s="108">
        <f>IF(OtherClients[[#This Row],[Re-certified or New]]&lt;&gt;"Re-certified",IF(OtherClients[[#This Row],[Client]]="infasco",VLOOKUP(OtherClients[[#This Row],[Part]],PartControl!$A$2:$E$564,2,FALSE),OtherClients[[#This Row],[Total Quantity]]*VLOOKUP(OtherClients[[#This Row],[Part]],PartControl!$A$2:$E$564,2,FALSE)),0)</f>
        <v>106.94</v>
      </c>
    </row>
    <row r="1329" spans="1:26" ht="25.15" hidden="1" customHeight="1" x14ac:dyDescent="0.25">
      <c r="A1329" s="112">
        <v>46256</v>
      </c>
      <c r="B1329" s="5" t="s">
        <v>237</v>
      </c>
      <c r="C1329" s="5" t="s">
        <v>860</v>
      </c>
      <c r="D1329" s="5">
        <v>716469</v>
      </c>
      <c r="E1329" s="33">
        <v>31</v>
      </c>
      <c r="F1329" s="60">
        <v>1250</v>
      </c>
      <c r="G1329" s="60">
        <f>+OtherClients[[#This Row],[Boxes / Pieces]]*OtherClients[[#This Row],[Unit Quantity]]</f>
        <v>38750</v>
      </c>
      <c r="H1329" s="60">
        <v>290</v>
      </c>
      <c r="I1329" s="126" t="s">
        <v>278</v>
      </c>
      <c r="J1329" s="127"/>
      <c r="K1329" s="33" t="s">
        <v>278</v>
      </c>
      <c r="L1329" s="125"/>
      <c r="M1329" s="33" t="s">
        <v>278</v>
      </c>
      <c r="N1329" s="125"/>
      <c r="O1329" s="33" t="s">
        <v>278</v>
      </c>
      <c r="P1329" s="125"/>
      <c r="Q1329" s="33" t="s">
        <v>587</v>
      </c>
      <c r="R1329" s="125"/>
      <c r="S1329" s="33" t="s">
        <v>278</v>
      </c>
      <c r="T1329" s="125"/>
      <c r="U1329" s="33" t="s">
        <v>278</v>
      </c>
      <c r="V1329" s="125"/>
      <c r="W1329" s="59" t="s">
        <v>633</v>
      </c>
      <c r="X1329" s="33" t="str">
        <f>+VLOOKUP(OtherClients[[#This Row],[Part]],PartControl!$A$2:$E$564,5,FALSE)</f>
        <v>infasco</v>
      </c>
      <c r="Y1329" s="108">
        <f>IF(OtherClients[[#This Row],[Re-certified or New]]&lt;&gt;"Re-certified",IF(OtherClients[[#This Row],[Client]]="infasco",VLOOKUP(OtherClients[[#This Row],[Part]],PartControl!$A$2:$E$564,2,FALSE),OtherClients[[#This Row],[Total Quantity]]*VLOOKUP(OtherClients[[#This Row],[Part]],PartControl!$A$2:$E$564,2,FALSE)),0)</f>
        <v>0</v>
      </c>
      <c r="Z1329" s="108">
        <f>IF(OtherClients[[#This Row],[Re-certified or New]]&lt;&gt;"Re-certified",IF(OtherClients[[#This Row],[Client]]="infasco",VLOOKUP(OtherClients[[#This Row],[Part]],PartControl!$A$2:$E$564,2,FALSE),OtherClients[[#This Row],[Total Quantity]]*VLOOKUP(OtherClients[[#This Row],[Part]],PartControl!$A$2:$E$564,2,FALSE)),0)</f>
        <v>0</v>
      </c>
    </row>
    <row r="1330" spans="1:26" ht="25.15" hidden="1" customHeight="1" x14ac:dyDescent="0.25">
      <c r="A1330" s="112">
        <v>46254.679212962961</v>
      </c>
      <c r="B1330" s="5" t="s">
        <v>624</v>
      </c>
      <c r="C1330" s="5" t="s">
        <v>792</v>
      </c>
      <c r="D1330" s="5">
        <v>714650</v>
      </c>
      <c r="E1330" s="33">
        <v>26</v>
      </c>
      <c r="F1330" s="60">
        <v>450</v>
      </c>
      <c r="G1330" s="60">
        <f>+OtherClients[[#This Row],[Boxes / Pieces]]*OtherClients[[#This Row],[Unit Quantity]]</f>
        <v>11700</v>
      </c>
      <c r="H1330" s="60">
        <v>292</v>
      </c>
      <c r="I1330" s="126" t="s">
        <v>278</v>
      </c>
      <c r="J1330" s="127"/>
      <c r="K1330" s="33" t="s">
        <v>278</v>
      </c>
      <c r="L1330" s="125"/>
      <c r="M1330" s="33" t="s">
        <v>278</v>
      </c>
      <c r="N1330" s="125"/>
      <c r="O1330" s="33" t="s">
        <v>278</v>
      </c>
      <c r="P1330" s="125"/>
      <c r="Q1330" s="33" t="s">
        <v>587</v>
      </c>
      <c r="R1330" s="125"/>
      <c r="S1330" s="33" t="s">
        <v>278</v>
      </c>
      <c r="T1330" s="125"/>
      <c r="U1330" s="33" t="s">
        <v>278</v>
      </c>
      <c r="V1330" s="125"/>
      <c r="W1330" s="59" t="s">
        <v>548</v>
      </c>
      <c r="X1330" s="33" t="str">
        <f>+VLOOKUP(OtherClients[[#This Row],[Part]],PartControl!$A$2:$E$564,5,FALSE)</f>
        <v>infasco</v>
      </c>
      <c r="Y1330" s="108">
        <f>IF(OtherClients[[#This Row],[Re-certified or New]]&lt;&gt;"Re-certified",IF(OtherClients[[#This Row],[Client]]="infasco",VLOOKUP(OtherClients[[#This Row],[Part]],PartControl!$A$2:$E$564,2,FALSE),OtherClients[[#This Row],[Total Quantity]]*VLOOKUP(OtherClients[[#This Row],[Part]],PartControl!$A$2:$E$564,2,FALSE)),0)</f>
        <v>106.94</v>
      </c>
      <c r="Z1330" s="108">
        <f>IF(OtherClients[[#This Row],[Re-certified or New]]&lt;&gt;"Re-certified",IF(OtherClients[[#This Row],[Client]]="infasco",VLOOKUP(OtherClients[[#This Row],[Part]],PartControl!$A$2:$E$564,2,FALSE),OtherClients[[#This Row],[Total Quantity]]*VLOOKUP(OtherClients[[#This Row],[Part]],PartControl!$A$2:$E$564,2,FALSE)),0)</f>
        <v>106.94</v>
      </c>
    </row>
    <row r="1331" spans="1:26" ht="25.15" hidden="1" customHeight="1" x14ac:dyDescent="0.25">
      <c r="A1331" s="112">
        <v>46256</v>
      </c>
      <c r="B1331" s="5" t="s">
        <v>238</v>
      </c>
      <c r="C1331" s="5">
        <v>11549170</v>
      </c>
      <c r="D1331" s="5">
        <v>716213</v>
      </c>
      <c r="E1331" s="33">
        <v>53</v>
      </c>
      <c r="F1331" s="60">
        <v>400</v>
      </c>
      <c r="G1331" s="60">
        <f>+OtherClients[[#This Row],[Boxes / Pieces]]*OtherClients[[#This Row],[Unit Quantity]]</f>
        <v>21200</v>
      </c>
      <c r="H1331" s="60">
        <v>275</v>
      </c>
      <c r="I1331" s="126" t="s">
        <v>278</v>
      </c>
      <c r="J1331" s="127"/>
      <c r="K1331" s="33" t="s">
        <v>278</v>
      </c>
      <c r="L1331" s="125"/>
      <c r="M1331" s="33" t="s">
        <v>278</v>
      </c>
      <c r="N1331" s="125"/>
      <c r="O1331" s="33" t="s">
        <v>278</v>
      </c>
      <c r="P1331" s="125"/>
      <c r="Q1331" s="33" t="s">
        <v>587</v>
      </c>
      <c r="R1331" s="125"/>
      <c r="S1331" s="33" t="s">
        <v>278</v>
      </c>
      <c r="T1331" s="125"/>
      <c r="U1331" s="33" t="s">
        <v>278</v>
      </c>
      <c r="V1331" s="125"/>
      <c r="W1331" s="59" t="s">
        <v>548</v>
      </c>
      <c r="X1331" s="33" t="str">
        <f>+VLOOKUP(OtherClients[[#This Row],[Part]],PartControl!$A$2:$E$564,5,FALSE)</f>
        <v>INFASCO</v>
      </c>
      <c r="Y1331" s="108">
        <f>IF(OtherClients[[#This Row],[Re-certified or New]]&lt;&gt;"Re-certified",IF(OtherClients[[#This Row],[Client]]="infasco",VLOOKUP(OtherClients[[#This Row],[Part]],PartControl!$A$2:$E$564,2,FALSE),OtherClients[[#This Row],[Total Quantity]]*VLOOKUP(OtherClients[[#This Row],[Part]],PartControl!$A$2:$E$564,2,FALSE)),0)</f>
        <v>106.94</v>
      </c>
      <c r="Z1331" s="108">
        <f>IF(OtherClients[[#This Row],[Re-certified or New]]&lt;&gt;"Re-certified",IF(OtherClients[[#This Row],[Client]]="infasco",VLOOKUP(OtherClients[[#This Row],[Part]],PartControl!$A$2:$E$564,2,FALSE),OtherClients[[#This Row],[Total Quantity]]*VLOOKUP(OtherClients[[#This Row],[Part]],PartControl!$A$2:$E$564,2,FALSE)),0)</f>
        <v>106.94</v>
      </c>
    </row>
    <row r="1332" spans="1:26" ht="25.15" hidden="1" customHeight="1" x14ac:dyDescent="0.25">
      <c r="A1332" s="112">
        <v>46254.679212962961</v>
      </c>
      <c r="B1332" s="5" t="s">
        <v>624</v>
      </c>
      <c r="C1332" s="5" t="s">
        <v>792</v>
      </c>
      <c r="D1332" s="5">
        <v>714656</v>
      </c>
      <c r="E1332" s="33">
        <f>26+10</f>
        <v>36</v>
      </c>
      <c r="F1332" s="60">
        <v>450</v>
      </c>
      <c r="G1332" s="60">
        <f>+OtherClients[[#This Row],[Boxes / Pieces]]*OtherClients[[#This Row],[Unit Quantity]]</f>
        <v>16200</v>
      </c>
      <c r="H1332" s="60">
        <v>292</v>
      </c>
      <c r="I1332" s="126" t="s">
        <v>278</v>
      </c>
      <c r="J1332" s="127"/>
      <c r="K1332" s="33" t="s">
        <v>278</v>
      </c>
      <c r="L1332" s="125"/>
      <c r="M1332" s="33" t="s">
        <v>278</v>
      </c>
      <c r="N1332" s="125"/>
      <c r="O1332" s="33" t="s">
        <v>278</v>
      </c>
      <c r="P1332" s="125"/>
      <c r="Q1332" s="33" t="s">
        <v>587</v>
      </c>
      <c r="R1332" s="125"/>
      <c r="S1332" s="33" t="s">
        <v>278</v>
      </c>
      <c r="T1332" s="125"/>
      <c r="U1332" s="33" t="s">
        <v>278</v>
      </c>
      <c r="V1332" s="125"/>
      <c r="W1332" s="59" t="s">
        <v>548</v>
      </c>
      <c r="X1332" s="33" t="str">
        <f>+VLOOKUP(OtherClients[[#This Row],[Part]],PartControl!$A$2:$E$564,5,FALSE)</f>
        <v>infasco</v>
      </c>
      <c r="Y1332" s="108">
        <f>IF(OtherClients[[#This Row],[Re-certified or New]]&lt;&gt;"Re-certified",IF(OtherClients[[#This Row],[Client]]="infasco",VLOOKUP(OtherClients[[#This Row],[Part]],PartControl!$A$2:$E$564,2,FALSE),OtherClients[[#This Row],[Total Quantity]]*VLOOKUP(OtherClients[[#This Row],[Part]],PartControl!$A$2:$E$564,2,FALSE)),0)</f>
        <v>106.94</v>
      </c>
      <c r="Z1332" s="108">
        <f>IF(OtherClients[[#This Row],[Re-certified or New]]&lt;&gt;"Re-certified",IF(OtherClients[[#This Row],[Client]]="infasco",VLOOKUP(OtherClients[[#This Row],[Part]],PartControl!$A$2:$E$564,2,FALSE),OtherClients[[#This Row],[Total Quantity]]*VLOOKUP(OtherClients[[#This Row],[Part]],PartControl!$A$2:$E$564,2,FALSE)),0)</f>
        <v>106.94</v>
      </c>
    </row>
    <row r="1333" spans="1:26" ht="25.15" hidden="1" customHeight="1" x14ac:dyDescent="0.25">
      <c r="A1333" s="112">
        <v>46255.694016203706</v>
      </c>
      <c r="B1333" s="5" t="s">
        <v>342</v>
      </c>
      <c r="C1333" s="5" t="s">
        <v>792</v>
      </c>
      <c r="D1333" s="5">
        <v>714657</v>
      </c>
      <c r="E1333" s="33">
        <v>36</v>
      </c>
      <c r="F1333" s="60">
        <v>450</v>
      </c>
      <c r="G1333" s="60">
        <f>+OtherClients[[#This Row],[Boxes / Pieces]]*OtherClients[[#This Row],[Unit Quantity]]</f>
        <v>16200</v>
      </c>
      <c r="H1333" s="60" t="s">
        <v>811</v>
      </c>
      <c r="I1333" s="126" t="s">
        <v>278</v>
      </c>
      <c r="J1333" s="127"/>
      <c r="K1333" s="33" t="s">
        <v>278</v>
      </c>
      <c r="L1333" s="125"/>
      <c r="M1333" s="33" t="s">
        <v>278</v>
      </c>
      <c r="N1333" s="125"/>
      <c r="O1333" s="33" t="s">
        <v>278</v>
      </c>
      <c r="P1333" s="125"/>
      <c r="Q1333" s="33" t="s">
        <v>587</v>
      </c>
      <c r="R1333" s="125"/>
      <c r="S1333" s="33" t="s">
        <v>278</v>
      </c>
      <c r="T1333" s="125"/>
      <c r="U1333" s="33" t="s">
        <v>278</v>
      </c>
      <c r="V1333" s="125"/>
      <c r="W1333" s="59" t="s">
        <v>633</v>
      </c>
      <c r="X1333" s="33" t="str">
        <f>+VLOOKUP(OtherClients[[#This Row],[Part]],PartControl!$A$2:$E$564,5,FALSE)</f>
        <v>infasco</v>
      </c>
      <c r="Y1333" s="108">
        <f>IF(OtherClients[[#This Row],[Re-certified or New]]&lt;&gt;"Re-certified",IF(OtherClients[[#This Row],[Client]]="infasco",VLOOKUP(OtherClients[[#This Row],[Part]],PartControl!$A$2:$E$564,2,FALSE),OtherClients[[#This Row],[Total Quantity]]*VLOOKUP(OtherClients[[#This Row],[Part]],PartControl!$A$2:$E$564,2,FALSE)),0)</f>
        <v>0</v>
      </c>
      <c r="Z1333" s="108">
        <f>IF(OtherClients[[#This Row],[Re-certified or New]]&lt;&gt;"Re-certified",IF(OtherClients[[#This Row],[Client]]="infasco",VLOOKUP(OtherClients[[#This Row],[Part]],PartControl!$A$2:$E$564,2,FALSE),OtherClients[[#This Row],[Total Quantity]]*VLOOKUP(OtherClients[[#This Row],[Part]],PartControl!$A$2:$E$564,2,FALSE)),0)</f>
        <v>0</v>
      </c>
    </row>
    <row r="1334" spans="1:26" ht="25.15" hidden="1" customHeight="1" x14ac:dyDescent="0.25">
      <c r="A1334" s="112">
        <v>46256</v>
      </c>
      <c r="B1334" s="5" t="s">
        <v>238</v>
      </c>
      <c r="C1334" s="5">
        <v>11549170</v>
      </c>
      <c r="D1334" s="5">
        <v>716415</v>
      </c>
      <c r="E1334" s="33">
        <f>36-22</f>
        <v>14</v>
      </c>
      <c r="F1334" s="60">
        <v>400</v>
      </c>
      <c r="G1334" s="60">
        <f>+OtherClients[[#This Row],[Boxes / Pieces]]*OtherClients[[#This Row],[Unit Quantity]]</f>
        <v>5600</v>
      </c>
      <c r="H1334" s="60">
        <v>275</v>
      </c>
      <c r="I1334" s="126" t="s">
        <v>278</v>
      </c>
      <c r="J1334" s="127"/>
      <c r="K1334" s="33" t="s">
        <v>278</v>
      </c>
      <c r="L1334" s="125"/>
      <c r="M1334" s="33" t="s">
        <v>278</v>
      </c>
      <c r="N1334" s="125"/>
      <c r="O1334" s="33" t="s">
        <v>278</v>
      </c>
      <c r="P1334" s="125"/>
      <c r="Q1334" s="33" t="s">
        <v>587</v>
      </c>
      <c r="R1334" s="125"/>
      <c r="S1334" s="33" t="s">
        <v>278</v>
      </c>
      <c r="T1334" s="125"/>
      <c r="U1334" s="33" t="s">
        <v>278</v>
      </c>
      <c r="V1334" s="125"/>
      <c r="W1334" s="59" t="s">
        <v>548</v>
      </c>
      <c r="X1334" s="33" t="str">
        <f>+VLOOKUP(OtherClients[[#This Row],[Part]],PartControl!$A$2:$E$564,5,FALSE)</f>
        <v>INFASCO</v>
      </c>
      <c r="Y1334" s="108">
        <f>IF(OtherClients[[#This Row],[Re-certified or New]]&lt;&gt;"Re-certified",IF(OtherClients[[#This Row],[Client]]="infasco",VLOOKUP(OtherClients[[#This Row],[Part]],PartControl!$A$2:$E$564,2,FALSE),OtherClients[[#This Row],[Total Quantity]]*VLOOKUP(OtherClients[[#This Row],[Part]],PartControl!$A$2:$E$564,2,FALSE)),0)</f>
        <v>106.94</v>
      </c>
      <c r="Z1334" s="108">
        <f>IF(OtherClients[[#This Row],[Re-certified or New]]&lt;&gt;"Re-certified",IF(OtherClients[[#This Row],[Client]]="infasco",VLOOKUP(OtherClients[[#This Row],[Part]],PartControl!$A$2:$E$564,2,FALSE),OtherClients[[#This Row],[Total Quantity]]*VLOOKUP(OtherClients[[#This Row],[Part]],PartControl!$A$2:$E$564,2,FALSE)),0)</f>
        <v>106.94</v>
      </c>
    </row>
    <row r="1335" spans="1:26" ht="25.15" hidden="1" customHeight="1" x14ac:dyDescent="0.25">
      <c r="A1335" s="112">
        <v>46254.679212962961</v>
      </c>
      <c r="B1335" s="5" t="s">
        <v>233</v>
      </c>
      <c r="C1335" s="5" t="s">
        <v>663</v>
      </c>
      <c r="D1335" s="5">
        <v>714692</v>
      </c>
      <c r="E1335" s="33">
        <f>36-5</f>
        <v>31</v>
      </c>
      <c r="F1335" s="60">
        <v>3000</v>
      </c>
      <c r="G1335" s="60">
        <f>+OtherClients[[#This Row],[Boxes / Pieces]]*OtherClients[[#This Row],[Unit Quantity]]</f>
        <v>93000</v>
      </c>
      <c r="H1335" s="60">
        <v>275</v>
      </c>
      <c r="I1335" s="126" t="s">
        <v>278</v>
      </c>
      <c r="J1335" s="127"/>
      <c r="K1335" s="33" t="s">
        <v>278</v>
      </c>
      <c r="L1335" s="125"/>
      <c r="M1335" s="33" t="s">
        <v>278</v>
      </c>
      <c r="N1335" s="125"/>
      <c r="O1335" s="33" t="s">
        <v>278</v>
      </c>
      <c r="P1335" s="125"/>
      <c r="Q1335" s="33" t="s">
        <v>587</v>
      </c>
      <c r="R1335" s="125"/>
      <c r="S1335" s="33" t="s">
        <v>278</v>
      </c>
      <c r="T1335" s="125"/>
      <c r="U1335" s="33" t="s">
        <v>278</v>
      </c>
      <c r="V1335" s="125"/>
      <c r="W1335" s="59" t="s">
        <v>548</v>
      </c>
      <c r="X1335" s="33" t="str">
        <f>+VLOOKUP(OtherClients[[#This Row],[Part]],PartControl!$A$2:$E$564,5,FALSE)</f>
        <v>infasco</v>
      </c>
      <c r="Y1335" s="108">
        <f>IF(OtherClients[[#This Row],[Re-certified or New]]&lt;&gt;"Re-certified",IF(OtherClients[[#This Row],[Client]]="infasco",VLOOKUP(OtherClients[[#This Row],[Part]],PartControl!$A$2:$E$564,2,FALSE),OtherClients[[#This Row],[Total Quantity]]*VLOOKUP(OtherClients[[#This Row],[Part]],PartControl!$A$2:$E$564,2,FALSE)),0)</f>
        <v>106.94</v>
      </c>
      <c r="Z1335" s="108">
        <f>IF(OtherClients[[#This Row],[Re-certified or New]]&lt;&gt;"Re-certified",IF(OtherClients[[#This Row],[Client]]="infasco",VLOOKUP(OtherClients[[#This Row],[Part]],PartControl!$A$2:$E$564,2,FALSE),OtherClients[[#This Row],[Total Quantity]]*VLOOKUP(OtherClients[[#This Row],[Part]],PartControl!$A$2:$E$564,2,FALSE)),0)</f>
        <v>106.94</v>
      </c>
    </row>
    <row r="1336" spans="1:26" ht="25.15" hidden="1" customHeight="1" x14ac:dyDescent="0.25">
      <c r="A1336" s="112">
        <v>46255.694016203706</v>
      </c>
      <c r="B1336" s="5" t="s">
        <v>252</v>
      </c>
      <c r="C1336" s="5" t="s">
        <v>659</v>
      </c>
      <c r="D1336" s="5">
        <v>714693</v>
      </c>
      <c r="E1336" s="33">
        <v>18</v>
      </c>
      <c r="F1336" s="60">
        <v>3000</v>
      </c>
      <c r="G1336" s="60">
        <f>+OtherClients[[#This Row],[Boxes / Pieces]]*OtherClients[[#This Row],[Unit Quantity]]</f>
        <v>54000</v>
      </c>
      <c r="H1336" s="60">
        <v>275</v>
      </c>
      <c r="I1336" s="126" t="s">
        <v>278</v>
      </c>
      <c r="J1336" s="127"/>
      <c r="K1336" s="33" t="s">
        <v>278</v>
      </c>
      <c r="L1336" s="125"/>
      <c r="M1336" s="33" t="s">
        <v>278</v>
      </c>
      <c r="N1336" s="125"/>
      <c r="O1336" s="33" t="s">
        <v>278</v>
      </c>
      <c r="P1336" s="125"/>
      <c r="Q1336" s="33" t="s">
        <v>587</v>
      </c>
      <c r="R1336" s="125"/>
      <c r="S1336" s="33" t="s">
        <v>278</v>
      </c>
      <c r="T1336" s="125"/>
      <c r="U1336" s="33" t="s">
        <v>278</v>
      </c>
      <c r="V1336" s="125"/>
      <c r="W1336" s="59" t="s">
        <v>633</v>
      </c>
      <c r="X1336" s="33" t="str">
        <f>+VLOOKUP(OtherClients[[#This Row],[Part]],PartControl!$A$2:$E$564,5,FALSE)</f>
        <v>infasco</v>
      </c>
      <c r="Y1336" s="108">
        <f>IF(OtherClients[[#This Row],[Re-certified or New]]&lt;&gt;"Re-certified",IF(OtherClients[[#This Row],[Client]]="infasco",VLOOKUP(OtherClients[[#This Row],[Part]],PartControl!$A$2:$E$564,2,FALSE),OtherClients[[#This Row],[Total Quantity]]*VLOOKUP(OtherClients[[#This Row],[Part]],PartControl!$A$2:$E$564,2,FALSE)),0)</f>
        <v>0</v>
      </c>
      <c r="Z1336" s="108">
        <f>IF(OtherClients[[#This Row],[Re-certified or New]]&lt;&gt;"Re-certified",IF(OtherClients[[#This Row],[Client]]="infasco",VLOOKUP(OtherClients[[#This Row],[Part]],PartControl!$A$2:$E$564,2,FALSE),OtherClients[[#This Row],[Total Quantity]]*VLOOKUP(OtherClients[[#This Row],[Part]],PartControl!$A$2:$E$564,2,FALSE)),0)</f>
        <v>0</v>
      </c>
    </row>
    <row r="1337" spans="1:26" ht="25.15" hidden="1" customHeight="1" x14ac:dyDescent="0.25">
      <c r="A1337" s="112">
        <v>46256</v>
      </c>
      <c r="B1337" s="5" t="s">
        <v>239</v>
      </c>
      <c r="C1337" s="5">
        <v>11549170</v>
      </c>
      <c r="D1337" s="5">
        <v>716208</v>
      </c>
      <c r="E1337" s="33">
        <v>29</v>
      </c>
      <c r="F1337" s="60">
        <v>400</v>
      </c>
      <c r="G1337" s="60">
        <f>+OtherClients[[#This Row],[Boxes / Pieces]]*OtherClients[[#This Row],[Unit Quantity]]</f>
        <v>11600</v>
      </c>
      <c r="H1337" s="60">
        <v>290</v>
      </c>
      <c r="I1337" s="126" t="s">
        <v>278</v>
      </c>
      <c r="J1337" s="127"/>
      <c r="K1337" s="33" t="s">
        <v>278</v>
      </c>
      <c r="L1337" s="125"/>
      <c r="M1337" s="33" t="s">
        <v>278</v>
      </c>
      <c r="N1337" s="125"/>
      <c r="O1337" s="33" t="s">
        <v>278</v>
      </c>
      <c r="P1337" s="125"/>
      <c r="Q1337" s="33" t="s">
        <v>587</v>
      </c>
      <c r="R1337" s="125"/>
      <c r="S1337" s="33" t="s">
        <v>278</v>
      </c>
      <c r="T1337" s="125"/>
      <c r="U1337" s="33" t="s">
        <v>278</v>
      </c>
      <c r="V1337" s="125"/>
      <c r="W1337" s="59" t="s">
        <v>548</v>
      </c>
      <c r="X1337" s="33" t="str">
        <f>+VLOOKUP(OtherClients[[#This Row],[Part]],PartControl!$A$2:$E$564,5,FALSE)</f>
        <v>INFASCO</v>
      </c>
      <c r="Y1337" s="108">
        <f>IF(OtherClients[[#This Row],[Re-certified or New]]&lt;&gt;"Re-certified",IF(OtherClients[[#This Row],[Client]]="infasco",VLOOKUP(OtherClients[[#This Row],[Part]],PartControl!$A$2:$E$564,2,FALSE),OtherClients[[#This Row],[Total Quantity]]*VLOOKUP(OtherClients[[#This Row],[Part]],PartControl!$A$2:$E$564,2,FALSE)),0)</f>
        <v>106.94</v>
      </c>
      <c r="Z1337" s="108">
        <f>IF(OtherClients[[#This Row],[Re-certified or New]]&lt;&gt;"Re-certified",IF(OtherClients[[#This Row],[Client]]="infasco",VLOOKUP(OtherClients[[#This Row],[Part]],PartControl!$A$2:$E$564,2,FALSE),OtherClients[[#This Row],[Total Quantity]]*VLOOKUP(OtherClients[[#This Row],[Part]],PartControl!$A$2:$E$564,2,FALSE)),0)</f>
        <v>106.94</v>
      </c>
    </row>
    <row r="1338" spans="1:26" ht="25.15" hidden="1" customHeight="1" x14ac:dyDescent="0.25">
      <c r="A1338" s="112">
        <v>46255.694016203706</v>
      </c>
      <c r="B1338" s="5" t="s">
        <v>252</v>
      </c>
      <c r="C1338" s="5" t="s">
        <v>659</v>
      </c>
      <c r="D1338" s="5">
        <v>714694</v>
      </c>
      <c r="E1338" s="33">
        <v>36</v>
      </c>
      <c r="F1338" s="60">
        <v>3000</v>
      </c>
      <c r="G1338" s="60">
        <f>+OtherClients[[#This Row],[Boxes / Pieces]]*OtherClients[[#This Row],[Unit Quantity]]</f>
        <v>108000</v>
      </c>
      <c r="H1338" s="60">
        <v>275</v>
      </c>
      <c r="I1338" s="126" t="s">
        <v>278</v>
      </c>
      <c r="J1338" s="127"/>
      <c r="K1338" s="33" t="s">
        <v>278</v>
      </c>
      <c r="L1338" s="125"/>
      <c r="M1338" s="33" t="s">
        <v>278</v>
      </c>
      <c r="N1338" s="125"/>
      <c r="O1338" s="33" t="s">
        <v>278</v>
      </c>
      <c r="P1338" s="125"/>
      <c r="Q1338" s="33" t="s">
        <v>587</v>
      </c>
      <c r="R1338" s="125"/>
      <c r="S1338" s="33" t="s">
        <v>278</v>
      </c>
      <c r="T1338" s="125"/>
      <c r="U1338" s="33" t="s">
        <v>278</v>
      </c>
      <c r="V1338" s="125"/>
      <c r="W1338" s="59" t="s">
        <v>548</v>
      </c>
      <c r="X1338" s="33" t="str">
        <f>+VLOOKUP(OtherClients[[#This Row],[Part]],PartControl!$A$2:$E$564,5,FALSE)</f>
        <v>infasco</v>
      </c>
      <c r="Y1338" s="108">
        <f>IF(OtherClients[[#This Row],[Re-certified or New]]&lt;&gt;"Re-certified",IF(OtherClients[[#This Row],[Client]]="infasco",VLOOKUP(OtherClients[[#This Row],[Part]],PartControl!$A$2:$E$564,2,FALSE),OtherClients[[#This Row],[Total Quantity]]*VLOOKUP(OtherClients[[#This Row],[Part]],PartControl!$A$2:$E$564,2,FALSE)),0)</f>
        <v>106.94</v>
      </c>
      <c r="Z1338" s="108">
        <f>IF(OtherClients[[#This Row],[Re-certified or New]]&lt;&gt;"Re-certified",IF(OtherClients[[#This Row],[Client]]="infasco",VLOOKUP(OtherClients[[#This Row],[Part]],PartControl!$A$2:$E$564,2,FALSE),OtherClients[[#This Row],[Total Quantity]]*VLOOKUP(OtherClients[[#This Row],[Part]],PartControl!$A$2:$E$564,2,FALSE)),0)</f>
        <v>106.94</v>
      </c>
    </row>
    <row r="1339" spans="1:26" ht="25.15" hidden="1" customHeight="1" x14ac:dyDescent="0.25">
      <c r="A1339" s="112">
        <v>46254.679212962961</v>
      </c>
      <c r="B1339" s="5" t="s">
        <v>252</v>
      </c>
      <c r="C1339" s="5" t="s">
        <v>659</v>
      </c>
      <c r="D1339" s="5">
        <v>714695</v>
      </c>
      <c r="E1339" s="33">
        <v>36</v>
      </c>
      <c r="F1339" s="60">
        <v>3000</v>
      </c>
      <c r="G1339" s="60">
        <f>+OtherClients[[#This Row],[Boxes / Pieces]]*OtherClients[[#This Row],[Unit Quantity]]</f>
        <v>108000</v>
      </c>
      <c r="H1339" s="60">
        <v>275</v>
      </c>
      <c r="I1339" s="126" t="s">
        <v>278</v>
      </c>
      <c r="J1339" s="127"/>
      <c r="K1339" s="33" t="s">
        <v>278</v>
      </c>
      <c r="L1339" s="125"/>
      <c r="M1339" s="33" t="s">
        <v>278</v>
      </c>
      <c r="N1339" s="125"/>
      <c r="O1339" s="33" t="s">
        <v>278</v>
      </c>
      <c r="P1339" s="125"/>
      <c r="Q1339" s="33" t="s">
        <v>587</v>
      </c>
      <c r="R1339" s="125"/>
      <c r="S1339" s="33" t="s">
        <v>278</v>
      </c>
      <c r="T1339" s="125"/>
      <c r="U1339" s="33" t="s">
        <v>278</v>
      </c>
      <c r="V1339" s="125"/>
      <c r="W1339" s="59" t="s">
        <v>548</v>
      </c>
      <c r="X1339" s="33" t="str">
        <f>+VLOOKUP(OtherClients[[#This Row],[Part]],PartControl!$A$2:$E$564,5,FALSE)</f>
        <v>infasco</v>
      </c>
      <c r="Y1339" s="108">
        <f>IF(OtherClients[[#This Row],[Re-certified or New]]&lt;&gt;"Re-certified",IF(OtherClients[[#This Row],[Client]]="infasco",VLOOKUP(OtherClients[[#This Row],[Part]],PartControl!$A$2:$E$564,2,FALSE),OtherClients[[#This Row],[Total Quantity]]*VLOOKUP(OtherClients[[#This Row],[Part]],PartControl!$A$2:$E$564,2,FALSE)),0)</f>
        <v>106.94</v>
      </c>
      <c r="Z1339" s="108">
        <f>IF(OtherClients[[#This Row],[Re-certified or New]]&lt;&gt;"Re-certified",IF(OtherClients[[#This Row],[Client]]="infasco",VLOOKUP(OtherClients[[#This Row],[Part]],PartControl!$A$2:$E$564,2,FALSE),OtherClients[[#This Row],[Total Quantity]]*VLOOKUP(OtherClients[[#This Row],[Part]],PartControl!$A$2:$E$564,2,FALSE)),0)</f>
        <v>106.94</v>
      </c>
    </row>
    <row r="1340" spans="1:26" ht="25.15" hidden="1" customHeight="1" x14ac:dyDescent="0.25">
      <c r="A1340" s="112">
        <v>46254.679212962961</v>
      </c>
      <c r="B1340" s="5" t="s">
        <v>233</v>
      </c>
      <c r="C1340" s="5" t="s">
        <v>663</v>
      </c>
      <c r="D1340" s="5">
        <v>714696</v>
      </c>
      <c r="E1340" s="33">
        <v>10</v>
      </c>
      <c r="F1340" s="60">
        <v>3000</v>
      </c>
      <c r="G1340" s="60">
        <f>+OtherClients[[#This Row],[Boxes / Pieces]]*OtherClients[[#This Row],[Unit Quantity]]</f>
        <v>30000</v>
      </c>
      <c r="H1340" s="60">
        <v>275</v>
      </c>
      <c r="I1340" s="126" t="s">
        <v>278</v>
      </c>
      <c r="J1340" s="127"/>
      <c r="K1340" s="33" t="s">
        <v>278</v>
      </c>
      <c r="L1340" s="125"/>
      <c r="M1340" s="33" t="s">
        <v>278</v>
      </c>
      <c r="N1340" s="125"/>
      <c r="O1340" s="33" t="s">
        <v>278</v>
      </c>
      <c r="P1340" s="125"/>
      <c r="Q1340" s="33" t="s">
        <v>587</v>
      </c>
      <c r="R1340" s="125"/>
      <c r="S1340" s="33" t="s">
        <v>278</v>
      </c>
      <c r="T1340" s="125"/>
      <c r="U1340" s="33" t="s">
        <v>278</v>
      </c>
      <c r="V1340" s="125"/>
      <c r="W1340" s="59" t="s">
        <v>633</v>
      </c>
      <c r="X1340" s="33" t="str">
        <f>+VLOOKUP(OtherClients[[#This Row],[Part]],PartControl!$A$2:$E$564,5,FALSE)</f>
        <v>infasco</v>
      </c>
      <c r="Y1340" s="108">
        <f>IF(OtherClients[[#This Row],[Re-certified or New]]&lt;&gt;"Re-certified",IF(OtherClients[[#This Row],[Client]]="infasco",VLOOKUP(OtherClients[[#This Row],[Part]],PartControl!$A$2:$E$564,2,FALSE),OtherClients[[#This Row],[Total Quantity]]*VLOOKUP(OtherClients[[#This Row],[Part]],PartControl!$A$2:$E$564,2,FALSE)),0)</f>
        <v>0</v>
      </c>
      <c r="Z1340" s="108">
        <f>IF(OtherClients[[#This Row],[Re-certified or New]]&lt;&gt;"Re-certified",IF(OtherClients[[#This Row],[Client]]="infasco",VLOOKUP(OtherClients[[#This Row],[Part]],PartControl!$A$2:$E$564,2,FALSE),OtherClients[[#This Row],[Total Quantity]]*VLOOKUP(OtherClients[[#This Row],[Part]],PartControl!$A$2:$E$564,2,FALSE)),0)</f>
        <v>0</v>
      </c>
    </row>
    <row r="1341" spans="1:26" ht="25.15" hidden="1" customHeight="1" x14ac:dyDescent="0.25">
      <c r="A1341" s="112">
        <v>46255.694016203706</v>
      </c>
      <c r="B1341" s="5" t="s">
        <v>233</v>
      </c>
      <c r="C1341" s="5" t="s">
        <v>663</v>
      </c>
      <c r="D1341" s="5">
        <v>714696</v>
      </c>
      <c r="E1341" s="33">
        <f>36+11-10</f>
        <v>37</v>
      </c>
      <c r="F1341" s="60">
        <v>3000</v>
      </c>
      <c r="G1341" s="60">
        <f>+OtherClients[[#This Row],[Boxes / Pieces]]*OtherClients[[#This Row],[Unit Quantity]]</f>
        <v>111000</v>
      </c>
      <c r="H1341" s="60">
        <v>275</v>
      </c>
      <c r="I1341" s="126" t="s">
        <v>278</v>
      </c>
      <c r="J1341" s="127"/>
      <c r="K1341" s="33" t="s">
        <v>278</v>
      </c>
      <c r="L1341" s="125"/>
      <c r="M1341" s="33" t="s">
        <v>278</v>
      </c>
      <c r="N1341" s="125"/>
      <c r="O1341" s="33" t="s">
        <v>278</v>
      </c>
      <c r="P1341" s="125"/>
      <c r="Q1341" s="33" t="s">
        <v>587</v>
      </c>
      <c r="R1341" s="125"/>
      <c r="S1341" s="33" t="s">
        <v>278</v>
      </c>
      <c r="T1341" s="125"/>
      <c r="U1341" s="33" t="s">
        <v>278</v>
      </c>
      <c r="V1341" s="125"/>
      <c r="W1341" s="59" t="s">
        <v>548</v>
      </c>
      <c r="X1341" s="33" t="str">
        <f>+VLOOKUP(OtherClients[[#This Row],[Part]],PartControl!$A$2:$E$564,5,FALSE)</f>
        <v>infasco</v>
      </c>
      <c r="Y1341" s="108">
        <f>IF(OtherClients[[#This Row],[Re-certified or New]]&lt;&gt;"Re-certified",IF(OtherClients[[#This Row],[Client]]="infasco",VLOOKUP(OtherClients[[#This Row],[Part]],PartControl!$A$2:$E$564,2,FALSE),OtherClients[[#This Row],[Total Quantity]]*VLOOKUP(OtherClients[[#This Row],[Part]],PartControl!$A$2:$E$564,2,FALSE)),0)</f>
        <v>106.94</v>
      </c>
      <c r="Z1341" s="108">
        <f>IF(OtherClients[[#This Row],[Re-certified or New]]&lt;&gt;"Re-certified",IF(OtherClients[[#This Row],[Client]]="infasco",VLOOKUP(OtherClients[[#This Row],[Part]],PartControl!$A$2:$E$564,2,FALSE),OtherClients[[#This Row],[Total Quantity]]*VLOOKUP(OtherClients[[#This Row],[Part]],PartControl!$A$2:$E$564,2,FALSE)),0)</f>
        <v>106.94</v>
      </c>
    </row>
    <row r="1342" spans="1:26" ht="25.15" hidden="1" customHeight="1" x14ac:dyDescent="0.25">
      <c r="A1342" s="112">
        <v>46256</v>
      </c>
      <c r="B1342" s="5" t="s">
        <v>239</v>
      </c>
      <c r="C1342" s="5">
        <v>11549170</v>
      </c>
      <c r="D1342" s="5">
        <v>716210</v>
      </c>
      <c r="E1342" s="33">
        <v>39</v>
      </c>
      <c r="F1342" s="60">
        <v>400</v>
      </c>
      <c r="G1342" s="60">
        <f>+OtherClients[[#This Row],[Boxes / Pieces]]*OtherClients[[#This Row],[Unit Quantity]]</f>
        <v>15600</v>
      </c>
      <c r="H1342" s="60">
        <v>290</v>
      </c>
      <c r="I1342" s="126" t="s">
        <v>278</v>
      </c>
      <c r="J1342" s="127"/>
      <c r="K1342" s="33" t="s">
        <v>278</v>
      </c>
      <c r="L1342" s="125"/>
      <c r="M1342" s="33" t="s">
        <v>278</v>
      </c>
      <c r="N1342" s="125"/>
      <c r="O1342" s="33" t="s">
        <v>278</v>
      </c>
      <c r="P1342" s="125"/>
      <c r="Q1342" s="33" t="s">
        <v>587</v>
      </c>
      <c r="R1342" s="125"/>
      <c r="S1342" s="33" t="s">
        <v>278</v>
      </c>
      <c r="T1342" s="125"/>
      <c r="U1342" s="33" t="s">
        <v>278</v>
      </c>
      <c r="V1342" s="125"/>
      <c r="W1342" s="59" t="s">
        <v>548</v>
      </c>
      <c r="X1342" s="33" t="str">
        <f>+VLOOKUP(OtherClients[[#This Row],[Part]],PartControl!$A$2:$E$564,5,FALSE)</f>
        <v>INFASCO</v>
      </c>
      <c r="Y1342" s="108">
        <f>IF(OtherClients[[#This Row],[Re-certified or New]]&lt;&gt;"Re-certified",IF(OtherClients[[#This Row],[Client]]="infasco",VLOOKUP(OtherClients[[#This Row],[Part]],PartControl!$A$2:$E$564,2,FALSE),OtherClients[[#This Row],[Total Quantity]]*VLOOKUP(OtherClients[[#This Row],[Part]],PartControl!$A$2:$E$564,2,FALSE)),0)</f>
        <v>106.94</v>
      </c>
      <c r="Z1342" s="108">
        <f>IF(OtherClients[[#This Row],[Re-certified or New]]&lt;&gt;"Re-certified",IF(OtherClients[[#This Row],[Client]]="infasco",VLOOKUP(OtherClients[[#This Row],[Part]],PartControl!$A$2:$E$564,2,FALSE),OtherClients[[#This Row],[Total Quantity]]*VLOOKUP(OtherClients[[#This Row],[Part]],PartControl!$A$2:$E$564,2,FALSE)),0)</f>
        <v>106.94</v>
      </c>
    </row>
    <row r="1343" spans="1:26" ht="25.15" hidden="1" customHeight="1" x14ac:dyDescent="0.25">
      <c r="A1343" s="112">
        <v>46254.679212962961</v>
      </c>
      <c r="B1343" s="5" t="s">
        <v>344</v>
      </c>
      <c r="C1343" s="5">
        <v>11602659</v>
      </c>
      <c r="D1343" s="5">
        <v>714719</v>
      </c>
      <c r="E1343" s="33">
        <v>32</v>
      </c>
      <c r="F1343" s="60">
        <v>550</v>
      </c>
      <c r="G1343" s="60">
        <f>+OtherClients[[#This Row],[Boxes / Pieces]]*OtherClients[[#This Row],[Unit Quantity]]</f>
        <v>17600</v>
      </c>
      <c r="H1343" s="60" t="s">
        <v>816</v>
      </c>
      <c r="I1343" s="126" t="s">
        <v>278</v>
      </c>
      <c r="J1343" s="127"/>
      <c r="K1343" s="33" t="s">
        <v>278</v>
      </c>
      <c r="L1343" s="125"/>
      <c r="M1343" s="33" t="s">
        <v>278</v>
      </c>
      <c r="N1343" s="125"/>
      <c r="O1343" s="33" t="s">
        <v>278</v>
      </c>
      <c r="P1343" s="125"/>
      <c r="Q1343" s="33" t="s">
        <v>587</v>
      </c>
      <c r="R1343" s="125"/>
      <c r="S1343" s="33" t="s">
        <v>278</v>
      </c>
      <c r="T1343" s="125"/>
      <c r="U1343" s="33" t="s">
        <v>278</v>
      </c>
      <c r="V1343" s="125"/>
      <c r="W1343" s="59" t="s">
        <v>548</v>
      </c>
      <c r="X1343" s="33" t="str">
        <f>+VLOOKUP(OtherClients[[#This Row],[Part]],PartControl!$A$2:$E$564,5,FALSE)</f>
        <v>infasco</v>
      </c>
      <c r="Y1343" s="108">
        <f>IF(OtherClients[[#This Row],[Re-certified or New]]&lt;&gt;"Re-certified",IF(OtherClients[[#This Row],[Client]]="infasco",VLOOKUP(OtherClients[[#This Row],[Part]],PartControl!$A$2:$E$564,2,FALSE),OtherClients[[#This Row],[Total Quantity]]*VLOOKUP(OtherClients[[#This Row],[Part]],PartControl!$A$2:$E$564,2,FALSE)),0)</f>
        <v>135.07999999999998</v>
      </c>
      <c r="Z1343" s="108">
        <f>IF(OtherClients[[#This Row],[Re-certified or New]]&lt;&gt;"Re-certified",IF(OtherClients[[#This Row],[Client]]="infasco",VLOOKUP(OtherClients[[#This Row],[Part]],PartControl!$A$2:$E$564,2,FALSE),OtherClients[[#This Row],[Total Quantity]]*VLOOKUP(OtherClients[[#This Row],[Part]],PartControl!$A$2:$E$564,2,FALSE)),0)</f>
        <v>135.07999999999998</v>
      </c>
    </row>
    <row r="1344" spans="1:26" ht="25.15" hidden="1" customHeight="1" x14ac:dyDescent="0.25">
      <c r="A1344" s="112">
        <v>46255.694016203706</v>
      </c>
      <c r="B1344" s="5" t="s">
        <v>237</v>
      </c>
      <c r="C1344" s="5" t="s">
        <v>705</v>
      </c>
      <c r="D1344" s="5">
        <v>715663</v>
      </c>
      <c r="E1344" s="33">
        <v>22</v>
      </c>
      <c r="F1344" s="60">
        <v>1250</v>
      </c>
      <c r="G1344" s="60">
        <f>+OtherClients[[#This Row],[Boxes / Pieces]]*OtherClients[[#This Row],[Unit Quantity]]</f>
        <v>27500</v>
      </c>
      <c r="H1344" s="60">
        <v>290</v>
      </c>
      <c r="I1344" s="126" t="s">
        <v>278</v>
      </c>
      <c r="J1344" s="127"/>
      <c r="K1344" s="33" t="s">
        <v>278</v>
      </c>
      <c r="L1344" s="125"/>
      <c r="M1344" s="33" t="s">
        <v>278</v>
      </c>
      <c r="N1344" s="125"/>
      <c r="O1344" s="33" t="s">
        <v>278</v>
      </c>
      <c r="P1344" s="125"/>
      <c r="Q1344" s="33" t="s">
        <v>587</v>
      </c>
      <c r="R1344" s="125"/>
      <c r="S1344" s="33" t="s">
        <v>278</v>
      </c>
      <c r="T1344" s="125"/>
      <c r="U1344" s="33" t="s">
        <v>278</v>
      </c>
      <c r="V1344" s="125"/>
      <c r="W1344" s="59" t="s">
        <v>633</v>
      </c>
      <c r="X1344" s="33" t="str">
        <f>+VLOOKUP(OtherClients[[#This Row],[Part]],PartControl!$A$2:$E$564,5,FALSE)</f>
        <v>infasco</v>
      </c>
      <c r="Y1344" s="108">
        <f>IF(OtherClients[[#This Row],[Re-certified or New]]&lt;&gt;"Re-certified",IF(OtherClients[[#This Row],[Client]]="infasco",VLOOKUP(OtherClients[[#This Row],[Part]],PartControl!$A$2:$E$564,2,FALSE),OtherClients[[#This Row],[Total Quantity]]*VLOOKUP(OtherClients[[#This Row],[Part]],PartControl!$A$2:$E$564,2,FALSE)),0)</f>
        <v>0</v>
      </c>
      <c r="Z1344" s="108">
        <f>IF(OtherClients[[#This Row],[Re-certified or New]]&lt;&gt;"Re-certified",IF(OtherClients[[#This Row],[Client]]="infasco",VLOOKUP(OtherClients[[#This Row],[Part]],PartControl!$A$2:$E$564,2,FALSE),OtherClients[[#This Row],[Total Quantity]]*VLOOKUP(OtherClients[[#This Row],[Part]],PartControl!$A$2:$E$564,2,FALSE)),0)</f>
        <v>0</v>
      </c>
    </row>
    <row r="1345" spans="1:26" ht="25.15" hidden="1" customHeight="1" x14ac:dyDescent="0.25">
      <c r="A1345" s="112">
        <v>46254.679212962961</v>
      </c>
      <c r="B1345" s="5" t="s">
        <v>238</v>
      </c>
      <c r="C1345" s="5" t="s">
        <v>705</v>
      </c>
      <c r="D1345" s="5">
        <v>715718</v>
      </c>
      <c r="E1345" s="33">
        <f>36-30</f>
        <v>6</v>
      </c>
      <c r="F1345" s="60">
        <v>450</v>
      </c>
      <c r="G1345" s="60">
        <f>+OtherClients[[#This Row],[Boxes / Pieces]]*OtherClients[[#This Row],[Unit Quantity]]</f>
        <v>2700</v>
      </c>
      <c r="H1345" s="60">
        <v>275</v>
      </c>
      <c r="I1345" s="126" t="s">
        <v>278</v>
      </c>
      <c r="J1345" s="127"/>
      <c r="K1345" s="33" t="s">
        <v>278</v>
      </c>
      <c r="L1345" s="125"/>
      <c r="M1345" s="33" t="s">
        <v>278</v>
      </c>
      <c r="N1345" s="125"/>
      <c r="O1345" s="33" t="s">
        <v>278</v>
      </c>
      <c r="P1345" s="125"/>
      <c r="Q1345" s="33" t="s">
        <v>587</v>
      </c>
      <c r="R1345" s="125"/>
      <c r="S1345" s="33" t="s">
        <v>278</v>
      </c>
      <c r="T1345" s="125"/>
      <c r="U1345" s="33" t="s">
        <v>278</v>
      </c>
      <c r="V1345" s="125"/>
      <c r="W1345" s="59" t="s">
        <v>548</v>
      </c>
      <c r="X1345" s="33" t="str">
        <f>+VLOOKUP(OtherClients[[#This Row],[Part]],PartControl!$A$2:$E$564,5,FALSE)</f>
        <v>infasco</v>
      </c>
      <c r="Y1345" s="108">
        <f>IF(OtherClients[[#This Row],[Re-certified or New]]&lt;&gt;"Re-certified",IF(OtherClients[[#This Row],[Client]]="infasco",VLOOKUP(OtherClients[[#This Row],[Part]],PartControl!$A$2:$E$564,2,FALSE),OtherClients[[#This Row],[Total Quantity]]*VLOOKUP(OtherClients[[#This Row],[Part]],PartControl!$A$2:$E$564,2,FALSE)),0)</f>
        <v>106.94</v>
      </c>
      <c r="Z1345" s="108">
        <f>IF(OtherClients[[#This Row],[Re-certified or New]]&lt;&gt;"Re-certified",IF(OtherClients[[#This Row],[Client]]="infasco",VLOOKUP(OtherClients[[#This Row],[Part]],PartControl!$A$2:$E$564,2,FALSE),OtherClients[[#This Row],[Total Quantity]]*VLOOKUP(OtherClients[[#This Row],[Part]],PartControl!$A$2:$E$564,2,FALSE)),0)</f>
        <v>106.94</v>
      </c>
    </row>
    <row r="1346" spans="1:26" ht="25.15" hidden="1" customHeight="1" x14ac:dyDescent="0.25">
      <c r="A1346" s="112">
        <v>46254.679212962961</v>
      </c>
      <c r="B1346" s="5" t="s">
        <v>251</v>
      </c>
      <c r="C1346" s="5">
        <v>11549168</v>
      </c>
      <c r="D1346" s="5">
        <v>715769</v>
      </c>
      <c r="E1346" s="33">
        <f>36+14-20</f>
        <v>30</v>
      </c>
      <c r="F1346" s="60">
        <v>1000</v>
      </c>
      <c r="G1346" s="60">
        <f>+OtherClients[[#This Row],[Boxes / Pieces]]*OtherClients[[#This Row],[Unit Quantity]]</f>
        <v>30000</v>
      </c>
      <c r="H1346" s="60">
        <v>292</v>
      </c>
      <c r="I1346" s="126" t="s">
        <v>278</v>
      </c>
      <c r="J1346" s="127"/>
      <c r="K1346" s="33" t="s">
        <v>278</v>
      </c>
      <c r="L1346" s="125"/>
      <c r="M1346" s="33" t="s">
        <v>278</v>
      </c>
      <c r="N1346" s="125"/>
      <c r="O1346" s="33" t="s">
        <v>278</v>
      </c>
      <c r="P1346" s="125"/>
      <c r="Q1346" s="33" t="s">
        <v>587</v>
      </c>
      <c r="R1346" s="125"/>
      <c r="S1346" s="33" t="s">
        <v>278</v>
      </c>
      <c r="T1346" s="125"/>
      <c r="U1346" s="33" t="s">
        <v>278</v>
      </c>
      <c r="V1346" s="125"/>
      <c r="W1346" s="59" t="s">
        <v>548</v>
      </c>
      <c r="X1346" s="33" t="str">
        <f>+VLOOKUP(OtherClients[[#This Row],[Part]],PartControl!$A$2:$E$564,5,FALSE)</f>
        <v>INFASCO</v>
      </c>
      <c r="Y1346" s="108">
        <f>IF(OtherClients[[#This Row],[Re-certified or New]]&lt;&gt;"Re-certified",IF(OtherClients[[#This Row],[Client]]="infasco",VLOOKUP(OtherClients[[#This Row],[Part]],PartControl!$A$2:$E$564,2,FALSE),OtherClients[[#This Row],[Total Quantity]]*VLOOKUP(OtherClients[[#This Row],[Part]],PartControl!$A$2:$E$564,2,FALSE)),0)</f>
        <v>106.94</v>
      </c>
      <c r="Z1346" s="108">
        <f>IF(OtherClients[[#This Row],[Re-certified or New]]&lt;&gt;"Re-certified",IF(OtherClients[[#This Row],[Client]]="infasco",VLOOKUP(OtherClients[[#This Row],[Part]],PartControl!$A$2:$E$564,2,FALSE),OtherClients[[#This Row],[Total Quantity]]*VLOOKUP(OtherClients[[#This Row],[Part]],PartControl!$A$2:$E$564,2,FALSE)),0)</f>
        <v>106.94</v>
      </c>
    </row>
    <row r="1347" spans="1:26" ht="25.15" hidden="1" customHeight="1" x14ac:dyDescent="0.25">
      <c r="A1347" s="112">
        <v>46254.679212962961</v>
      </c>
      <c r="B1347" s="5" t="s">
        <v>237</v>
      </c>
      <c r="C1347" s="5">
        <v>11549168</v>
      </c>
      <c r="D1347" s="5">
        <v>715771</v>
      </c>
      <c r="E1347" s="33">
        <v>27</v>
      </c>
      <c r="F1347" s="60">
        <v>1000</v>
      </c>
      <c r="G1347" s="60">
        <f>+OtherClients[[#This Row],[Boxes / Pieces]]*OtherClients[[#This Row],[Unit Quantity]]</f>
        <v>27000</v>
      </c>
      <c r="H1347" s="60">
        <v>290</v>
      </c>
      <c r="I1347" s="126" t="s">
        <v>278</v>
      </c>
      <c r="J1347" s="127"/>
      <c r="K1347" s="33" t="s">
        <v>278</v>
      </c>
      <c r="L1347" s="125"/>
      <c r="M1347" s="33" t="s">
        <v>278</v>
      </c>
      <c r="N1347" s="125"/>
      <c r="O1347" s="33" t="s">
        <v>278</v>
      </c>
      <c r="P1347" s="125"/>
      <c r="Q1347" s="33" t="s">
        <v>587</v>
      </c>
      <c r="R1347" s="125"/>
      <c r="S1347" s="33" t="s">
        <v>278</v>
      </c>
      <c r="T1347" s="125"/>
      <c r="U1347" s="33" t="s">
        <v>278</v>
      </c>
      <c r="V1347" s="125"/>
      <c r="W1347" s="59" t="s">
        <v>548</v>
      </c>
      <c r="X1347" s="33" t="str">
        <f>+VLOOKUP(OtherClients[[#This Row],[Part]],PartControl!$A$2:$E$564,5,FALSE)</f>
        <v>INFASCO</v>
      </c>
      <c r="Y1347" s="108">
        <f>IF(OtherClients[[#This Row],[Re-certified or New]]&lt;&gt;"Re-certified",IF(OtherClients[[#This Row],[Client]]="infasco",VLOOKUP(OtherClients[[#This Row],[Part]],PartControl!$A$2:$E$564,2,FALSE),OtherClients[[#This Row],[Total Quantity]]*VLOOKUP(OtherClients[[#This Row],[Part]],PartControl!$A$2:$E$564,2,FALSE)),0)</f>
        <v>106.94</v>
      </c>
      <c r="Z1347" s="108">
        <f>IF(OtherClients[[#This Row],[Re-certified or New]]&lt;&gt;"Re-certified",IF(OtherClients[[#This Row],[Client]]="infasco",VLOOKUP(OtherClients[[#This Row],[Part]],PartControl!$A$2:$E$564,2,FALSE),OtherClients[[#This Row],[Total Quantity]]*VLOOKUP(OtherClients[[#This Row],[Part]],PartControl!$A$2:$E$564,2,FALSE)),0)</f>
        <v>106.94</v>
      </c>
    </row>
    <row r="1348" spans="1:26" ht="25.15" hidden="1" customHeight="1" x14ac:dyDescent="0.25">
      <c r="A1348" s="112">
        <v>46254.679212962961</v>
      </c>
      <c r="B1348" s="5" t="s">
        <v>237</v>
      </c>
      <c r="C1348" s="5">
        <v>11549168</v>
      </c>
      <c r="D1348" s="5">
        <v>715774</v>
      </c>
      <c r="E1348" s="33">
        <v>41</v>
      </c>
      <c r="F1348" s="60">
        <v>1000</v>
      </c>
      <c r="G1348" s="60">
        <f>+OtherClients[[#This Row],[Boxes / Pieces]]*OtherClients[[#This Row],[Unit Quantity]]</f>
        <v>41000</v>
      </c>
      <c r="H1348" s="60">
        <v>290</v>
      </c>
      <c r="I1348" s="126" t="s">
        <v>278</v>
      </c>
      <c r="J1348" s="127"/>
      <c r="K1348" s="33" t="s">
        <v>278</v>
      </c>
      <c r="L1348" s="125"/>
      <c r="M1348" s="33" t="s">
        <v>278</v>
      </c>
      <c r="N1348" s="125"/>
      <c r="O1348" s="33" t="s">
        <v>278</v>
      </c>
      <c r="P1348" s="125"/>
      <c r="Q1348" s="33" t="s">
        <v>587</v>
      </c>
      <c r="R1348" s="125"/>
      <c r="S1348" s="33" t="s">
        <v>278</v>
      </c>
      <c r="T1348" s="125"/>
      <c r="U1348" s="33" t="s">
        <v>278</v>
      </c>
      <c r="V1348" s="125"/>
      <c r="W1348" s="59" t="s">
        <v>548</v>
      </c>
      <c r="X1348" s="33" t="str">
        <f>+VLOOKUP(OtherClients[[#This Row],[Part]],PartControl!$A$2:$E$564,5,FALSE)</f>
        <v>INFASCO</v>
      </c>
      <c r="Y1348" s="108">
        <f>IF(OtherClients[[#This Row],[Re-certified or New]]&lt;&gt;"Re-certified",IF(OtherClients[[#This Row],[Client]]="infasco",VLOOKUP(OtherClients[[#This Row],[Part]],PartControl!$A$2:$E$564,2,FALSE),OtherClients[[#This Row],[Total Quantity]]*VLOOKUP(OtherClients[[#This Row],[Part]],PartControl!$A$2:$E$564,2,FALSE)),0)</f>
        <v>106.94</v>
      </c>
      <c r="Z1348" s="108">
        <f>IF(OtherClients[[#This Row],[Re-certified or New]]&lt;&gt;"Re-certified",IF(OtherClients[[#This Row],[Client]]="infasco",VLOOKUP(OtherClients[[#This Row],[Part]],PartControl!$A$2:$E$564,2,FALSE),OtherClients[[#This Row],[Total Quantity]]*VLOOKUP(OtherClients[[#This Row],[Part]],PartControl!$A$2:$E$564,2,FALSE)),0)</f>
        <v>106.94</v>
      </c>
    </row>
    <row r="1349" spans="1:26" ht="25.15" hidden="1" customHeight="1" x14ac:dyDescent="0.25">
      <c r="A1349" s="112">
        <v>46254.679212962961</v>
      </c>
      <c r="B1349" s="5" t="s">
        <v>344</v>
      </c>
      <c r="C1349" s="5">
        <v>11549170</v>
      </c>
      <c r="D1349" s="5">
        <v>715778</v>
      </c>
      <c r="E1349" s="33">
        <v>38</v>
      </c>
      <c r="F1349" s="60">
        <v>400</v>
      </c>
      <c r="G1349" s="60">
        <f>+OtherClients[[#This Row],[Boxes / Pieces]]*OtherClients[[#This Row],[Unit Quantity]]</f>
        <v>15200</v>
      </c>
      <c r="H1349" s="60" t="s">
        <v>816</v>
      </c>
      <c r="I1349" s="126" t="s">
        <v>278</v>
      </c>
      <c r="J1349" s="127"/>
      <c r="K1349" s="33" t="s">
        <v>278</v>
      </c>
      <c r="L1349" s="125"/>
      <c r="M1349" s="33" t="s">
        <v>278</v>
      </c>
      <c r="N1349" s="125"/>
      <c r="O1349" s="33" t="s">
        <v>278</v>
      </c>
      <c r="P1349" s="125"/>
      <c r="Q1349" s="33" t="s">
        <v>587</v>
      </c>
      <c r="R1349" s="125"/>
      <c r="S1349" s="33" t="s">
        <v>278</v>
      </c>
      <c r="T1349" s="125"/>
      <c r="U1349" s="33" t="s">
        <v>278</v>
      </c>
      <c r="V1349" s="125"/>
      <c r="W1349" s="59" t="s">
        <v>548</v>
      </c>
      <c r="X1349" s="33" t="str">
        <f>+VLOOKUP(OtherClients[[#This Row],[Part]],PartControl!$A$2:$E$564,5,FALSE)</f>
        <v>INFASCO</v>
      </c>
      <c r="Y1349" s="108">
        <f>IF(OtherClients[[#This Row],[Re-certified or New]]&lt;&gt;"Re-certified",IF(OtherClients[[#This Row],[Client]]="infasco",VLOOKUP(OtherClients[[#This Row],[Part]],PartControl!$A$2:$E$564,2,FALSE),OtherClients[[#This Row],[Total Quantity]]*VLOOKUP(OtherClients[[#This Row],[Part]],PartControl!$A$2:$E$564,2,FALSE)),0)</f>
        <v>106.94</v>
      </c>
      <c r="Z1349" s="108">
        <f>IF(OtherClients[[#This Row],[Re-certified or New]]&lt;&gt;"Re-certified",IF(OtherClients[[#This Row],[Client]]="infasco",VLOOKUP(OtherClients[[#This Row],[Part]],PartControl!$A$2:$E$564,2,FALSE),OtherClients[[#This Row],[Total Quantity]]*VLOOKUP(OtherClients[[#This Row],[Part]],PartControl!$A$2:$E$564,2,FALSE)),0)</f>
        <v>106.94</v>
      </c>
    </row>
    <row r="1350" spans="1:26" ht="25.15" hidden="1" customHeight="1" x14ac:dyDescent="0.25">
      <c r="A1350" s="112">
        <v>46254.679212962961</v>
      </c>
      <c r="B1350" s="5" t="s">
        <v>342</v>
      </c>
      <c r="C1350" s="5">
        <v>11549170</v>
      </c>
      <c r="D1350" s="5">
        <v>715779</v>
      </c>
      <c r="E1350" s="33">
        <v>38</v>
      </c>
      <c r="F1350" s="60">
        <v>400</v>
      </c>
      <c r="G1350" s="60">
        <f>+OtherClients[[#This Row],[Boxes / Pieces]]*OtherClients[[#This Row],[Unit Quantity]]</f>
        <v>15200</v>
      </c>
      <c r="H1350" s="60" t="s">
        <v>811</v>
      </c>
      <c r="I1350" s="126" t="s">
        <v>278</v>
      </c>
      <c r="J1350" s="127"/>
      <c r="K1350" s="33" t="s">
        <v>278</v>
      </c>
      <c r="L1350" s="125"/>
      <c r="M1350" s="33" t="s">
        <v>278</v>
      </c>
      <c r="N1350" s="125"/>
      <c r="O1350" s="33" t="s">
        <v>278</v>
      </c>
      <c r="P1350" s="125"/>
      <c r="Q1350" s="33" t="s">
        <v>587</v>
      </c>
      <c r="R1350" s="125"/>
      <c r="S1350" s="33" t="s">
        <v>278</v>
      </c>
      <c r="T1350" s="125"/>
      <c r="U1350" s="33" t="s">
        <v>278</v>
      </c>
      <c r="V1350" s="125"/>
      <c r="W1350" s="59" t="s">
        <v>548</v>
      </c>
      <c r="X1350" s="33" t="str">
        <f>+VLOOKUP(OtherClients[[#This Row],[Part]],PartControl!$A$2:$E$564,5,FALSE)</f>
        <v>INFASCO</v>
      </c>
      <c r="Y1350" s="108">
        <f>IF(OtherClients[[#This Row],[Re-certified or New]]&lt;&gt;"Re-certified",IF(OtherClients[[#This Row],[Client]]="infasco",VLOOKUP(OtherClients[[#This Row],[Part]],PartControl!$A$2:$E$564,2,FALSE),OtherClients[[#This Row],[Total Quantity]]*VLOOKUP(OtherClients[[#This Row],[Part]],PartControl!$A$2:$E$564,2,FALSE)),0)</f>
        <v>106.94</v>
      </c>
      <c r="Z1350" s="108">
        <f>IF(OtherClients[[#This Row],[Re-certified or New]]&lt;&gt;"Re-certified",IF(OtherClients[[#This Row],[Client]]="infasco",VLOOKUP(OtherClients[[#This Row],[Part]],PartControl!$A$2:$E$564,2,FALSE),OtherClients[[#This Row],[Total Quantity]]*VLOOKUP(OtherClients[[#This Row],[Part]],PartControl!$A$2:$E$564,2,FALSE)),0)</f>
        <v>106.94</v>
      </c>
    </row>
    <row r="1351" spans="1:26" ht="25.15" hidden="1" customHeight="1" x14ac:dyDescent="0.25">
      <c r="A1351" s="112">
        <v>46256</v>
      </c>
      <c r="B1351" s="5" t="s">
        <v>239</v>
      </c>
      <c r="C1351" s="5">
        <v>11549170</v>
      </c>
      <c r="D1351" s="5">
        <v>716214</v>
      </c>
      <c r="E1351" s="33">
        <v>20</v>
      </c>
      <c r="F1351" s="60">
        <v>400</v>
      </c>
      <c r="G1351" s="60">
        <f>+OtherClients[[#This Row],[Boxes / Pieces]]*OtherClients[[#This Row],[Unit Quantity]]</f>
        <v>8000</v>
      </c>
      <c r="H1351" s="60">
        <v>290</v>
      </c>
      <c r="I1351" s="126" t="s">
        <v>278</v>
      </c>
      <c r="J1351" s="127"/>
      <c r="K1351" s="33" t="s">
        <v>278</v>
      </c>
      <c r="L1351" s="125"/>
      <c r="M1351" s="33" t="s">
        <v>278</v>
      </c>
      <c r="N1351" s="125"/>
      <c r="O1351" s="33" t="s">
        <v>278</v>
      </c>
      <c r="P1351" s="125"/>
      <c r="Q1351" s="33" t="s">
        <v>587</v>
      </c>
      <c r="R1351" s="125"/>
      <c r="S1351" s="33" t="s">
        <v>278</v>
      </c>
      <c r="T1351" s="125"/>
      <c r="U1351" s="33" t="s">
        <v>278</v>
      </c>
      <c r="V1351" s="125"/>
      <c r="W1351" s="59" t="s">
        <v>548</v>
      </c>
      <c r="X1351" s="33" t="str">
        <f>+VLOOKUP(OtherClients[[#This Row],[Part]],PartControl!$A$2:$E$564,5,FALSE)</f>
        <v>INFASCO</v>
      </c>
      <c r="Y1351" s="108">
        <f>IF(OtherClients[[#This Row],[Re-certified or New]]&lt;&gt;"Re-certified",IF(OtherClients[[#This Row],[Client]]="infasco",VLOOKUP(OtherClients[[#This Row],[Part]],PartControl!$A$2:$E$564,2,FALSE),OtherClients[[#This Row],[Total Quantity]]*VLOOKUP(OtherClients[[#This Row],[Part]],PartControl!$A$2:$E$564,2,FALSE)),0)</f>
        <v>106.94</v>
      </c>
      <c r="Z1351" s="108">
        <f>IF(OtherClients[[#This Row],[Re-certified or New]]&lt;&gt;"Re-certified",IF(OtherClients[[#This Row],[Client]]="infasco",VLOOKUP(OtherClients[[#This Row],[Part]],PartControl!$A$2:$E$564,2,FALSE),OtherClients[[#This Row],[Total Quantity]]*VLOOKUP(OtherClients[[#This Row],[Part]],PartControl!$A$2:$E$564,2,FALSE)),0)</f>
        <v>106.94</v>
      </c>
    </row>
    <row r="1352" spans="1:26" ht="25.15" hidden="1" customHeight="1" x14ac:dyDescent="0.25">
      <c r="A1352" s="112">
        <v>46256</v>
      </c>
      <c r="B1352" s="5" t="s">
        <v>240</v>
      </c>
      <c r="C1352" s="5" t="s">
        <v>700</v>
      </c>
      <c r="D1352" s="5">
        <v>715948</v>
      </c>
      <c r="E1352" s="33">
        <v>7</v>
      </c>
      <c r="F1352" s="60">
        <v>1000</v>
      </c>
      <c r="G1352" s="60">
        <f>+OtherClients[[#This Row],[Boxes / Pieces]]*OtherClients[[#This Row],[Unit Quantity]]</f>
        <v>7000</v>
      </c>
      <c r="H1352" s="60">
        <v>290</v>
      </c>
      <c r="I1352" s="126" t="s">
        <v>278</v>
      </c>
      <c r="J1352" s="127"/>
      <c r="K1352" s="33" t="s">
        <v>278</v>
      </c>
      <c r="L1352" s="125"/>
      <c r="M1352" s="33" t="s">
        <v>278</v>
      </c>
      <c r="N1352" s="125"/>
      <c r="O1352" s="33" t="s">
        <v>278</v>
      </c>
      <c r="P1352" s="125"/>
      <c r="Q1352" s="33" t="s">
        <v>587</v>
      </c>
      <c r="R1352" s="125"/>
      <c r="S1352" s="33" t="s">
        <v>278</v>
      </c>
      <c r="T1352" s="125"/>
      <c r="U1352" s="33" t="s">
        <v>278</v>
      </c>
      <c r="V1352" s="125"/>
      <c r="W1352" s="59" t="s">
        <v>633</v>
      </c>
      <c r="X1352" s="33" t="str">
        <f>+VLOOKUP(OtherClients[[#This Row],[Part]],PartControl!$A$2:$E$564,5,FALSE)</f>
        <v>infasco</v>
      </c>
      <c r="Y1352" s="108">
        <f>IF(OtherClients[[#This Row],[Re-certified or New]]&lt;&gt;"Re-certified",IF(OtherClients[[#This Row],[Client]]="infasco",VLOOKUP(OtherClients[[#This Row],[Part]],PartControl!$A$2:$E$564,2,FALSE),OtherClients[[#This Row],[Total Quantity]]*VLOOKUP(OtherClients[[#This Row],[Part]],PartControl!$A$2:$E$564,2,FALSE)),0)</f>
        <v>0</v>
      </c>
      <c r="Z1352" s="108">
        <f>IF(OtherClients[[#This Row],[Re-certified or New]]&lt;&gt;"Re-certified",IF(OtherClients[[#This Row],[Client]]="infasco",VLOOKUP(OtherClients[[#This Row],[Part]],PartControl!$A$2:$E$564,2,FALSE),OtherClients[[#This Row],[Total Quantity]]*VLOOKUP(OtherClients[[#This Row],[Part]],PartControl!$A$2:$E$564,2,FALSE)),0)</f>
        <v>0</v>
      </c>
    </row>
    <row r="1353" spans="1:26" ht="25.15" hidden="1" customHeight="1" x14ac:dyDescent="0.25">
      <c r="A1353" s="112">
        <v>46254.679212962961</v>
      </c>
      <c r="B1353" s="5" t="s">
        <v>345</v>
      </c>
      <c r="C1353" s="5">
        <v>11610128</v>
      </c>
      <c r="D1353" s="5">
        <v>715796</v>
      </c>
      <c r="E1353" s="33">
        <v>27</v>
      </c>
      <c r="F1353" s="60">
        <v>1125</v>
      </c>
      <c r="G1353" s="60">
        <f>+OtherClients[[#This Row],[Boxes / Pieces]]*OtherClients[[#This Row],[Unit Quantity]]</f>
        <v>30375</v>
      </c>
      <c r="H1353" s="60" t="s">
        <v>849</v>
      </c>
      <c r="I1353" s="126" t="s">
        <v>278</v>
      </c>
      <c r="J1353" s="127"/>
      <c r="K1353" s="33" t="s">
        <v>278</v>
      </c>
      <c r="L1353" s="125"/>
      <c r="M1353" s="33" t="s">
        <v>278</v>
      </c>
      <c r="N1353" s="125"/>
      <c r="O1353" s="33" t="s">
        <v>278</v>
      </c>
      <c r="P1353" s="125"/>
      <c r="Q1353" s="33" t="s">
        <v>587</v>
      </c>
      <c r="R1353" s="125"/>
      <c r="S1353" s="33" t="s">
        <v>278</v>
      </c>
      <c r="T1353" s="125"/>
      <c r="U1353" s="33" t="s">
        <v>278</v>
      </c>
      <c r="V1353" s="125"/>
      <c r="W1353" s="59" t="s">
        <v>548</v>
      </c>
      <c r="X1353" s="33" t="str">
        <f>+VLOOKUP(OtherClients[[#This Row],[Part]],PartControl!$A$2:$E$564,5,FALSE)</f>
        <v>INFASCO</v>
      </c>
      <c r="Y1353" s="108">
        <f>IF(OtherClients[[#This Row],[Re-certified or New]]&lt;&gt;"Re-certified",IF(OtherClients[[#This Row],[Client]]="infasco",VLOOKUP(OtherClients[[#This Row],[Part]],PartControl!$A$2:$E$564,2,FALSE),OtherClients[[#This Row],[Total Quantity]]*VLOOKUP(OtherClients[[#This Row],[Part]],PartControl!$A$2:$E$564,2,FALSE)),0)</f>
        <v>135.07999999999998</v>
      </c>
      <c r="Z1353" s="108">
        <f>IF(OtherClients[[#This Row],[Re-certified or New]]&lt;&gt;"Re-certified",IF(OtherClients[[#This Row],[Client]]="infasco",VLOOKUP(OtherClients[[#This Row],[Part]],PartControl!$A$2:$E$564,2,FALSE),OtherClients[[#This Row],[Total Quantity]]*VLOOKUP(OtherClients[[#This Row],[Part]],PartControl!$A$2:$E$564,2,FALSE)),0)</f>
        <v>135.07999999999998</v>
      </c>
    </row>
    <row r="1354" spans="1:26" ht="25.15" hidden="1" customHeight="1" x14ac:dyDescent="0.25">
      <c r="A1354" s="112">
        <v>46254.679212962961</v>
      </c>
      <c r="B1354" s="5" t="s">
        <v>346</v>
      </c>
      <c r="C1354" s="5">
        <v>11610128</v>
      </c>
      <c r="D1354" s="5">
        <v>715797</v>
      </c>
      <c r="E1354" s="33">
        <v>29</v>
      </c>
      <c r="F1354" s="60">
        <v>1125</v>
      </c>
      <c r="G1354" s="60">
        <f>+OtherClients[[#This Row],[Boxes / Pieces]]*OtherClients[[#This Row],[Unit Quantity]]</f>
        <v>32625</v>
      </c>
      <c r="H1354" s="60" t="s">
        <v>871</v>
      </c>
      <c r="I1354" s="126" t="s">
        <v>278</v>
      </c>
      <c r="J1354" s="127"/>
      <c r="K1354" s="33" t="s">
        <v>278</v>
      </c>
      <c r="L1354" s="125"/>
      <c r="M1354" s="33" t="s">
        <v>278</v>
      </c>
      <c r="N1354" s="125"/>
      <c r="O1354" s="33" t="s">
        <v>278</v>
      </c>
      <c r="P1354" s="125"/>
      <c r="Q1354" s="33" t="s">
        <v>587</v>
      </c>
      <c r="R1354" s="125"/>
      <c r="S1354" s="33" t="s">
        <v>278</v>
      </c>
      <c r="T1354" s="125"/>
      <c r="U1354" s="33" t="s">
        <v>278</v>
      </c>
      <c r="V1354" s="125"/>
      <c r="W1354" s="59" t="s">
        <v>548</v>
      </c>
      <c r="X1354" s="33" t="str">
        <f>+VLOOKUP(OtherClients[[#This Row],[Part]],PartControl!$A$2:$E$564,5,FALSE)</f>
        <v>INFASCO</v>
      </c>
      <c r="Y1354" s="108">
        <f>IF(OtherClients[[#This Row],[Re-certified or New]]&lt;&gt;"Re-certified",IF(OtherClients[[#This Row],[Client]]="infasco",VLOOKUP(OtherClients[[#This Row],[Part]],PartControl!$A$2:$E$564,2,FALSE),OtherClients[[#This Row],[Total Quantity]]*VLOOKUP(OtherClients[[#This Row],[Part]],PartControl!$A$2:$E$564,2,FALSE)),0)</f>
        <v>135.07999999999998</v>
      </c>
      <c r="Z1354" s="108">
        <f>IF(OtherClients[[#This Row],[Re-certified or New]]&lt;&gt;"Re-certified",IF(OtherClients[[#This Row],[Client]]="infasco",VLOOKUP(OtherClients[[#This Row],[Part]],PartControl!$A$2:$E$564,2,FALSE),OtherClients[[#This Row],[Total Quantity]]*VLOOKUP(OtherClients[[#This Row],[Part]],PartControl!$A$2:$E$564,2,FALSE)),0)</f>
        <v>135.07999999999998</v>
      </c>
    </row>
    <row r="1355" spans="1:26" ht="25.15" hidden="1" customHeight="1" x14ac:dyDescent="0.25">
      <c r="A1355" s="112">
        <v>46254.679212962961</v>
      </c>
      <c r="B1355" s="5" t="s">
        <v>342</v>
      </c>
      <c r="C1355" s="5">
        <v>11549170</v>
      </c>
      <c r="D1355" s="5">
        <v>715820</v>
      </c>
      <c r="E1355" s="33">
        <v>36</v>
      </c>
      <c r="F1355" s="60">
        <v>400</v>
      </c>
      <c r="G1355" s="60">
        <f>+OtherClients[[#This Row],[Boxes / Pieces]]*OtherClients[[#This Row],[Unit Quantity]]</f>
        <v>14400</v>
      </c>
      <c r="H1355" s="60" t="s">
        <v>811</v>
      </c>
      <c r="I1355" s="126" t="s">
        <v>278</v>
      </c>
      <c r="J1355" s="127"/>
      <c r="K1355" s="33" t="s">
        <v>278</v>
      </c>
      <c r="L1355" s="125"/>
      <c r="M1355" s="33" t="s">
        <v>278</v>
      </c>
      <c r="N1355" s="125"/>
      <c r="O1355" s="33" t="s">
        <v>278</v>
      </c>
      <c r="P1355" s="125"/>
      <c r="Q1355" s="33" t="s">
        <v>587</v>
      </c>
      <c r="R1355" s="125"/>
      <c r="S1355" s="33" t="s">
        <v>278</v>
      </c>
      <c r="T1355" s="125"/>
      <c r="U1355" s="33" t="s">
        <v>278</v>
      </c>
      <c r="V1355" s="125"/>
      <c r="W1355" s="59" t="s">
        <v>548</v>
      </c>
      <c r="X1355" s="33" t="str">
        <f>+VLOOKUP(OtherClients[[#This Row],[Part]],PartControl!$A$2:$E$564,5,FALSE)</f>
        <v>INFASCO</v>
      </c>
      <c r="Y1355" s="108">
        <f>IF(OtherClients[[#This Row],[Re-certified or New]]&lt;&gt;"Re-certified",IF(OtherClients[[#This Row],[Client]]="infasco",VLOOKUP(OtherClients[[#This Row],[Part]],PartControl!$A$2:$E$564,2,FALSE),OtherClients[[#This Row],[Total Quantity]]*VLOOKUP(OtherClients[[#This Row],[Part]],PartControl!$A$2:$E$564,2,FALSE)),0)</f>
        <v>106.94</v>
      </c>
      <c r="Z1355" s="108">
        <f>IF(OtherClients[[#This Row],[Re-certified or New]]&lt;&gt;"Re-certified",IF(OtherClients[[#This Row],[Client]]="infasco",VLOOKUP(OtherClients[[#This Row],[Part]],PartControl!$A$2:$E$564,2,FALSE),OtherClients[[#This Row],[Total Quantity]]*VLOOKUP(OtherClients[[#This Row],[Part]],PartControl!$A$2:$E$564,2,FALSE)),0)</f>
        <v>106.94</v>
      </c>
    </row>
    <row r="1356" spans="1:26" ht="25.15" hidden="1" customHeight="1" x14ac:dyDescent="0.25">
      <c r="A1356" s="112">
        <v>46254.679212962961</v>
      </c>
      <c r="B1356" s="5" t="s">
        <v>342</v>
      </c>
      <c r="C1356" s="5">
        <v>11549170</v>
      </c>
      <c r="D1356" s="5">
        <v>715821</v>
      </c>
      <c r="E1356" s="33">
        <v>57</v>
      </c>
      <c r="F1356" s="60">
        <v>400</v>
      </c>
      <c r="G1356" s="60">
        <f>+OtherClients[[#This Row],[Boxes / Pieces]]*OtherClients[[#This Row],[Unit Quantity]]</f>
        <v>22800</v>
      </c>
      <c r="H1356" s="60" t="s">
        <v>811</v>
      </c>
      <c r="I1356" s="126" t="s">
        <v>278</v>
      </c>
      <c r="J1356" s="127"/>
      <c r="K1356" s="33" t="s">
        <v>278</v>
      </c>
      <c r="L1356" s="125"/>
      <c r="M1356" s="33" t="s">
        <v>278</v>
      </c>
      <c r="N1356" s="125"/>
      <c r="O1356" s="33" t="s">
        <v>278</v>
      </c>
      <c r="P1356" s="125"/>
      <c r="Q1356" s="33" t="s">
        <v>587</v>
      </c>
      <c r="R1356" s="125"/>
      <c r="S1356" s="33" t="s">
        <v>278</v>
      </c>
      <c r="T1356" s="125"/>
      <c r="U1356" s="33" t="s">
        <v>278</v>
      </c>
      <c r="V1356" s="125"/>
      <c r="W1356" s="59" t="s">
        <v>548</v>
      </c>
      <c r="X1356" s="33" t="str">
        <f>+VLOOKUP(OtherClients[[#This Row],[Part]],PartControl!$A$2:$E$564,5,FALSE)</f>
        <v>INFASCO</v>
      </c>
      <c r="Y1356" s="108">
        <f>IF(OtherClients[[#This Row],[Re-certified or New]]&lt;&gt;"Re-certified",IF(OtherClients[[#This Row],[Client]]="infasco",VLOOKUP(OtherClients[[#This Row],[Part]],PartControl!$A$2:$E$564,2,FALSE),OtherClients[[#This Row],[Total Quantity]]*VLOOKUP(OtherClients[[#This Row],[Part]],PartControl!$A$2:$E$564,2,FALSE)),0)</f>
        <v>106.94</v>
      </c>
      <c r="Z1356" s="108">
        <f>IF(OtherClients[[#This Row],[Re-certified or New]]&lt;&gt;"Re-certified",IF(OtherClients[[#This Row],[Client]]="infasco",VLOOKUP(OtherClients[[#This Row],[Part]],PartControl!$A$2:$E$564,2,FALSE),OtherClients[[#This Row],[Total Quantity]]*VLOOKUP(OtherClients[[#This Row],[Part]],PartControl!$A$2:$E$564,2,FALSE)),0)</f>
        <v>106.94</v>
      </c>
    </row>
    <row r="1357" spans="1:26" ht="25.15" hidden="1" customHeight="1" x14ac:dyDescent="0.25">
      <c r="A1357" s="112">
        <v>46256</v>
      </c>
      <c r="B1357" s="5" t="s">
        <v>240</v>
      </c>
      <c r="C1357" s="5" t="s">
        <v>700</v>
      </c>
      <c r="D1357" s="5">
        <v>715950</v>
      </c>
      <c r="E1357" s="33">
        <v>36</v>
      </c>
      <c r="F1357" s="60">
        <v>1000</v>
      </c>
      <c r="G1357" s="60">
        <f>+OtherClients[[#This Row],[Boxes / Pieces]]*OtherClients[[#This Row],[Unit Quantity]]</f>
        <v>36000</v>
      </c>
      <c r="H1357" s="60">
        <v>290</v>
      </c>
      <c r="I1357" s="126" t="s">
        <v>278</v>
      </c>
      <c r="J1357" s="127"/>
      <c r="K1357" s="33" t="s">
        <v>278</v>
      </c>
      <c r="L1357" s="125"/>
      <c r="M1357" s="33" t="s">
        <v>278</v>
      </c>
      <c r="N1357" s="125"/>
      <c r="O1357" s="33" t="s">
        <v>278</v>
      </c>
      <c r="P1357" s="125"/>
      <c r="Q1357" s="33" t="s">
        <v>587</v>
      </c>
      <c r="R1357" s="125"/>
      <c r="S1357" s="33" t="s">
        <v>278</v>
      </c>
      <c r="T1357" s="125"/>
      <c r="U1357" s="33" t="s">
        <v>278</v>
      </c>
      <c r="V1357" s="125"/>
      <c r="W1357" s="59" t="s">
        <v>548</v>
      </c>
      <c r="X1357" s="33" t="str">
        <f>+VLOOKUP(OtherClients[[#This Row],[Part]],PartControl!$A$2:$E$564,5,FALSE)</f>
        <v>infasco</v>
      </c>
      <c r="Y1357" s="108">
        <f>IF(OtherClients[[#This Row],[Re-certified or New]]&lt;&gt;"Re-certified",IF(OtherClients[[#This Row],[Client]]="infasco",VLOOKUP(OtherClients[[#This Row],[Part]],PartControl!$A$2:$E$564,2,FALSE),OtherClients[[#This Row],[Total Quantity]]*VLOOKUP(OtherClients[[#This Row],[Part]],PartControl!$A$2:$E$564,2,FALSE)),0)</f>
        <v>106.94</v>
      </c>
      <c r="Z1357" s="108">
        <f>IF(OtherClients[[#This Row],[Re-certified or New]]&lt;&gt;"Re-certified",IF(OtherClients[[#This Row],[Client]]="infasco",VLOOKUP(OtherClients[[#This Row],[Part]],PartControl!$A$2:$E$564,2,FALSE),OtherClients[[#This Row],[Total Quantity]]*VLOOKUP(OtherClients[[#This Row],[Part]],PartControl!$A$2:$E$564,2,FALSE)),0)</f>
        <v>106.94</v>
      </c>
    </row>
    <row r="1358" spans="1:26" ht="25.15" hidden="1" customHeight="1" x14ac:dyDescent="0.25">
      <c r="A1358" s="112">
        <v>46256</v>
      </c>
      <c r="B1358" s="5" t="s">
        <v>240</v>
      </c>
      <c r="C1358" s="5" t="s">
        <v>703</v>
      </c>
      <c r="D1358" s="5">
        <v>716372</v>
      </c>
      <c r="E1358" s="33">
        <v>28</v>
      </c>
      <c r="F1358" s="60">
        <v>700</v>
      </c>
      <c r="G1358" s="60">
        <f>+OtherClients[[#This Row],[Boxes / Pieces]]*OtherClients[[#This Row],[Unit Quantity]]</f>
        <v>19600</v>
      </c>
      <c r="H1358" s="60">
        <v>290</v>
      </c>
      <c r="I1358" s="126" t="s">
        <v>278</v>
      </c>
      <c r="J1358" s="127"/>
      <c r="K1358" s="33" t="s">
        <v>278</v>
      </c>
      <c r="L1358" s="125"/>
      <c r="M1358" s="33" t="s">
        <v>278</v>
      </c>
      <c r="N1358" s="125"/>
      <c r="O1358" s="33" t="s">
        <v>278</v>
      </c>
      <c r="P1358" s="125"/>
      <c r="Q1358" s="33" t="s">
        <v>587</v>
      </c>
      <c r="R1358" s="125"/>
      <c r="S1358" s="33" t="s">
        <v>278</v>
      </c>
      <c r="T1358" s="125"/>
      <c r="U1358" s="33" t="s">
        <v>278</v>
      </c>
      <c r="V1358" s="125"/>
      <c r="W1358" s="59" t="s">
        <v>548</v>
      </c>
      <c r="X1358" s="33" t="str">
        <f>+VLOOKUP(OtherClients[[#This Row],[Part]],PartControl!$A$2:$E$564,5,FALSE)</f>
        <v>infasco</v>
      </c>
      <c r="Y1358" s="108">
        <f>IF(OtherClients[[#This Row],[Re-certified or New]]&lt;&gt;"Re-certified",IF(OtherClients[[#This Row],[Client]]="infasco",VLOOKUP(OtherClients[[#This Row],[Part]],PartControl!$A$2:$E$564,2,FALSE),OtherClients[[#This Row],[Total Quantity]]*VLOOKUP(OtherClients[[#This Row],[Part]],PartControl!$A$2:$E$564,2,FALSE)),0)</f>
        <v>106.94</v>
      </c>
      <c r="Z1358" s="108">
        <f>IF(OtherClients[[#This Row],[Re-certified or New]]&lt;&gt;"Re-certified",IF(OtherClients[[#This Row],[Client]]="infasco",VLOOKUP(OtherClients[[#This Row],[Part]],PartControl!$A$2:$E$564,2,FALSE),OtherClients[[#This Row],[Total Quantity]]*VLOOKUP(OtherClients[[#This Row],[Part]],PartControl!$A$2:$E$564,2,FALSE)),0)</f>
        <v>106.94</v>
      </c>
    </row>
    <row r="1359" spans="1:26" ht="25.15" hidden="1" customHeight="1" x14ac:dyDescent="0.25">
      <c r="A1359" s="112">
        <v>46254.679212962961</v>
      </c>
      <c r="B1359" s="5" t="s">
        <v>237</v>
      </c>
      <c r="C1359" s="5" t="s">
        <v>860</v>
      </c>
      <c r="D1359" s="5">
        <v>715962</v>
      </c>
      <c r="E1359" s="33">
        <v>26</v>
      </c>
      <c r="F1359" s="60">
        <v>1250</v>
      </c>
      <c r="G1359" s="60">
        <f>+OtherClients[[#This Row],[Boxes / Pieces]]*OtherClients[[#This Row],[Unit Quantity]]</f>
        <v>32500</v>
      </c>
      <c r="H1359" s="60">
        <v>290</v>
      </c>
      <c r="I1359" s="126" t="s">
        <v>278</v>
      </c>
      <c r="J1359" s="127"/>
      <c r="K1359" s="33" t="s">
        <v>278</v>
      </c>
      <c r="L1359" s="125"/>
      <c r="M1359" s="33" t="s">
        <v>278</v>
      </c>
      <c r="N1359" s="125"/>
      <c r="O1359" s="33" t="s">
        <v>278</v>
      </c>
      <c r="P1359" s="125"/>
      <c r="Q1359" s="33" t="s">
        <v>587</v>
      </c>
      <c r="R1359" s="125"/>
      <c r="S1359" s="33" t="s">
        <v>278</v>
      </c>
      <c r="T1359" s="125"/>
      <c r="U1359" s="33" t="s">
        <v>278</v>
      </c>
      <c r="V1359" s="125"/>
      <c r="W1359" s="59" t="s">
        <v>633</v>
      </c>
      <c r="X1359" s="33" t="str">
        <f>+VLOOKUP(OtherClients[[#This Row],[Part]],PartControl!$A$2:$E$564,5,FALSE)</f>
        <v>infasco</v>
      </c>
      <c r="Y1359" s="108">
        <f>IF(OtherClients[[#This Row],[Re-certified or New]]&lt;&gt;"Re-certified",IF(OtherClients[[#This Row],[Client]]="infasco",VLOOKUP(OtherClients[[#This Row],[Part]],PartControl!$A$2:$E$564,2,FALSE),OtherClients[[#This Row],[Total Quantity]]*VLOOKUP(OtherClients[[#This Row],[Part]],PartControl!$A$2:$E$564,2,FALSE)),0)</f>
        <v>0</v>
      </c>
      <c r="Z1359" s="108">
        <f>IF(OtherClients[[#This Row],[Re-certified or New]]&lt;&gt;"Re-certified",IF(OtherClients[[#This Row],[Client]]="infasco",VLOOKUP(OtherClients[[#This Row],[Part]],PartControl!$A$2:$E$564,2,FALSE),OtherClients[[#This Row],[Total Quantity]]*VLOOKUP(OtherClients[[#This Row],[Part]],PartControl!$A$2:$E$564,2,FALSE)),0)</f>
        <v>0</v>
      </c>
    </row>
    <row r="1360" spans="1:26" ht="25.15" hidden="1" customHeight="1" x14ac:dyDescent="0.25">
      <c r="A1360" s="112">
        <v>46255.694016203706</v>
      </c>
      <c r="B1360" s="5" t="s">
        <v>237</v>
      </c>
      <c r="C1360" s="5" t="s">
        <v>860</v>
      </c>
      <c r="D1360" s="5">
        <v>715962</v>
      </c>
      <c r="E1360" s="33">
        <f>36-26</f>
        <v>10</v>
      </c>
      <c r="F1360" s="60">
        <v>1250</v>
      </c>
      <c r="G1360" s="60">
        <f>+OtherClients[[#This Row],[Boxes / Pieces]]*OtherClients[[#This Row],[Unit Quantity]]</f>
        <v>12500</v>
      </c>
      <c r="H1360" s="60">
        <v>290</v>
      </c>
      <c r="I1360" s="126" t="s">
        <v>278</v>
      </c>
      <c r="J1360" s="127"/>
      <c r="K1360" s="33" t="s">
        <v>278</v>
      </c>
      <c r="L1360" s="125"/>
      <c r="M1360" s="33" t="s">
        <v>278</v>
      </c>
      <c r="N1360" s="125"/>
      <c r="O1360" s="33" t="s">
        <v>278</v>
      </c>
      <c r="P1360" s="125"/>
      <c r="Q1360" s="33" t="s">
        <v>587</v>
      </c>
      <c r="R1360" s="125"/>
      <c r="S1360" s="33" t="s">
        <v>278</v>
      </c>
      <c r="T1360" s="125"/>
      <c r="U1360" s="33" t="s">
        <v>278</v>
      </c>
      <c r="V1360" s="125"/>
      <c r="W1360" s="59" t="s">
        <v>548</v>
      </c>
      <c r="X1360" s="33" t="str">
        <f>+VLOOKUP(OtherClients[[#This Row],[Part]],PartControl!$A$2:$E$564,5,FALSE)</f>
        <v>infasco</v>
      </c>
      <c r="Y1360" s="108">
        <f>IF(OtherClients[[#This Row],[Re-certified or New]]&lt;&gt;"Re-certified",IF(OtherClients[[#This Row],[Client]]="infasco",VLOOKUP(OtherClients[[#This Row],[Part]],PartControl!$A$2:$E$564,2,FALSE),OtherClients[[#This Row],[Total Quantity]]*VLOOKUP(OtherClients[[#This Row],[Part]],PartControl!$A$2:$E$564,2,FALSE)),0)</f>
        <v>106.94</v>
      </c>
      <c r="Z1360" s="108">
        <f>IF(OtherClients[[#This Row],[Re-certified or New]]&lt;&gt;"Re-certified",IF(OtherClients[[#This Row],[Client]]="infasco",VLOOKUP(OtherClients[[#This Row],[Part]],PartControl!$A$2:$E$564,2,FALSE),OtherClients[[#This Row],[Total Quantity]]*VLOOKUP(OtherClients[[#This Row],[Part]],PartControl!$A$2:$E$564,2,FALSE)),0)</f>
        <v>106.94</v>
      </c>
    </row>
    <row r="1361" spans="1:26" ht="25.15" hidden="1" customHeight="1" x14ac:dyDescent="0.25">
      <c r="A1361" s="112">
        <v>46255.694016203706</v>
      </c>
      <c r="B1361" s="5" t="s">
        <v>237</v>
      </c>
      <c r="C1361" s="5" t="s">
        <v>860</v>
      </c>
      <c r="D1361" s="5">
        <v>715965</v>
      </c>
      <c r="E1361" s="33">
        <v>36</v>
      </c>
      <c r="F1361" s="60">
        <v>1250</v>
      </c>
      <c r="G1361" s="60">
        <f>+OtherClients[[#This Row],[Boxes / Pieces]]*OtherClients[[#This Row],[Unit Quantity]]</f>
        <v>45000</v>
      </c>
      <c r="H1361" s="60">
        <v>290</v>
      </c>
      <c r="I1361" s="126" t="s">
        <v>278</v>
      </c>
      <c r="J1361" s="127"/>
      <c r="K1361" s="33" t="s">
        <v>278</v>
      </c>
      <c r="L1361" s="125"/>
      <c r="M1361" s="33" t="s">
        <v>278</v>
      </c>
      <c r="N1361" s="125"/>
      <c r="O1361" s="33" t="s">
        <v>278</v>
      </c>
      <c r="P1361" s="125"/>
      <c r="Q1361" s="33" t="s">
        <v>587</v>
      </c>
      <c r="R1361" s="125"/>
      <c r="S1361" s="33" t="s">
        <v>278</v>
      </c>
      <c r="T1361" s="125"/>
      <c r="U1361" s="33" t="s">
        <v>278</v>
      </c>
      <c r="V1361" s="125"/>
      <c r="W1361" s="59" t="s">
        <v>548</v>
      </c>
      <c r="X1361" s="33" t="str">
        <f>+VLOOKUP(OtherClients[[#This Row],[Part]],PartControl!$A$2:$E$564,5,FALSE)</f>
        <v>infasco</v>
      </c>
      <c r="Y1361" s="108">
        <f>IF(OtherClients[[#This Row],[Re-certified or New]]&lt;&gt;"Re-certified",IF(OtherClients[[#This Row],[Client]]="infasco",VLOOKUP(OtherClients[[#This Row],[Part]],PartControl!$A$2:$E$564,2,FALSE),OtherClients[[#This Row],[Total Quantity]]*VLOOKUP(OtherClients[[#This Row],[Part]],PartControl!$A$2:$E$564,2,FALSE)),0)</f>
        <v>106.94</v>
      </c>
      <c r="Z1361" s="108">
        <f>IF(OtherClients[[#This Row],[Re-certified or New]]&lt;&gt;"Re-certified",IF(OtherClients[[#This Row],[Client]]="infasco",VLOOKUP(OtherClients[[#This Row],[Part]],PartControl!$A$2:$E$564,2,FALSE),OtherClients[[#This Row],[Total Quantity]]*VLOOKUP(OtherClients[[#This Row],[Part]],PartControl!$A$2:$E$564,2,FALSE)),0)</f>
        <v>106.94</v>
      </c>
    </row>
    <row r="1362" spans="1:26" ht="25.15" hidden="1" customHeight="1" x14ac:dyDescent="0.25">
      <c r="A1362" s="112">
        <v>46256</v>
      </c>
      <c r="B1362" s="5" t="s">
        <v>242</v>
      </c>
      <c r="C1362" s="5">
        <v>11549170</v>
      </c>
      <c r="D1362" s="5">
        <v>716220</v>
      </c>
      <c r="E1362" s="33">
        <f>36+6</f>
        <v>42</v>
      </c>
      <c r="F1362" s="60">
        <v>400</v>
      </c>
      <c r="G1362" s="60">
        <f>+OtherClients[[#This Row],[Boxes / Pieces]]*OtherClients[[#This Row],[Unit Quantity]]</f>
        <v>16800</v>
      </c>
      <c r="H1362" s="60">
        <v>275</v>
      </c>
      <c r="I1362" s="126" t="s">
        <v>278</v>
      </c>
      <c r="J1362" s="127"/>
      <c r="K1362" s="33" t="s">
        <v>278</v>
      </c>
      <c r="L1362" s="125"/>
      <c r="M1362" s="33" t="s">
        <v>278</v>
      </c>
      <c r="N1362" s="125"/>
      <c r="O1362" s="33" t="s">
        <v>278</v>
      </c>
      <c r="P1362" s="125"/>
      <c r="Q1362" s="33" t="s">
        <v>587</v>
      </c>
      <c r="R1362" s="125"/>
      <c r="S1362" s="33" t="s">
        <v>278</v>
      </c>
      <c r="T1362" s="125"/>
      <c r="U1362" s="33" t="s">
        <v>278</v>
      </c>
      <c r="V1362" s="125"/>
      <c r="W1362" s="59" t="s">
        <v>633</v>
      </c>
      <c r="X1362" s="33" t="str">
        <f>+VLOOKUP(OtherClients[[#This Row],[Part]],PartControl!$A$2:$E$564,5,FALSE)</f>
        <v>INFASCO</v>
      </c>
      <c r="Y1362" s="108">
        <f>IF(OtherClients[[#This Row],[Re-certified or New]]&lt;&gt;"Re-certified",IF(OtherClients[[#This Row],[Client]]="infasco",VLOOKUP(OtherClients[[#This Row],[Part]],PartControl!$A$2:$E$564,2,FALSE),OtherClients[[#This Row],[Total Quantity]]*VLOOKUP(OtherClients[[#This Row],[Part]],PartControl!$A$2:$E$564,2,FALSE)),0)</f>
        <v>0</v>
      </c>
      <c r="Z1362" s="108">
        <f>IF(OtherClients[[#This Row],[Re-certified or New]]&lt;&gt;"Re-certified",IF(OtherClients[[#This Row],[Client]]="infasco",VLOOKUP(OtherClients[[#This Row],[Part]],PartControl!$A$2:$E$564,2,FALSE),OtherClients[[#This Row],[Total Quantity]]*VLOOKUP(OtherClients[[#This Row],[Part]],PartControl!$A$2:$E$564,2,FALSE)),0)</f>
        <v>0</v>
      </c>
    </row>
    <row r="1363" spans="1:26" ht="25.15" hidden="1" customHeight="1" x14ac:dyDescent="0.25">
      <c r="A1363" s="112">
        <v>46255.694016203706</v>
      </c>
      <c r="B1363" s="5" t="s">
        <v>237</v>
      </c>
      <c r="C1363" s="5" t="s">
        <v>860</v>
      </c>
      <c r="D1363" s="5">
        <v>715969</v>
      </c>
      <c r="E1363" s="33">
        <v>36</v>
      </c>
      <c r="F1363" s="60">
        <v>1250</v>
      </c>
      <c r="G1363" s="60">
        <f>+OtherClients[[#This Row],[Boxes / Pieces]]*OtherClients[[#This Row],[Unit Quantity]]</f>
        <v>45000</v>
      </c>
      <c r="H1363" s="60">
        <v>290</v>
      </c>
      <c r="I1363" s="126" t="s">
        <v>278</v>
      </c>
      <c r="J1363" s="127"/>
      <c r="K1363" s="33" t="s">
        <v>278</v>
      </c>
      <c r="L1363" s="125"/>
      <c r="M1363" s="33" t="s">
        <v>278</v>
      </c>
      <c r="N1363" s="125"/>
      <c r="O1363" s="33" t="s">
        <v>278</v>
      </c>
      <c r="P1363" s="125"/>
      <c r="Q1363" s="33" t="s">
        <v>587</v>
      </c>
      <c r="R1363" s="125"/>
      <c r="S1363" s="33" t="s">
        <v>278</v>
      </c>
      <c r="T1363" s="125"/>
      <c r="U1363" s="33" t="s">
        <v>278</v>
      </c>
      <c r="V1363" s="125"/>
      <c r="W1363" s="59" t="s">
        <v>548</v>
      </c>
      <c r="X1363" s="33" t="str">
        <f>+VLOOKUP(OtherClients[[#This Row],[Part]],PartControl!$A$2:$E$564,5,FALSE)</f>
        <v>infasco</v>
      </c>
      <c r="Y1363" s="108">
        <f>IF(OtherClients[[#This Row],[Re-certified or New]]&lt;&gt;"Re-certified",IF(OtherClients[[#This Row],[Client]]="infasco",VLOOKUP(OtherClients[[#This Row],[Part]],PartControl!$A$2:$E$564,2,FALSE),OtherClients[[#This Row],[Total Quantity]]*VLOOKUP(OtherClients[[#This Row],[Part]],PartControl!$A$2:$E$564,2,FALSE)),0)</f>
        <v>106.94</v>
      </c>
      <c r="Z1363" s="108">
        <f>IF(OtherClients[[#This Row],[Re-certified or New]]&lt;&gt;"Re-certified",IF(OtherClients[[#This Row],[Client]]="infasco",VLOOKUP(OtherClients[[#This Row],[Part]],PartControl!$A$2:$E$564,2,FALSE),OtherClients[[#This Row],[Total Quantity]]*VLOOKUP(OtherClients[[#This Row],[Part]],PartControl!$A$2:$E$564,2,FALSE)),0)</f>
        <v>106.94</v>
      </c>
    </row>
    <row r="1364" spans="1:26" ht="25.15" hidden="1" customHeight="1" x14ac:dyDescent="0.25">
      <c r="A1364" s="112">
        <v>46256</v>
      </c>
      <c r="B1364" s="5" t="s">
        <v>242</v>
      </c>
      <c r="C1364" s="5">
        <v>11549170</v>
      </c>
      <c r="D1364" s="5">
        <v>716226</v>
      </c>
      <c r="E1364" s="33">
        <f>36-22</f>
        <v>14</v>
      </c>
      <c r="F1364" s="60">
        <v>400</v>
      </c>
      <c r="G1364" s="60">
        <f>+OtherClients[[#This Row],[Boxes / Pieces]]*OtherClients[[#This Row],[Unit Quantity]]</f>
        <v>5600</v>
      </c>
      <c r="H1364" s="60">
        <v>275</v>
      </c>
      <c r="I1364" s="126" t="s">
        <v>278</v>
      </c>
      <c r="J1364" s="127"/>
      <c r="K1364" s="33" t="s">
        <v>278</v>
      </c>
      <c r="L1364" s="125"/>
      <c r="M1364" s="33" t="s">
        <v>278</v>
      </c>
      <c r="N1364" s="125"/>
      <c r="O1364" s="33" t="s">
        <v>278</v>
      </c>
      <c r="P1364" s="125"/>
      <c r="Q1364" s="33" t="s">
        <v>587</v>
      </c>
      <c r="R1364" s="125"/>
      <c r="S1364" s="33" t="s">
        <v>278</v>
      </c>
      <c r="T1364" s="125"/>
      <c r="U1364" s="33" t="s">
        <v>278</v>
      </c>
      <c r="V1364" s="125"/>
      <c r="W1364" s="59" t="s">
        <v>548</v>
      </c>
      <c r="X1364" s="33" t="str">
        <f>+VLOOKUP(OtherClients[[#This Row],[Part]],PartControl!$A$2:$E$564,5,FALSE)</f>
        <v>INFASCO</v>
      </c>
      <c r="Y1364" s="108">
        <f>IF(OtherClients[[#This Row],[Re-certified or New]]&lt;&gt;"Re-certified",IF(OtherClients[[#This Row],[Client]]="infasco",VLOOKUP(OtherClients[[#This Row],[Part]],PartControl!$A$2:$E$564,2,FALSE),OtherClients[[#This Row],[Total Quantity]]*VLOOKUP(OtherClients[[#This Row],[Part]],PartControl!$A$2:$E$564,2,FALSE)),0)</f>
        <v>106.94</v>
      </c>
      <c r="Z1364" s="108">
        <f>IF(OtherClients[[#This Row],[Re-certified or New]]&lt;&gt;"Re-certified",IF(OtherClients[[#This Row],[Client]]="infasco",VLOOKUP(OtherClients[[#This Row],[Part]],PartControl!$A$2:$E$564,2,FALSE),OtherClients[[#This Row],[Total Quantity]]*VLOOKUP(OtherClients[[#This Row],[Part]],PartControl!$A$2:$E$564,2,FALSE)),0)</f>
        <v>106.94</v>
      </c>
    </row>
    <row r="1365" spans="1:26" ht="25.15" hidden="1" customHeight="1" x14ac:dyDescent="0.25">
      <c r="A1365" s="112">
        <v>46254.679212962961</v>
      </c>
      <c r="B1365" s="5" t="s">
        <v>344</v>
      </c>
      <c r="C1365" s="5">
        <v>11546571</v>
      </c>
      <c r="D1365" s="5">
        <v>716002</v>
      </c>
      <c r="E1365" s="33">
        <v>36</v>
      </c>
      <c r="F1365" s="60">
        <v>1550</v>
      </c>
      <c r="G1365" s="60">
        <f>+OtherClients[[#This Row],[Boxes / Pieces]]*OtherClients[[#This Row],[Unit Quantity]]</f>
        <v>55800</v>
      </c>
      <c r="H1365" s="60" t="s">
        <v>816</v>
      </c>
      <c r="I1365" s="126" t="s">
        <v>278</v>
      </c>
      <c r="J1365" s="127"/>
      <c r="K1365" s="33" t="s">
        <v>278</v>
      </c>
      <c r="L1365" s="125"/>
      <c r="M1365" s="33" t="s">
        <v>278</v>
      </c>
      <c r="N1365" s="125"/>
      <c r="O1365" s="33" t="s">
        <v>278</v>
      </c>
      <c r="P1365" s="125"/>
      <c r="Q1365" s="33" t="s">
        <v>587</v>
      </c>
      <c r="R1365" s="125"/>
      <c r="S1365" s="33" t="s">
        <v>278</v>
      </c>
      <c r="T1365" s="125"/>
      <c r="U1365" s="33" t="s">
        <v>278</v>
      </c>
      <c r="V1365" s="125"/>
      <c r="W1365" s="59" t="s">
        <v>548</v>
      </c>
      <c r="X1365" s="33" t="str">
        <f>+VLOOKUP(OtherClients[[#This Row],[Part]],PartControl!$A$2:$E$564,5,FALSE)</f>
        <v>infasco</v>
      </c>
      <c r="Y1365" s="108">
        <f>IF(OtherClients[[#This Row],[Re-certified or New]]&lt;&gt;"Re-certified",IF(OtherClients[[#This Row],[Client]]="infasco",VLOOKUP(OtherClients[[#This Row],[Part]],PartControl!$A$2:$E$564,2,FALSE),OtherClients[[#This Row],[Total Quantity]]*VLOOKUP(OtherClients[[#This Row],[Part]],PartControl!$A$2:$E$564,2,FALSE)),0)</f>
        <v>135.07999999999998</v>
      </c>
      <c r="Z1365" s="108">
        <f>IF(OtherClients[[#This Row],[Re-certified or New]]&lt;&gt;"Re-certified",IF(OtherClients[[#This Row],[Client]]="infasco",VLOOKUP(OtherClients[[#This Row],[Part]],PartControl!$A$2:$E$564,2,FALSE),OtherClients[[#This Row],[Total Quantity]]*VLOOKUP(OtherClients[[#This Row],[Part]],PartControl!$A$2:$E$564,2,FALSE)),0)</f>
        <v>135.07999999999998</v>
      </c>
    </row>
    <row r="1366" spans="1:26" ht="25.15" hidden="1" customHeight="1" x14ac:dyDescent="0.25">
      <c r="A1366" s="112">
        <v>46254.679212962961</v>
      </c>
      <c r="B1366" s="5" t="s">
        <v>346</v>
      </c>
      <c r="C1366" s="5" t="s">
        <v>823</v>
      </c>
      <c r="D1366" s="5">
        <v>716006</v>
      </c>
      <c r="E1366" s="33">
        <v>18</v>
      </c>
      <c r="F1366" s="60">
        <v>1500</v>
      </c>
      <c r="G1366" s="60">
        <f>+OtherClients[[#This Row],[Boxes / Pieces]]*OtherClients[[#This Row],[Unit Quantity]]</f>
        <v>27000</v>
      </c>
      <c r="H1366" s="60" t="s">
        <v>871</v>
      </c>
      <c r="I1366" s="126" t="s">
        <v>278</v>
      </c>
      <c r="J1366" s="127"/>
      <c r="K1366" s="33" t="s">
        <v>278</v>
      </c>
      <c r="L1366" s="125"/>
      <c r="M1366" s="33" t="s">
        <v>278</v>
      </c>
      <c r="N1366" s="125"/>
      <c r="O1366" s="33" t="s">
        <v>278</v>
      </c>
      <c r="P1366" s="125"/>
      <c r="Q1366" s="33" t="s">
        <v>587</v>
      </c>
      <c r="R1366" s="125"/>
      <c r="S1366" s="33" t="s">
        <v>278</v>
      </c>
      <c r="T1366" s="125"/>
      <c r="U1366" s="33" t="s">
        <v>278</v>
      </c>
      <c r="V1366" s="125"/>
      <c r="W1366" s="59" t="s">
        <v>548</v>
      </c>
      <c r="X1366" s="33" t="str">
        <f>+VLOOKUP(OtherClients[[#This Row],[Part]],PartControl!$A$2:$E$564,5,FALSE)</f>
        <v>infasco</v>
      </c>
      <c r="Y1366" s="108">
        <f>IF(OtherClients[[#This Row],[Re-certified or New]]&lt;&gt;"Re-certified",IF(OtherClients[[#This Row],[Client]]="infasco",VLOOKUP(OtherClients[[#This Row],[Part]],PartControl!$A$2:$E$564,2,FALSE),OtherClients[[#This Row],[Total Quantity]]*VLOOKUP(OtherClients[[#This Row],[Part]],PartControl!$A$2:$E$564,2,FALSE)),0)</f>
        <v>226.94</v>
      </c>
      <c r="Z1366" s="108">
        <f>IF(OtherClients[[#This Row],[Re-certified or New]]&lt;&gt;"Re-certified",IF(OtherClients[[#This Row],[Client]]="infasco",VLOOKUP(OtherClients[[#This Row],[Part]],PartControl!$A$2:$E$564,2,FALSE),OtherClients[[#This Row],[Total Quantity]]*VLOOKUP(OtherClients[[#This Row],[Part]],PartControl!$A$2:$E$564,2,FALSE)),0)</f>
        <v>226.94</v>
      </c>
    </row>
    <row r="1367" spans="1:26" ht="25.15" hidden="1" customHeight="1" x14ac:dyDescent="0.25">
      <c r="A1367" s="112">
        <v>46255.694016203706</v>
      </c>
      <c r="B1367" s="5" t="s">
        <v>344</v>
      </c>
      <c r="C1367" s="5" t="s">
        <v>823</v>
      </c>
      <c r="D1367" s="5">
        <v>716006</v>
      </c>
      <c r="E1367" s="33">
        <v>59</v>
      </c>
      <c r="F1367" s="60">
        <v>1500</v>
      </c>
      <c r="G1367" s="60">
        <f>+OtherClients[[#This Row],[Boxes / Pieces]]*OtherClients[[#This Row],[Unit Quantity]]</f>
        <v>88500</v>
      </c>
      <c r="H1367" s="60" t="s">
        <v>816</v>
      </c>
      <c r="I1367" s="126" t="s">
        <v>278</v>
      </c>
      <c r="J1367" s="127"/>
      <c r="K1367" s="33" t="s">
        <v>278</v>
      </c>
      <c r="L1367" s="125"/>
      <c r="M1367" s="33" t="s">
        <v>278</v>
      </c>
      <c r="N1367" s="125"/>
      <c r="O1367" s="33" t="s">
        <v>278</v>
      </c>
      <c r="P1367" s="125"/>
      <c r="Q1367" s="33" t="s">
        <v>587</v>
      </c>
      <c r="R1367" s="125"/>
      <c r="S1367" s="33" t="s">
        <v>278</v>
      </c>
      <c r="T1367" s="125"/>
      <c r="U1367" s="33" t="s">
        <v>278</v>
      </c>
      <c r="V1367" s="125"/>
      <c r="W1367" s="59" t="s">
        <v>548</v>
      </c>
      <c r="X1367" s="33" t="str">
        <f>+VLOOKUP(OtherClients[[#This Row],[Part]],PartControl!$A$2:$E$564,5,FALSE)</f>
        <v>infasco</v>
      </c>
      <c r="Y1367" s="108">
        <f>IF(OtherClients[[#This Row],[Re-certified or New]]&lt;&gt;"Re-certified",IF(OtherClients[[#This Row],[Client]]="infasco",VLOOKUP(OtherClients[[#This Row],[Part]],PartControl!$A$2:$E$564,2,FALSE),OtherClients[[#This Row],[Total Quantity]]*VLOOKUP(OtherClients[[#This Row],[Part]],PartControl!$A$2:$E$564,2,FALSE)),0)</f>
        <v>226.94</v>
      </c>
      <c r="Z1367" s="108">
        <f>IF(OtherClients[[#This Row],[Re-certified or New]]&lt;&gt;"Re-certified",IF(OtherClients[[#This Row],[Client]]="infasco",VLOOKUP(OtherClients[[#This Row],[Part]],PartControl!$A$2:$E$564,2,FALSE),OtherClients[[#This Row],[Total Quantity]]*VLOOKUP(OtherClients[[#This Row],[Part]],PartControl!$A$2:$E$564,2,FALSE)),0)</f>
        <v>226.94</v>
      </c>
    </row>
    <row r="1368" spans="1:26" ht="25.15" hidden="1" customHeight="1" x14ac:dyDescent="0.25">
      <c r="A1368" s="112">
        <v>46254.679212962961</v>
      </c>
      <c r="B1368" s="5" t="s">
        <v>346</v>
      </c>
      <c r="C1368" s="5" t="s">
        <v>823</v>
      </c>
      <c r="D1368" s="5">
        <v>716007</v>
      </c>
      <c r="E1368" s="33">
        <v>20</v>
      </c>
      <c r="F1368" s="60">
        <v>1500</v>
      </c>
      <c r="G1368" s="60">
        <f>+OtherClients[[#This Row],[Boxes / Pieces]]*OtherClients[[#This Row],[Unit Quantity]]</f>
        <v>30000</v>
      </c>
      <c r="H1368" s="60" t="s">
        <v>871</v>
      </c>
      <c r="I1368" s="126" t="s">
        <v>278</v>
      </c>
      <c r="J1368" s="127"/>
      <c r="K1368" s="33" t="s">
        <v>278</v>
      </c>
      <c r="L1368" s="125"/>
      <c r="M1368" s="33" t="s">
        <v>278</v>
      </c>
      <c r="N1368" s="125"/>
      <c r="O1368" s="33" t="s">
        <v>278</v>
      </c>
      <c r="P1368" s="125"/>
      <c r="Q1368" s="33" t="s">
        <v>587</v>
      </c>
      <c r="R1368" s="125"/>
      <c r="S1368" s="33" t="s">
        <v>278</v>
      </c>
      <c r="T1368" s="125"/>
      <c r="U1368" s="33" t="s">
        <v>278</v>
      </c>
      <c r="V1368" s="125"/>
      <c r="W1368" s="59" t="s">
        <v>548</v>
      </c>
      <c r="X1368" s="33" t="str">
        <f>+VLOOKUP(OtherClients[[#This Row],[Part]],PartControl!$A$2:$E$564,5,FALSE)</f>
        <v>infasco</v>
      </c>
      <c r="Y1368" s="108">
        <f>IF(OtherClients[[#This Row],[Re-certified or New]]&lt;&gt;"Re-certified",IF(OtherClients[[#This Row],[Client]]="infasco",VLOOKUP(OtherClients[[#This Row],[Part]],PartControl!$A$2:$E$564,2,FALSE),OtherClients[[#This Row],[Total Quantity]]*VLOOKUP(OtherClients[[#This Row],[Part]],PartControl!$A$2:$E$564,2,FALSE)),0)</f>
        <v>226.94</v>
      </c>
      <c r="Z1368" s="108">
        <f>IF(OtherClients[[#This Row],[Re-certified or New]]&lt;&gt;"Re-certified",IF(OtherClients[[#This Row],[Client]]="infasco",VLOOKUP(OtherClients[[#This Row],[Part]],PartControl!$A$2:$E$564,2,FALSE),OtherClients[[#This Row],[Total Quantity]]*VLOOKUP(OtherClients[[#This Row],[Part]],PartControl!$A$2:$E$564,2,FALSE)),0)</f>
        <v>226.94</v>
      </c>
    </row>
    <row r="1369" spans="1:26" ht="25.15" hidden="1" customHeight="1" x14ac:dyDescent="0.25">
      <c r="A1369" s="112">
        <v>46254.679212962961</v>
      </c>
      <c r="B1369" s="5" t="s">
        <v>346</v>
      </c>
      <c r="C1369" s="5" t="s">
        <v>823</v>
      </c>
      <c r="D1369" s="5">
        <v>716009</v>
      </c>
      <c r="E1369" s="33">
        <v>53</v>
      </c>
      <c r="F1369" s="60">
        <v>1500</v>
      </c>
      <c r="G1369" s="60">
        <f>+OtherClients[[#This Row],[Boxes / Pieces]]*OtherClients[[#This Row],[Unit Quantity]]</f>
        <v>79500</v>
      </c>
      <c r="H1369" s="60" t="s">
        <v>871</v>
      </c>
      <c r="I1369" s="126" t="s">
        <v>278</v>
      </c>
      <c r="J1369" s="127"/>
      <c r="K1369" s="33" t="s">
        <v>278</v>
      </c>
      <c r="L1369" s="125"/>
      <c r="M1369" s="33" t="s">
        <v>278</v>
      </c>
      <c r="N1369" s="125"/>
      <c r="O1369" s="33" t="s">
        <v>278</v>
      </c>
      <c r="P1369" s="125"/>
      <c r="Q1369" s="33" t="s">
        <v>587</v>
      </c>
      <c r="R1369" s="125"/>
      <c r="S1369" s="33" t="s">
        <v>278</v>
      </c>
      <c r="T1369" s="125"/>
      <c r="U1369" s="33" t="s">
        <v>278</v>
      </c>
      <c r="V1369" s="125"/>
      <c r="W1369" s="59" t="s">
        <v>548</v>
      </c>
      <c r="X1369" s="33" t="str">
        <f>+VLOOKUP(OtherClients[[#This Row],[Part]],PartControl!$A$2:$E$564,5,FALSE)</f>
        <v>infasco</v>
      </c>
      <c r="Y1369" s="108">
        <f>IF(OtherClients[[#This Row],[Re-certified or New]]&lt;&gt;"Re-certified",IF(OtherClients[[#This Row],[Client]]="infasco",VLOOKUP(OtherClients[[#This Row],[Part]],PartControl!$A$2:$E$564,2,FALSE),OtherClients[[#This Row],[Total Quantity]]*VLOOKUP(OtherClients[[#This Row],[Part]],PartControl!$A$2:$E$564,2,FALSE)),0)</f>
        <v>226.94</v>
      </c>
      <c r="Z1369" s="108">
        <f>IF(OtherClients[[#This Row],[Re-certified or New]]&lt;&gt;"Re-certified",IF(OtherClients[[#This Row],[Client]]="infasco",VLOOKUP(OtherClients[[#This Row],[Part]],PartControl!$A$2:$E$564,2,FALSE),OtherClients[[#This Row],[Total Quantity]]*VLOOKUP(OtherClients[[#This Row],[Part]],PartControl!$A$2:$E$564,2,FALSE)),0)</f>
        <v>226.94</v>
      </c>
    </row>
    <row r="1370" spans="1:26" ht="25.15" hidden="1" customHeight="1" x14ac:dyDescent="0.25">
      <c r="A1370" s="112">
        <v>46254.679212962961</v>
      </c>
      <c r="B1370" s="5" t="s">
        <v>343</v>
      </c>
      <c r="C1370" s="5" t="s">
        <v>646</v>
      </c>
      <c r="D1370" s="5">
        <v>716010</v>
      </c>
      <c r="E1370" s="33">
        <v>32</v>
      </c>
      <c r="F1370" s="60">
        <v>290</v>
      </c>
      <c r="G1370" s="60">
        <f>+OtherClients[[#This Row],[Boxes / Pieces]]*OtherClients[[#This Row],[Unit Quantity]]</f>
        <v>9280</v>
      </c>
      <c r="H1370" s="60" t="s">
        <v>757</v>
      </c>
      <c r="I1370" s="126" t="s">
        <v>278</v>
      </c>
      <c r="J1370" s="127"/>
      <c r="K1370" s="33" t="s">
        <v>278</v>
      </c>
      <c r="L1370" s="125"/>
      <c r="M1370" s="33" t="s">
        <v>278</v>
      </c>
      <c r="N1370" s="125"/>
      <c r="O1370" s="33" t="s">
        <v>278</v>
      </c>
      <c r="P1370" s="125"/>
      <c r="Q1370" s="33" t="s">
        <v>587</v>
      </c>
      <c r="R1370" s="125"/>
      <c r="S1370" s="33" t="s">
        <v>278</v>
      </c>
      <c r="T1370" s="125"/>
      <c r="U1370" s="33" t="s">
        <v>278</v>
      </c>
      <c r="V1370" s="125"/>
      <c r="W1370" s="59" t="s">
        <v>548</v>
      </c>
      <c r="X1370" s="33" t="str">
        <f>+VLOOKUP(OtherClients[[#This Row],[Part]],PartControl!$A$2:$E$564,5,FALSE)</f>
        <v>infasco</v>
      </c>
      <c r="Y1370" s="108">
        <f>IF(OtherClients[[#This Row],[Re-certified or New]]&lt;&gt;"Re-certified",IF(OtherClients[[#This Row],[Client]]="infasco",VLOOKUP(OtherClients[[#This Row],[Part]],PartControl!$A$2:$E$564,2,FALSE),OtherClients[[#This Row],[Total Quantity]]*VLOOKUP(OtherClients[[#This Row],[Part]],PartControl!$A$2:$E$564,2,FALSE)),0)</f>
        <v>106.94</v>
      </c>
      <c r="Z1370" s="108">
        <f>IF(OtherClients[[#This Row],[Re-certified or New]]&lt;&gt;"Re-certified",IF(OtherClients[[#This Row],[Client]]="infasco",VLOOKUP(OtherClients[[#This Row],[Part]],PartControl!$A$2:$E$564,2,FALSE),OtherClients[[#This Row],[Total Quantity]]*VLOOKUP(OtherClients[[#This Row],[Part]],PartControl!$A$2:$E$564,2,FALSE)),0)</f>
        <v>106.94</v>
      </c>
    </row>
    <row r="1371" spans="1:26" ht="25.15" hidden="1" customHeight="1" x14ac:dyDescent="0.25">
      <c r="A1371" s="112">
        <v>46254.679212962961</v>
      </c>
      <c r="B1371" s="5" t="s">
        <v>343</v>
      </c>
      <c r="C1371" s="5" t="s">
        <v>646</v>
      </c>
      <c r="D1371" s="5">
        <v>716011</v>
      </c>
      <c r="E1371" s="33">
        <v>29</v>
      </c>
      <c r="F1371" s="60">
        <v>290</v>
      </c>
      <c r="G1371" s="60">
        <f>+OtherClients[[#This Row],[Boxes / Pieces]]*OtherClients[[#This Row],[Unit Quantity]]</f>
        <v>8410</v>
      </c>
      <c r="H1371" s="60" t="s">
        <v>757</v>
      </c>
      <c r="I1371" s="126" t="s">
        <v>278</v>
      </c>
      <c r="J1371" s="127"/>
      <c r="K1371" s="33" t="s">
        <v>278</v>
      </c>
      <c r="L1371" s="125"/>
      <c r="M1371" s="33" t="s">
        <v>278</v>
      </c>
      <c r="N1371" s="125"/>
      <c r="O1371" s="33" t="s">
        <v>278</v>
      </c>
      <c r="P1371" s="125"/>
      <c r="Q1371" s="33" t="s">
        <v>587</v>
      </c>
      <c r="R1371" s="125"/>
      <c r="S1371" s="33" t="s">
        <v>278</v>
      </c>
      <c r="T1371" s="125"/>
      <c r="U1371" s="33" t="s">
        <v>278</v>
      </c>
      <c r="V1371" s="125"/>
      <c r="W1371" s="59" t="s">
        <v>548</v>
      </c>
      <c r="X1371" s="33" t="str">
        <f>+VLOOKUP(OtherClients[[#This Row],[Part]],PartControl!$A$2:$E$564,5,FALSE)</f>
        <v>infasco</v>
      </c>
      <c r="Y1371" s="108">
        <f>IF(OtherClients[[#This Row],[Re-certified or New]]&lt;&gt;"Re-certified",IF(OtherClients[[#This Row],[Client]]="infasco",VLOOKUP(OtherClients[[#This Row],[Part]],PartControl!$A$2:$E$564,2,FALSE),OtherClients[[#This Row],[Total Quantity]]*VLOOKUP(OtherClients[[#This Row],[Part]],PartControl!$A$2:$E$564,2,FALSE)),0)</f>
        <v>106.94</v>
      </c>
      <c r="Z1371" s="108">
        <f>IF(OtherClients[[#This Row],[Re-certified or New]]&lt;&gt;"Re-certified",IF(OtherClients[[#This Row],[Client]]="infasco",VLOOKUP(OtherClients[[#This Row],[Part]],PartControl!$A$2:$E$564,2,FALSE),OtherClients[[#This Row],[Total Quantity]]*VLOOKUP(OtherClients[[#This Row],[Part]],PartControl!$A$2:$E$564,2,FALSE)),0)</f>
        <v>106.94</v>
      </c>
    </row>
    <row r="1372" spans="1:26" ht="25.15" hidden="1" customHeight="1" x14ac:dyDescent="0.25">
      <c r="A1372" s="112">
        <v>46254.679212962961</v>
      </c>
      <c r="B1372" s="5" t="s">
        <v>344</v>
      </c>
      <c r="C1372" s="5" t="s">
        <v>847</v>
      </c>
      <c r="D1372" s="5">
        <v>716020</v>
      </c>
      <c r="E1372" s="33">
        <v>20</v>
      </c>
      <c r="F1372" s="60">
        <v>620</v>
      </c>
      <c r="G1372" s="60">
        <f>+OtherClients[[#This Row],[Boxes / Pieces]]*OtherClients[[#This Row],[Unit Quantity]]</f>
        <v>12400</v>
      </c>
      <c r="H1372" s="60" t="s">
        <v>816</v>
      </c>
      <c r="I1372" s="126" t="s">
        <v>278</v>
      </c>
      <c r="J1372" s="127"/>
      <c r="K1372" s="33" t="s">
        <v>278</v>
      </c>
      <c r="L1372" s="125"/>
      <c r="M1372" s="33" t="s">
        <v>278</v>
      </c>
      <c r="N1372" s="125"/>
      <c r="O1372" s="33" t="s">
        <v>278</v>
      </c>
      <c r="P1372" s="125"/>
      <c r="Q1372" s="33" t="s">
        <v>587</v>
      </c>
      <c r="R1372" s="125"/>
      <c r="S1372" s="33" t="s">
        <v>278</v>
      </c>
      <c r="T1372" s="125"/>
      <c r="U1372" s="33" t="s">
        <v>278</v>
      </c>
      <c r="V1372" s="125"/>
      <c r="W1372" s="59" t="s">
        <v>548</v>
      </c>
      <c r="X1372" s="33" t="str">
        <f>+VLOOKUP(OtherClients[[#This Row],[Part]],PartControl!$A$2:$E$564,5,FALSE)</f>
        <v>infasco</v>
      </c>
      <c r="Y1372" s="108">
        <f>IF(OtherClients[[#This Row],[Re-certified or New]]&lt;&gt;"Re-certified",IF(OtherClients[[#This Row],[Client]]="infasco",VLOOKUP(OtherClients[[#This Row],[Part]],PartControl!$A$2:$E$564,2,FALSE),OtherClients[[#This Row],[Total Quantity]]*VLOOKUP(OtherClients[[#This Row],[Part]],PartControl!$A$2:$E$564,2,FALSE)),0)</f>
        <v>135.07999999999998</v>
      </c>
      <c r="Z1372" s="108">
        <f>IF(OtherClients[[#This Row],[Re-certified or New]]&lt;&gt;"Re-certified",IF(OtherClients[[#This Row],[Client]]="infasco",VLOOKUP(OtherClients[[#This Row],[Part]],PartControl!$A$2:$E$564,2,FALSE),OtherClients[[#This Row],[Total Quantity]]*VLOOKUP(OtherClients[[#This Row],[Part]],PartControl!$A$2:$E$564,2,FALSE)),0)</f>
        <v>135.07999999999998</v>
      </c>
    </row>
    <row r="1373" spans="1:26" ht="25.15" hidden="1" customHeight="1" x14ac:dyDescent="0.25">
      <c r="A1373" s="112">
        <v>46254.679212962961</v>
      </c>
      <c r="B1373" s="5" t="s">
        <v>345</v>
      </c>
      <c r="C1373" s="5" t="s">
        <v>847</v>
      </c>
      <c r="D1373" s="5">
        <v>716021</v>
      </c>
      <c r="E1373" s="33">
        <v>32</v>
      </c>
      <c r="F1373" s="60">
        <v>620</v>
      </c>
      <c r="G1373" s="60">
        <f>+OtherClients[[#This Row],[Boxes / Pieces]]*OtherClients[[#This Row],[Unit Quantity]]</f>
        <v>19840</v>
      </c>
      <c r="H1373" s="60" t="s">
        <v>849</v>
      </c>
      <c r="I1373" s="126" t="s">
        <v>278</v>
      </c>
      <c r="J1373" s="127"/>
      <c r="K1373" s="33" t="s">
        <v>278</v>
      </c>
      <c r="L1373" s="125"/>
      <c r="M1373" s="33" t="s">
        <v>278</v>
      </c>
      <c r="N1373" s="125"/>
      <c r="O1373" s="33" t="s">
        <v>278</v>
      </c>
      <c r="P1373" s="125"/>
      <c r="Q1373" s="33" t="s">
        <v>587</v>
      </c>
      <c r="R1373" s="125"/>
      <c r="S1373" s="33" t="s">
        <v>278</v>
      </c>
      <c r="T1373" s="125"/>
      <c r="U1373" s="33" t="s">
        <v>278</v>
      </c>
      <c r="V1373" s="125"/>
      <c r="W1373" s="59" t="s">
        <v>548</v>
      </c>
      <c r="X1373" s="33" t="str">
        <f>+VLOOKUP(OtherClients[[#This Row],[Part]],PartControl!$A$2:$E$564,5,FALSE)</f>
        <v>infasco</v>
      </c>
      <c r="Y1373" s="108">
        <f>IF(OtherClients[[#This Row],[Re-certified or New]]&lt;&gt;"Re-certified",IF(OtherClients[[#This Row],[Client]]="infasco",VLOOKUP(OtherClients[[#This Row],[Part]],PartControl!$A$2:$E$564,2,FALSE),OtherClients[[#This Row],[Total Quantity]]*VLOOKUP(OtherClients[[#This Row],[Part]],PartControl!$A$2:$E$564,2,FALSE)),0)</f>
        <v>135.07999999999998</v>
      </c>
      <c r="Z1373" s="108">
        <f>IF(OtherClients[[#This Row],[Re-certified or New]]&lt;&gt;"Re-certified",IF(OtherClients[[#This Row],[Client]]="infasco",VLOOKUP(OtherClients[[#This Row],[Part]],PartControl!$A$2:$E$564,2,FALSE),OtherClients[[#This Row],[Total Quantity]]*VLOOKUP(OtherClients[[#This Row],[Part]],PartControl!$A$2:$E$564,2,FALSE)),0)</f>
        <v>135.07999999999998</v>
      </c>
    </row>
    <row r="1374" spans="1:26" ht="25.15" hidden="1" customHeight="1" x14ac:dyDescent="0.25">
      <c r="A1374" s="112">
        <v>46254.679212962961</v>
      </c>
      <c r="B1374" s="5" t="s">
        <v>344</v>
      </c>
      <c r="C1374" s="5" t="s">
        <v>670</v>
      </c>
      <c r="D1374" s="5">
        <v>716022</v>
      </c>
      <c r="E1374" s="33">
        <v>7</v>
      </c>
      <c r="F1374" s="60">
        <v>520</v>
      </c>
      <c r="G1374" s="60">
        <f>+OtherClients[[#This Row],[Boxes / Pieces]]*OtherClients[[#This Row],[Unit Quantity]]</f>
        <v>3640</v>
      </c>
      <c r="H1374" s="60" t="s">
        <v>816</v>
      </c>
      <c r="I1374" s="126" t="s">
        <v>278</v>
      </c>
      <c r="J1374" s="127"/>
      <c r="K1374" s="33" t="s">
        <v>278</v>
      </c>
      <c r="L1374" s="125"/>
      <c r="M1374" s="33" t="s">
        <v>278</v>
      </c>
      <c r="N1374" s="125"/>
      <c r="O1374" s="33" t="s">
        <v>278</v>
      </c>
      <c r="P1374" s="125"/>
      <c r="Q1374" s="33" t="s">
        <v>587</v>
      </c>
      <c r="R1374" s="125"/>
      <c r="S1374" s="33" t="s">
        <v>278</v>
      </c>
      <c r="T1374" s="125"/>
      <c r="U1374" s="33" t="s">
        <v>278</v>
      </c>
      <c r="V1374" s="125"/>
      <c r="W1374" s="59" t="s">
        <v>548</v>
      </c>
      <c r="X1374" s="33" t="str">
        <f>+VLOOKUP(OtherClients[[#This Row],[Part]],PartControl!$A$2:$E$564,5,FALSE)</f>
        <v>infasco</v>
      </c>
      <c r="Y1374" s="108">
        <f>IF(OtherClients[[#This Row],[Re-certified or New]]&lt;&gt;"Re-certified",IF(OtherClients[[#This Row],[Client]]="infasco",VLOOKUP(OtherClients[[#This Row],[Part]],PartControl!$A$2:$E$564,2,FALSE),OtherClients[[#This Row],[Total Quantity]]*VLOOKUP(OtherClients[[#This Row],[Part]],PartControl!$A$2:$E$564,2,FALSE)),0)</f>
        <v>135.07999999999998</v>
      </c>
      <c r="Z1374" s="108">
        <f>IF(OtherClients[[#This Row],[Re-certified or New]]&lt;&gt;"Re-certified",IF(OtherClients[[#This Row],[Client]]="infasco",VLOOKUP(OtherClients[[#This Row],[Part]],PartControl!$A$2:$E$564,2,FALSE),OtherClients[[#This Row],[Total Quantity]]*VLOOKUP(OtherClients[[#This Row],[Part]],PartControl!$A$2:$E$564,2,FALSE)),0)</f>
        <v>135.07999999999998</v>
      </c>
    </row>
    <row r="1375" spans="1:26" ht="25.15" hidden="1" customHeight="1" x14ac:dyDescent="0.25">
      <c r="A1375" s="112">
        <v>46254.679212962961</v>
      </c>
      <c r="B1375" s="5" t="s">
        <v>345</v>
      </c>
      <c r="C1375" s="5" t="s">
        <v>670</v>
      </c>
      <c r="D1375" s="5">
        <v>716023</v>
      </c>
      <c r="E1375" s="33">
        <v>40</v>
      </c>
      <c r="F1375" s="60">
        <v>520</v>
      </c>
      <c r="G1375" s="60">
        <f>+OtherClients[[#This Row],[Boxes / Pieces]]*OtherClients[[#This Row],[Unit Quantity]]</f>
        <v>20800</v>
      </c>
      <c r="H1375" s="60" t="s">
        <v>849</v>
      </c>
      <c r="I1375" s="126" t="s">
        <v>278</v>
      </c>
      <c r="J1375" s="127"/>
      <c r="K1375" s="33" t="s">
        <v>278</v>
      </c>
      <c r="L1375" s="125"/>
      <c r="M1375" s="33" t="s">
        <v>278</v>
      </c>
      <c r="N1375" s="125"/>
      <c r="O1375" s="33" t="s">
        <v>278</v>
      </c>
      <c r="P1375" s="125"/>
      <c r="Q1375" s="33" t="s">
        <v>587</v>
      </c>
      <c r="R1375" s="125"/>
      <c r="S1375" s="33" t="s">
        <v>278</v>
      </c>
      <c r="T1375" s="125"/>
      <c r="U1375" s="33" t="s">
        <v>278</v>
      </c>
      <c r="V1375" s="125"/>
      <c r="W1375" s="59" t="s">
        <v>548</v>
      </c>
      <c r="X1375" s="33" t="str">
        <f>+VLOOKUP(OtherClients[[#This Row],[Part]],PartControl!$A$2:$E$564,5,FALSE)</f>
        <v>infasco</v>
      </c>
      <c r="Y1375" s="108">
        <f>IF(OtherClients[[#This Row],[Re-certified or New]]&lt;&gt;"Re-certified",IF(OtherClients[[#This Row],[Client]]="infasco",VLOOKUP(OtherClients[[#This Row],[Part]],PartControl!$A$2:$E$564,2,FALSE),OtherClients[[#This Row],[Total Quantity]]*VLOOKUP(OtherClients[[#This Row],[Part]],PartControl!$A$2:$E$564,2,FALSE)),0)</f>
        <v>135.07999999999998</v>
      </c>
      <c r="Z1375" s="108">
        <f>IF(OtherClients[[#This Row],[Re-certified or New]]&lt;&gt;"Re-certified",IF(OtherClients[[#This Row],[Client]]="infasco",VLOOKUP(OtherClients[[#This Row],[Part]],PartControl!$A$2:$E$564,2,FALSE),OtherClients[[#This Row],[Total Quantity]]*VLOOKUP(OtherClients[[#This Row],[Part]],PartControl!$A$2:$E$564,2,FALSE)),0)</f>
        <v>135.07999999999998</v>
      </c>
    </row>
    <row r="1376" spans="1:26" ht="25.15" hidden="1" customHeight="1" x14ac:dyDescent="0.25">
      <c r="A1376" s="112">
        <v>46254.679212962961</v>
      </c>
      <c r="B1376" s="5" t="s">
        <v>346</v>
      </c>
      <c r="C1376" s="5" t="s">
        <v>851</v>
      </c>
      <c r="D1376" s="5">
        <v>716029</v>
      </c>
      <c r="E1376" s="33">
        <v>15</v>
      </c>
      <c r="F1376" s="60">
        <v>750</v>
      </c>
      <c r="G1376" s="60">
        <f>+OtherClients[[#This Row],[Boxes / Pieces]]*OtherClients[[#This Row],[Unit Quantity]]</f>
        <v>11250</v>
      </c>
      <c r="H1376" s="60" t="s">
        <v>871</v>
      </c>
      <c r="I1376" s="126" t="s">
        <v>278</v>
      </c>
      <c r="J1376" s="127"/>
      <c r="K1376" s="33" t="s">
        <v>278</v>
      </c>
      <c r="L1376" s="125"/>
      <c r="M1376" s="33" t="s">
        <v>278</v>
      </c>
      <c r="N1376" s="125"/>
      <c r="O1376" s="33" t="s">
        <v>278</v>
      </c>
      <c r="P1376" s="125"/>
      <c r="Q1376" s="33" t="s">
        <v>587</v>
      </c>
      <c r="R1376" s="125"/>
      <c r="S1376" s="33" t="s">
        <v>278</v>
      </c>
      <c r="T1376" s="125"/>
      <c r="U1376" s="33" t="s">
        <v>278</v>
      </c>
      <c r="V1376" s="125"/>
      <c r="W1376" s="59" t="s">
        <v>548</v>
      </c>
      <c r="X1376" s="33" t="str">
        <f>+VLOOKUP(OtherClients[[#This Row],[Part]],PartControl!$A$2:$E$564,5,FALSE)</f>
        <v>infasco</v>
      </c>
      <c r="Y1376" s="108">
        <f>IF(OtherClients[[#This Row],[Re-certified or New]]&lt;&gt;"Re-certified",IF(OtherClients[[#This Row],[Client]]="infasco",VLOOKUP(OtherClients[[#This Row],[Part]],PartControl!$A$2:$E$564,2,FALSE),OtherClients[[#This Row],[Total Quantity]]*VLOOKUP(OtherClients[[#This Row],[Part]],PartControl!$A$2:$E$564,2,FALSE)),0)</f>
        <v>135.08000000000001</v>
      </c>
      <c r="Z1376" s="108">
        <f>IF(OtherClients[[#This Row],[Re-certified or New]]&lt;&gt;"Re-certified",IF(OtherClients[[#This Row],[Client]]="infasco",VLOOKUP(OtherClients[[#This Row],[Part]],PartControl!$A$2:$E$564,2,FALSE),OtherClients[[#This Row],[Total Quantity]]*VLOOKUP(OtherClients[[#This Row],[Part]],PartControl!$A$2:$E$564,2,FALSE)),0)</f>
        <v>135.08000000000001</v>
      </c>
    </row>
    <row r="1377" spans="1:26" ht="25.15" hidden="1" customHeight="1" x14ac:dyDescent="0.25">
      <c r="A1377" s="112">
        <v>46255.694016203706</v>
      </c>
      <c r="B1377" s="5" t="s">
        <v>344</v>
      </c>
      <c r="C1377" s="5" t="s">
        <v>885</v>
      </c>
      <c r="D1377" s="5">
        <v>716032</v>
      </c>
      <c r="E1377" s="33">
        <v>40</v>
      </c>
      <c r="F1377" s="60">
        <v>250</v>
      </c>
      <c r="G1377" s="60">
        <f>+OtherClients[[#This Row],[Boxes / Pieces]]*OtherClients[[#This Row],[Unit Quantity]]</f>
        <v>10000</v>
      </c>
      <c r="H1377" s="60" t="s">
        <v>816</v>
      </c>
      <c r="I1377" s="126" t="s">
        <v>278</v>
      </c>
      <c r="J1377" s="127"/>
      <c r="K1377" s="33" t="s">
        <v>278</v>
      </c>
      <c r="L1377" s="125"/>
      <c r="M1377" s="33" t="s">
        <v>278</v>
      </c>
      <c r="N1377" s="125"/>
      <c r="O1377" s="33" t="s">
        <v>278</v>
      </c>
      <c r="P1377" s="125"/>
      <c r="Q1377" s="33" t="s">
        <v>587</v>
      </c>
      <c r="R1377" s="125"/>
      <c r="S1377" s="33" t="s">
        <v>278</v>
      </c>
      <c r="T1377" s="125"/>
      <c r="U1377" s="33" t="s">
        <v>278</v>
      </c>
      <c r="V1377" s="125"/>
      <c r="W1377" s="59" t="s">
        <v>548</v>
      </c>
      <c r="X1377" s="33" t="str">
        <f>+VLOOKUP(OtherClients[[#This Row],[Part]],PartControl!$A$2:$E$564,5,FALSE)</f>
        <v>infasco</v>
      </c>
      <c r="Y1377" s="108">
        <f>IF(OtherClients[[#This Row],[Re-certified or New]]&lt;&gt;"Re-certified",IF(OtherClients[[#This Row],[Client]]="infasco",VLOOKUP(OtherClients[[#This Row],[Part]],PartControl!$A$2:$E$564,2,FALSE),OtherClients[[#This Row],[Total Quantity]]*VLOOKUP(OtherClients[[#This Row],[Part]],PartControl!$A$2:$E$564,2,FALSE)),0)</f>
        <v>106.94</v>
      </c>
      <c r="Z1377" s="108">
        <f>IF(OtherClients[[#This Row],[Re-certified or New]]&lt;&gt;"Re-certified",IF(OtherClients[[#This Row],[Client]]="infasco",VLOOKUP(OtherClients[[#This Row],[Part]],PartControl!$A$2:$E$564,2,FALSE),OtherClients[[#This Row],[Total Quantity]]*VLOOKUP(OtherClients[[#This Row],[Part]],PartControl!$A$2:$E$564,2,FALSE)),0)</f>
        <v>106.94</v>
      </c>
    </row>
    <row r="1378" spans="1:26" ht="25.15" hidden="1" customHeight="1" x14ac:dyDescent="0.25">
      <c r="A1378" s="112">
        <v>46255.694016203706</v>
      </c>
      <c r="B1378" s="5" t="s">
        <v>343</v>
      </c>
      <c r="C1378" s="5" t="s">
        <v>885</v>
      </c>
      <c r="D1378" s="5">
        <v>716034</v>
      </c>
      <c r="E1378" s="33">
        <v>20</v>
      </c>
      <c r="F1378" s="60">
        <v>250</v>
      </c>
      <c r="G1378" s="60">
        <f>+OtherClients[[#This Row],[Boxes / Pieces]]*OtherClients[[#This Row],[Unit Quantity]]</f>
        <v>5000</v>
      </c>
      <c r="H1378" s="60" t="s">
        <v>757</v>
      </c>
      <c r="I1378" s="126" t="s">
        <v>278</v>
      </c>
      <c r="J1378" s="127"/>
      <c r="K1378" s="33" t="s">
        <v>278</v>
      </c>
      <c r="L1378" s="125"/>
      <c r="M1378" s="33" t="s">
        <v>278</v>
      </c>
      <c r="N1378" s="125"/>
      <c r="O1378" s="33" t="s">
        <v>278</v>
      </c>
      <c r="P1378" s="125"/>
      <c r="Q1378" s="33" t="s">
        <v>587</v>
      </c>
      <c r="R1378" s="125"/>
      <c r="S1378" s="33" t="s">
        <v>278</v>
      </c>
      <c r="T1378" s="125"/>
      <c r="U1378" s="33" t="s">
        <v>278</v>
      </c>
      <c r="V1378" s="125"/>
      <c r="W1378" s="59" t="s">
        <v>633</v>
      </c>
      <c r="X1378" s="33" t="str">
        <f>+VLOOKUP(OtherClients[[#This Row],[Part]],PartControl!$A$2:$E$564,5,FALSE)</f>
        <v>infasco</v>
      </c>
      <c r="Y1378" s="108">
        <f>IF(OtherClients[[#This Row],[Re-certified or New]]&lt;&gt;"Re-certified",IF(OtherClients[[#This Row],[Client]]="infasco",VLOOKUP(OtherClients[[#This Row],[Part]],PartControl!$A$2:$E$564,2,FALSE),OtherClients[[#This Row],[Total Quantity]]*VLOOKUP(OtherClients[[#This Row],[Part]],PartControl!$A$2:$E$564,2,FALSE)),0)</f>
        <v>0</v>
      </c>
      <c r="Z1378" s="108">
        <f>IF(OtherClients[[#This Row],[Re-certified or New]]&lt;&gt;"Re-certified",IF(OtherClients[[#This Row],[Client]]="infasco",VLOOKUP(OtherClients[[#This Row],[Part]],PartControl!$A$2:$E$564,2,FALSE),OtherClients[[#This Row],[Total Quantity]]*VLOOKUP(OtherClients[[#This Row],[Part]],PartControl!$A$2:$E$564,2,FALSE)),0)</f>
        <v>0</v>
      </c>
    </row>
    <row r="1379" spans="1:26" ht="25.15" hidden="1" customHeight="1" x14ac:dyDescent="0.25">
      <c r="A1379" s="112">
        <v>46256</v>
      </c>
      <c r="B1379" s="5" t="s">
        <v>243</v>
      </c>
      <c r="C1379" s="5" t="s">
        <v>657</v>
      </c>
      <c r="D1379" s="5">
        <v>717282</v>
      </c>
      <c r="E1379" s="33">
        <v>1</v>
      </c>
      <c r="F1379" s="60">
        <v>50000</v>
      </c>
      <c r="G1379" s="60">
        <f>+OtherClients[[#This Row],[Boxes / Pieces]]*OtherClients[[#This Row],[Unit Quantity]]</f>
        <v>50000</v>
      </c>
      <c r="H1379" s="60">
        <v>292</v>
      </c>
      <c r="I1379" s="126" t="s">
        <v>278</v>
      </c>
      <c r="J1379" s="127"/>
      <c r="K1379" s="33" t="s">
        <v>278</v>
      </c>
      <c r="L1379" s="125"/>
      <c r="M1379" s="33" t="s">
        <v>278</v>
      </c>
      <c r="N1379" s="125"/>
      <c r="O1379" s="33" t="s">
        <v>278</v>
      </c>
      <c r="P1379" s="125"/>
      <c r="Q1379" s="33" t="s">
        <v>587</v>
      </c>
      <c r="R1379" s="125"/>
      <c r="S1379" s="33" t="s">
        <v>278</v>
      </c>
      <c r="T1379" s="125"/>
      <c r="U1379" s="33" t="s">
        <v>278</v>
      </c>
      <c r="V1379" s="125"/>
      <c r="W1379" s="59" t="s">
        <v>633</v>
      </c>
      <c r="X1379" s="33" t="str">
        <f>+VLOOKUP(OtherClients[[#This Row],[Part]],PartControl!$A$2:$E$564,5,FALSE)</f>
        <v>infasco</v>
      </c>
      <c r="Y1379" s="108">
        <f>IF(OtherClients[[#This Row],[Re-certified or New]]&lt;&gt;"Re-certified",IF(OtherClients[[#This Row],[Client]]="infasco",VLOOKUP(OtherClients[[#This Row],[Part]],PartControl!$A$2:$E$564,2,FALSE),OtherClients[[#This Row],[Total Quantity]]*VLOOKUP(OtherClients[[#This Row],[Part]],PartControl!$A$2:$E$564,2,FALSE)),0)</f>
        <v>0</v>
      </c>
      <c r="Z1379" s="108">
        <f>IF(OtherClients[[#This Row],[Re-certified or New]]&lt;&gt;"Re-certified",IF(OtherClients[[#This Row],[Client]]="infasco",VLOOKUP(OtherClients[[#This Row],[Part]],PartControl!$A$2:$E$564,2,FALSE),OtherClients[[#This Row],[Total Quantity]]*VLOOKUP(OtherClients[[#This Row],[Part]],PartControl!$A$2:$E$564,2,FALSE)),0)</f>
        <v>0</v>
      </c>
    </row>
    <row r="1380" spans="1:26" ht="25.15" hidden="1" customHeight="1" x14ac:dyDescent="0.25">
      <c r="A1380" s="112">
        <v>46256</v>
      </c>
      <c r="B1380" s="5" t="s">
        <v>243</v>
      </c>
      <c r="C1380" s="5" t="s">
        <v>657</v>
      </c>
      <c r="D1380" s="5">
        <v>717284</v>
      </c>
      <c r="E1380" s="33">
        <v>1</v>
      </c>
      <c r="F1380" s="60">
        <v>32500</v>
      </c>
      <c r="G1380" s="60">
        <f>+OtherClients[[#This Row],[Boxes / Pieces]]*OtherClients[[#This Row],[Unit Quantity]]</f>
        <v>32500</v>
      </c>
      <c r="H1380" s="60">
        <v>292</v>
      </c>
      <c r="I1380" s="126" t="s">
        <v>278</v>
      </c>
      <c r="J1380" s="127"/>
      <c r="K1380" s="33" t="s">
        <v>278</v>
      </c>
      <c r="L1380" s="125"/>
      <c r="M1380" s="33" t="s">
        <v>278</v>
      </c>
      <c r="N1380" s="125"/>
      <c r="O1380" s="33" t="s">
        <v>278</v>
      </c>
      <c r="P1380" s="125"/>
      <c r="Q1380" s="33" t="s">
        <v>587</v>
      </c>
      <c r="R1380" s="125"/>
      <c r="S1380" s="33" t="s">
        <v>278</v>
      </c>
      <c r="T1380" s="125"/>
      <c r="U1380" s="33" t="s">
        <v>278</v>
      </c>
      <c r="V1380" s="125"/>
      <c r="W1380" s="59" t="s">
        <v>548</v>
      </c>
      <c r="X1380" s="33" t="str">
        <f>+VLOOKUP(OtherClients[[#This Row],[Part]],PartControl!$A$2:$E$564,5,FALSE)</f>
        <v>infasco</v>
      </c>
      <c r="Y1380" s="108">
        <f>IF(OtherClients[[#This Row],[Re-certified or New]]&lt;&gt;"Re-certified",IF(OtherClients[[#This Row],[Client]]="infasco",VLOOKUP(OtherClients[[#This Row],[Part]],PartControl!$A$2:$E$564,2,FALSE),OtherClients[[#This Row],[Total Quantity]]*VLOOKUP(OtherClients[[#This Row],[Part]],PartControl!$A$2:$E$564,2,FALSE)),0)</f>
        <v>129.44999999999999</v>
      </c>
      <c r="Z1380" s="108">
        <f>IF(OtherClients[[#This Row],[Re-certified or New]]&lt;&gt;"Re-certified",IF(OtherClients[[#This Row],[Client]]="infasco",VLOOKUP(OtherClients[[#This Row],[Part]],PartControl!$A$2:$E$564,2,FALSE),OtherClients[[#This Row],[Total Quantity]]*VLOOKUP(OtherClients[[#This Row],[Part]],PartControl!$A$2:$E$564,2,FALSE)),0)</f>
        <v>129.44999999999999</v>
      </c>
    </row>
    <row r="1381" spans="1:26" ht="25.15" hidden="1" customHeight="1" x14ac:dyDescent="0.25">
      <c r="A1381" s="112">
        <v>46255.694016203706</v>
      </c>
      <c r="B1381" s="5" t="s">
        <v>243</v>
      </c>
      <c r="C1381" s="5">
        <v>94012039</v>
      </c>
      <c r="D1381" s="5">
        <v>716087</v>
      </c>
      <c r="E1381" s="33">
        <v>24</v>
      </c>
      <c r="F1381" s="60">
        <v>2000</v>
      </c>
      <c r="G1381" s="60">
        <f>+OtherClients[[#This Row],[Boxes / Pieces]]*OtherClients[[#This Row],[Unit Quantity]]</f>
        <v>48000</v>
      </c>
      <c r="H1381" s="60">
        <v>292</v>
      </c>
      <c r="I1381" s="126" t="s">
        <v>278</v>
      </c>
      <c r="J1381" s="127"/>
      <c r="K1381" s="33" t="s">
        <v>278</v>
      </c>
      <c r="L1381" s="125"/>
      <c r="M1381" s="33" t="s">
        <v>278</v>
      </c>
      <c r="N1381" s="125"/>
      <c r="O1381" s="33" t="s">
        <v>278</v>
      </c>
      <c r="P1381" s="125"/>
      <c r="Q1381" s="33" t="s">
        <v>587</v>
      </c>
      <c r="R1381" s="125"/>
      <c r="S1381" s="33" t="s">
        <v>278</v>
      </c>
      <c r="T1381" s="125"/>
      <c r="U1381" s="33" t="s">
        <v>278</v>
      </c>
      <c r="V1381" s="125"/>
      <c r="W1381" s="59" t="s">
        <v>548</v>
      </c>
      <c r="X1381" s="33" t="str">
        <f>+VLOOKUP(OtherClients[[#This Row],[Part]],PartControl!$A$2:$E$564,5,FALSE)</f>
        <v>infasco</v>
      </c>
      <c r="Y1381" s="108">
        <f>IF(OtherClients[[#This Row],[Re-certified or New]]&lt;&gt;"Re-certified",IF(OtherClients[[#This Row],[Client]]="infasco",VLOOKUP(OtherClients[[#This Row],[Part]],PartControl!$A$2:$E$564,2,FALSE),OtherClients[[#This Row],[Total Quantity]]*VLOOKUP(OtherClients[[#This Row],[Part]],PartControl!$A$2:$E$564,2,FALSE)),0)</f>
        <v>106.94</v>
      </c>
      <c r="Z1381" s="108">
        <f>IF(OtherClients[[#This Row],[Re-certified or New]]&lt;&gt;"Re-certified",IF(OtherClients[[#This Row],[Client]]="infasco",VLOOKUP(OtherClients[[#This Row],[Part]],PartControl!$A$2:$E$564,2,FALSE),OtherClients[[#This Row],[Total Quantity]]*VLOOKUP(OtherClients[[#This Row],[Part]],PartControl!$A$2:$E$564,2,FALSE)),0)</f>
        <v>106.94</v>
      </c>
    </row>
    <row r="1382" spans="1:26" ht="25.15" hidden="1" customHeight="1" x14ac:dyDescent="0.25">
      <c r="A1382" s="112">
        <v>46256</v>
      </c>
      <c r="B1382" s="5" t="s">
        <v>357</v>
      </c>
      <c r="C1382" s="5" t="s">
        <v>642</v>
      </c>
      <c r="D1382" s="5">
        <v>716790</v>
      </c>
      <c r="E1382" s="33">
        <v>5</v>
      </c>
      <c r="F1382" s="60">
        <v>2800</v>
      </c>
      <c r="G1382" s="60">
        <f>+OtherClients[[#This Row],[Boxes / Pieces]]*OtherClients[[#This Row],[Unit Quantity]]</f>
        <v>14000</v>
      </c>
      <c r="H1382" s="60">
        <v>280</v>
      </c>
      <c r="I1382" s="126" t="s">
        <v>278</v>
      </c>
      <c r="J1382" s="127"/>
      <c r="K1382" s="33" t="s">
        <v>278</v>
      </c>
      <c r="L1382" s="125"/>
      <c r="M1382" s="33" t="s">
        <v>278</v>
      </c>
      <c r="N1382" s="125"/>
      <c r="O1382" s="33" t="s">
        <v>278</v>
      </c>
      <c r="P1382" s="125"/>
      <c r="Q1382" s="33" t="s">
        <v>587</v>
      </c>
      <c r="R1382" s="125"/>
      <c r="S1382" s="33" t="s">
        <v>278</v>
      </c>
      <c r="T1382" s="125"/>
      <c r="U1382" s="33" t="s">
        <v>278</v>
      </c>
      <c r="V1382" s="125"/>
      <c r="W1382" s="59" t="s">
        <v>633</v>
      </c>
      <c r="X1382" s="33" t="str">
        <f>+VLOOKUP(OtherClients[[#This Row],[Part]],PartControl!$A$2:$E$564,5,FALSE)</f>
        <v>infasco</v>
      </c>
      <c r="Y1382" s="108">
        <f>IF(OtherClients[[#This Row],[Re-certified or New]]&lt;&gt;"Re-certified",IF(OtherClients[[#This Row],[Client]]="infasco",VLOOKUP(OtherClients[[#This Row],[Part]],PartControl!$A$2:$E$564,2,FALSE),OtherClients[[#This Row],[Total Quantity]]*VLOOKUP(OtherClients[[#This Row],[Part]],PartControl!$A$2:$E$564,2,FALSE)),0)</f>
        <v>0</v>
      </c>
      <c r="Z1382" s="108">
        <f>IF(OtherClients[[#This Row],[Re-certified or New]]&lt;&gt;"Re-certified",IF(OtherClients[[#This Row],[Client]]="infasco",VLOOKUP(OtherClients[[#This Row],[Part]],PartControl!$A$2:$E$564,2,FALSE),OtherClients[[#This Row],[Total Quantity]]*VLOOKUP(OtherClients[[#This Row],[Part]],PartControl!$A$2:$E$564,2,FALSE)),0)</f>
        <v>0</v>
      </c>
    </row>
    <row r="1383" spans="1:26" ht="25.15" hidden="1" customHeight="1" x14ac:dyDescent="0.25">
      <c r="A1383" s="112">
        <v>46256</v>
      </c>
      <c r="B1383" s="5" t="s">
        <v>357</v>
      </c>
      <c r="C1383" s="5" t="s">
        <v>642</v>
      </c>
      <c r="D1383" s="5">
        <v>716797</v>
      </c>
      <c r="E1383" s="33">
        <v>36</v>
      </c>
      <c r="F1383" s="60">
        <v>2800</v>
      </c>
      <c r="G1383" s="60">
        <f>+OtherClients[[#This Row],[Boxes / Pieces]]*OtherClients[[#This Row],[Unit Quantity]]</f>
        <v>100800</v>
      </c>
      <c r="H1383" s="60">
        <v>280</v>
      </c>
      <c r="I1383" s="126" t="s">
        <v>278</v>
      </c>
      <c r="J1383" s="127"/>
      <c r="K1383" s="33" t="s">
        <v>278</v>
      </c>
      <c r="L1383" s="125"/>
      <c r="M1383" s="33" t="s">
        <v>278</v>
      </c>
      <c r="N1383" s="125"/>
      <c r="O1383" s="33" t="s">
        <v>278</v>
      </c>
      <c r="P1383" s="125"/>
      <c r="Q1383" s="33" t="s">
        <v>587</v>
      </c>
      <c r="R1383" s="125"/>
      <c r="S1383" s="33" t="s">
        <v>278</v>
      </c>
      <c r="T1383" s="125"/>
      <c r="U1383" s="33" t="s">
        <v>278</v>
      </c>
      <c r="V1383" s="125"/>
      <c r="W1383" s="59" t="s">
        <v>548</v>
      </c>
      <c r="X1383" s="33" t="str">
        <f>+VLOOKUP(OtherClients[[#This Row],[Part]],PartControl!$A$2:$E$564,5,FALSE)</f>
        <v>infasco</v>
      </c>
      <c r="Y1383" s="108">
        <f>IF(OtherClients[[#This Row],[Re-certified or New]]&lt;&gt;"Re-certified",IF(OtherClients[[#This Row],[Client]]="infasco",VLOOKUP(OtherClients[[#This Row],[Part]],PartControl!$A$2:$E$564,2,FALSE),OtherClients[[#This Row],[Total Quantity]]*VLOOKUP(OtherClients[[#This Row],[Part]],PartControl!$A$2:$E$564,2,FALSE)),0)</f>
        <v>106.94</v>
      </c>
      <c r="Z1383" s="108">
        <f>IF(OtherClients[[#This Row],[Re-certified or New]]&lt;&gt;"Re-certified",IF(OtherClients[[#This Row],[Client]]="infasco",VLOOKUP(OtherClients[[#This Row],[Part]],PartControl!$A$2:$E$564,2,FALSE),OtherClients[[#This Row],[Total Quantity]]*VLOOKUP(OtherClients[[#This Row],[Part]],PartControl!$A$2:$E$564,2,FALSE)),0)</f>
        <v>106.94</v>
      </c>
    </row>
    <row r="1384" spans="1:26" ht="25.15" hidden="1" customHeight="1" x14ac:dyDescent="0.25">
      <c r="A1384" s="112">
        <v>46256</v>
      </c>
      <c r="B1384" s="5" t="s">
        <v>357</v>
      </c>
      <c r="C1384" s="5">
        <v>11546449</v>
      </c>
      <c r="D1384" s="5">
        <v>716869</v>
      </c>
      <c r="E1384" s="33">
        <f>36-27</f>
        <v>9</v>
      </c>
      <c r="F1384" s="60">
        <v>2500</v>
      </c>
      <c r="G1384" s="60">
        <f>+OtherClients[[#This Row],[Boxes / Pieces]]*OtherClients[[#This Row],[Unit Quantity]]</f>
        <v>22500</v>
      </c>
      <c r="H1384" s="60">
        <v>280</v>
      </c>
      <c r="I1384" s="126" t="s">
        <v>278</v>
      </c>
      <c r="J1384" s="127"/>
      <c r="K1384" s="33" t="s">
        <v>278</v>
      </c>
      <c r="L1384" s="125"/>
      <c r="M1384" s="33" t="s">
        <v>278</v>
      </c>
      <c r="N1384" s="125"/>
      <c r="O1384" s="33" t="s">
        <v>278</v>
      </c>
      <c r="P1384" s="125"/>
      <c r="Q1384" s="33" t="s">
        <v>587</v>
      </c>
      <c r="R1384" s="125"/>
      <c r="S1384" s="33" t="s">
        <v>278</v>
      </c>
      <c r="T1384" s="125"/>
      <c r="U1384" s="33" t="s">
        <v>278</v>
      </c>
      <c r="V1384" s="125"/>
      <c r="W1384" s="59" t="s">
        <v>548</v>
      </c>
      <c r="X1384" s="33" t="str">
        <f>+VLOOKUP(OtherClients[[#This Row],[Part]],PartControl!$A$2:$E$564,5,FALSE)</f>
        <v>INFASCO</v>
      </c>
      <c r="Y1384" s="108">
        <f>IF(OtherClients[[#This Row],[Re-certified or New]]&lt;&gt;"Re-certified",IF(OtherClients[[#This Row],[Client]]="infasco",VLOOKUP(OtherClients[[#This Row],[Part]],PartControl!$A$2:$E$564,2,FALSE),OtherClients[[#This Row],[Total Quantity]]*VLOOKUP(OtherClients[[#This Row],[Part]],PartControl!$A$2:$E$564,2,FALSE)),0)</f>
        <v>106.94</v>
      </c>
      <c r="Z1384" s="108">
        <f>IF(OtherClients[[#This Row],[Re-certified or New]]&lt;&gt;"Re-certified",IF(OtherClients[[#This Row],[Client]]="infasco",VLOOKUP(OtherClients[[#This Row],[Part]],PartControl!$A$2:$E$564,2,FALSE),OtherClients[[#This Row],[Total Quantity]]*VLOOKUP(OtherClients[[#This Row],[Part]],PartControl!$A$2:$E$564,2,FALSE)),0)</f>
        <v>106.94</v>
      </c>
    </row>
    <row r="1385" spans="1:26" ht="25.15" hidden="1" customHeight="1" x14ac:dyDescent="0.25">
      <c r="A1385" s="112">
        <v>46254.679212962961</v>
      </c>
      <c r="B1385" s="5" t="s">
        <v>250</v>
      </c>
      <c r="C1385" s="5" t="s">
        <v>703</v>
      </c>
      <c r="D1385" s="5">
        <v>716136</v>
      </c>
      <c r="E1385" s="33">
        <f>36-24</f>
        <v>12</v>
      </c>
      <c r="F1385" s="60">
        <v>700</v>
      </c>
      <c r="G1385" s="60">
        <f>+OtherClients[[#This Row],[Boxes / Pieces]]*OtherClients[[#This Row],[Unit Quantity]]</f>
        <v>8400</v>
      </c>
      <c r="H1385" s="60">
        <v>290</v>
      </c>
      <c r="I1385" s="126" t="s">
        <v>278</v>
      </c>
      <c r="J1385" s="127"/>
      <c r="K1385" s="33" t="s">
        <v>278</v>
      </c>
      <c r="L1385" s="125"/>
      <c r="M1385" s="33" t="s">
        <v>278</v>
      </c>
      <c r="N1385" s="125"/>
      <c r="O1385" s="33" t="s">
        <v>278</v>
      </c>
      <c r="P1385" s="125"/>
      <c r="Q1385" s="33" t="s">
        <v>587</v>
      </c>
      <c r="R1385" s="125"/>
      <c r="S1385" s="33" t="s">
        <v>278</v>
      </c>
      <c r="T1385" s="125"/>
      <c r="U1385" s="33" t="s">
        <v>278</v>
      </c>
      <c r="V1385" s="125"/>
      <c r="W1385" s="59" t="s">
        <v>548</v>
      </c>
      <c r="X1385" s="33" t="str">
        <f>+VLOOKUP(OtherClients[[#This Row],[Part]],PartControl!$A$2:$E$564,5,FALSE)</f>
        <v>infasco</v>
      </c>
      <c r="Y1385" s="108">
        <f>IF(OtherClients[[#This Row],[Re-certified or New]]&lt;&gt;"Re-certified",IF(OtherClients[[#This Row],[Client]]="infasco",VLOOKUP(OtherClients[[#This Row],[Part]],PartControl!$A$2:$E$564,2,FALSE),OtherClients[[#This Row],[Total Quantity]]*VLOOKUP(OtherClients[[#This Row],[Part]],PartControl!$A$2:$E$564,2,FALSE)),0)</f>
        <v>106.94</v>
      </c>
      <c r="Z1385" s="108">
        <f>IF(OtherClients[[#This Row],[Re-certified or New]]&lt;&gt;"Re-certified",IF(OtherClients[[#This Row],[Client]]="infasco",VLOOKUP(OtherClients[[#This Row],[Part]],PartControl!$A$2:$E$564,2,FALSE),OtherClients[[#This Row],[Total Quantity]]*VLOOKUP(OtherClients[[#This Row],[Part]],PartControl!$A$2:$E$564,2,FALSE)),0)</f>
        <v>106.94</v>
      </c>
    </row>
    <row r="1386" spans="1:26" ht="25.15" hidden="1" customHeight="1" x14ac:dyDescent="0.25">
      <c r="A1386" s="112">
        <v>46255.694016203706</v>
      </c>
      <c r="B1386" s="5" t="s">
        <v>250</v>
      </c>
      <c r="C1386" s="5" t="s">
        <v>703</v>
      </c>
      <c r="D1386" s="5">
        <v>716139</v>
      </c>
      <c r="E1386" s="33">
        <v>36</v>
      </c>
      <c r="F1386" s="60">
        <v>700</v>
      </c>
      <c r="G1386" s="60">
        <f>+OtherClients[[#This Row],[Boxes / Pieces]]*OtherClients[[#This Row],[Unit Quantity]]</f>
        <v>25200</v>
      </c>
      <c r="H1386" s="60">
        <v>290</v>
      </c>
      <c r="I1386" s="126" t="s">
        <v>278</v>
      </c>
      <c r="J1386" s="127"/>
      <c r="K1386" s="33" t="s">
        <v>278</v>
      </c>
      <c r="L1386" s="125"/>
      <c r="M1386" s="33" t="s">
        <v>278</v>
      </c>
      <c r="N1386" s="125"/>
      <c r="O1386" s="33" t="s">
        <v>278</v>
      </c>
      <c r="P1386" s="125"/>
      <c r="Q1386" s="33" t="s">
        <v>587</v>
      </c>
      <c r="R1386" s="125"/>
      <c r="S1386" s="33" t="s">
        <v>278</v>
      </c>
      <c r="T1386" s="125"/>
      <c r="U1386" s="33" t="s">
        <v>278</v>
      </c>
      <c r="V1386" s="125"/>
      <c r="W1386" s="59" t="s">
        <v>633</v>
      </c>
      <c r="X1386" s="33" t="str">
        <f>+VLOOKUP(OtherClients[[#This Row],[Part]],PartControl!$A$2:$E$564,5,FALSE)</f>
        <v>infasco</v>
      </c>
      <c r="Y1386" s="108">
        <f>IF(OtherClients[[#This Row],[Re-certified or New]]&lt;&gt;"Re-certified",IF(OtherClients[[#This Row],[Client]]="infasco",VLOOKUP(OtherClients[[#This Row],[Part]],PartControl!$A$2:$E$564,2,FALSE),OtherClients[[#This Row],[Total Quantity]]*VLOOKUP(OtherClients[[#This Row],[Part]],PartControl!$A$2:$E$564,2,FALSE)),0)</f>
        <v>0</v>
      </c>
      <c r="Z1386" s="108">
        <f>IF(OtherClients[[#This Row],[Re-certified or New]]&lt;&gt;"Re-certified",IF(OtherClients[[#This Row],[Client]]="infasco",VLOOKUP(OtherClients[[#This Row],[Part]],PartControl!$A$2:$E$564,2,FALSE),OtherClients[[#This Row],[Total Quantity]]*VLOOKUP(OtherClients[[#This Row],[Part]],PartControl!$A$2:$E$564,2,FALSE)),0)</f>
        <v>0</v>
      </c>
    </row>
    <row r="1387" spans="1:26" ht="25.15" hidden="1" customHeight="1" x14ac:dyDescent="0.25">
      <c r="A1387" s="112">
        <v>46256</v>
      </c>
      <c r="B1387" s="5" t="s">
        <v>623</v>
      </c>
      <c r="C1387" s="5">
        <v>11610091</v>
      </c>
      <c r="D1387" s="5">
        <v>716449</v>
      </c>
      <c r="E1387" s="33">
        <f>12-2</f>
        <v>10</v>
      </c>
      <c r="F1387" s="60">
        <v>2500</v>
      </c>
      <c r="G1387" s="60">
        <f>+OtherClients[[#This Row],[Boxes / Pieces]]*OtherClients[[#This Row],[Unit Quantity]]</f>
        <v>25000</v>
      </c>
      <c r="H1387" s="60">
        <v>292</v>
      </c>
      <c r="I1387" s="126" t="s">
        <v>278</v>
      </c>
      <c r="J1387" s="127"/>
      <c r="K1387" s="33" t="s">
        <v>278</v>
      </c>
      <c r="L1387" s="125"/>
      <c r="M1387" s="33" t="s">
        <v>278</v>
      </c>
      <c r="N1387" s="125"/>
      <c r="O1387" s="33" t="s">
        <v>278</v>
      </c>
      <c r="P1387" s="125"/>
      <c r="Q1387" s="33" t="s">
        <v>587</v>
      </c>
      <c r="R1387" s="125"/>
      <c r="S1387" s="33" t="s">
        <v>278</v>
      </c>
      <c r="T1387" s="125"/>
      <c r="U1387" s="33" t="s">
        <v>278</v>
      </c>
      <c r="V1387" s="125"/>
      <c r="W1387" s="59" t="s">
        <v>548</v>
      </c>
      <c r="X1387" s="33" t="str">
        <f>+VLOOKUP(OtherClients[[#This Row],[Part]],PartControl!$A$2:$E$564,5,FALSE)</f>
        <v>infasco</v>
      </c>
      <c r="Y1387" s="108">
        <f>IF(OtherClients[[#This Row],[Re-certified or New]]&lt;&gt;"Re-certified",IF(OtherClients[[#This Row],[Client]]="infasco",VLOOKUP(OtherClients[[#This Row],[Part]],PartControl!$A$2:$E$564,2,FALSE),OtherClients[[#This Row],[Total Quantity]]*VLOOKUP(OtherClients[[#This Row],[Part]],PartControl!$A$2:$E$564,2,FALSE)),0)</f>
        <v>106.94</v>
      </c>
      <c r="Z1387" s="108">
        <f>IF(OtherClients[[#This Row],[Re-certified or New]]&lt;&gt;"Re-certified",IF(OtherClients[[#This Row],[Client]]="infasco",VLOOKUP(OtherClients[[#This Row],[Part]],PartControl!$A$2:$E$564,2,FALSE),OtherClients[[#This Row],[Total Quantity]]*VLOOKUP(OtherClients[[#This Row],[Part]],PartControl!$A$2:$E$564,2,FALSE)),0)</f>
        <v>106.94</v>
      </c>
    </row>
    <row r="1388" spans="1:26" ht="25.15" hidden="1" customHeight="1" x14ac:dyDescent="0.25">
      <c r="A1388" s="112">
        <v>46254.679212962961</v>
      </c>
      <c r="B1388" s="5" t="s">
        <v>342</v>
      </c>
      <c r="C1388" s="5">
        <v>11549170</v>
      </c>
      <c r="D1388" s="5">
        <v>716209</v>
      </c>
      <c r="E1388" s="33">
        <v>36</v>
      </c>
      <c r="F1388" s="60">
        <v>400</v>
      </c>
      <c r="G1388" s="60">
        <f>+OtherClients[[#This Row],[Boxes / Pieces]]*OtherClients[[#This Row],[Unit Quantity]]</f>
        <v>14400</v>
      </c>
      <c r="H1388" s="60" t="s">
        <v>811</v>
      </c>
      <c r="I1388" s="126" t="s">
        <v>278</v>
      </c>
      <c r="J1388" s="127"/>
      <c r="K1388" s="33" t="s">
        <v>278</v>
      </c>
      <c r="L1388" s="125"/>
      <c r="M1388" s="33" t="s">
        <v>278</v>
      </c>
      <c r="N1388" s="125"/>
      <c r="O1388" s="33" t="s">
        <v>278</v>
      </c>
      <c r="P1388" s="125"/>
      <c r="Q1388" s="33" t="s">
        <v>587</v>
      </c>
      <c r="R1388" s="125"/>
      <c r="S1388" s="33" t="s">
        <v>278</v>
      </c>
      <c r="T1388" s="125"/>
      <c r="U1388" s="33" t="s">
        <v>278</v>
      </c>
      <c r="V1388" s="125"/>
      <c r="W1388" s="59" t="s">
        <v>548</v>
      </c>
      <c r="X1388" s="33" t="str">
        <f>+VLOOKUP(OtherClients[[#This Row],[Part]],PartControl!$A$2:$E$564,5,FALSE)</f>
        <v>INFASCO</v>
      </c>
      <c r="Y1388" s="108">
        <f>IF(OtherClients[[#This Row],[Re-certified or New]]&lt;&gt;"Re-certified",IF(OtherClients[[#This Row],[Client]]="infasco",VLOOKUP(OtherClients[[#This Row],[Part]],PartControl!$A$2:$E$564,2,FALSE),OtherClients[[#This Row],[Total Quantity]]*VLOOKUP(OtherClients[[#This Row],[Part]],PartControl!$A$2:$E$564,2,FALSE)),0)</f>
        <v>106.94</v>
      </c>
      <c r="Z1388" s="108">
        <f>IF(OtherClients[[#This Row],[Re-certified or New]]&lt;&gt;"Re-certified",IF(OtherClients[[#This Row],[Client]]="infasco",VLOOKUP(OtherClients[[#This Row],[Part]],PartControl!$A$2:$E$564,2,FALSE),OtherClients[[#This Row],[Total Quantity]]*VLOOKUP(OtherClients[[#This Row],[Part]],PartControl!$A$2:$E$564,2,FALSE)),0)</f>
        <v>106.94</v>
      </c>
    </row>
    <row r="1389" spans="1:26" ht="25.15" hidden="1" customHeight="1" x14ac:dyDescent="0.25">
      <c r="A1389" s="112">
        <v>46256</v>
      </c>
      <c r="B1389" s="5" t="s">
        <v>623</v>
      </c>
      <c r="C1389" s="5">
        <v>11610091</v>
      </c>
      <c r="D1389" s="5">
        <v>716452</v>
      </c>
      <c r="E1389" s="33">
        <v>24</v>
      </c>
      <c r="F1389" s="60">
        <v>2500</v>
      </c>
      <c r="G1389" s="60">
        <f>+OtherClients[[#This Row],[Boxes / Pieces]]*OtherClients[[#This Row],[Unit Quantity]]</f>
        <v>60000</v>
      </c>
      <c r="H1389" s="60">
        <v>292</v>
      </c>
      <c r="I1389" s="126" t="s">
        <v>278</v>
      </c>
      <c r="J1389" s="127"/>
      <c r="K1389" s="33" t="s">
        <v>278</v>
      </c>
      <c r="L1389" s="125"/>
      <c r="M1389" s="33" t="s">
        <v>278</v>
      </c>
      <c r="N1389" s="125"/>
      <c r="O1389" s="33" t="s">
        <v>278</v>
      </c>
      <c r="P1389" s="125"/>
      <c r="Q1389" s="33" t="s">
        <v>587</v>
      </c>
      <c r="R1389" s="125"/>
      <c r="S1389" s="33" t="s">
        <v>278</v>
      </c>
      <c r="T1389" s="125"/>
      <c r="U1389" s="33" t="s">
        <v>278</v>
      </c>
      <c r="V1389" s="125"/>
      <c r="W1389" s="59" t="s">
        <v>548</v>
      </c>
      <c r="X1389" s="33" t="str">
        <f>+VLOOKUP(OtherClients[[#This Row],[Part]],PartControl!$A$2:$E$564,5,FALSE)</f>
        <v>infasco</v>
      </c>
      <c r="Y1389" s="108">
        <f>IF(OtherClients[[#This Row],[Re-certified or New]]&lt;&gt;"Re-certified",IF(OtherClients[[#This Row],[Client]]="infasco",VLOOKUP(OtherClients[[#This Row],[Part]],PartControl!$A$2:$E$564,2,FALSE),OtherClients[[#This Row],[Total Quantity]]*VLOOKUP(OtherClients[[#This Row],[Part]],PartControl!$A$2:$E$564,2,FALSE)),0)</f>
        <v>106.94</v>
      </c>
      <c r="Z1389" s="108">
        <f>IF(OtherClients[[#This Row],[Re-certified or New]]&lt;&gt;"Re-certified",IF(OtherClients[[#This Row],[Client]]="infasco",VLOOKUP(OtherClients[[#This Row],[Part]],PartControl!$A$2:$E$564,2,FALSE),OtherClients[[#This Row],[Total Quantity]]*VLOOKUP(OtherClients[[#This Row],[Part]],PartControl!$A$2:$E$564,2,FALSE)),0)</f>
        <v>106.94</v>
      </c>
    </row>
    <row r="1390" spans="1:26" ht="25.15" hidden="1" customHeight="1" x14ac:dyDescent="0.25">
      <c r="A1390" s="112">
        <v>46255.694016203706</v>
      </c>
      <c r="B1390" s="5" t="s">
        <v>624</v>
      </c>
      <c r="C1390" s="5">
        <v>11549170</v>
      </c>
      <c r="D1390" s="5">
        <v>716211</v>
      </c>
      <c r="E1390" s="33">
        <v>36</v>
      </c>
      <c r="F1390" s="60">
        <v>400</v>
      </c>
      <c r="G1390" s="60">
        <f>+OtherClients[[#This Row],[Boxes / Pieces]]*OtherClients[[#This Row],[Unit Quantity]]</f>
        <v>14400</v>
      </c>
      <c r="H1390" s="60">
        <v>292</v>
      </c>
      <c r="I1390" s="126" t="s">
        <v>278</v>
      </c>
      <c r="J1390" s="127"/>
      <c r="K1390" s="33" t="s">
        <v>278</v>
      </c>
      <c r="L1390" s="125"/>
      <c r="M1390" s="33" t="s">
        <v>278</v>
      </c>
      <c r="N1390" s="125"/>
      <c r="O1390" s="33" t="s">
        <v>278</v>
      </c>
      <c r="P1390" s="125"/>
      <c r="Q1390" s="33" t="s">
        <v>587</v>
      </c>
      <c r="R1390" s="125"/>
      <c r="S1390" s="33" t="s">
        <v>278</v>
      </c>
      <c r="T1390" s="125"/>
      <c r="U1390" s="33" t="s">
        <v>278</v>
      </c>
      <c r="V1390" s="125"/>
      <c r="W1390" s="59" t="s">
        <v>548</v>
      </c>
      <c r="X1390" s="33" t="str">
        <f>+VLOOKUP(OtherClients[[#This Row],[Part]],PartControl!$A$2:$E$564,5,FALSE)</f>
        <v>INFASCO</v>
      </c>
      <c r="Y1390" s="108">
        <f>IF(OtherClients[[#This Row],[Re-certified or New]]&lt;&gt;"Re-certified",IF(OtherClients[[#This Row],[Client]]="infasco",VLOOKUP(OtherClients[[#This Row],[Part]],PartControl!$A$2:$E$564,2,FALSE),OtherClients[[#This Row],[Total Quantity]]*VLOOKUP(OtherClients[[#This Row],[Part]],PartControl!$A$2:$E$564,2,FALSE)),0)</f>
        <v>106.94</v>
      </c>
      <c r="Z1390" s="108">
        <f>IF(OtherClients[[#This Row],[Re-certified or New]]&lt;&gt;"Re-certified",IF(OtherClients[[#This Row],[Client]]="infasco",VLOOKUP(OtherClients[[#This Row],[Part]],PartControl!$A$2:$E$564,2,FALSE),OtherClients[[#This Row],[Total Quantity]]*VLOOKUP(OtherClients[[#This Row],[Part]],PartControl!$A$2:$E$564,2,FALSE)),0)</f>
        <v>106.94</v>
      </c>
    </row>
    <row r="1391" spans="1:26" ht="25.15" hidden="1" customHeight="1" x14ac:dyDescent="0.25">
      <c r="A1391" s="112">
        <v>46256</v>
      </c>
      <c r="B1391" s="5" t="s">
        <v>624</v>
      </c>
      <c r="C1391" s="5">
        <v>11549170</v>
      </c>
      <c r="D1391" s="5">
        <v>715780</v>
      </c>
      <c r="E1391" s="33">
        <f>12+25</f>
        <v>37</v>
      </c>
      <c r="F1391" s="60">
        <v>400</v>
      </c>
      <c r="G1391" s="60">
        <f>+OtherClients[[#This Row],[Boxes / Pieces]]*OtherClients[[#This Row],[Unit Quantity]]</f>
        <v>14800</v>
      </c>
      <c r="H1391" s="60">
        <v>292</v>
      </c>
      <c r="I1391" s="126" t="s">
        <v>278</v>
      </c>
      <c r="J1391" s="127"/>
      <c r="K1391" s="33" t="s">
        <v>278</v>
      </c>
      <c r="L1391" s="125"/>
      <c r="M1391" s="33" t="s">
        <v>278</v>
      </c>
      <c r="N1391" s="125"/>
      <c r="O1391" s="33" t="s">
        <v>278</v>
      </c>
      <c r="P1391" s="125"/>
      <c r="Q1391" s="33" t="s">
        <v>587</v>
      </c>
      <c r="R1391" s="125"/>
      <c r="S1391" s="33" t="s">
        <v>278</v>
      </c>
      <c r="T1391" s="125"/>
      <c r="U1391" s="33" t="s">
        <v>278</v>
      </c>
      <c r="V1391" s="125"/>
      <c r="W1391" s="59" t="s">
        <v>548</v>
      </c>
      <c r="X1391" s="33" t="str">
        <f>+VLOOKUP(OtherClients[[#This Row],[Part]],PartControl!$A$2:$E$564,5,FALSE)</f>
        <v>INFASCO</v>
      </c>
      <c r="Y1391" s="108">
        <f>IF(OtherClients[[#This Row],[Re-certified or New]]&lt;&gt;"Re-certified",IF(OtherClients[[#This Row],[Client]]="infasco",VLOOKUP(OtherClients[[#This Row],[Part]],PartControl!$A$2:$E$564,2,FALSE),OtherClients[[#This Row],[Total Quantity]]*VLOOKUP(OtherClients[[#This Row],[Part]],PartControl!$A$2:$E$564,2,FALSE)),0)</f>
        <v>106.94</v>
      </c>
      <c r="Z1391" s="108">
        <f>IF(OtherClients[[#This Row],[Re-certified or New]]&lt;&gt;"Re-certified",IF(OtherClients[[#This Row],[Client]]="infasco",VLOOKUP(OtherClients[[#This Row],[Part]],PartControl!$A$2:$E$564,2,FALSE),OtherClients[[#This Row],[Total Quantity]]*VLOOKUP(OtherClients[[#This Row],[Part]],PartControl!$A$2:$E$564,2,FALSE)),0)</f>
        <v>106.94</v>
      </c>
    </row>
    <row r="1392" spans="1:26" ht="25.15" hidden="1" customHeight="1" x14ac:dyDescent="0.25">
      <c r="A1392" s="112">
        <v>46256</v>
      </c>
      <c r="B1392" s="5" t="s">
        <v>624</v>
      </c>
      <c r="C1392" s="5">
        <v>11549170</v>
      </c>
      <c r="D1392" s="5">
        <v>715781</v>
      </c>
      <c r="E1392" s="33">
        <v>24</v>
      </c>
      <c r="F1392" s="60">
        <v>400</v>
      </c>
      <c r="G1392" s="60">
        <f>+OtherClients[[#This Row],[Boxes / Pieces]]*OtherClients[[#This Row],[Unit Quantity]]</f>
        <v>9600</v>
      </c>
      <c r="H1392" s="60">
        <v>292</v>
      </c>
      <c r="I1392" s="126" t="s">
        <v>278</v>
      </c>
      <c r="J1392" s="127"/>
      <c r="K1392" s="33" t="s">
        <v>278</v>
      </c>
      <c r="L1392" s="125"/>
      <c r="M1392" s="33" t="s">
        <v>278</v>
      </c>
      <c r="N1392" s="125"/>
      <c r="O1392" s="33" t="s">
        <v>278</v>
      </c>
      <c r="P1392" s="125"/>
      <c r="Q1392" s="33" t="s">
        <v>587</v>
      </c>
      <c r="R1392" s="125"/>
      <c r="S1392" s="33" t="s">
        <v>278</v>
      </c>
      <c r="T1392" s="125"/>
      <c r="U1392" s="33" t="s">
        <v>278</v>
      </c>
      <c r="V1392" s="125"/>
      <c r="W1392" s="59" t="s">
        <v>548</v>
      </c>
      <c r="X1392" s="33" t="str">
        <f>+VLOOKUP(OtherClients[[#This Row],[Part]],PartControl!$A$2:$E$564,5,FALSE)</f>
        <v>INFASCO</v>
      </c>
      <c r="Y1392" s="108">
        <f>IF(OtherClients[[#This Row],[Re-certified or New]]&lt;&gt;"Re-certified",IF(OtherClients[[#This Row],[Client]]="infasco",VLOOKUP(OtherClients[[#This Row],[Part]],PartControl!$A$2:$E$564,2,FALSE),OtherClients[[#This Row],[Total Quantity]]*VLOOKUP(OtherClients[[#This Row],[Part]],PartControl!$A$2:$E$564,2,FALSE)),0)</f>
        <v>106.94</v>
      </c>
      <c r="Z1392" s="108">
        <f>IF(OtherClients[[#This Row],[Re-certified or New]]&lt;&gt;"Re-certified",IF(OtherClients[[#This Row],[Client]]="infasco",VLOOKUP(OtherClients[[#This Row],[Part]],PartControl!$A$2:$E$564,2,FALSE),OtherClients[[#This Row],[Total Quantity]]*VLOOKUP(OtherClients[[#This Row],[Part]],PartControl!$A$2:$E$564,2,FALSE)),0)</f>
        <v>106.94</v>
      </c>
    </row>
    <row r="1393" spans="1:26" ht="25.15" hidden="1" customHeight="1" x14ac:dyDescent="0.25">
      <c r="A1393" s="112">
        <v>46255.694016203706</v>
      </c>
      <c r="B1393" s="5" t="s">
        <v>239</v>
      </c>
      <c r="C1393" s="5">
        <v>11549170</v>
      </c>
      <c r="D1393" s="5">
        <v>716214</v>
      </c>
      <c r="E1393" s="33">
        <v>36</v>
      </c>
      <c r="F1393" s="60">
        <v>400</v>
      </c>
      <c r="G1393" s="60">
        <f>+OtherClients[[#This Row],[Boxes / Pieces]]*OtherClients[[#This Row],[Unit Quantity]]</f>
        <v>14400</v>
      </c>
      <c r="H1393" s="60">
        <v>290</v>
      </c>
      <c r="I1393" s="126" t="s">
        <v>278</v>
      </c>
      <c r="J1393" s="127"/>
      <c r="K1393" s="33" t="s">
        <v>278</v>
      </c>
      <c r="L1393" s="125"/>
      <c r="M1393" s="33" t="s">
        <v>278</v>
      </c>
      <c r="N1393" s="125"/>
      <c r="O1393" s="33" t="s">
        <v>278</v>
      </c>
      <c r="P1393" s="125"/>
      <c r="Q1393" s="33" t="s">
        <v>587</v>
      </c>
      <c r="R1393" s="125"/>
      <c r="S1393" s="33" t="s">
        <v>278</v>
      </c>
      <c r="T1393" s="125"/>
      <c r="U1393" s="33" t="s">
        <v>278</v>
      </c>
      <c r="V1393" s="125"/>
      <c r="W1393" s="59" t="s">
        <v>633</v>
      </c>
      <c r="X1393" s="33" t="str">
        <f>+VLOOKUP(OtherClients[[#This Row],[Part]],PartControl!$A$2:$E$564,5,FALSE)</f>
        <v>INFASCO</v>
      </c>
      <c r="Y1393" s="108">
        <f>IF(OtherClients[[#This Row],[Re-certified or New]]&lt;&gt;"Re-certified",IF(OtherClients[[#This Row],[Client]]="infasco",VLOOKUP(OtherClients[[#This Row],[Part]],PartControl!$A$2:$E$564,2,FALSE),OtherClients[[#This Row],[Total Quantity]]*VLOOKUP(OtherClients[[#This Row],[Part]],PartControl!$A$2:$E$564,2,FALSE)),0)</f>
        <v>0</v>
      </c>
      <c r="Z1393" s="108">
        <f>IF(OtherClients[[#This Row],[Re-certified or New]]&lt;&gt;"Re-certified",IF(OtherClients[[#This Row],[Client]]="infasco",VLOOKUP(OtherClients[[#This Row],[Part]],PartControl!$A$2:$E$564,2,FALSE),OtherClients[[#This Row],[Total Quantity]]*VLOOKUP(OtherClients[[#This Row],[Part]],PartControl!$A$2:$E$564,2,FALSE)),0)</f>
        <v>0</v>
      </c>
    </row>
    <row r="1394" spans="1:26" ht="25.15" hidden="1" customHeight="1" x14ac:dyDescent="0.25">
      <c r="A1394" s="112">
        <v>46256</v>
      </c>
      <c r="B1394" s="5" t="s">
        <v>624</v>
      </c>
      <c r="C1394" s="5">
        <v>11549170</v>
      </c>
      <c r="D1394" s="5">
        <v>716212</v>
      </c>
      <c r="E1394" s="33">
        <v>12</v>
      </c>
      <c r="F1394" s="60">
        <v>400</v>
      </c>
      <c r="G1394" s="60">
        <f>+OtherClients[[#This Row],[Boxes / Pieces]]*OtherClients[[#This Row],[Unit Quantity]]</f>
        <v>4800</v>
      </c>
      <c r="H1394" s="60">
        <v>292</v>
      </c>
      <c r="I1394" s="126" t="s">
        <v>278</v>
      </c>
      <c r="J1394" s="127"/>
      <c r="K1394" s="33" t="s">
        <v>278</v>
      </c>
      <c r="L1394" s="125"/>
      <c r="M1394" s="33" t="s">
        <v>278</v>
      </c>
      <c r="N1394" s="125"/>
      <c r="O1394" s="33" t="s">
        <v>278</v>
      </c>
      <c r="P1394" s="125"/>
      <c r="Q1394" s="33" t="s">
        <v>587</v>
      </c>
      <c r="R1394" s="125"/>
      <c r="S1394" s="33" t="s">
        <v>278</v>
      </c>
      <c r="T1394" s="125"/>
      <c r="U1394" s="33" t="s">
        <v>278</v>
      </c>
      <c r="V1394" s="125"/>
      <c r="W1394" s="59" t="s">
        <v>548</v>
      </c>
      <c r="X1394" s="33" t="str">
        <f>+VLOOKUP(OtherClients[[#This Row],[Part]],PartControl!$A$2:$E$564,5,FALSE)</f>
        <v>INFASCO</v>
      </c>
      <c r="Y1394" s="108">
        <f>IF(OtherClients[[#This Row],[Re-certified or New]]&lt;&gt;"Re-certified",IF(OtherClients[[#This Row],[Client]]="infasco",VLOOKUP(OtherClients[[#This Row],[Part]],PartControl!$A$2:$E$564,2,FALSE),OtherClients[[#This Row],[Total Quantity]]*VLOOKUP(OtherClients[[#This Row],[Part]],PartControl!$A$2:$E$564,2,FALSE)),0)</f>
        <v>106.94</v>
      </c>
      <c r="Z1394" s="108">
        <f>IF(OtherClients[[#This Row],[Re-certified or New]]&lt;&gt;"Re-certified",IF(OtherClients[[#This Row],[Client]]="infasco",VLOOKUP(OtherClients[[#This Row],[Part]],PartControl!$A$2:$E$564,2,FALSE),OtherClients[[#This Row],[Total Quantity]]*VLOOKUP(OtherClients[[#This Row],[Part]],PartControl!$A$2:$E$564,2,FALSE)),0)</f>
        <v>106.94</v>
      </c>
    </row>
    <row r="1395" spans="1:26" ht="25.15" hidden="1" customHeight="1" x14ac:dyDescent="0.25">
      <c r="A1395" s="112">
        <v>46254.679212962961</v>
      </c>
      <c r="B1395" s="5" t="s">
        <v>239</v>
      </c>
      <c r="C1395" s="5">
        <v>11549170</v>
      </c>
      <c r="D1395" s="5">
        <v>716215</v>
      </c>
      <c r="E1395" s="33">
        <v>14</v>
      </c>
      <c r="F1395" s="60">
        <v>400</v>
      </c>
      <c r="G1395" s="60">
        <f>+OtherClients[[#This Row],[Boxes / Pieces]]*OtherClients[[#This Row],[Unit Quantity]]</f>
        <v>5600</v>
      </c>
      <c r="H1395" s="60">
        <v>290</v>
      </c>
      <c r="I1395" s="126" t="s">
        <v>278</v>
      </c>
      <c r="J1395" s="127"/>
      <c r="K1395" s="33" t="s">
        <v>278</v>
      </c>
      <c r="L1395" s="125"/>
      <c r="M1395" s="33" t="s">
        <v>278</v>
      </c>
      <c r="N1395" s="125"/>
      <c r="O1395" s="33" t="s">
        <v>278</v>
      </c>
      <c r="P1395" s="125"/>
      <c r="Q1395" s="33" t="s">
        <v>587</v>
      </c>
      <c r="R1395" s="125"/>
      <c r="S1395" s="33" t="s">
        <v>278</v>
      </c>
      <c r="T1395" s="125"/>
      <c r="U1395" s="33" t="s">
        <v>278</v>
      </c>
      <c r="V1395" s="125"/>
      <c r="W1395" s="59" t="s">
        <v>633</v>
      </c>
      <c r="X1395" s="33" t="str">
        <f>+VLOOKUP(OtherClients[[#This Row],[Part]],PartControl!$A$2:$E$564,5,FALSE)</f>
        <v>INFASCO</v>
      </c>
      <c r="Y1395" s="108">
        <f>IF(OtherClients[[#This Row],[Re-certified or New]]&lt;&gt;"Re-certified",IF(OtherClients[[#This Row],[Client]]="infasco",VLOOKUP(OtherClients[[#This Row],[Part]],PartControl!$A$2:$E$564,2,FALSE),OtherClients[[#This Row],[Total Quantity]]*VLOOKUP(OtherClients[[#This Row],[Part]],PartControl!$A$2:$E$564,2,FALSE)),0)</f>
        <v>0</v>
      </c>
      <c r="Z1395" s="108">
        <f>IF(OtherClients[[#This Row],[Re-certified or New]]&lt;&gt;"Re-certified",IF(OtherClients[[#This Row],[Client]]="infasco",VLOOKUP(OtherClients[[#This Row],[Part]],PartControl!$A$2:$E$564,2,FALSE),OtherClients[[#This Row],[Total Quantity]]*VLOOKUP(OtherClients[[#This Row],[Part]],PartControl!$A$2:$E$564,2,FALSE)),0)</f>
        <v>0</v>
      </c>
    </row>
    <row r="1396" spans="1:26" ht="25.15" hidden="1" customHeight="1" x14ac:dyDescent="0.25">
      <c r="A1396" s="112">
        <v>46255.694016203706</v>
      </c>
      <c r="B1396" s="5" t="s">
        <v>239</v>
      </c>
      <c r="C1396" s="5">
        <v>11549170</v>
      </c>
      <c r="D1396" s="5">
        <v>716215</v>
      </c>
      <c r="E1396" s="33">
        <f>36-14</f>
        <v>22</v>
      </c>
      <c r="F1396" s="60">
        <v>400</v>
      </c>
      <c r="G1396" s="60">
        <f>+OtherClients[[#This Row],[Boxes / Pieces]]*OtherClients[[#This Row],[Unit Quantity]]</f>
        <v>8800</v>
      </c>
      <c r="H1396" s="60">
        <v>290</v>
      </c>
      <c r="I1396" s="126" t="s">
        <v>278</v>
      </c>
      <c r="J1396" s="127"/>
      <c r="K1396" s="33" t="s">
        <v>278</v>
      </c>
      <c r="L1396" s="125"/>
      <c r="M1396" s="33" t="s">
        <v>278</v>
      </c>
      <c r="N1396" s="125"/>
      <c r="O1396" s="33" t="s">
        <v>278</v>
      </c>
      <c r="P1396" s="125"/>
      <c r="Q1396" s="33" t="s">
        <v>587</v>
      </c>
      <c r="R1396" s="125"/>
      <c r="S1396" s="33" t="s">
        <v>278</v>
      </c>
      <c r="T1396" s="125"/>
      <c r="U1396" s="33" t="s">
        <v>278</v>
      </c>
      <c r="V1396" s="125"/>
      <c r="W1396" s="59" t="s">
        <v>548</v>
      </c>
      <c r="X1396" s="33" t="str">
        <f>+VLOOKUP(OtherClients[[#This Row],[Part]],PartControl!$A$2:$E$564,5,FALSE)</f>
        <v>INFASCO</v>
      </c>
      <c r="Y1396" s="108">
        <f>IF(OtherClients[[#This Row],[Re-certified or New]]&lt;&gt;"Re-certified",IF(OtherClients[[#This Row],[Client]]="infasco",VLOOKUP(OtherClients[[#This Row],[Part]],PartControl!$A$2:$E$564,2,FALSE),OtherClients[[#This Row],[Total Quantity]]*VLOOKUP(OtherClients[[#This Row],[Part]],PartControl!$A$2:$E$564,2,FALSE)),0)</f>
        <v>106.94</v>
      </c>
      <c r="Z1396" s="108">
        <f>IF(OtherClients[[#This Row],[Re-certified or New]]&lt;&gt;"Re-certified",IF(OtherClients[[#This Row],[Client]]="infasco",VLOOKUP(OtherClients[[#This Row],[Part]],PartControl!$A$2:$E$564,2,FALSE),OtherClients[[#This Row],[Total Quantity]]*VLOOKUP(OtherClients[[#This Row],[Part]],PartControl!$A$2:$E$564,2,FALSE)),0)</f>
        <v>106.94</v>
      </c>
    </row>
    <row r="1397" spans="1:26" ht="25.15" hidden="1" customHeight="1" x14ac:dyDescent="0.25">
      <c r="A1397" s="112">
        <v>46254.679212962961</v>
      </c>
      <c r="B1397" s="5" t="s">
        <v>345</v>
      </c>
      <c r="C1397" s="5">
        <v>11549170</v>
      </c>
      <c r="D1397" s="5">
        <v>716216</v>
      </c>
      <c r="E1397" s="33">
        <v>38</v>
      </c>
      <c r="F1397" s="60">
        <v>400</v>
      </c>
      <c r="G1397" s="60">
        <f>+OtherClients[[#This Row],[Boxes / Pieces]]*OtherClients[[#This Row],[Unit Quantity]]</f>
        <v>15200</v>
      </c>
      <c r="H1397" s="60" t="s">
        <v>849</v>
      </c>
      <c r="I1397" s="126" t="s">
        <v>278</v>
      </c>
      <c r="J1397" s="127"/>
      <c r="K1397" s="33" t="s">
        <v>278</v>
      </c>
      <c r="L1397" s="125"/>
      <c r="M1397" s="33" t="s">
        <v>278</v>
      </c>
      <c r="N1397" s="125"/>
      <c r="O1397" s="33" t="s">
        <v>278</v>
      </c>
      <c r="P1397" s="125"/>
      <c r="Q1397" s="33" t="s">
        <v>587</v>
      </c>
      <c r="R1397" s="125"/>
      <c r="S1397" s="33" t="s">
        <v>278</v>
      </c>
      <c r="T1397" s="125"/>
      <c r="U1397" s="33" t="s">
        <v>278</v>
      </c>
      <c r="V1397" s="125"/>
      <c r="W1397" s="59" t="s">
        <v>548</v>
      </c>
      <c r="X1397" s="33" t="str">
        <f>+VLOOKUP(OtherClients[[#This Row],[Part]],PartControl!$A$2:$E$564,5,FALSE)</f>
        <v>INFASCO</v>
      </c>
      <c r="Y1397" s="108">
        <f>IF(OtherClients[[#This Row],[Re-certified or New]]&lt;&gt;"Re-certified",IF(OtherClients[[#This Row],[Client]]="infasco",VLOOKUP(OtherClients[[#This Row],[Part]],PartControl!$A$2:$E$564,2,FALSE),OtherClients[[#This Row],[Total Quantity]]*VLOOKUP(OtherClients[[#This Row],[Part]],PartControl!$A$2:$E$564,2,FALSE)),0)</f>
        <v>106.94</v>
      </c>
      <c r="Z1397" s="108">
        <f>IF(OtherClients[[#This Row],[Re-certified or New]]&lt;&gt;"Re-certified",IF(OtherClients[[#This Row],[Client]]="infasco",VLOOKUP(OtherClients[[#This Row],[Part]],PartControl!$A$2:$E$564,2,FALSE),OtherClients[[#This Row],[Total Quantity]]*VLOOKUP(OtherClients[[#This Row],[Part]],PartControl!$A$2:$E$564,2,FALSE)),0)</f>
        <v>106.94</v>
      </c>
    </row>
    <row r="1398" spans="1:26" ht="25.15" hidden="1" customHeight="1" x14ac:dyDescent="0.25">
      <c r="A1398" s="112">
        <v>46255.694016203706</v>
      </c>
      <c r="B1398" s="5" t="s">
        <v>239</v>
      </c>
      <c r="C1398" s="5">
        <v>11549170</v>
      </c>
      <c r="D1398" s="5">
        <v>716217</v>
      </c>
      <c r="E1398" s="33">
        <v>36</v>
      </c>
      <c r="F1398" s="60">
        <v>400</v>
      </c>
      <c r="G1398" s="60">
        <f>+OtherClients[[#This Row],[Boxes / Pieces]]*OtherClients[[#This Row],[Unit Quantity]]</f>
        <v>14400</v>
      </c>
      <c r="H1398" s="60">
        <v>290</v>
      </c>
      <c r="I1398" s="126" t="s">
        <v>278</v>
      </c>
      <c r="J1398" s="127"/>
      <c r="K1398" s="33" t="s">
        <v>278</v>
      </c>
      <c r="L1398" s="125"/>
      <c r="M1398" s="33" t="s">
        <v>278</v>
      </c>
      <c r="N1398" s="125"/>
      <c r="O1398" s="33" t="s">
        <v>278</v>
      </c>
      <c r="P1398" s="125"/>
      <c r="Q1398" s="33" t="s">
        <v>587</v>
      </c>
      <c r="R1398" s="125"/>
      <c r="S1398" s="33" t="s">
        <v>278</v>
      </c>
      <c r="T1398" s="125"/>
      <c r="U1398" s="33" t="s">
        <v>278</v>
      </c>
      <c r="V1398" s="125"/>
      <c r="W1398" s="59" t="s">
        <v>548</v>
      </c>
      <c r="X1398" s="33" t="str">
        <f>+VLOOKUP(OtherClients[[#This Row],[Part]],PartControl!$A$2:$E$564,5,FALSE)</f>
        <v>INFASCO</v>
      </c>
      <c r="Y1398" s="108">
        <f>IF(OtherClients[[#This Row],[Re-certified or New]]&lt;&gt;"Re-certified",IF(OtherClients[[#This Row],[Client]]="infasco",VLOOKUP(OtherClients[[#This Row],[Part]],PartControl!$A$2:$E$564,2,FALSE),OtherClients[[#This Row],[Total Quantity]]*VLOOKUP(OtherClients[[#This Row],[Part]],PartControl!$A$2:$E$564,2,FALSE)),0)</f>
        <v>106.94</v>
      </c>
      <c r="Z1398" s="108">
        <f>IF(OtherClients[[#This Row],[Re-certified or New]]&lt;&gt;"Re-certified",IF(OtherClients[[#This Row],[Client]]="infasco",VLOOKUP(OtherClients[[#This Row],[Part]],PartControl!$A$2:$E$564,2,FALSE),OtherClients[[#This Row],[Total Quantity]]*VLOOKUP(OtherClients[[#This Row],[Part]],PartControl!$A$2:$E$564,2,FALSE)),0)</f>
        <v>106.94</v>
      </c>
    </row>
    <row r="1399" spans="1:26" ht="25.15" hidden="1" customHeight="1" x14ac:dyDescent="0.25">
      <c r="A1399" s="112">
        <v>46255.694016203706</v>
      </c>
      <c r="B1399" s="5" t="s">
        <v>238</v>
      </c>
      <c r="C1399" s="5">
        <v>11549170</v>
      </c>
      <c r="D1399" s="5">
        <v>716218</v>
      </c>
      <c r="E1399" s="33">
        <v>36</v>
      </c>
      <c r="F1399" s="60">
        <v>400</v>
      </c>
      <c r="G1399" s="60">
        <f>+OtherClients[[#This Row],[Boxes / Pieces]]*OtherClients[[#This Row],[Unit Quantity]]</f>
        <v>14400</v>
      </c>
      <c r="H1399" s="60">
        <v>275</v>
      </c>
      <c r="I1399" s="126" t="s">
        <v>278</v>
      </c>
      <c r="J1399" s="127"/>
      <c r="K1399" s="33" t="s">
        <v>278</v>
      </c>
      <c r="L1399" s="125"/>
      <c r="M1399" s="33" t="s">
        <v>278</v>
      </c>
      <c r="N1399" s="125"/>
      <c r="O1399" s="33" t="s">
        <v>278</v>
      </c>
      <c r="P1399" s="125"/>
      <c r="Q1399" s="33" t="s">
        <v>587</v>
      </c>
      <c r="R1399" s="125"/>
      <c r="S1399" s="33" t="s">
        <v>278</v>
      </c>
      <c r="T1399" s="125"/>
      <c r="U1399" s="33" t="s">
        <v>278</v>
      </c>
      <c r="V1399" s="125"/>
      <c r="W1399" s="59" t="s">
        <v>548</v>
      </c>
      <c r="X1399" s="33" t="str">
        <f>+VLOOKUP(OtherClients[[#This Row],[Part]],PartControl!$A$2:$E$564,5,FALSE)</f>
        <v>INFASCO</v>
      </c>
      <c r="Y1399" s="108">
        <f>IF(OtherClients[[#This Row],[Re-certified or New]]&lt;&gt;"Re-certified",IF(OtherClients[[#This Row],[Client]]="infasco",VLOOKUP(OtherClients[[#This Row],[Part]],PartControl!$A$2:$E$564,2,FALSE),OtherClients[[#This Row],[Total Quantity]]*VLOOKUP(OtherClients[[#This Row],[Part]],PartControl!$A$2:$E$564,2,FALSE)),0)</f>
        <v>106.94</v>
      </c>
      <c r="Z1399" s="108">
        <f>IF(OtherClients[[#This Row],[Re-certified or New]]&lt;&gt;"Re-certified",IF(OtherClients[[#This Row],[Client]]="infasco",VLOOKUP(OtherClients[[#This Row],[Part]],PartControl!$A$2:$E$564,2,FALSE),OtherClients[[#This Row],[Total Quantity]]*VLOOKUP(OtherClients[[#This Row],[Part]],PartControl!$A$2:$E$564,2,FALSE)),0)</f>
        <v>106.94</v>
      </c>
    </row>
    <row r="1400" spans="1:26" ht="25.15" hidden="1" customHeight="1" x14ac:dyDescent="0.25">
      <c r="A1400" s="112">
        <v>46255.694016203706</v>
      </c>
      <c r="B1400" s="5" t="s">
        <v>238</v>
      </c>
      <c r="C1400" s="5">
        <v>11549170</v>
      </c>
      <c r="D1400" s="5">
        <v>716219</v>
      </c>
      <c r="E1400" s="33">
        <v>36</v>
      </c>
      <c r="F1400" s="60">
        <v>400</v>
      </c>
      <c r="G1400" s="60">
        <f>+OtherClients[[#This Row],[Boxes / Pieces]]*OtherClients[[#This Row],[Unit Quantity]]</f>
        <v>14400</v>
      </c>
      <c r="H1400" s="60">
        <v>275</v>
      </c>
      <c r="I1400" s="126" t="s">
        <v>278</v>
      </c>
      <c r="J1400" s="127"/>
      <c r="K1400" s="33" t="s">
        <v>278</v>
      </c>
      <c r="L1400" s="125"/>
      <c r="M1400" s="33" t="s">
        <v>278</v>
      </c>
      <c r="N1400" s="125"/>
      <c r="O1400" s="33" t="s">
        <v>278</v>
      </c>
      <c r="P1400" s="125"/>
      <c r="Q1400" s="33" t="s">
        <v>587</v>
      </c>
      <c r="R1400" s="125"/>
      <c r="S1400" s="33" t="s">
        <v>278</v>
      </c>
      <c r="T1400" s="125"/>
      <c r="U1400" s="33" t="s">
        <v>278</v>
      </c>
      <c r="V1400" s="125"/>
      <c r="W1400" s="59" t="s">
        <v>548</v>
      </c>
      <c r="X1400" s="33" t="str">
        <f>+VLOOKUP(OtherClients[[#This Row],[Part]],PartControl!$A$2:$E$564,5,FALSE)</f>
        <v>INFASCO</v>
      </c>
      <c r="Y1400" s="108">
        <f>IF(OtherClients[[#This Row],[Re-certified or New]]&lt;&gt;"Re-certified",IF(OtherClients[[#This Row],[Client]]="infasco",VLOOKUP(OtherClients[[#This Row],[Part]],PartControl!$A$2:$E$564,2,FALSE),OtherClients[[#This Row],[Total Quantity]]*VLOOKUP(OtherClients[[#This Row],[Part]],PartControl!$A$2:$E$564,2,FALSE)),0)</f>
        <v>106.94</v>
      </c>
      <c r="Z1400" s="108">
        <f>IF(OtherClients[[#This Row],[Re-certified or New]]&lt;&gt;"Re-certified",IF(OtherClients[[#This Row],[Client]]="infasco",VLOOKUP(OtherClients[[#This Row],[Part]],PartControl!$A$2:$E$564,2,FALSE),OtherClients[[#This Row],[Total Quantity]]*VLOOKUP(OtherClients[[#This Row],[Part]],PartControl!$A$2:$E$564,2,FALSE)),0)</f>
        <v>106.94</v>
      </c>
    </row>
    <row r="1401" spans="1:26" ht="25.15" hidden="1" customHeight="1" x14ac:dyDescent="0.25">
      <c r="A1401" s="112">
        <v>46256</v>
      </c>
      <c r="B1401" s="5" t="s">
        <v>624</v>
      </c>
      <c r="C1401" s="5">
        <v>11548414</v>
      </c>
      <c r="D1401" s="5">
        <v>717049</v>
      </c>
      <c r="E1401" s="33">
        <v>5</v>
      </c>
      <c r="F1401" s="60">
        <v>485</v>
      </c>
      <c r="G1401" s="60">
        <f>+OtherClients[[#This Row],[Boxes / Pieces]]*OtherClients[[#This Row],[Unit Quantity]]</f>
        <v>2425</v>
      </c>
      <c r="H1401" s="60">
        <v>292</v>
      </c>
      <c r="I1401" s="126" t="s">
        <v>278</v>
      </c>
      <c r="J1401" s="127"/>
      <c r="K1401" s="33" t="s">
        <v>278</v>
      </c>
      <c r="L1401" s="125"/>
      <c r="M1401" s="33" t="s">
        <v>278</v>
      </c>
      <c r="N1401" s="125"/>
      <c r="O1401" s="33" t="s">
        <v>278</v>
      </c>
      <c r="P1401" s="125"/>
      <c r="Q1401" s="33" t="s">
        <v>587</v>
      </c>
      <c r="R1401" s="125"/>
      <c r="S1401" s="33" t="s">
        <v>278</v>
      </c>
      <c r="T1401" s="125"/>
      <c r="U1401" s="33" t="s">
        <v>278</v>
      </c>
      <c r="V1401" s="125"/>
      <c r="W1401" s="59" t="s">
        <v>633</v>
      </c>
      <c r="X1401" s="33" t="str">
        <f>+VLOOKUP(OtherClients[[#This Row],[Part]],PartControl!$A$2:$E$564,5,FALSE)</f>
        <v>INFASCO</v>
      </c>
      <c r="Y1401" s="108">
        <f>IF(OtherClients[[#This Row],[Re-certified or New]]&lt;&gt;"Re-certified",IF(OtherClients[[#This Row],[Client]]="infasco",VLOOKUP(OtherClients[[#This Row],[Part]],PartControl!$A$2:$E$564,2,FALSE),OtherClients[[#This Row],[Total Quantity]]*VLOOKUP(OtherClients[[#This Row],[Part]],PartControl!$A$2:$E$564,2,FALSE)),0)</f>
        <v>0</v>
      </c>
      <c r="Z1401" s="108">
        <f>IF(OtherClients[[#This Row],[Re-certified or New]]&lt;&gt;"Re-certified",IF(OtherClients[[#This Row],[Client]]="infasco",VLOOKUP(OtherClients[[#This Row],[Part]],PartControl!$A$2:$E$564,2,FALSE),OtherClients[[#This Row],[Total Quantity]]*VLOOKUP(OtherClients[[#This Row],[Part]],PartControl!$A$2:$E$564,2,FALSE)),0)</f>
        <v>0</v>
      </c>
    </row>
    <row r="1402" spans="1:26" ht="25.15" hidden="1" customHeight="1" x14ac:dyDescent="0.25">
      <c r="A1402" s="112">
        <v>46254.679212962961</v>
      </c>
      <c r="B1402" s="5" t="s">
        <v>242</v>
      </c>
      <c r="C1402" s="5">
        <v>11549170</v>
      </c>
      <c r="D1402" s="5">
        <v>716222</v>
      </c>
      <c r="E1402" s="33">
        <v>20</v>
      </c>
      <c r="F1402" s="60">
        <v>400</v>
      </c>
      <c r="G1402" s="60">
        <f>+OtherClients[[#This Row],[Boxes / Pieces]]*OtherClients[[#This Row],[Unit Quantity]]</f>
        <v>8000</v>
      </c>
      <c r="H1402" s="60">
        <v>275</v>
      </c>
      <c r="I1402" s="126" t="s">
        <v>278</v>
      </c>
      <c r="J1402" s="127"/>
      <c r="K1402" s="33" t="s">
        <v>278</v>
      </c>
      <c r="L1402" s="125"/>
      <c r="M1402" s="33" t="s">
        <v>278</v>
      </c>
      <c r="N1402" s="125"/>
      <c r="O1402" s="33" t="s">
        <v>278</v>
      </c>
      <c r="P1402" s="125"/>
      <c r="Q1402" s="33" t="s">
        <v>587</v>
      </c>
      <c r="R1402" s="125"/>
      <c r="S1402" s="33" t="s">
        <v>278</v>
      </c>
      <c r="T1402" s="125"/>
      <c r="U1402" s="33" t="s">
        <v>278</v>
      </c>
      <c r="V1402" s="125"/>
      <c r="W1402" s="59" t="s">
        <v>633</v>
      </c>
      <c r="X1402" s="33" t="str">
        <f>+VLOOKUP(OtherClients[[#This Row],[Part]],PartControl!$A$2:$E$564,5,FALSE)</f>
        <v>INFASCO</v>
      </c>
      <c r="Y1402" s="108">
        <f>IF(OtherClients[[#This Row],[Re-certified or New]]&lt;&gt;"Re-certified",IF(OtherClients[[#This Row],[Client]]="infasco",VLOOKUP(OtherClients[[#This Row],[Part]],PartControl!$A$2:$E$564,2,FALSE),OtherClients[[#This Row],[Total Quantity]]*VLOOKUP(OtherClients[[#This Row],[Part]],PartControl!$A$2:$E$564,2,FALSE)),0)</f>
        <v>0</v>
      </c>
      <c r="Z1402" s="108">
        <f>IF(OtherClients[[#This Row],[Re-certified or New]]&lt;&gt;"Re-certified",IF(OtherClients[[#This Row],[Client]]="infasco",VLOOKUP(OtherClients[[#This Row],[Part]],PartControl!$A$2:$E$564,2,FALSE),OtherClients[[#This Row],[Total Quantity]]*VLOOKUP(OtherClients[[#This Row],[Part]],PartControl!$A$2:$E$564,2,FALSE)),0)</f>
        <v>0</v>
      </c>
    </row>
    <row r="1403" spans="1:26" ht="25.15" hidden="1" customHeight="1" x14ac:dyDescent="0.25">
      <c r="A1403" s="112">
        <v>46255.694016203706</v>
      </c>
      <c r="B1403" s="5" t="s">
        <v>242</v>
      </c>
      <c r="C1403" s="5">
        <v>11549170</v>
      </c>
      <c r="D1403" s="5">
        <v>716222</v>
      </c>
      <c r="E1403" s="33">
        <v>16</v>
      </c>
      <c r="F1403" s="60">
        <v>400</v>
      </c>
      <c r="G1403" s="60">
        <v>6400</v>
      </c>
      <c r="H1403" s="60">
        <v>275</v>
      </c>
      <c r="I1403" s="126" t="s">
        <v>278</v>
      </c>
      <c r="J1403" s="127"/>
      <c r="K1403" s="33" t="s">
        <v>278</v>
      </c>
      <c r="L1403" s="125"/>
      <c r="M1403" s="33" t="s">
        <v>278</v>
      </c>
      <c r="N1403" s="125"/>
      <c r="O1403" s="33" t="s">
        <v>278</v>
      </c>
      <c r="P1403" s="125"/>
      <c r="Q1403" s="33" t="s">
        <v>587</v>
      </c>
      <c r="R1403" s="125"/>
      <c r="S1403" s="33" t="s">
        <v>278</v>
      </c>
      <c r="T1403" s="125"/>
      <c r="U1403" s="33" t="s">
        <v>278</v>
      </c>
      <c r="V1403" s="125"/>
      <c r="W1403" s="128" t="s">
        <v>548</v>
      </c>
      <c r="X1403" s="33" t="str">
        <f>+VLOOKUP(OtherClients[[#This Row],[Part]],PartControl!$A$2:$E$564,5,FALSE)</f>
        <v>INFASCO</v>
      </c>
      <c r="Y1403" s="125">
        <v>106.94</v>
      </c>
      <c r="Z1403" s="108">
        <f>IF(OtherClients[[#This Row],[Re-certified or New]]&lt;&gt;"Re-certified",IF(OtherClients[[#This Row],[Client]]="infasco",VLOOKUP(OtherClients[[#This Row],[Part]],PartControl!$A$2:$E$564,2,FALSE),OtherClients[[#This Row],[Total Quantity]]*VLOOKUP(OtherClients[[#This Row],[Part]],PartControl!$A$2:$E$564,2,FALSE)),0)</f>
        <v>106.94</v>
      </c>
    </row>
    <row r="1404" spans="1:26" ht="25.15" hidden="1" customHeight="1" x14ac:dyDescent="0.25">
      <c r="A1404" s="112">
        <v>46255.694016203706</v>
      </c>
      <c r="B1404" s="5" t="s">
        <v>624</v>
      </c>
      <c r="C1404" s="5">
        <v>11549170</v>
      </c>
      <c r="D1404" s="5">
        <v>716224</v>
      </c>
      <c r="E1404" s="33">
        <v>36</v>
      </c>
      <c r="F1404" s="60">
        <v>400</v>
      </c>
      <c r="G1404" s="60">
        <f>+OtherClients[[#This Row],[Boxes / Pieces]]*OtherClients[[#This Row],[Unit Quantity]]</f>
        <v>14400</v>
      </c>
      <c r="H1404" s="60">
        <v>292</v>
      </c>
      <c r="I1404" s="126" t="s">
        <v>278</v>
      </c>
      <c r="J1404" s="127"/>
      <c r="K1404" s="33" t="s">
        <v>278</v>
      </c>
      <c r="L1404" s="125"/>
      <c r="M1404" s="33" t="s">
        <v>278</v>
      </c>
      <c r="N1404" s="125"/>
      <c r="O1404" s="33" t="s">
        <v>278</v>
      </c>
      <c r="P1404" s="125"/>
      <c r="Q1404" s="33" t="s">
        <v>587</v>
      </c>
      <c r="R1404" s="125"/>
      <c r="S1404" s="33" t="s">
        <v>278</v>
      </c>
      <c r="T1404" s="125"/>
      <c r="U1404" s="33" t="s">
        <v>278</v>
      </c>
      <c r="V1404" s="125"/>
      <c r="W1404" s="59" t="s">
        <v>548</v>
      </c>
      <c r="X1404" s="33" t="str">
        <f>+VLOOKUP(OtherClients[[#This Row],[Part]],PartControl!$A$2:$E$564,5,FALSE)</f>
        <v>INFASCO</v>
      </c>
      <c r="Y1404" s="108">
        <f>IF(OtherClients[[#This Row],[Re-certified or New]]&lt;&gt;"Re-certified",IF(OtherClients[[#This Row],[Client]]="infasco",VLOOKUP(OtherClients[[#This Row],[Part]],PartControl!$A$2:$E$564,2,FALSE),OtherClients[[#This Row],[Total Quantity]]*VLOOKUP(OtherClients[[#This Row],[Part]],PartControl!$A$2:$E$564,2,FALSE)),0)</f>
        <v>106.94</v>
      </c>
      <c r="Z1404" s="108">
        <f>IF(OtherClients[[#This Row],[Re-certified or New]]&lt;&gt;"Re-certified",IF(OtherClients[[#This Row],[Client]]="infasco",VLOOKUP(OtherClients[[#This Row],[Part]],PartControl!$A$2:$E$564,2,FALSE),OtherClients[[#This Row],[Total Quantity]]*VLOOKUP(OtherClients[[#This Row],[Part]],PartControl!$A$2:$E$564,2,FALSE)),0)</f>
        <v>106.94</v>
      </c>
    </row>
    <row r="1405" spans="1:26" ht="25.15" hidden="1" customHeight="1" x14ac:dyDescent="0.25">
      <c r="A1405" s="112">
        <v>46254.679212962961</v>
      </c>
      <c r="B1405" s="5" t="s">
        <v>343</v>
      </c>
      <c r="C1405" s="5">
        <v>11549170</v>
      </c>
      <c r="D1405" s="5">
        <v>716225</v>
      </c>
      <c r="E1405" s="33">
        <v>21</v>
      </c>
      <c r="F1405" s="60">
        <v>400</v>
      </c>
      <c r="G1405" s="60">
        <f>+OtherClients[[#This Row],[Boxes / Pieces]]*OtherClients[[#This Row],[Unit Quantity]]</f>
        <v>8400</v>
      </c>
      <c r="H1405" s="60" t="s">
        <v>757</v>
      </c>
      <c r="I1405" s="126" t="s">
        <v>278</v>
      </c>
      <c r="J1405" s="127"/>
      <c r="K1405" s="33" t="s">
        <v>278</v>
      </c>
      <c r="L1405" s="125"/>
      <c r="M1405" s="33" t="s">
        <v>278</v>
      </c>
      <c r="N1405" s="125"/>
      <c r="O1405" s="33" t="s">
        <v>278</v>
      </c>
      <c r="P1405" s="125"/>
      <c r="Q1405" s="33" t="s">
        <v>587</v>
      </c>
      <c r="R1405" s="125"/>
      <c r="S1405" s="33" t="s">
        <v>278</v>
      </c>
      <c r="T1405" s="125"/>
      <c r="U1405" s="33" t="s">
        <v>278</v>
      </c>
      <c r="V1405" s="125"/>
      <c r="W1405" s="59" t="s">
        <v>548</v>
      </c>
      <c r="X1405" s="33" t="str">
        <f>+VLOOKUP(OtherClients[[#This Row],[Part]],PartControl!$A$2:$E$564,5,FALSE)</f>
        <v>INFASCO</v>
      </c>
      <c r="Y1405" s="108">
        <f>IF(OtherClients[[#This Row],[Re-certified or New]]&lt;&gt;"Re-certified",IF(OtherClients[[#This Row],[Client]]="infasco",VLOOKUP(OtherClients[[#This Row],[Part]],PartControl!$A$2:$E$564,2,FALSE),OtherClients[[#This Row],[Total Quantity]]*VLOOKUP(OtherClients[[#This Row],[Part]],PartControl!$A$2:$E$564,2,FALSE)),0)</f>
        <v>106.94</v>
      </c>
      <c r="Z1405" s="108">
        <f>IF(OtherClients[[#This Row],[Re-certified or New]]&lt;&gt;"Re-certified",IF(OtherClients[[#This Row],[Client]]="infasco",VLOOKUP(OtherClients[[#This Row],[Part]],PartControl!$A$2:$E$564,2,FALSE),OtherClients[[#This Row],[Total Quantity]]*VLOOKUP(OtherClients[[#This Row],[Part]],PartControl!$A$2:$E$564,2,FALSE)),0)</f>
        <v>106.94</v>
      </c>
    </row>
    <row r="1406" spans="1:26" ht="25.15" hidden="1" customHeight="1" x14ac:dyDescent="0.25">
      <c r="A1406" s="112">
        <v>46255.694016203706</v>
      </c>
      <c r="B1406" s="5" t="s">
        <v>242</v>
      </c>
      <c r="C1406" s="5">
        <v>11549170</v>
      </c>
      <c r="D1406" s="5">
        <v>716226</v>
      </c>
      <c r="E1406" s="33">
        <v>22</v>
      </c>
      <c r="F1406" s="60">
        <v>400</v>
      </c>
      <c r="G1406" s="60">
        <f>+OtherClients[[#This Row],[Boxes / Pieces]]*OtherClients[[#This Row],[Unit Quantity]]</f>
        <v>8800</v>
      </c>
      <c r="H1406" s="60">
        <v>275</v>
      </c>
      <c r="I1406" s="126" t="s">
        <v>278</v>
      </c>
      <c r="J1406" s="127"/>
      <c r="K1406" s="33" t="s">
        <v>278</v>
      </c>
      <c r="L1406" s="125"/>
      <c r="M1406" s="33" t="s">
        <v>278</v>
      </c>
      <c r="N1406" s="125"/>
      <c r="O1406" s="33" t="s">
        <v>278</v>
      </c>
      <c r="P1406" s="125"/>
      <c r="Q1406" s="33" t="s">
        <v>587</v>
      </c>
      <c r="R1406" s="125"/>
      <c r="S1406" s="33" t="s">
        <v>278</v>
      </c>
      <c r="T1406" s="125"/>
      <c r="U1406" s="33" t="s">
        <v>278</v>
      </c>
      <c r="V1406" s="125"/>
      <c r="W1406" s="59" t="s">
        <v>633</v>
      </c>
      <c r="X1406" s="33" t="str">
        <f>+VLOOKUP(OtherClients[[#This Row],[Part]],PartControl!$A$2:$E$564,5,FALSE)</f>
        <v>INFASCO</v>
      </c>
      <c r="Y1406" s="108">
        <f>IF(OtherClients[[#This Row],[Re-certified or New]]&lt;&gt;"Re-certified",IF(OtherClients[[#This Row],[Client]]="infasco",VLOOKUP(OtherClients[[#This Row],[Part]],PartControl!$A$2:$E$564,2,FALSE),OtherClients[[#This Row],[Total Quantity]]*VLOOKUP(OtherClients[[#This Row],[Part]],PartControl!$A$2:$E$564,2,FALSE)),0)</f>
        <v>0</v>
      </c>
      <c r="Z1406" s="108">
        <f>IF(OtherClients[[#This Row],[Re-certified or New]]&lt;&gt;"Re-certified",IF(OtherClients[[#This Row],[Client]]="infasco",VLOOKUP(OtherClients[[#This Row],[Part]],PartControl!$A$2:$E$564,2,FALSE),OtherClients[[#This Row],[Total Quantity]]*VLOOKUP(OtherClients[[#This Row],[Part]],PartControl!$A$2:$E$564,2,FALSE)),0)</f>
        <v>0</v>
      </c>
    </row>
    <row r="1407" spans="1:26" ht="25.15" hidden="1" customHeight="1" x14ac:dyDescent="0.25">
      <c r="A1407" s="112">
        <v>46256</v>
      </c>
      <c r="B1407" s="5" t="s">
        <v>634</v>
      </c>
      <c r="C1407" s="5" t="s">
        <v>698</v>
      </c>
      <c r="D1407" s="5">
        <v>714698</v>
      </c>
      <c r="E1407" s="33">
        <v>13</v>
      </c>
      <c r="F1407" s="60">
        <v>3000</v>
      </c>
      <c r="G1407" s="60">
        <f>+OtherClients[[#This Row],[Boxes / Pieces]]*OtherClients[[#This Row],[Unit Quantity]]</f>
        <v>39000</v>
      </c>
      <c r="H1407" s="60">
        <v>280</v>
      </c>
      <c r="I1407" s="126" t="s">
        <v>278</v>
      </c>
      <c r="J1407" s="127"/>
      <c r="K1407" s="33" t="s">
        <v>278</v>
      </c>
      <c r="L1407" s="125"/>
      <c r="M1407" s="33" t="s">
        <v>278</v>
      </c>
      <c r="N1407" s="125"/>
      <c r="O1407" s="33" t="s">
        <v>278</v>
      </c>
      <c r="P1407" s="125"/>
      <c r="Q1407" s="33" t="s">
        <v>587</v>
      </c>
      <c r="R1407" s="125"/>
      <c r="S1407" s="33" t="s">
        <v>278</v>
      </c>
      <c r="T1407" s="125"/>
      <c r="U1407" s="33" t="s">
        <v>278</v>
      </c>
      <c r="V1407" s="125"/>
      <c r="W1407" s="59" t="s">
        <v>633</v>
      </c>
      <c r="X1407" s="33" t="str">
        <f>+VLOOKUP(OtherClients[[#This Row],[Part]],PartControl!$A$2:$E$564,5,FALSE)</f>
        <v>infasco</v>
      </c>
      <c r="Y1407" s="108">
        <f>IF(OtherClients[[#This Row],[Re-certified or New]]&lt;&gt;"Re-certified",IF(OtherClients[[#This Row],[Client]]="infasco",VLOOKUP(OtherClients[[#This Row],[Part]],PartControl!$A$2:$E$564,2,FALSE),OtherClients[[#This Row],[Total Quantity]]*VLOOKUP(OtherClients[[#This Row],[Part]],PartControl!$A$2:$E$564,2,FALSE)),0)</f>
        <v>0</v>
      </c>
      <c r="Z1407" s="108">
        <f>IF(OtherClients[[#This Row],[Re-certified or New]]&lt;&gt;"Re-certified",IF(OtherClients[[#This Row],[Client]]="infasco",VLOOKUP(OtherClients[[#This Row],[Part]],PartControl!$A$2:$E$564,2,FALSE),OtherClients[[#This Row],[Total Quantity]]*VLOOKUP(OtherClients[[#This Row],[Part]],PartControl!$A$2:$E$564,2,FALSE)),0)</f>
        <v>0</v>
      </c>
    </row>
    <row r="1408" spans="1:26" ht="25.15" hidden="1" customHeight="1" x14ac:dyDescent="0.25">
      <c r="A1408" s="112">
        <v>46255.694016203706</v>
      </c>
      <c r="B1408" s="5" t="s">
        <v>624</v>
      </c>
      <c r="C1408" s="5">
        <v>11549170</v>
      </c>
      <c r="D1408" s="5">
        <v>716227</v>
      </c>
      <c r="E1408" s="33">
        <v>36</v>
      </c>
      <c r="F1408" s="60">
        <v>400</v>
      </c>
      <c r="G1408" s="60">
        <f>+OtherClients[[#This Row],[Boxes / Pieces]]*OtherClients[[#This Row],[Unit Quantity]]</f>
        <v>14400</v>
      </c>
      <c r="H1408" s="60">
        <v>292</v>
      </c>
      <c r="I1408" s="126" t="s">
        <v>278</v>
      </c>
      <c r="J1408" s="127"/>
      <c r="K1408" s="33" t="s">
        <v>278</v>
      </c>
      <c r="L1408" s="125"/>
      <c r="M1408" s="33" t="s">
        <v>278</v>
      </c>
      <c r="N1408" s="125"/>
      <c r="O1408" s="33" t="s">
        <v>278</v>
      </c>
      <c r="P1408" s="125"/>
      <c r="Q1408" s="33" t="s">
        <v>587</v>
      </c>
      <c r="R1408" s="125"/>
      <c r="S1408" s="33" t="s">
        <v>278</v>
      </c>
      <c r="T1408" s="125"/>
      <c r="U1408" s="33" t="s">
        <v>278</v>
      </c>
      <c r="V1408" s="125"/>
      <c r="W1408" s="59" t="s">
        <v>548</v>
      </c>
      <c r="X1408" s="33" t="str">
        <f>+VLOOKUP(OtherClients[[#This Row],[Part]],PartControl!$A$2:$E$564,5,FALSE)</f>
        <v>INFASCO</v>
      </c>
      <c r="Y1408" s="108">
        <f>IF(OtherClients[[#This Row],[Re-certified or New]]&lt;&gt;"Re-certified",IF(OtherClients[[#This Row],[Client]]="infasco",VLOOKUP(OtherClients[[#This Row],[Part]],PartControl!$A$2:$E$564,2,FALSE),OtherClients[[#This Row],[Total Quantity]]*VLOOKUP(OtherClients[[#This Row],[Part]],PartControl!$A$2:$E$564,2,FALSE)),0)</f>
        <v>106.94</v>
      </c>
      <c r="Z1408" s="108">
        <f>IF(OtherClients[[#This Row],[Re-certified or New]]&lt;&gt;"Re-certified",IF(OtherClients[[#This Row],[Client]]="infasco",VLOOKUP(OtherClients[[#This Row],[Part]],PartControl!$A$2:$E$564,2,FALSE),OtherClients[[#This Row],[Total Quantity]]*VLOOKUP(OtherClients[[#This Row],[Part]],PartControl!$A$2:$E$564,2,FALSE)),0)</f>
        <v>106.94</v>
      </c>
    </row>
    <row r="1409" spans="1:26" ht="25.15" hidden="1" customHeight="1" x14ac:dyDescent="0.25">
      <c r="A1409" s="112">
        <v>46254.679212962961</v>
      </c>
      <c r="B1409" s="5" t="s">
        <v>342</v>
      </c>
      <c r="C1409" s="5" t="s">
        <v>861</v>
      </c>
      <c r="D1409" s="5">
        <v>716251</v>
      </c>
      <c r="E1409" s="33">
        <v>1</v>
      </c>
      <c r="F1409" s="60">
        <v>6980</v>
      </c>
      <c r="G1409" s="60">
        <f>+OtherClients[[#This Row],[Boxes / Pieces]]*OtherClients[[#This Row],[Unit Quantity]]</f>
        <v>6980</v>
      </c>
      <c r="H1409" s="60" t="s">
        <v>811</v>
      </c>
      <c r="I1409" s="126" t="s">
        <v>278</v>
      </c>
      <c r="J1409" s="127"/>
      <c r="K1409" s="33" t="s">
        <v>278</v>
      </c>
      <c r="L1409" s="125"/>
      <c r="M1409" s="33" t="s">
        <v>278</v>
      </c>
      <c r="N1409" s="125"/>
      <c r="O1409" s="33" t="s">
        <v>278</v>
      </c>
      <c r="P1409" s="125"/>
      <c r="Q1409" s="33" t="s">
        <v>587</v>
      </c>
      <c r="R1409" s="125"/>
      <c r="S1409" s="33" t="s">
        <v>278</v>
      </c>
      <c r="T1409" s="125"/>
      <c r="U1409" s="33" t="s">
        <v>278</v>
      </c>
      <c r="V1409" s="125"/>
      <c r="W1409" s="59" t="s">
        <v>548</v>
      </c>
      <c r="X1409" s="33" t="str">
        <f>+VLOOKUP(OtherClients[[#This Row],[Part]],PartControl!$A$2:$E$564,5,FALSE)</f>
        <v>Infasco</v>
      </c>
      <c r="Y1409" s="108">
        <f>IF(OtherClients[[#This Row],[Re-certified or New]]&lt;&gt;"Re-certified",IF(OtherClients[[#This Row],[Client]]="infasco",VLOOKUP(OtherClients[[#This Row],[Part]],PartControl!$A$2:$E$564,2,FALSE),OtherClients[[#This Row],[Total Quantity]]*VLOOKUP(OtherClients[[#This Row],[Part]],PartControl!$A$2:$E$564,2,FALSE)),0)</f>
        <v>129.44999999999999</v>
      </c>
      <c r="Z1409" s="108">
        <f>IF(OtherClients[[#This Row],[Re-certified or New]]&lt;&gt;"Re-certified",IF(OtherClients[[#This Row],[Client]]="infasco",VLOOKUP(OtherClients[[#This Row],[Part]],PartControl!$A$2:$E$564,2,FALSE),OtherClients[[#This Row],[Total Quantity]]*VLOOKUP(OtherClients[[#This Row],[Part]],PartControl!$A$2:$E$564,2,FALSE)),0)</f>
        <v>129.44999999999999</v>
      </c>
    </row>
    <row r="1410" spans="1:26" ht="25.15" hidden="1" customHeight="1" x14ac:dyDescent="0.25">
      <c r="A1410" s="112">
        <v>46254.679212962961</v>
      </c>
      <c r="B1410" s="5" t="s">
        <v>346</v>
      </c>
      <c r="C1410" s="5" t="s">
        <v>861</v>
      </c>
      <c r="D1410" s="5">
        <v>716252</v>
      </c>
      <c r="E1410" s="33">
        <v>1</v>
      </c>
      <c r="F1410" s="60">
        <v>10737</v>
      </c>
      <c r="G1410" s="60">
        <f>+OtherClients[[#This Row],[Boxes / Pieces]]*OtherClients[[#This Row],[Unit Quantity]]</f>
        <v>10737</v>
      </c>
      <c r="H1410" s="60" t="s">
        <v>871</v>
      </c>
      <c r="I1410" s="126" t="s">
        <v>278</v>
      </c>
      <c r="J1410" s="127"/>
      <c r="K1410" s="33" t="s">
        <v>278</v>
      </c>
      <c r="L1410" s="125"/>
      <c r="M1410" s="33" t="s">
        <v>278</v>
      </c>
      <c r="N1410" s="125"/>
      <c r="O1410" s="33" t="s">
        <v>278</v>
      </c>
      <c r="P1410" s="125"/>
      <c r="Q1410" s="33" t="s">
        <v>587</v>
      </c>
      <c r="R1410" s="125"/>
      <c r="S1410" s="33" t="s">
        <v>278</v>
      </c>
      <c r="T1410" s="125"/>
      <c r="U1410" s="33" t="s">
        <v>278</v>
      </c>
      <c r="V1410" s="125"/>
      <c r="W1410" s="59" t="s">
        <v>548</v>
      </c>
      <c r="X1410" s="33" t="str">
        <f>+VLOOKUP(OtherClients[[#This Row],[Part]],PartControl!$A$2:$E$564,5,FALSE)</f>
        <v>Infasco</v>
      </c>
      <c r="Y1410" s="108">
        <f>IF(OtherClients[[#This Row],[Re-certified or New]]&lt;&gt;"Re-certified",IF(OtherClients[[#This Row],[Client]]="infasco",VLOOKUP(OtherClients[[#This Row],[Part]],PartControl!$A$2:$E$564,2,FALSE),OtherClients[[#This Row],[Total Quantity]]*VLOOKUP(OtherClients[[#This Row],[Part]],PartControl!$A$2:$E$564,2,FALSE)),0)</f>
        <v>129.44999999999999</v>
      </c>
      <c r="Z1410" s="108">
        <f>IF(OtherClients[[#This Row],[Re-certified or New]]&lt;&gt;"Re-certified",IF(OtherClients[[#This Row],[Client]]="infasco",VLOOKUP(OtherClients[[#This Row],[Part]],PartControl!$A$2:$E$564,2,FALSE),OtherClients[[#This Row],[Total Quantity]]*VLOOKUP(OtherClients[[#This Row],[Part]],PartControl!$A$2:$E$564,2,FALSE)),0)</f>
        <v>129.44999999999999</v>
      </c>
    </row>
    <row r="1411" spans="1:26" ht="25.15" hidden="1" customHeight="1" x14ac:dyDescent="0.25">
      <c r="A1411" s="112">
        <v>46254.679212962961</v>
      </c>
      <c r="B1411" s="5" t="s">
        <v>342</v>
      </c>
      <c r="C1411" s="5" t="s">
        <v>883</v>
      </c>
      <c r="D1411" s="5">
        <v>716307</v>
      </c>
      <c r="E1411" s="33">
        <v>36</v>
      </c>
      <c r="F1411" s="60">
        <v>230</v>
      </c>
      <c r="G1411" s="60">
        <f>+OtherClients[[#This Row],[Boxes / Pieces]]*OtherClients[[#This Row],[Unit Quantity]]</f>
        <v>8280</v>
      </c>
      <c r="H1411" s="60" t="s">
        <v>811</v>
      </c>
      <c r="I1411" s="126" t="s">
        <v>278</v>
      </c>
      <c r="J1411" s="127"/>
      <c r="K1411" s="33" t="s">
        <v>278</v>
      </c>
      <c r="L1411" s="125"/>
      <c r="M1411" s="33" t="s">
        <v>278</v>
      </c>
      <c r="N1411" s="125"/>
      <c r="O1411" s="33" t="s">
        <v>278</v>
      </c>
      <c r="P1411" s="125"/>
      <c r="Q1411" s="33" t="s">
        <v>587</v>
      </c>
      <c r="R1411" s="125"/>
      <c r="S1411" s="33" t="s">
        <v>278</v>
      </c>
      <c r="T1411" s="125"/>
      <c r="U1411" s="33" t="s">
        <v>278</v>
      </c>
      <c r="V1411" s="125"/>
      <c r="W1411" s="59" t="s">
        <v>548</v>
      </c>
      <c r="X1411" s="33" t="str">
        <f>+VLOOKUP(OtherClients[[#This Row],[Part]],PartControl!$A$2:$E$564,5,FALSE)</f>
        <v>infasco</v>
      </c>
      <c r="Y1411" s="108">
        <f>IF(OtherClients[[#This Row],[Re-certified or New]]&lt;&gt;"Re-certified",IF(OtherClients[[#This Row],[Client]]="infasco",VLOOKUP(OtherClients[[#This Row],[Part]],PartControl!$A$2:$E$564,2,FALSE),OtherClients[[#This Row],[Total Quantity]]*VLOOKUP(OtherClients[[#This Row],[Part]],PartControl!$A$2:$E$564,2,FALSE)),0)</f>
        <v>106.94</v>
      </c>
      <c r="Z1411" s="108">
        <f>IF(OtherClients[[#This Row],[Re-certified or New]]&lt;&gt;"Re-certified",IF(OtherClients[[#This Row],[Client]]="infasco",VLOOKUP(OtherClients[[#This Row],[Part]],PartControl!$A$2:$E$564,2,FALSE),OtherClients[[#This Row],[Total Quantity]]*VLOOKUP(OtherClients[[#This Row],[Part]],PartControl!$A$2:$E$564,2,FALSE)),0)</f>
        <v>106.94</v>
      </c>
    </row>
    <row r="1412" spans="1:26" ht="25.15" hidden="1" customHeight="1" x14ac:dyDescent="0.25">
      <c r="A1412" s="112">
        <v>46254.679212962961</v>
      </c>
      <c r="B1412" s="5" t="s">
        <v>342</v>
      </c>
      <c r="C1412" s="5" t="s">
        <v>883</v>
      </c>
      <c r="D1412" s="5">
        <v>716308</v>
      </c>
      <c r="E1412" s="33">
        <v>36</v>
      </c>
      <c r="F1412" s="60">
        <v>230</v>
      </c>
      <c r="G1412" s="60">
        <f>+OtherClients[[#This Row],[Boxes / Pieces]]*OtherClients[[#This Row],[Unit Quantity]]</f>
        <v>8280</v>
      </c>
      <c r="H1412" s="60" t="s">
        <v>811</v>
      </c>
      <c r="I1412" s="126" t="s">
        <v>278</v>
      </c>
      <c r="J1412" s="127"/>
      <c r="K1412" s="33" t="s">
        <v>278</v>
      </c>
      <c r="L1412" s="125"/>
      <c r="M1412" s="33" t="s">
        <v>278</v>
      </c>
      <c r="N1412" s="125"/>
      <c r="O1412" s="33" t="s">
        <v>278</v>
      </c>
      <c r="P1412" s="125"/>
      <c r="Q1412" s="33" t="s">
        <v>587</v>
      </c>
      <c r="R1412" s="125"/>
      <c r="S1412" s="33" t="s">
        <v>278</v>
      </c>
      <c r="T1412" s="125"/>
      <c r="U1412" s="33" t="s">
        <v>278</v>
      </c>
      <c r="V1412" s="125"/>
      <c r="W1412" s="59" t="s">
        <v>548</v>
      </c>
      <c r="X1412" s="33" t="str">
        <f>+VLOOKUP(OtherClients[[#This Row],[Part]],PartControl!$A$2:$E$564,5,FALSE)</f>
        <v>infasco</v>
      </c>
      <c r="Y1412" s="108">
        <f>IF(OtherClients[[#This Row],[Re-certified or New]]&lt;&gt;"Re-certified",IF(OtherClients[[#This Row],[Client]]="infasco",VLOOKUP(OtherClients[[#This Row],[Part]],PartControl!$A$2:$E$564,2,FALSE),OtherClients[[#This Row],[Total Quantity]]*VLOOKUP(OtherClients[[#This Row],[Part]],PartControl!$A$2:$E$564,2,FALSE)),0)</f>
        <v>106.94</v>
      </c>
      <c r="Z1412" s="108">
        <f>IF(OtherClients[[#This Row],[Re-certified or New]]&lt;&gt;"Re-certified",IF(OtherClients[[#This Row],[Client]]="infasco",VLOOKUP(OtherClients[[#This Row],[Part]],PartControl!$A$2:$E$564,2,FALSE),OtherClients[[#This Row],[Total Quantity]]*VLOOKUP(OtherClients[[#This Row],[Part]],PartControl!$A$2:$E$564,2,FALSE)),0)</f>
        <v>106.94</v>
      </c>
    </row>
    <row r="1413" spans="1:26" ht="25.15" hidden="1" customHeight="1" x14ac:dyDescent="0.25">
      <c r="A1413" s="112">
        <v>46254.679212962961</v>
      </c>
      <c r="B1413" s="5" t="s">
        <v>344</v>
      </c>
      <c r="C1413" s="5" t="s">
        <v>883</v>
      </c>
      <c r="D1413" s="5">
        <v>716309</v>
      </c>
      <c r="E1413" s="33">
        <v>36</v>
      </c>
      <c r="F1413" s="60">
        <v>230</v>
      </c>
      <c r="G1413" s="60">
        <f>+OtherClients[[#This Row],[Boxes / Pieces]]*OtherClients[[#This Row],[Unit Quantity]]</f>
        <v>8280</v>
      </c>
      <c r="H1413" s="60" t="s">
        <v>816</v>
      </c>
      <c r="I1413" s="126" t="s">
        <v>278</v>
      </c>
      <c r="J1413" s="127"/>
      <c r="K1413" s="33" t="s">
        <v>278</v>
      </c>
      <c r="L1413" s="125"/>
      <c r="M1413" s="33" t="s">
        <v>278</v>
      </c>
      <c r="N1413" s="125"/>
      <c r="O1413" s="33" t="s">
        <v>278</v>
      </c>
      <c r="P1413" s="125"/>
      <c r="Q1413" s="33" t="s">
        <v>587</v>
      </c>
      <c r="R1413" s="125"/>
      <c r="S1413" s="33" t="s">
        <v>278</v>
      </c>
      <c r="T1413" s="125"/>
      <c r="U1413" s="33" t="s">
        <v>278</v>
      </c>
      <c r="V1413" s="125"/>
      <c r="W1413" s="59" t="s">
        <v>548</v>
      </c>
      <c r="X1413" s="33" t="str">
        <f>+VLOOKUP(OtherClients[[#This Row],[Part]],PartControl!$A$2:$E$564,5,FALSE)</f>
        <v>infasco</v>
      </c>
      <c r="Y1413" s="108">
        <f>IF(OtherClients[[#This Row],[Re-certified or New]]&lt;&gt;"Re-certified",IF(OtherClients[[#This Row],[Client]]="infasco",VLOOKUP(OtherClients[[#This Row],[Part]],PartControl!$A$2:$E$564,2,FALSE),OtherClients[[#This Row],[Total Quantity]]*VLOOKUP(OtherClients[[#This Row],[Part]],PartControl!$A$2:$E$564,2,FALSE)),0)</f>
        <v>106.94</v>
      </c>
      <c r="Z1413" s="108">
        <f>IF(OtherClients[[#This Row],[Re-certified or New]]&lt;&gt;"Re-certified",IF(OtherClients[[#This Row],[Client]]="infasco",VLOOKUP(OtherClients[[#This Row],[Part]],PartControl!$A$2:$E$564,2,FALSE),OtherClients[[#This Row],[Total Quantity]]*VLOOKUP(OtherClients[[#This Row],[Part]],PartControl!$A$2:$E$564,2,FALSE)),0)</f>
        <v>106.94</v>
      </c>
    </row>
    <row r="1414" spans="1:26" ht="25.15" hidden="1" customHeight="1" x14ac:dyDescent="0.25">
      <c r="A1414" s="112">
        <v>46254.679212962961</v>
      </c>
      <c r="B1414" s="5" t="s">
        <v>343</v>
      </c>
      <c r="C1414" s="5" t="s">
        <v>883</v>
      </c>
      <c r="D1414" s="5">
        <v>716310</v>
      </c>
      <c r="E1414" s="33">
        <v>35</v>
      </c>
      <c r="F1414" s="60">
        <v>230</v>
      </c>
      <c r="G1414" s="60">
        <f>+OtherClients[[#This Row],[Boxes / Pieces]]*OtherClients[[#This Row],[Unit Quantity]]</f>
        <v>8050</v>
      </c>
      <c r="H1414" s="60" t="s">
        <v>757</v>
      </c>
      <c r="I1414" s="126" t="s">
        <v>278</v>
      </c>
      <c r="J1414" s="127"/>
      <c r="K1414" s="33" t="s">
        <v>278</v>
      </c>
      <c r="L1414" s="125"/>
      <c r="M1414" s="33" t="s">
        <v>278</v>
      </c>
      <c r="N1414" s="125"/>
      <c r="O1414" s="33" t="s">
        <v>278</v>
      </c>
      <c r="P1414" s="125"/>
      <c r="Q1414" s="33" t="s">
        <v>587</v>
      </c>
      <c r="R1414" s="125"/>
      <c r="S1414" s="33" t="s">
        <v>278</v>
      </c>
      <c r="T1414" s="125"/>
      <c r="U1414" s="33" t="s">
        <v>278</v>
      </c>
      <c r="V1414" s="125"/>
      <c r="W1414" s="59" t="s">
        <v>548</v>
      </c>
      <c r="X1414" s="33" t="str">
        <f>+VLOOKUP(OtherClients[[#This Row],[Part]],PartControl!$A$2:$E$564,5,FALSE)</f>
        <v>infasco</v>
      </c>
      <c r="Y1414" s="108">
        <f>IF(OtherClients[[#This Row],[Re-certified or New]]&lt;&gt;"Re-certified",IF(OtherClients[[#This Row],[Client]]="infasco",VLOOKUP(OtherClients[[#This Row],[Part]],PartControl!$A$2:$E$564,2,FALSE),OtherClients[[#This Row],[Total Quantity]]*VLOOKUP(OtherClients[[#This Row],[Part]],PartControl!$A$2:$E$564,2,FALSE)),0)</f>
        <v>106.94</v>
      </c>
      <c r="Z1414" s="108">
        <f>IF(OtherClients[[#This Row],[Re-certified or New]]&lt;&gt;"Re-certified",IF(OtherClients[[#This Row],[Client]]="infasco",VLOOKUP(OtherClients[[#This Row],[Part]],PartControl!$A$2:$E$564,2,FALSE),OtherClients[[#This Row],[Total Quantity]]*VLOOKUP(OtherClients[[#This Row],[Part]],PartControl!$A$2:$E$564,2,FALSE)),0)</f>
        <v>106.94</v>
      </c>
    </row>
    <row r="1415" spans="1:26" ht="25.15" hidden="1" customHeight="1" x14ac:dyDescent="0.25">
      <c r="A1415" s="112">
        <v>46254.679212962961</v>
      </c>
      <c r="B1415" s="5" t="s">
        <v>243</v>
      </c>
      <c r="C1415" s="5" t="s">
        <v>710</v>
      </c>
      <c r="D1415" s="5">
        <v>716333</v>
      </c>
      <c r="E1415" s="33">
        <f>36+7-10</f>
        <v>33</v>
      </c>
      <c r="F1415" s="60">
        <v>3500</v>
      </c>
      <c r="G1415" s="60">
        <f>+OtherClients[[#This Row],[Boxes / Pieces]]*OtherClients[[#This Row],[Unit Quantity]]</f>
        <v>115500</v>
      </c>
      <c r="H1415" s="60">
        <v>292</v>
      </c>
      <c r="I1415" s="126" t="s">
        <v>278</v>
      </c>
      <c r="J1415" s="127"/>
      <c r="K1415" s="33" t="s">
        <v>278</v>
      </c>
      <c r="L1415" s="125"/>
      <c r="M1415" s="33" t="s">
        <v>278</v>
      </c>
      <c r="N1415" s="125"/>
      <c r="O1415" s="33" t="s">
        <v>278</v>
      </c>
      <c r="P1415" s="125"/>
      <c r="Q1415" s="33" t="s">
        <v>587</v>
      </c>
      <c r="R1415" s="125"/>
      <c r="S1415" s="33" t="s">
        <v>278</v>
      </c>
      <c r="T1415" s="125"/>
      <c r="U1415" s="33" t="s">
        <v>278</v>
      </c>
      <c r="V1415" s="125"/>
      <c r="W1415" s="59" t="s">
        <v>548</v>
      </c>
      <c r="X1415" s="33" t="str">
        <f>+VLOOKUP(OtherClients[[#This Row],[Part]],PartControl!$A$2:$E$564,5,FALSE)</f>
        <v>infasco</v>
      </c>
      <c r="Y1415" s="108">
        <f>IF(OtherClients[[#This Row],[Re-certified or New]]&lt;&gt;"Re-certified",IF(OtherClients[[#This Row],[Client]]="infasco",VLOOKUP(OtherClients[[#This Row],[Part]],PartControl!$A$2:$E$564,2,FALSE),OtherClients[[#This Row],[Total Quantity]]*VLOOKUP(OtherClients[[#This Row],[Part]],PartControl!$A$2:$E$564,2,FALSE)),0)</f>
        <v>106.94</v>
      </c>
      <c r="Z1415" s="108">
        <f>IF(OtherClients[[#This Row],[Re-certified or New]]&lt;&gt;"Re-certified",IF(OtherClients[[#This Row],[Client]]="infasco",VLOOKUP(OtherClients[[#This Row],[Part]],PartControl!$A$2:$E$564,2,FALSE),OtherClients[[#This Row],[Total Quantity]]*VLOOKUP(OtherClients[[#This Row],[Part]],PartControl!$A$2:$E$564,2,FALSE)),0)</f>
        <v>106.94</v>
      </c>
    </row>
    <row r="1416" spans="1:26" ht="25.15" hidden="1" customHeight="1" x14ac:dyDescent="0.25">
      <c r="A1416" s="112">
        <v>46254.679212962961</v>
      </c>
      <c r="B1416" s="5" t="s">
        <v>635</v>
      </c>
      <c r="C1416" s="5" t="s">
        <v>710</v>
      </c>
      <c r="D1416" s="5">
        <v>716334</v>
      </c>
      <c r="E1416" s="33">
        <f>36-23</f>
        <v>13</v>
      </c>
      <c r="F1416" s="60">
        <v>3500</v>
      </c>
      <c r="G1416" s="60">
        <f>+OtherClients[[#This Row],[Boxes / Pieces]]*OtherClients[[#This Row],[Unit Quantity]]</f>
        <v>45500</v>
      </c>
      <c r="H1416" s="60">
        <v>280</v>
      </c>
      <c r="I1416" s="126" t="s">
        <v>278</v>
      </c>
      <c r="J1416" s="127"/>
      <c r="K1416" s="33" t="s">
        <v>278</v>
      </c>
      <c r="L1416" s="125"/>
      <c r="M1416" s="33" t="s">
        <v>278</v>
      </c>
      <c r="N1416" s="125"/>
      <c r="O1416" s="33" t="s">
        <v>278</v>
      </c>
      <c r="P1416" s="125"/>
      <c r="Q1416" s="33" t="s">
        <v>587</v>
      </c>
      <c r="R1416" s="125"/>
      <c r="S1416" s="33" t="s">
        <v>278</v>
      </c>
      <c r="T1416" s="125"/>
      <c r="U1416" s="33" t="s">
        <v>278</v>
      </c>
      <c r="V1416" s="125"/>
      <c r="W1416" s="59" t="s">
        <v>548</v>
      </c>
      <c r="X1416" s="33" t="str">
        <f>+VLOOKUP(OtherClients[[#This Row],[Part]],PartControl!$A$2:$E$564,5,FALSE)</f>
        <v>infasco</v>
      </c>
      <c r="Y1416" s="108">
        <f>IF(OtherClients[[#This Row],[Re-certified or New]]&lt;&gt;"Re-certified",IF(OtherClients[[#This Row],[Client]]="infasco",VLOOKUP(OtherClients[[#This Row],[Part]],PartControl!$A$2:$E$564,2,FALSE),OtherClients[[#This Row],[Total Quantity]]*VLOOKUP(OtherClients[[#This Row],[Part]],PartControl!$A$2:$E$564,2,FALSE)),0)</f>
        <v>106.94</v>
      </c>
      <c r="Z1416" s="108">
        <f>IF(OtherClients[[#This Row],[Re-certified or New]]&lt;&gt;"Re-certified",IF(OtherClients[[#This Row],[Client]]="infasco",VLOOKUP(OtherClients[[#This Row],[Part]],PartControl!$A$2:$E$564,2,FALSE),OtherClients[[#This Row],[Total Quantity]]*VLOOKUP(OtherClients[[#This Row],[Part]],PartControl!$A$2:$E$564,2,FALSE)),0)</f>
        <v>106.94</v>
      </c>
    </row>
    <row r="1417" spans="1:26" ht="25.15" hidden="1" customHeight="1" x14ac:dyDescent="0.25">
      <c r="A1417" s="112">
        <v>46254.679212962961</v>
      </c>
      <c r="B1417" s="5" t="s">
        <v>635</v>
      </c>
      <c r="C1417" s="5" t="s">
        <v>710</v>
      </c>
      <c r="D1417" s="5">
        <v>716335</v>
      </c>
      <c r="E1417" s="33">
        <v>10</v>
      </c>
      <c r="F1417" s="60">
        <v>3500</v>
      </c>
      <c r="G1417" s="60">
        <f>+OtherClients[[#This Row],[Boxes / Pieces]]*OtherClients[[#This Row],[Unit Quantity]]</f>
        <v>35000</v>
      </c>
      <c r="H1417" s="60">
        <v>280</v>
      </c>
      <c r="I1417" s="126" t="s">
        <v>278</v>
      </c>
      <c r="J1417" s="127"/>
      <c r="K1417" s="33" t="s">
        <v>278</v>
      </c>
      <c r="L1417" s="125"/>
      <c r="M1417" s="33" t="s">
        <v>278</v>
      </c>
      <c r="N1417" s="125"/>
      <c r="O1417" s="33" t="s">
        <v>278</v>
      </c>
      <c r="P1417" s="125"/>
      <c r="Q1417" s="33" t="s">
        <v>587</v>
      </c>
      <c r="R1417" s="125"/>
      <c r="S1417" s="33" t="s">
        <v>278</v>
      </c>
      <c r="T1417" s="125"/>
      <c r="U1417" s="33" t="s">
        <v>278</v>
      </c>
      <c r="V1417" s="125"/>
      <c r="W1417" s="59" t="s">
        <v>633</v>
      </c>
      <c r="X1417" s="33" t="str">
        <f>+VLOOKUP(OtherClients[[#This Row],[Part]],PartControl!$A$2:$E$564,5,FALSE)</f>
        <v>infasco</v>
      </c>
      <c r="Y1417" s="108">
        <f>IF(OtherClients[[#This Row],[Re-certified or New]]&lt;&gt;"Re-certified",IF(OtherClients[[#This Row],[Client]]="infasco",VLOOKUP(OtherClients[[#This Row],[Part]],PartControl!$A$2:$E$564,2,FALSE),OtherClients[[#This Row],[Total Quantity]]*VLOOKUP(OtherClients[[#This Row],[Part]],PartControl!$A$2:$E$564,2,FALSE)),0)</f>
        <v>0</v>
      </c>
      <c r="Z1417" s="108">
        <f>IF(OtherClients[[#This Row],[Re-certified or New]]&lt;&gt;"Re-certified",IF(OtherClients[[#This Row],[Client]]="infasco",VLOOKUP(OtherClients[[#This Row],[Part]],PartControl!$A$2:$E$564,2,FALSE),OtherClients[[#This Row],[Total Quantity]]*VLOOKUP(OtherClients[[#This Row],[Part]],PartControl!$A$2:$E$564,2,FALSE)),0)</f>
        <v>0</v>
      </c>
    </row>
    <row r="1418" spans="1:26" ht="25.15" hidden="1" customHeight="1" x14ac:dyDescent="0.25">
      <c r="A1418" s="112">
        <v>46255.694016203706</v>
      </c>
      <c r="B1418" s="5" t="s">
        <v>635</v>
      </c>
      <c r="C1418" s="5" t="s">
        <v>850</v>
      </c>
      <c r="D1418" s="5">
        <v>716335</v>
      </c>
      <c r="E1418" s="33">
        <v>11</v>
      </c>
      <c r="F1418" s="60">
        <v>3500</v>
      </c>
      <c r="G1418" s="60">
        <f>+OtherClients[[#This Row],[Boxes / Pieces]]*OtherClients[[#This Row],[Unit Quantity]]</f>
        <v>38500</v>
      </c>
      <c r="H1418" s="60">
        <v>280</v>
      </c>
      <c r="I1418" s="126" t="s">
        <v>278</v>
      </c>
      <c r="J1418" s="127"/>
      <c r="K1418" s="33" t="s">
        <v>278</v>
      </c>
      <c r="L1418" s="125"/>
      <c r="M1418" s="33" t="s">
        <v>278</v>
      </c>
      <c r="N1418" s="125"/>
      <c r="O1418" s="33" t="s">
        <v>278</v>
      </c>
      <c r="P1418" s="125"/>
      <c r="Q1418" s="33" t="s">
        <v>587</v>
      </c>
      <c r="R1418" s="125"/>
      <c r="S1418" s="33" t="s">
        <v>278</v>
      </c>
      <c r="T1418" s="125"/>
      <c r="U1418" s="33" t="s">
        <v>278</v>
      </c>
      <c r="V1418" s="125"/>
      <c r="W1418" s="59" t="s">
        <v>548</v>
      </c>
      <c r="X1418" s="33" t="str">
        <f>+VLOOKUP(OtherClients[[#This Row],[Part]],PartControl!$A$2:$E$564,5,FALSE)</f>
        <v>infasco</v>
      </c>
      <c r="Y1418" s="108">
        <f>IF(OtherClients[[#This Row],[Re-certified or New]]&lt;&gt;"Re-certified",IF(OtherClients[[#This Row],[Client]]="infasco",VLOOKUP(OtherClients[[#This Row],[Part]],PartControl!$A$2:$E$564,2,FALSE),OtherClients[[#This Row],[Total Quantity]]*VLOOKUP(OtherClients[[#This Row],[Part]],PartControl!$A$2:$E$564,2,FALSE)),0)</f>
        <v>106.94</v>
      </c>
      <c r="Z1418" s="108">
        <f>IF(OtherClients[[#This Row],[Re-certified or New]]&lt;&gt;"Re-certified",IF(OtherClients[[#This Row],[Client]]="infasco",VLOOKUP(OtherClients[[#This Row],[Part]],PartControl!$A$2:$E$564,2,FALSE),OtherClients[[#This Row],[Total Quantity]]*VLOOKUP(OtherClients[[#This Row],[Part]],PartControl!$A$2:$E$564,2,FALSE)),0)</f>
        <v>106.94</v>
      </c>
    </row>
    <row r="1419" spans="1:26" ht="25.15" hidden="1" customHeight="1" x14ac:dyDescent="0.25">
      <c r="A1419" s="112">
        <v>46254.679212962961</v>
      </c>
      <c r="B1419" s="5" t="s">
        <v>346</v>
      </c>
      <c r="C1419" s="5" t="s">
        <v>884</v>
      </c>
      <c r="D1419" s="5">
        <v>716341</v>
      </c>
      <c r="E1419" s="33">
        <v>38</v>
      </c>
      <c r="F1419" s="60">
        <v>1350</v>
      </c>
      <c r="G1419" s="60">
        <f>+OtherClients[[#This Row],[Boxes / Pieces]]*OtherClients[[#This Row],[Unit Quantity]]</f>
        <v>51300</v>
      </c>
      <c r="H1419" s="60" t="s">
        <v>871</v>
      </c>
      <c r="I1419" s="126" t="s">
        <v>278</v>
      </c>
      <c r="J1419" s="127"/>
      <c r="K1419" s="33" t="s">
        <v>278</v>
      </c>
      <c r="L1419" s="125"/>
      <c r="M1419" s="33" t="s">
        <v>278</v>
      </c>
      <c r="N1419" s="125"/>
      <c r="O1419" s="33" t="s">
        <v>278</v>
      </c>
      <c r="P1419" s="125"/>
      <c r="Q1419" s="33" t="s">
        <v>587</v>
      </c>
      <c r="R1419" s="125"/>
      <c r="S1419" s="33" t="s">
        <v>278</v>
      </c>
      <c r="T1419" s="125"/>
      <c r="U1419" s="33" t="s">
        <v>278</v>
      </c>
      <c r="V1419" s="125"/>
      <c r="W1419" s="59" t="s">
        <v>548</v>
      </c>
      <c r="X1419" s="33" t="str">
        <f>+VLOOKUP(OtherClients[[#This Row],[Part]],PartControl!$A$2:$E$564,5,FALSE)</f>
        <v>infasco</v>
      </c>
      <c r="Y1419" s="108">
        <f>IF(OtherClients[[#This Row],[Re-certified or New]]&lt;&gt;"Re-certified",IF(OtherClients[[#This Row],[Client]]="infasco",VLOOKUP(OtherClients[[#This Row],[Part]],PartControl!$A$2:$E$564,2,FALSE),OtherClients[[#This Row],[Total Quantity]]*VLOOKUP(OtherClients[[#This Row],[Part]],PartControl!$A$2:$E$564,2,FALSE)),0)</f>
        <v>106.94</v>
      </c>
      <c r="Z1419" s="108">
        <f>IF(OtherClients[[#This Row],[Re-certified or New]]&lt;&gt;"Re-certified",IF(OtherClients[[#This Row],[Client]]="infasco",VLOOKUP(OtherClients[[#This Row],[Part]],PartControl!$A$2:$E$564,2,FALSE),OtherClients[[#This Row],[Total Quantity]]*VLOOKUP(OtherClients[[#This Row],[Part]],PartControl!$A$2:$E$564,2,FALSE)),0)</f>
        <v>106.94</v>
      </c>
    </row>
    <row r="1420" spans="1:26" ht="25.15" hidden="1" customHeight="1" x14ac:dyDescent="0.25">
      <c r="A1420" s="112">
        <v>46256</v>
      </c>
      <c r="B1420" s="5" t="s">
        <v>636</v>
      </c>
      <c r="C1420" s="5" t="s">
        <v>703</v>
      </c>
      <c r="D1420" s="5">
        <v>716133</v>
      </c>
      <c r="E1420" s="33">
        <v>28</v>
      </c>
      <c r="F1420" s="60">
        <v>700</v>
      </c>
      <c r="G1420" s="60">
        <f>+OtherClients[[#This Row],[Boxes / Pieces]]*OtherClients[[#This Row],[Unit Quantity]]</f>
        <v>19600</v>
      </c>
      <c r="H1420" s="60">
        <v>280</v>
      </c>
      <c r="I1420" s="126" t="s">
        <v>278</v>
      </c>
      <c r="J1420" s="127"/>
      <c r="K1420" s="33" t="s">
        <v>278</v>
      </c>
      <c r="L1420" s="125"/>
      <c r="M1420" s="33" t="s">
        <v>278</v>
      </c>
      <c r="N1420" s="125"/>
      <c r="O1420" s="33" t="s">
        <v>278</v>
      </c>
      <c r="P1420" s="125"/>
      <c r="Q1420" s="33" t="s">
        <v>587</v>
      </c>
      <c r="R1420" s="125"/>
      <c r="S1420" s="33" t="s">
        <v>278</v>
      </c>
      <c r="T1420" s="125"/>
      <c r="U1420" s="33" t="s">
        <v>278</v>
      </c>
      <c r="V1420" s="125"/>
      <c r="W1420" s="59" t="s">
        <v>548</v>
      </c>
      <c r="X1420" s="33" t="str">
        <f>+VLOOKUP(OtherClients[[#This Row],[Part]],PartControl!$A$2:$E$564,5,FALSE)</f>
        <v>infasco</v>
      </c>
      <c r="Y1420" s="108">
        <f>IF(OtherClients[[#This Row],[Re-certified or New]]&lt;&gt;"Re-certified",IF(OtherClients[[#This Row],[Client]]="infasco",VLOOKUP(OtherClients[[#This Row],[Part]],PartControl!$A$2:$E$564,2,FALSE),OtherClients[[#This Row],[Total Quantity]]*VLOOKUP(OtherClients[[#This Row],[Part]],PartControl!$A$2:$E$564,2,FALSE)),0)</f>
        <v>106.94</v>
      </c>
      <c r="Z1420" s="108">
        <f>IF(OtherClients[[#This Row],[Re-certified or New]]&lt;&gt;"Re-certified",IF(OtherClients[[#This Row],[Client]]="infasco",VLOOKUP(OtherClients[[#This Row],[Part]],PartControl!$A$2:$E$564,2,FALSE),OtherClients[[#This Row],[Total Quantity]]*VLOOKUP(OtherClients[[#This Row],[Part]],PartControl!$A$2:$E$564,2,FALSE)),0)</f>
        <v>106.94</v>
      </c>
    </row>
    <row r="1421" spans="1:26" ht="25.15" hidden="1" customHeight="1" x14ac:dyDescent="0.25">
      <c r="A1421" s="112">
        <v>46255.694016203706</v>
      </c>
      <c r="B1421" s="5" t="s">
        <v>240</v>
      </c>
      <c r="C1421" s="5" t="s">
        <v>703</v>
      </c>
      <c r="D1421" s="5">
        <v>716375</v>
      </c>
      <c r="E1421" s="33">
        <v>36</v>
      </c>
      <c r="F1421" s="60">
        <v>700</v>
      </c>
      <c r="G1421" s="60">
        <f>+OtherClients[[#This Row],[Boxes / Pieces]]*OtherClients[[#This Row],[Unit Quantity]]</f>
        <v>25200</v>
      </c>
      <c r="H1421" s="60">
        <v>290</v>
      </c>
      <c r="I1421" s="126" t="s">
        <v>278</v>
      </c>
      <c r="J1421" s="127"/>
      <c r="K1421" s="33" t="s">
        <v>278</v>
      </c>
      <c r="L1421" s="125"/>
      <c r="M1421" s="33" t="s">
        <v>278</v>
      </c>
      <c r="N1421" s="125"/>
      <c r="O1421" s="33" t="s">
        <v>278</v>
      </c>
      <c r="P1421" s="125"/>
      <c r="Q1421" s="33" t="s">
        <v>587</v>
      </c>
      <c r="R1421" s="125"/>
      <c r="S1421" s="33" t="s">
        <v>278</v>
      </c>
      <c r="T1421" s="125"/>
      <c r="U1421" s="33" t="s">
        <v>278</v>
      </c>
      <c r="V1421" s="125"/>
      <c r="W1421" s="59" t="s">
        <v>548</v>
      </c>
      <c r="X1421" s="33" t="str">
        <f>+VLOOKUP(OtherClients[[#This Row],[Part]],PartControl!$A$2:$E$564,5,FALSE)</f>
        <v>infasco</v>
      </c>
      <c r="Y1421" s="108">
        <f>IF(OtherClients[[#This Row],[Re-certified or New]]&lt;&gt;"Re-certified",IF(OtherClients[[#This Row],[Client]]="infasco",VLOOKUP(OtherClients[[#This Row],[Part]],PartControl!$A$2:$E$564,2,FALSE),OtherClients[[#This Row],[Total Quantity]]*VLOOKUP(OtherClients[[#This Row],[Part]],PartControl!$A$2:$E$564,2,FALSE)),0)</f>
        <v>106.94</v>
      </c>
      <c r="Z1421" s="108">
        <f>IF(OtherClients[[#This Row],[Re-certified or New]]&lt;&gt;"Re-certified",IF(OtherClients[[#This Row],[Client]]="infasco",VLOOKUP(OtherClients[[#This Row],[Part]],PartControl!$A$2:$E$564,2,FALSE),OtherClients[[#This Row],[Total Quantity]]*VLOOKUP(OtherClients[[#This Row],[Part]],PartControl!$A$2:$E$564,2,FALSE)),0)</f>
        <v>106.94</v>
      </c>
    </row>
    <row r="1422" spans="1:26" ht="25.15" hidden="1" customHeight="1" x14ac:dyDescent="0.25">
      <c r="A1422" s="112">
        <v>46255.694016203706</v>
      </c>
      <c r="B1422" s="5" t="s">
        <v>240</v>
      </c>
      <c r="C1422" s="5" t="s">
        <v>703</v>
      </c>
      <c r="D1422" s="5">
        <v>716376</v>
      </c>
      <c r="E1422" s="33">
        <v>36</v>
      </c>
      <c r="F1422" s="60">
        <v>700</v>
      </c>
      <c r="G1422" s="60">
        <f>+OtherClients[[#This Row],[Boxes / Pieces]]*OtherClients[[#This Row],[Unit Quantity]]</f>
        <v>25200</v>
      </c>
      <c r="H1422" s="60">
        <v>290</v>
      </c>
      <c r="I1422" s="126" t="s">
        <v>278</v>
      </c>
      <c r="J1422" s="127"/>
      <c r="K1422" s="33" t="s">
        <v>278</v>
      </c>
      <c r="L1422" s="125"/>
      <c r="M1422" s="33" t="s">
        <v>278</v>
      </c>
      <c r="N1422" s="125"/>
      <c r="O1422" s="33" t="s">
        <v>278</v>
      </c>
      <c r="P1422" s="125"/>
      <c r="Q1422" s="33" t="s">
        <v>587</v>
      </c>
      <c r="R1422" s="125"/>
      <c r="S1422" s="33" t="s">
        <v>278</v>
      </c>
      <c r="T1422" s="125"/>
      <c r="U1422" s="33" t="s">
        <v>278</v>
      </c>
      <c r="V1422" s="125"/>
      <c r="W1422" s="59" t="s">
        <v>548</v>
      </c>
      <c r="X1422" s="33" t="str">
        <f>+VLOOKUP(OtherClients[[#This Row],[Part]],PartControl!$A$2:$E$564,5,FALSE)</f>
        <v>infasco</v>
      </c>
      <c r="Y1422" s="108">
        <f>IF(OtherClients[[#This Row],[Re-certified or New]]&lt;&gt;"Re-certified",IF(OtherClients[[#This Row],[Client]]="infasco",VLOOKUP(OtherClients[[#This Row],[Part]],PartControl!$A$2:$E$564,2,FALSE),OtherClients[[#This Row],[Total Quantity]]*VLOOKUP(OtherClients[[#This Row],[Part]],PartControl!$A$2:$E$564,2,FALSE)),0)</f>
        <v>106.94</v>
      </c>
      <c r="Z1422" s="108">
        <f>IF(OtherClients[[#This Row],[Re-certified or New]]&lt;&gt;"Re-certified",IF(OtherClients[[#This Row],[Client]]="infasco",VLOOKUP(OtherClients[[#This Row],[Part]],PartControl!$A$2:$E$564,2,FALSE),OtherClients[[#This Row],[Total Quantity]]*VLOOKUP(OtherClients[[#This Row],[Part]],PartControl!$A$2:$E$564,2,FALSE)),0)</f>
        <v>106.94</v>
      </c>
    </row>
    <row r="1423" spans="1:26" ht="25.15" hidden="1" customHeight="1" x14ac:dyDescent="0.25">
      <c r="A1423" s="112">
        <v>46254.679212962961</v>
      </c>
      <c r="B1423" s="5" t="s">
        <v>240</v>
      </c>
      <c r="C1423" s="5" t="s">
        <v>703</v>
      </c>
      <c r="D1423" s="5">
        <v>716378</v>
      </c>
      <c r="E1423" s="33">
        <v>6</v>
      </c>
      <c r="F1423" s="60">
        <v>700</v>
      </c>
      <c r="G1423" s="60">
        <f>+OtherClients[[#This Row],[Boxes / Pieces]]*OtherClients[[#This Row],[Unit Quantity]]</f>
        <v>4200</v>
      </c>
      <c r="H1423" s="60">
        <v>290</v>
      </c>
      <c r="I1423" s="126" t="s">
        <v>278</v>
      </c>
      <c r="J1423" s="127"/>
      <c r="K1423" s="33" t="s">
        <v>278</v>
      </c>
      <c r="L1423" s="125"/>
      <c r="M1423" s="33" t="s">
        <v>278</v>
      </c>
      <c r="N1423" s="125"/>
      <c r="O1423" s="33" t="s">
        <v>278</v>
      </c>
      <c r="P1423" s="125"/>
      <c r="Q1423" s="33" t="s">
        <v>587</v>
      </c>
      <c r="R1423" s="125"/>
      <c r="S1423" s="33" t="s">
        <v>278</v>
      </c>
      <c r="T1423" s="125"/>
      <c r="U1423" s="33" t="s">
        <v>278</v>
      </c>
      <c r="V1423" s="125"/>
      <c r="W1423" s="59" t="s">
        <v>633</v>
      </c>
      <c r="X1423" s="33" t="str">
        <f>+VLOOKUP(OtherClients[[#This Row],[Part]],PartControl!$A$2:$E$564,5,FALSE)</f>
        <v>infasco</v>
      </c>
      <c r="Y1423" s="108">
        <f>IF(OtherClients[[#This Row],[Re-certified or New]]&lt;&gt;"Re-certified",IF(OtherClients[[#This Row],[Client]]="infasco",VLOOKUP(OtherClients[[#This Row],[Part]],PartControl!$A$2:$E$564,2,FALSE),OtherClients[[#This Row],[Total Quantity]]*VLOOKUP(OtherClients[[#This Row],[Part]],PartControl!$A$2:$E$564,2,FALSE)),0)</f>
        <v>0</v>
      </c>
      <c r="Z1423" s="108">
        <f>IF(OtherClients[[#This Row],[Re-certified or New]]&lt;&gt;"Re-certified",IF(OtherClients[[#This Row],[Client]]="infasco",VLOOKUP(OtherClients[[#This Row],[Part]],PartControl!$A$2:$E$564,2,FALSE),OtherClients[[#This Row],[Total Quantity]]*VLOOKUP(OtherClients[[#This Row],[Part]],PartControl!$A$2:$E$564,2,FALSE)),0)</f>
        <v>0</v>
      </c>
    </row>
    <row r="1424" spans="1:26" ht="25.15" hidden="1" customHeight="1" x14ac:dyDescent="0.25">
      <c r="A1424" s="112">
        <v>46255.694016203706</v>
      </c>
      <c r="B1424" s="5" t="s">
        <v>240</v>
      </c>
      <c r="C1424" s="5" t="s">
        <v>703</v>
      </c>
      <c r="D1424" s="5">
        <v>716378</v>
      </c>
      <c r="E1424" s="33">
        <f>36-6</f>
        <v>30</v>
      </c>
      <c r="F1424" s="60">
        <v>700</v>
      </c>
      <c r="G1424" s="60">
        <f>+OtherClients[[#This Row],[Boxes / Pieces]]*OtherClients[[#This Row],[Unit Quantity]]</f>
        <v>21000</v>
      </c>
      <c r="H1424" s="60">
        <v>290</v>
      </c>
      <c r="I1424" s="126" t="s">
        <v>278</v>
      </c>
      <c r="J1424" s="127"/>
      <c r="K1424" s="33" t="s">
        <v>278</v>
      </c>
      <c r="L1424" s="125"/>
      <c r="M1424" s="33" t="s">
        <v>278</v>
      </c>
      <c r="N1424" s="125"/>
      <c r="O1424" s="33" t="s">
        <v>278</v>
      </c>
      <c r="P1424" s="125"/>
      <c r="Q1424" s="33" t="s">
        <v>587</v>
      </c>
      <c r="R1424" s="125"/>
      <c r="S1424" s="33" t="s">
        <v>278</v>
      </c>
      <c r="T1424" s="125"/>
      <c r="U1424" s="33" t="s">
        <v>278</v>
      </c>
      <c r="V1424" s="125"/>
      <c r="W1424" s="59" t="s">
        <v>548</v>
      </c>
      <c r="X1424" s="33" t="str">
        <f>+VLOOKUP(OtherClients[[#This Row],[Part]],PartControl!$A$2:$E$564,5,FALSE)</f>
        <v>infasco</v>
      </c>
      <c r="Y1424" s="108">
        <f>IF(OtherClients[[#This Row],[Re-certified or New]]&lt;&gt;"Re-certified",IF(OtherClients[[#This Row],[Client]]="infasco",VLOOKUP(OtherClients[[#This Row],[Part]],PartControl!$A$2:$E$564,2,FALSE),OtherClients[[#This Row],[Total Quantity]]*VLOOKUP(OtherClients[[#This Row],[Part]],PartControl!$A$2:$E$564,2,FALSE)),0)</f>
        <v>106.94</v>
      </c>
      <c r="Z1424" s="108">
        <f>IF(OtherClients[[#This Row],[Re-certified or New]]&lt;&gt;"Re-certified",IF(OtherClients[[#This Row],[Client]]="infasco",VLOOKUP(OtherClients[[#This Row],[Part]],PartControl!$A$2:$E$564,2,FALSE),OtherClients[[#This Row],[Total Quantity]]*VLOOKUP(OtherClients[[#This Row],[Part]],PartControl!$A$2:$E$564,2,FALSE)),0)</f>
        <v>106.94</v>
      </c>
    </row>
    <row r="1425" spans="1:26" ht="25.15" hidden="1" customHeight="1" x14ac:dyDescent="0.25">
      <c r="A1425" s="112">
        <v>46254.679212962961</v>
      </c>
      <c r="B1425" s="5" t="s">
        <v>251</v>
      </c>
      <c r="C1425" s="5" t="s">
        <v>703</v>
      </c>
      <c r="D1425" s="5">
        <v>716381</v>
      </c>
      <c r="E1425" s="33">
        <v>2</v>
      </c>
      <c r="F1425" s="60">
        <v>700</v>
      </c>
      <c r="G1425" s="60">
        <f>+OtherClients[[#This Row],[Boxes / Pieces]]*OtherClients[[#This Row],[Unit Quantity]]</f>
        <v>1400</v>
      </c>
      <c r="H1425" s="60">
        <v>292</v>
      </c>
      <c r="I1425" s="126" t="s">
        <v>278</v>
      </c>
      <c r="J1425" s="127"/>
      <c r="K1425" s="33" t="s">
        <v>278</v>
      </c>
      <c r="L1425" s="125"/>
      <c r="M1425" s="33" t="s">
        <v>278</v>
      </c>
      <c r="N1425" s="125"/>
      <c r="O1425" s="33" t="s">
        <v>278</v>
      </c>
      <c r="P1425" s="125"/>
      <c r="Q1425" s="33" t="s">
        <v>587</v>
      </c>
      <c r="R1425" s="125"/>
      <c r="S1425" s="33" t="s">
        <v>278</v>
      </c>
      <c r="T1425" s="125"/>
      <c r="U1425" s="33" t="s">
        <v>278</v>
      </c>
      <c r="V1425" s="125"/>
      <c r="W1425" s="59" t="s">
        <v>633</v>
      </c>
      <c r="X1425" s="33" t="str">
        <f>+VLOOKUP(OtherClients[[#This Row],[Part]],PartControl!$A$2:$E$564,5,FALSE)</f>
        <v>infasco</v>
      </c>
      <c r="Y1425" s="108">
        <f>IF(OtherClients[[#This Row],[Re-certified or New]]&lt;&gt;"Re-certified",IF(OtherClients[[#This Row],[Client]]="infasco",VLOOKUP(OtherClients[[#This Row],[Part]],PartControl!$A$2:$E$564,2,FALSE),OtherClients[[#This Row],[Total Quantity]]*VLOOKUP(OtherClients[[#This Row],[Part]],PartControl!$A$2:$E$564,2,FALSE)),0)</f>
        <v>0</v>
      </c>
      <c r="Z1425" s="108">
        <f>IF(OtherClients[[#This Row],[Re-certified or New]]&lt;&gt;"Re-certified",IF(OtherClients[[#This Row],[Client]]="infasco",VLOOKUP(OtherClients[[#This Row],[Part]],PartControl!$A$2:$E$564,2,FALSE),OtherClients[[#This Row],[Total Quantity]]*VLOOKUP(OtherClients[[#This Row],[Part]],PartControl!$A$2:$E$564,2,FALSE)),0)</f>
        <v>0</v>
      </c>
    </row>
    <row r="1426" spans="1:26" ht="25.15" hidden="1" customHeight="1" x14ac:dyDescent="0.25">
      <c r="A1426" s="112">
        <v>46255.694016203706</v>
      </c>
      <c r="B1426" s="5" t="s">
        <v>251</v>
      </c>
      <c r="C1426" s="5" t="s">
        <v>703</v>
      </c>
      <c r="D1426" s="5">
        <v>716381</v>
      </c>
      <c r="E1426" s="33">
        <f>36-2</f>
        <v>34</v>
      </c>
      <c r="F1426" s="60">
        <v>700</v>
      </c>
      <c r="G1426" s="60">
        <f>+OtherClients[[#This Row],[Boxes / Pieces]]*OtherClients[[#This Row],[Unit Quantity]]</f>
        <v>23800</v>
      </c>
      <c r="H1426" s="60">
        <v>292</v>
      </c>
      <c r="I1426" s="126" t="s">
        <v>278</v>
      </c>
      <c r="J1426" s="127"/>
      <c r="K1426" s="33" t="s">
        <v>278</v>
      </c>
      <c r="L1426" s="125"/>
      <c r="M1426" s="33" t="s">
        <v>278</v>
      </c>
      <c r="N1426" s="125"/>
      <c r="O1426" s="33" t="s">
        <v>278</v>
      </c>
      <c r="P1426" s="125"/>
      <c r="Q1426" s="33" t="s">
        <v>587</v>
      </c>
      <c r="R1426" s="125"/>
      <c r="S1426" s="33" t="s">
        <v>278</v>
      </c>
      <c r="T1426" s="125"/>
      <c r="U1426" s="33" t="s">
        <v>278</v>
      </c>
      <c r="V1426" s="125"/>
      <c r="W1426" s="59" t="s">
        <v>548</v>
      </c>
      <c r="X1426" s="33" t="str">
        <f>+VLOOKUP(OtherClients[[#This Row],[Part]],PartControl!$A$2:$E$564,5,FALSE)</f>
        <v>infasco</v>
      </c>
      <c r="Y1426" s="108">
        <f>IF(OtherClients[[#This Row],[Re-certified or New]]&lt;&gt;"Re-certified",IF(OtherClients[[#This Row],[Client]]="infasco",VLOOKUP(OtherClients[[#This Row],[Part]],PartControl!$A$2:$E$564,2,FALSE),OtherClients[[#This Row],[Total Quantity]]*VLOOKUP(OtherClients[[#This Row],[Part]],PartControl!$A$2:$E$564,2,FALSE)),0)</f>
        <v>106.94</v>
      </c>
      <c r="Z1426" s="108">
        <f>IF(OtherClients[[#This Row],[Re-certified or New]]&lt;&gt;"Re-certified",IF(OtherClients[[#This Row],[Client]]="infasco",VLOOKUP(OtherClients[[#This Row],[Part]],PartControl!$A$2:$E$564,2,FALSE),OtherClients[[#This Row],[Total Quantity]]*VLOOKUP(OtherClients[[#This Row],[Part]],PartControl!$A$2:$E$564,2,FALSE)),0)</f>
        <v>106.94</v>
      </c>
    </row>
    <row r="1427" spans="1:26" ht="25.15" hidden="1" customHeight="1" x14ac:dyDescent="0.25">
      <c r="A1427" s="112">
        <v>46255.694016203706</v>
      </c>
      <c r="B1427" s="5" t="s">
        <v>636</v>
      </c>
      <c r="C1427" s="5" t="s">
        <v>703</v>
      </c>
      <c r="D1427" s="5">
        <v>716382</v>
      </c>
      <c r="E1427" s="33">
        <v>36</v>
      </c>
      <c r="F1427" s="60">
        <v>700</v>
      </c>
      <c r="G1427" s="60">
        <f>+OtherClients[[#This Row],[Boxes / Pieces]]*OtherClients[[#This Row],[Unit Quantity]]</f>
        <v>25200</v>
      </c>
      <c r="H1427" s="60">
        <v>280</v>
      </c>
      <c r="I1427" s="126" t="s">
        <v>278</v>
      </c>
      <c r="J1427" s="127"/>
      <c r="K1427" s="33" t="s">
        <v>278</v>
      </c>
      <c r="L1427" s="125"/>
      <c r="M1427" s="33" t="s">
        <v>278</v>
      </c>
      <c r="N1427" s="125"/>
      <c r="O1427" s="33" t="s">
        <v>278</v>
      </c>
      <c r="P1427" s="125"/>
      <c r="Q1427" s="33" t="s">
        <v>587</v>
      </c>
      <c r="R1427" s="125"/>
      <c r="S1427" s="33" t="s">
        <v>278</v>
      </c>
      <c r="T1427" s="125"/>
      <c r="U1427" s="33" t="s">
        <v>278</v>
      </c>
      <c r="V1427" s="125"/>
      <c r="W1427" s="59" t="s">
        <v>548</v>
      </c>
      <c r="X1427" s="33" t="str">
        <f>+VLOOKUP(OtherClients[[#This Row],[Part]],PartControl!$A$2:$E$564,5,FALSE)</f>
        <v>infasco</v>
      </c>
      <c r="Y1427" s="108">
        <f>IF(OtherClients[[#This Row],[Re-certified or New]]&lt;&gt;"Re-certified",IF(OtherClients[[#This Row],[Client]]="infasco",VLOOKUP(OtherClients[[#This Row],[Part]],PartControl!$A$2:$E$564,2,FALSE),OtherClients[[#This Row],[Total Quantity]]*VLOOKUP(OtherClients[[#This Row],[Part]],PartControl!$A$2:$E$564,2,FALSE)),0)</f>
        <v>106.94</v>
      </c>
      <c r="Z1427" s="108">
        <f>IF(OtherClients[[#This Row],[Re-certified or New]]&lt;&gt;"Re-certified",IF(OtherClients[[#This Row],[Client]]="infasco",VLOOKUP(OtherClients[[#This Row],[Part]],PartControl!$A$2:$E$564,2,FALSE),OtherClients[[#This Row],[Total Quantity]]*VLOOKUP(OtherClients[[#This Row],[Part]],PartControl!$A$2:$E$564,2,FALSE)),0)</f>
        <v>106.94</v>
      </c>
    </row>
    <row r="1428" spans="1:26" ht="25.15" hidden="1" customHeight="1" x14ac:dyDescent="0.25">
      <c r="A1428" s="112">
        <v>46255.694016203706</v>
      </c>
      <c r="B1428" s="5" t="s">
        <v>242</v>
      </c>
      <c r="C1428" s="5">
        <v>11549170</v>
      </c>
      <c r="D1428" s="5">
        <v>716414</v>
      </c>
      <c r="E1428" s="33">
        <v>36</v>
      </c>
      <c r="F1428" s="60">
        <v>400</v>
      </c>
      <c r="G1428" s="60">
        <f>+OtherClients[[#This Row],[Boxes / Pieces]]*OtherClients[[#This Row],[Unit Quantity]]</f>
        <v>14400</v>
      </c>
      <c r="H1428" s="60">
        <v>275</v>
      </c>
      <c r="I1428" s="126" t="s">
        <v>278</v>
      </c>
      <c r="J1428" s="127"/>
      <c r="K1428" s="33" t="s">
        <v>278</v>
      </c>
      <c r="L1428" s="125"/>
      <c r="M1428" s="33" t="s">
        <v>278</v>
      </c>
      <c r="N1428" s="125"/>
      <c r="O1428" s="33" t="s">
        <v>278</v>
      </c>
      <c r="P1428" s="125"/>
      <c r="Q1428" s="33" t="s">
        <v>587</v>
      </c>
      <c r="R1428" s="125"/>
      <c r="S1428" s="33" t="s">
        <v>278</v>
      </c>
      <c r="T1428" s="125"/>
      <c r="U1428" s="33" t="s">
        <v>278</v>
      </c>
      <c r="V1428" s="125"/>
      <c r="W1428" s="59" t="s">
        <v>548</v>
      </c>
      <c r="X1428" s="33" t="str">
        <f>+VLOOKUP(OtherClients[[#This Row],[Part]],PartControl!$A$2:$E$564,5,FALSE)</f>
        <v>INFASCO</v>
      </c>
      <c r="Y1428" s="108">
        <f>IF(OtherClients[[#This Row],[Re-certified or New]]&lt;&gt;"Re-certified",IF(OtherClients[[#This Row],[Client]]="infasco",VLOOKUP(OtherClients[[#This Row],[Part]],PartControl!$A$2:$E$564,2,FALSE),OtherClients[[#This Row],[Total Quantity]]*VLOOKUP(OtherClients[[#This Row],[Part]],PartControl!$A$2:$E$564,2,FALSE)),0)</f>
        <v>106.94</v>
      </c>
      <c r="Z1428" s="108">
        <f>IF(OtherClients[[#This Row],[Re-certified or New]]&lt;&gt;"Re-certified",IF(OtherClients[[#This Row],[Client]]="infasco",VLOOKUP(OtherClients[[#This Row],[Part]],PartControl!$A$2:$E$564,2,FALSE),OtherClients[[#This Row],[Total Quantity]]*VLOOKUP(OtherClients[[#This Row],[Part]],PartControl!$A$2:$E$564,2,FALSE)),0)</f>
        <v>106.94</v>
      </c>
    </row>
    <row r="1429" spans="1:26" ht="25.15" hidden="1" customHeight="1" x14ac:dyDescent="0.25">
      <c r="A1429" s="112">
        <v>46255.694016203706</v>
      </c>
      <c r="B1429" s="5" t="s">
        <v>238</v>
      </c>
      <c r="C1429" s="5">
        <v>11549170</v>
      </c>
      <c r="D1429" s="5">
        <v>716415</v>
      </c>
      <c r="E1429" s="33">
        <v>22</v>
      </c>
      <c r="F1429" s="60">
        <v>400</v>
      </c>
      <c r="G1429" s="60">
        <f>+OtherClients[[#This Row],[Boxes / Pieces]]*OtherClients[[#This Row],[Unit Quantity]]</f>
        <v>8800</v>
      </c>
      <c r="H1429" s="60">
        <v>275</v>
      </c>
      <c r="I1429" s="126" t="s">
        <v>278</v>
      </c>
      <c r="J1429" s="127"/>
      <c r="K1429" s="33" t="s">
        <v>278</v>
      </c>
      <c r="L1429" s="125"/>
      <c r="M1429" s="33" t="s">
        <v>278</v>
      </c>
      <c r="N1429" s="125"/>
      <c r="O1429" s="33" t="s">
        <v>278</v>
      </c>
      <c r="P1429" s="125"/>
      <c r="Q1429" s="33" t="s">
        <v>587</v>
      </c>
      <c r="R1429" s="125"/>
      <c r="S1429" s="33" t="s">
        <v>278</v>
      </c>
      <c r="T1429" s="125"/>
      <c r="U1429" s="33" t="s">
        <v>278</v>
      </c>
      <c r="V1429" s="125"/>
      <c r="W1429" s="59" t="s">
        <v>633</v>
      </c>
      <c r="X1429" s="33" t="str">
        <f>+VLOOKUP(OtherClients[[#This Row],[Part]],PartControl!$A$2:$E$564,5,FALSE)</f>
        <v>INFASCO</v>
      </c>
      <c r="Y1429" s="108">
        <f>IF(OtherClients[[#This Row],[Re-certified or New]]&lt;&gt;"Re-certified",IF(OtherClients[[#This Row],[Client]]="infasco",VLOOKUP(OtherClients[[#This Row],[Part]],PartControl!$A$2:$E$564,2,FALSE),OtherClients[[#This Row],[Total Quantity]]*VLOOKUP(OtherClients[[#This Row],[Part]],PartControl!$A$2:$E$564,2,FALSE)),0)</f>
        <v>0</v>
      </c>
      <c r="Z1429" s="108">
        <f>IF(OtherClients[[#This Row],[Re-certified or New]]&lt;&gt;"Re-certified",IF(OtherClients[[#This Row],[Client]]="infasco",VLOOKUP(OtherClients[[#This Row],[Part]],PartControl!$A$2:$E$564,2,FALSE),OtherClients[[#This Row],[Total Quantity]]*VLOOKUP(OtherClients[[#This Row],[Part]],PartControl!$A$2:$E$564,2,FALSE)),0)</f>
        <v>0</v>
      </c>
    </row>
    <row r="1430" spans="1:26" ht="25.15" hidden="1" customHeight="1" x14ac:dyDescent="0.25">
      <c r="A1430" s="112">
        <v>46256</v>
      </c>
      <c r="B1430" s="5" t="s">
        <v>637</v>
      </c>
      <c r="C1430" s="5" t="s">
        <v>642</v>
      </c>
      <c r="D1430" s="5">
        <v>716796</v>
      </c>
      <c r="E1430" s="33">
        <v>12</v>
      </c>
      <c r="F1430" s="60">
        <v>2800</v>
      </c>
      <c r="G1430" s="60">
        <f>+OtherClients[[#This Row],[Boxes / Pieces]]*OtherClients[[#This Row],[Unit Quantity]]</f>
        <v>33600</v>
      </c>
      <c r="H1430" s="60">
        <v>280</v>
      </c>
      <c r="I1430" s="126" t="s">
        <v>278</v>
      </c>
      <c r="J1430" s="127"/>
      <c r="K1430" s="33" t="s">
        <v>278</v>
      </c>
      <c r="L1430" s="125"/>
      <c r="M1430" s="33" t="s">
        <v>278</v>
      </c>
      <c r="N1430" s="125"/>
      <c r="O1430" s="33" t="s">
        <v>278</v>
      </c>
      <c r="P1430" s="125"/>
      <c r="Q1430" s="33" t="s">
        <v>587</v>
      </c>
      <c r="R1430" s="125"/>
      <c r="S1430" s="33" t="s">
        <v>278</v>
      </c>
      <c r="T1430" s="125"/>
      <c r="U1430" s="33" t="s">
        <v>278</v>
      </c>
      <c r="V1430" s="125"/>
      <c r="W1430" s="59" t="s">
        <v>633</v>
      </c>
      <c r="X1430" s="33" t="str">
        <f>+VLOOKUP(OtherClients[[#This Row],[Part]],PartControl!$A$2:$E$564,5,FALSE)</f>
        <v>infasco</v>
      </c>
      <c r="Y1430" s="108">
        <f>IF(OtherClients[[#This Row],[Re-certified or New]]&lt;&gt;"Re-certified",IF(OtherClients[[#This Row],[Client]]="infasco",VLOOKUP(OtherClients[[#This Row],[Part]],PartControl!$A$2:$E$564,2,FALSE),OtherClients[[#This Row],[Total Quantity]]*VLOOKUP(OtherClients[[#This Row],[Part]],PartControl!$A$2:$E$564,2,FALSE)),0)</f>
        <v>0</v>
      </c>
      <c r="Z1430" s="108">
        <f>IF(OtherClients[[#This Row],[Re-certified or New]]&lt;&gt;"Re-certified",IF(OtherClients[[#This Row],[Client]]="infasco",VLOOKUP(OtherClients[[#This Row],[Part]],PartControl!$A$2:$E$564,2,FALSE),OtherClients[[#This Row],[Total Quantity]]*VLOOKUP(OtherClients[[#This Row],[Part]],PartControl!$A$2:$E$564,2,FALSE)),0)</f>
        <v>0</v>
      </c>
    </row>
    <row r="1431" spans="1:26" ht="25.15" hidden="1" customHeight="1" x14ac:dyDescent="0.25">
      <c r="A1431" s="112">
        <v>46254.679212962961</v>
      </c>
      <c r="B1431" s="5" t="s">
        <v>344</v>
      </c>
      <c r="C1431" s="5">
        <v>11549170</v>
      </c>
      <c r="D1431" s="5">
        <v>716416</v>
      </c>
      <c r="E1431" s="33">
        <v>36</v>
      </c>
      <c r="F1431" s="60">
        <v>400</v>
      </c>
      <c r="G1431" s="60">
        <f>+OtherClients[[#This Row],[Boxes / Pieces]]*OtherClients[[#This Row],[Unit Quantity]]</f>
        <v>14400</v>
      </c>
      <c r="H1431" s="60" t="s">
        <v>816</v>
      </c>
      <c r="I1431" s="126" t="s">
        <v>278</v>
      </c>
      <c r="J1431" s="127"/>
      <c r="K1431" s="33" t="s">
        <v>278</v>
      </c>
      <c r="L1431" s="125"/>
      <c r="M1431" s="33" t="s">
        <v>278</v>
      </c>
      <c r="N1431" s="125"/>
      <c r="O1431" s="33" t="s">
        <v>278</v>
      </c>
      <c r="P1431" s="125"/>
      <c r="Q1431" s="33" t="s">
        <v>587</v>
      </c>
      <c r="R1431" s="125"/>
      <c r="S1431" s="33" t="s">
        <v>278</v>
      </c>
      <c r="T1431" s="125"/>
      <c r="U1431" s="33" t="s">
        <v>278</v>
      </c>
      <c r="V1431" s="125"/>
      <c r="W1431" s="59" t="s">
        <v>548</v>
      </c>
      <c r="X1431" s="33" t="str">
        <f>+VLOOKUP(OtherClients[[#This Row],[Part]],PartControl!$A$2:$E$564,5,FALSE)</f>
        <v>INFASCO</v>
      </c>
      <c r="Y1431" s="108">
        <f>IF(OtherClients[[#This Row],[Re-certified or New]]&lt;&gt;"Re-certified",IF(OtherClients[[#This Row],[Client]]="infasco",VLOOKUP(OtherClients[[#This Row],[Part]],PartControl!$A$2:$E$564,2,FALSE),OtherClients[[#This Row],[Total Quantity]]*VLOOKUP(OtherClients[[#This Row],[Part]],PartControl!$A$2:$E$564,2,FALSE)),0)</f>
        <v>106.94</v>
      </c>
      <c r="Z1431" s="108">
        <f>IF(OtherClients[[#This Row],[Re-certified or New]]&lt;&gt;"Re-certified",IF(OtherClients[[#This Row],[Client]]="infasco",VLOOKUP(OtherClients[[#This Row],[Part]],PartControl!$A$2:$E$564,2,FALSE),OtherClients[[#This Row],[Total Quantity]]*VLOOKUP(OtherClients[[#This Row],[Part]],PartControl!$A$2:$E$564,2,FALSE)),0)</f>
        <v>106.94</v>
      </c>
    </row>
    <row r="1432" spans="1:26" ht="25.15" hidden="1" customHeight="1" x14ac:dyDescent="0.25">
      <c r="A1432" s="112">
        <v>46254.679212962961</v>
      </c>
      <c r="B1432" s="5" t="s">
        <v>344</v>
      </c>
      <c r="C1432" s="5">
        <v>11549170</v>
      </c>
      <c r="D1432" s="5">
        <v>716417</v>
      </c>
      <c r="E1432" s="33">
        <v>28</v>
      </c>
      <c r="F1432" s="60">
        <v>400</v>
      </c>
      <c r="G1432" s="60">
        <f>+OtherClients[[#This Row],[Boxes / Pieces]]*OtherClients[[#This Row],[Unit Quantity]]</f>
        <v>11200</v>
      </c>
      <c r="H1432" s="60" t="s">
        <v>816</v>
      </c>
      <c r="I1432" s="126" t="s">
        <v>278</v>
      </c>
      <c r="J1432" s="127"/>
      <c r="K1432" s="33" t="s">
        <v>278</v>
      </c>
      <c r="L1432" s="125"/>
      <c r="M1432" s="33" t="s">
        <v>278</v>
      </c>
      <c r="N1432" s="125"/>
      <c r="O1432" s="33" t="s">
        <v>278</v>
      </c>
      <c r="P1432" s="125"/>
      <c r="Q1432" s="33" t="s">
        <v>587</v>
      </c>
      <c r="R1432" s="125"/>
      <c r="S1432" s="33" t="s">
        <v>278</v>
      </c>
      <c r="T1432" s="125"/>
      <c r="U1432" s="33" t="s">
        <v>278</v>
      </c>
      <c r="V1432" s="125"/>
      <c r="W1432" s="59" t="s">
        <v>548</v>
      </c>
      <c r="X1432" s="33" t="str">
        <f>+VLOOKUP(OtherClients[[#This Row],[Part]],PartControl!$A$2:$E$564,5,FALSE)</f>
        <v>INFASCO</v>
      </c>
      <c r="Y1432" s="108">
        <f>IF(OtherClients[[#This Row],[Re-certified or New]]&lt;&gt;"Re-certified",IF(OtherClients[[#This Row],[Client]]="infasco",VLOOKUP(OtherClients[[#This Row],[Part]],PartControl!$A$2:$E$564,2,FALSE),OtherClients[[#This Row],[Total Quantity]]*VLOOKUP(OtherClients[[#This Row],[Part]],PartControl!$A$2:$E$564,2,FALSE)),0)</f>
        <v>106.94</v>
      </c>
      <c r="Z1432" s="108">
        <f>IF(OtherClients[[#This Row],[Re-certified or New]]&lt;&gt;"Re-certified",IF(OtherClients[[#This Row],[Client]]="infasco",VLOOKUP(OtherClients[[#This Row],[Part]],PartControl!$A$2:$E$564,2,FALSE),OtherClients[[#This Row],[Total Quantity]]*VLOOKUP(OtherClients[[#This Row],[Part]],PartControl!$A$2:$E$564,2,FALSE)),0)</f>
        <v>106.94</v>
      </c>
    </row>
    <row r="1433" spans="1:26" ht="25.15" hidden="1" customHeight="1" x14ac:dyDescent="0.25">
      <c r="A1433" s="112">
        <v>46255.694016203706</v>
      </c>
      <c r="B1433" s="5" t="s">
        <v>239</v>
      </c>
      <c r="C1433" s="5">
        <v>11549170</v>
      </c>
      <c r="D1433" s="5">
        <v>716418</v>
      </c>
      <c r="E1433" s="33">
        <v>36</v>
      </c>
      <c r="F1433" s="60">
        <v>400</v>
      </c>
      <c r="G1433" s="60">
        <f>+OtherClients[[#This Row],[Boxes / Pieces]]*OtherClients[[#This Row],[Unit Quantity]]</f>
        <v>14400</v>
      </c>
      <c r="H1433" s="60">
        <v>290</v>
      </c>
      <c r="I1433" s="126" t="s">
        <v>278</v>
      </c>
      <c r="J1433" s="127"/>
      <c r="K1433" s="33" t="s">
        <v>278</v>
      </c>
      <c r="L1433" s="125"/>
      <c r="M1433" s="33" t="s">
        <v>278</v>
      </c>
      <c r="N1433" s="125"/>
      <c r="O1433" s="33" t="s">
        <v>278</v>
      </c>
      <c r="P1433" s="125"/>
      <c r="Q1433" s="33" t="s">
        <v>587</v>
      </c>
      <c r="R1433" s="125"/>
      <c r="S1433" s="33" t="s">
        <v>278</v>
      </c>
      <c r="T1433" s="125"/>
      <c r="U1433" s="33" t="s">
        <v>278</v>
      </c>
      <c r="V1433" s="125"/>
      <c r="W1433" s="59" t="s">
        <v>548</v>
      </c>
      <c r="X1433" s="33" t="str">
        <f>+VLOOKUP(OtherClients[[#This Row],[Part]],PartControl!$A$2:$E$564,5,FALSE)</f>
        <v>INFASCO</v>
      </c>
      <c r="Y1433" s="108">
        <f>IF(OtherClients[[#This Row],[Re-certified or New]]&lt;&gt;"Re-certified",IF(OtherClients[[#This Row],[Client]]="infasco",VLOOKUP(OtherClients[[#This Row],[Part]],PartControl!$A$2:$E$564,2,FALSE),OtherClients[[#This Row],[Total Quantity]]*VLOOKUP(OtherClients[[#This Row],[Part]],PartControl!$A$2:$E$564,2,FALSE)),0)</f>
        <v>106.94</v>
      </c>
      <c r="Z1433" s="108">
        <f>IF(OtherClients[[#This Row],[Re-certified or New]]&lt;&gt;"Re-certified",IF(OtherClients[[#This Row],[Client]]="infasco",VLOOKUP(OtherClients[[#This Row],[Part]],PartControl!$A$2:$E$564,2,FALSE),OtherClients[[#This Row],[Total Quantity]]*VLOOKUP(OtherClients[[#This Row],[Part]],PartControl!$A$2:$E$564,2,FALSE)),0)</f>
        <v>106.94</v>
      </c>
    </row>
    <row r="1434" spans="1:26" ht="25.15" hidden="1" customHeight="1" x14ac:dyDescent="0.25">
      <c r="A1434" s="112">
        <v>46254.679212962961</v>
      </c>
      <c r="B1434" s="5" t="s">
        <v>345</v>
      </c>
      <c r="C1434" s="5">
        <v>11549170</v>
      </c>
      <c r="D1434" s="5">
        <v>716419</v>
      </c>
      <c r="E1434" s="33">
        <v>40</v>
      </c>
      <c r="F1434" s="60">
        <v>400</v>
      </c>
      <c r="G1434" s="60">
        <f>+OtherClients[[#This Row],[Boxes / Pieces]]*OtherClients[[#This Row],[Unit Quantity]]</f>
        <v>16000</v>
      </c>
      <c r="H1434" s="60" t="s">
        <v>849</v>
      </c>
      <c r="I1434" s="126" t="s">
        <v>278</v>
      </c>
      <c r="J1434" s="127"/>
      <c r="K1434" s="33" t="s">
        <v>278</v>
      </c>
      <c r="L1434" s="125"/>
      <c r="M1434" s="33" t="s">
        <v>278</v>
      </c>
      <c r="N1434" s="125"/>
      <c r="O1434" s="33" t="s">
        <v>278</v>
      </c>
      <c r="P1434" s="125"/>
      <c r="Q1434" s="33" t="s">
        <v>587</v>
      </c>
      <c r="R1434" s="125"/>
      <c r="S1434" s="33" t="s">
        <v>278</v>
      </c>
      <c r="T1434" s="125"/>
      <c r="U1434" s="33" t="s">
        <v>278</v>
      </c>
      <c r="V1434" s="125"/>
      <c r="W1434" s="59" t="s">
        <v>548</v>
      </c>
      <c r="X1434" s="33" t="str">
        <f>+VLOOKUP(OtherClients[[#This Row],[Part]],PartControl!$A$2:$E$564,5,FALSE)</f>
        <v>INFASCO</v>
      </c>
      <c r="Y1434" s="108">
        <f>IF(OtherClients[[#This Row],[Re-certified or New]]&lt;&gt;"Re-certified",IF(OtherClients[[#This Row],[Client]]="infasco",VLOOKUP(OtherClients[[#This Row],[Part]],PartControl!$A$2:$E$564,2,FALSE),OtherClients[[#This Row],[Total Quantity]]*VLOOKUP(OtherClients[[#This Row],[Part]],PartControl!$A$2:$E$564,2,FALSE)),0)</f>
        <v>106.94</v>
      </c>
      <c r="Z1434" s="108">
        <f>IF(OtherClients[[#This Row],[Re-certified or New]]&lt;&gt;"Re-certified",IF(OtherClients[[#This Row],[Client]]="infasco",VLOOKUP(OtherClients[[#This Row],[Part]],PartControl!$A$2:$E$564,2,FALSE),OtherClients[[#This Row],[Total Quantity]]*VLOOKUP(OtherClients[[#This Row],[Part]],PartControl!$A$2:$E$564,2,FALSE)),0)</f>
        <v>106.94</v>
      </c>
    </row>
    <row r="1435" spans="1:26" ht="25.15" hidden="1" customHeight="1" x14ac:dyDescent="0.25">
      <c r="A1435" s="112">
        <v>46255.694016203706</v>
      </c>
      <c r="B1435" s="5" t="s">
        <v>246</v>
      </c>
      <c r="C1435" s="5">
        <v>11610091</v>
      </c>
      <c r="D1435" s="5">
        <v>716447</v>
      </c>
      <c r="E1435" s="33">
        <f>11+12</f>
        <v>23</v>
      </c>
      <c r="F1435" s="60">
        <v>2500</v>
      </c>
      <c r="G1435" s="60">
        <f>+OtherClients[[#This Row],[Boxes / Pieces]]*OtherClients[[#This Row],[Unit Quantity]]</f>
        <v>57500</v>
      </c>
      <c r="H1435" s="60">
        <v>292</v>
      </c>
      <c r="I1435" s="126" t="s">
        <v>278</v>
      </c>
      <c r="J1435" s="127"/>
      <c r="K1435" s="33" t="s">
        <v>278</v>
      </c>
      <c r="L1435" s="125"/>
      <c r="M1435" s="33" t="s">
        <v>278</v>
      </c>
      <c r="N1435" s="125"/>
      <c r="O1435" s="33" t="s">
        <v>278</v>
      </c>
      <c r="P1435" s="125"/>
      <c r="Q1435" s="33" t="s">
        <v>587</v>
      </c>
      <c r="R1435" s="125"/>
      <c r="S1435" s="33" t="s">
        <v>278</v>
      </c>
      <c r="T1435" s="125"/>
      <c r="U1435" s="33" t="s">
        <v>278</v>
      </c>
      <c r="V1435" s="125"/>
      <c r="W1435" s="59" t="s">
        <v>633</v>
      </c>
      <c r="X1435" s="33" t="str">
        <f>+VLOOKUP(OtherClients[[#This Row],[Part]],PartControl!$A$2:$E$564,5,FALSE)</f>
        <v>infasco</v>
      </c>
      <c r="Y1435" s="108">
        <f>IF(OtherClients[[#This Row],[Re-certified or New]]&lt;&gt;"Re-certified",IF(OtherClients[[#This Row],[Client]]="infasco",VLOOKUP(OtherClients[[#This Row],[Part]],PartControl!$A$2:$E$564,2,FALSE),OtherClients[[#This Row],[Total Quantity]]*VLOOKUP(OtherClients[[#This Row],[Part]],PartControl!$A$2:$E$564,2,FALSE)),0)</f>
        <v>0</v>
      </c>
      <c r="Z1435" s="108">
        <f>IF(OtherClients[[#This Row],[Re-certified or New]]&lt;&gt;"Re-certified",IF(OtherClients[[#This Row],[Client]]="infasco",VLOOKUP(OtherClients[[#This Row],[Part]],PartControl!$A$2:$E$564,2,FALSE),OtherClients[[#This Row],[Total Quantity]]*VLOOKUP(OtherClients[[#This Row],[Part]],PartControl!$A$2:$E$564,2,FALSE)),0)</f>
        <v>0</v>
      </c>
    </row>
    <row r="1436" spans="1:26" ht="25.15" hidden="1" customHeight="1" x14ac:dyDescent="0.25">
      <c r="A1436" s="112">
        <v>46256</v>
      </c>
      <c r="B1436" s="5" t="s">
        <v>637</v>
      </c>
      <c r="C1436" s="5">
        <v>11546449</v>
      </c>
      <c r="D1436" s="5">
        <v>716873</v>
      </c>
      <c r="E1436" s="33">
        <v>40</v>
      </c>
      <c r="F1436" s="60">
        <v>2500</v>
      </c>
      <c r="G1436" s="60">
        <f>+OtherClients[[#This Row],[Boxes / Pieces]]*OtherClients[[#This Row],[Unit Quantity]]</f>
        <v>100000</v>
      </c>
      <c r="H1436" s="60">
        <v>280</v>
      </c>
      <c r="I1436" s="126" t="s">
        <v>278</v>
      </c>
      <c r="J1436" s="127"/>
      <c r="K1436" s="33" t="s">
        <v>278</v>
      </c>
      <c r="L1436" s="125"/>
      <c r="M1436" s="33" t="s">
        <v>278</v>
      </c>
      <c r="N1436" s="125"/>
      <c r="O1436" s="33" t="s">
        <v>278</v>
      </c>
      <c r="P1436" s="125"/>
      <c r="Q1436" s="33" t="s">
        <v>587</v>
      </c>
      <c r="R1436" s="125"/>
      <c r="S1436" s="33" t="s">
        <v>278</v>
      </c>
      <c r="T1436" s="125"/>
      <c r="U1436" s="33" t="s">
        <v>278</v>
      </c>
      <c r="V1436" s="125"/>
      <c r="W1436" s="59" t="s">
        <v>548</v>
      </c>
      <c r="X1436" s="33" t="str">
        <f>+VLOOKUP(OtherClients[[#This Row],[Part]],PartControl!$A$2:$E$564,5,FALSE)</f>
        <v>INFASCO</v>
      </c>
      <c r="Y1436" s="108">
        <f>IF(OtherClients[[#This Row],[Re-certified or New]]&lt;&gt;"Re-certified",IF(OtherClients[[#This Row],[Client]]="infasco",VLOOKUP(OtherClients[[#This Row],[Part]],PartControl!$A$2:$E$564,2,FALSE),OtherClients[[#This Row],[Total Quantity]]*VLOOKUP(OtherClients[[#This Row],[Part]],PartControl!$A$2:$E$564,2,FALSE)),0)</f>
        <v>106.94</v>
      </c>
      <c r="Z1436" s="108">
        <f>IF(OtherClients[[#This Row],[Re-certified or New]]&lt;&gt;"Re-certified",IF(OtherClients[[#This Row],[Client]]="infasco",VLOOKUP(OtherClients[[#This Row],[Part]],PartControl!$A$2:$E$564,2,FALSE),OtherClients[[#This Row],[Total Quantity]]*VLOOKUP(OtherClients[[#This Row],[Part]],PartControl!$A$2:$E$564,2,FALSE)),0)</f>
        <v>106.94</v>
      </c>
    </row>
    <row r="1437" spans="1:26" ht="25.15" hidden="1" customHeight="1" x14ac:dyDescent="0.25">
      <c r="A1437" s="112">
        <v>46254.679212962961</v>
      </c>
      <c r="B1437" s="5" t="s">
        <v>246</v>
      </c>
      <c r="C1437" s="5">
        <v>11610091</v>
      </c>
      <c r="D1437" s="5">
        <v>716448</v>
      </c>
      <c r="E1437" s="33">
        <f>6+10</f>
        <v>16</v>
      </c>
      <c r="F1437" s="60">
        <v>2500</v>
      </c>
      <c r="G1437" s="60">
        <f>+OtherClients[[#This Row],[Boxes / Pieces]]*OtherClients[[#This Row],[Unit Quantity]]</f>
        <v>40000</v>
      </c>
      <c r="H1437" s="60">
        <v>292</v>
      </c>
      <c r="I1437" s="126" t="s">
        <v>278</v>
      </c>
      <c r="J1437" s="127"/>
      <c r="K1437" s="33" t="s">
        <v>278</v>
      </c>
      <c r="L1437" s="125"/>
      <c r="M1437" s="33" t="s">
        <v>278</v>
      </c>
      <c r="N1437" s="125"/>
      <c r="O1437" s="33" t="s">
        <v>278</v>
      </c>
      <c r="P1437" s="125"/>
      <c r="Q1437" s="33" t="s">
        <v>587</v>
      </c>
      <c r="R1437" s="125"/>
      <c r="S1437" s="33" t="s">
        <v>278</v>
      </c>
      <c r="T1437" s="125"/>
      <c r="U1437" s="33" t="s">
        <v>278</v>
      </c>
      <c r="V1437" s="125"/>
      <c r="W1437" s="59" t="s">
        <v>633</v>
      </c>
      <c r="X1437" s="33" t="str">
        <f>+VLOOKUP(OtherClients[[#This Row],[Part]],PartControl!$A$2:$E$564,5,FALSE)</f>
        <v>infasco</v>
      </c>
      <c r="Y1437" s="108">
        <f>IF(OtherClients[[#This Row],[Re-certified or New]]&lt;&gt;"Re-certified",IF(OtherClients[[#This Row],[Client]]="infasco",VLOOKUP(OtherClients[[#This Row],[Part]],PartControl!$A$2:$E$564,2,FALSE),OtherClients[[#This Row],[Total Quantity]]*VLOOKUP(OtherClients[[#This Row],[Part]],PartControl!$A$2:$E$564,2,FALSE)),0)</f>
        <v>0</v>
      </c>
      <c r="Z1437" s="108">
        <f>IF(OtherClients[[#This Row],[Re-certified or New]]&lt;&gt;"Re-certified",IF(OtherClients[[#This Row],[Client]]="infasco",VLOOKUP(OtherClients[[#This Row],[Part]],PartControl!$A$2:$E$564,2,FALSE),OtherClients[[#This Row],[Total Quantity]]*VLOOKUP(OtherClients[[#This Row],[Part]],PartControl!$A$2:$E$564,2,FALSE)),0)</f>
        <v>0</v>
      </c>
    </row>
    <row r="1438" spans="1:26" ht="25.15" hidden="1" customHeight="1" x14ac:dyDescent="0.25">
      <c r="A1438" s="112">
        <v>46255.694016203706</v>
      </c>
      <c r="B1438" s="5" t="s">
        <v>246</v>
      </c>
      <c r="C1438" s="5">
        <v>11610091</v>
      </c>
      <c r="D1438" s="5">
        <v>716448</v>
      </c>
      <c r="E1438" s="33">
        <f>25-10</f>
        <v>15</v>
      </c>
      <c r="F1438" s="60">
        <v>2500</v>
      </c>
      <c r="G1438" s="60">
        <f>+OtherClients[[#This Row],[Boxes / Pieces]]*OtherClients[[#This Row],[Unit Quantity]]</f>
        <v>37500</v>
      </c>
      <c r="H1438" s="60">
        <v>292</v>
      </c>
      <c r="I1438" s="126" t="s">
        <v>278</v>
      </c>
      <c r="J1438" s="127"/>
      <c r="K1438" s="33" t="s">
        <v>278</v>
      </c>
      <c r="L1438" s="125"/>
      <c r="M1438" s="33" t="s">
        <v>278</v>
      </c>
      <c r="N1438" s="125"/>
      <c r="O1438" s="33" t="s">
        <v>278</v>
      </c>
      <c r="P1438" s="125"/>
      <c r="Q1438" s="33" t="s">
        <v>587</v>
      </c>
      <c r="R1438" s="125"/>
      <c r="S1438" s="33" t="s">
        <v>278</v>
      </c>
      <c r="T1438" s="125"/>
      <c r="U1438" s="33" t="s">
        <v>278</v>
      </c>
      <c r="V1438" s="125"/>
      <c r="W1438" s="59" t="s">
        <v>548</v>
      </c>
      <c r="X1438" s="33" t="str">
        <f>+VLOOKUP(OtherClients[[#This Row],[Part]],PartControl!$A$2:$E$564,5,FALSE)</f>
        <v>infasco</v>
      </c>
      <c r="Y1438" s="108">
        <f>IF(OtherClients[[#This Row],[Re-certified or New]]&lt;&gt;"Re-certified",IF(OtherClients[[#This Row],[Client]]="infasco",VLOOKUP(OtherClients[[#This Row],[Part]],PartControl!$A$2:$E$564,2,FALSE),OtherClients[[#This Row],[Total Quantity]]*VLOOKUP(OtherClients[[#This Row],[Part]],PartControl!$A$2:$E$564,2,FALSE)),0)</f>
        <v>106.94</v>
      </c>
      <c r="Z1438" s="108">
        <f>IF(OtherClients[[#This Row],[Re-certified or New]]&lt;&gt;"Re-certified",IF(OtherClients[[#This Row],[Client]]="infasco",VLOOKUP(OtherClients[[#This Row],[Part]],PartControl!$A$2:$E$564,2,FALSE),OtherClients[[#This Row],[Total Quantity]]*VLOOKUP(OtherClients[[#This Row],[Part]],PartControl!$A$2:$E$564,2,FALSE)),0)</f>
        <v>106.94</v>
      </c>
    </row>
    <row r="1439" spans="1:26" ht="25.15" hidden="1" customHeight="1" x14ac:dyDescent="0.25">
      <c r="A1439" s="112">
        <v>46255.694016203706</v>
      </c>
      <c r="B1439" s="5" t="s">
        <v>623</v>
      </c>
      <c r="C1439" s="5">
        <v>11610091</v>
      </c>
      <c r="D1439" s="5">
        <v>716449</v>
      </c>
      <c r="E1439" s="33">
        <f>21+2</f>
        <v>23</v>
      </c>
      <c r="F1439" s="60">
        <v>2500</v>
      </c>
      <c r="G1439" s="60">
        <f>+OtherClients[[#This Row],[Boxes / Pieces]]*OtherClients[[#This Row],[Unit Quantity]]</f>
        <v>57500</v>
      </c>
      <c r="H1439" s="60">
        <v>292</v>
      </c>
      <c r="I1439" s="126" t="s">
        <v>278</v>
      </c>
      <c r="J1439" s="127"/>
      <c r="K1439" s="33" t="s">
        <v>278</v>
      </c>
      <c r="L1439" s="125"/>
      <c r="M1439" s="33" t="s">
        <v>278</v>
      </c>
      <c r="N1439" s="125"/>
      <c r="O1439" s="33" t="s">
        <v>278</v>
      </c>
      <c r="P1439" s="125"/>
      <c r="Q1439" s="33" t="s">
        <v>587</v>
      </c>
      <c r="R1439" s="125"/>
      <c r="S1439" s="33" t="s">
        <v>278</v>
      </c>
      <c r="T1439" s="125"/>
      <c r="U1439" s="33" t="s">
        <v>278</v>
      </c>
      <c r="V1439" s="125"/>
      <c r="W1439" s="59" t="s">
        <v>633</v>
      </c>
      <c r="X1439" s="33" t="str">
        <f>+VLOOKUP(OtherClients[[#This Row],[Part]],PartControl!$A$2:$E$564,5,FALSE)</f>
        <v>infasco</v>
      </c>
      <c r="Y1439" s="108">
        <f>IF(OtherClients[[#This Row],[Re-certified or New]]&lt;&gt;"Re-certified",IF(OtherClients[[#This Row],[Client]]="infasco",VLOOKUP(OtherClients[[#This Row],[Part]],PartControl!$A$2:$E$564,2,FALSE),OtherClients[[#This Row],[Total Quantity]]*VLOOKUP(OtherClients[[#This Row],[Part]],PartControl!$A$2:$E$564,2,FALSE)),0)</f>
        <v>0</v>
      </c>
      <c r="Z1439" s="108">
        <f>IF(OtherClients[[#This Row],[Re-certified or New]]&lt;&gt;"Re-certified",IF(OtherClients[[#This Row],[Client]]="infasco",VLOOKUP(OtherClients[[#This Row],[Part]],PartControl!$A$2:$E$564,2,FALSE),OtherClients[[#This Row],[Total Quantity]]*VLOOKUP(OtherClients[[#This Row],[Part]],PartControl!$A$2:$E$564,2,FALSE)),0)</f>
        <v>0</v>
      </c>
    </row>
    <row r="1440" spans="1:26" ht="25.15" hidden="1" customHeight="1" x14ac:dyDescent="0.25">
      <c r="A1440" s="112">
        <v>46256</v>
      </c>
      <c r="B1440" s="5" t="s">
        <v>637</v>
      </c>
      <c r="C1440" s="5">
        <v>11546449</v>
      </c>
      <c r="D1440" s="5">
        <v>716875</v>
      </c>
      <c r="E1440" s="33">
        <f>36-30</f>
        <v>6</v>
      </c>
      <c r="F1440" s="60">
        <v>2500</v>
      </c>
      <c r="G1440" s="60">
        <f>+OtherClients[[#This Row],[Boxes / Pieces]]*OtherClients[[#This Row],[Unit Quantity]]</f>
        <v>15000</v>
      </c>
      <c r="H1440" s="60">
        <v>280</v>
      </c>
      <c r="I1440" s="126" t="s">
        <v>278</v>
      </c>
      <c r="J1440" s="127"/>
      <c r="K1440" s="33" t="s">
        <v>278</v>
      </c>
      <c r="L1440" s="125"/>
      <c r="M1440" s="33" t="s">
        <v>278</v>
      </c>
      <c r="N1440" s="125"/>
      <c r="O1440" s="33" t="s">
        <v>278</v>
      </c>
      <c r="P1440" s="125"/>
      <c r="Q1440" s="33" t="s">
        <v>587</v>
      </c>
      <c r="R1440" s="125"/>
      <c r="S1440" s="33" t="s">
        <v>278</v>
      </c>
      <c r="T1440" s="125"/>
      <c r="U1440" s="33" t="s">
        <v>278</v>
      </c>
      <c r="V1440" s="125"/>
      <c r="W1440" s="59" t="s">
        <v>548</v>
      </c>
      <c r="X1440" s="33" t="str">
        <f>+VLOOKUP(OtherClients[[#This Row],[Part]],PartControl!$A$2:$E$564,5,FALSE)</f>
        <v>INFASCO</v>
      </c>
      <c r="Y1440" s="108">
        <f>IF(OtherClients[[#This Row],[Re-certified or New]]&lt;&gt;"Re-certified",IF(OtherClients[[#This Row],[Client]]="infasco",VLOOKUP(OtherClients[[#This Row],[Part]],PartControl!$A$2:$E$564,2,FALSE),OtherClients[[#This Row],[Total Quantity]]*VLOOKUP(OtherClients[[#This Row],[Part]],PartControl!$A$2:$E$564,2,FALSE)),0)</f>
        <v>106.94</v>
      </c>
      <c r="Z1440" s="108">
        <f>IF(OtherClients[[#This Row],[Re-certified or New]]&lt;&gt;"Re-certified",IF(OtherClients[[#This Row],[Client]]="infasco",VLOOKUP(OtherClients[[#This Row],[Part]],PartControl!$A$2:$E$564,2,FALSE),OtherClients[[#This Row],[Total Quantity]]*VLOOKUP(OtherClients[[#This Row],[Part]],PartControl!$A$2:$E$564,2,FALSE)),0)</f>
        <v>106.94</v>
      </c>
    </row>
    <row r="1441" spans="1:26" ht="25.15" hidden="1" customHeight="1" x14ac:dyDescent="0.25">
      <c r="A1441" s="112">
        <v>46254.679212962961</v>
      </c>
      <c r="B1441" s="5" t="s">
        <v>623</v>
      </c>
      <c r="C1441" s="5">
        <v>11610091</v>
      </c>
      <c r="D1441" s="5">
        <v>716450</v>
      </c>
      <c r="E1441" s="33">
        <f>36-10</f>
        <v>26</v>
      </c>
      <c r="F1441" s="60">
        <v>2500</v>
      </c>
      <c r="G1441" s="60">
        <f>+OtherClients[[#This Row],[Boxes / Pieces]]*OtherClients[[#This Row],[Unit Quantity]]</f>
        <v>65000</v>
      </c>
      <c r="H1441" s="60">
        <v>292</v>
      </c>
      <c r="I1441" s="126" t="s">
        <v>278</v>
      </c>
      <c r="J1441" s="127"/>
      <c r="K1441" s="33" t="s">
        <v>278</v>
      </c>
      <c r="L1441" s="125"/>
      <c r="M1441" s="33" t="s">
        <v>278</v>
      </c>
      <c r="N1441" s="125"/>
      <c r="O1441" s="33" t="s">
        <v>278</v>
      </c>
      <c r="P1441" s="125"/>
      <c r="Q1441" s="33" t="s">
        <v>587</v>
      </c>
      <c r="R1441" s="125"/>
      <c r="S1441" s="33" t="s">
        <v>278</v>
      </c>
      <c r="T1441" s="125"/>
      <c r="U1441" s="33" t="s">
        <v>278</v>
      </c>
      <c r="V1441" s="125"/>
      <c r="W1441" s="59" t="s">
        <v>548</v>
      </c>
      <c r="X1441" s="33" t="str">
        <f>+VLOOKUP(OtherClients[[#This Row],[Part]],PartControl!$A$2:$E$564,5,FALSE)</f>
        <v>infasco</v>
      </c>
      <c r="Y1441" s="108">
        <f>IF(OtherClients[[#This Row],[Re-certified or New]]&lt;&gt;"Re-certified",IF(OtherClients[[#This Row],[Client]]="infasco",VLOOKUP(OtherClients[[#This Row],[Part]],PartControl!$A$2:$E$564,2,FALSE),OtherClients[[#This Row],[Total Quantity]]*VLOOKUP(OtherClients[[#This Row],[Part]],PartControl!$A$2:$E$564,2,FALSE)),0)</f>
        <v>106.94</v>
      </c>
      <c r="Z1441" s="108">
        <f>IF(OtherClients[[#This Row],[Re-certified or New]]&lt;&gt;"Re-certified",IF(OtherClients[[#This Row],[Client]]="infasco",VLOOKUP(OtherClients[[#This Row],[Part]],PartControl!$A$2:$E$564,2,FALSE),OtherClients[[#This Row],[Total Quantity]]*VLOOKUP(OtherClients[[#This Row],[Part]],PartControl!$A$2:$E$564,2,FALSE)),0)</f>
        <v>106.94</v>
      </c>
    </row>
    <row r="1442" spans="1:26" ht="25.15" hidden="1" customHeight="1" x14ac:dyDescent="0.25">
      <c r="A1442" s="112">
        <v>46254.679212962961</v>
      </c>
      <c r="B1442" s="5" t="s">
        <v>623</v>
      </c>
      <c r="C1442" s="5">
        <v>11610091</v>
      </c>
      <c r="D1442" s="5">
        <v>716451</v>
      </c>
      <c r="E1442" s="33">
        <v>22</v>
      </c>
      <c r="F1442" s="60">
        <v>2500</v>
      </c>
      <c r="G1442" s="60">
        <f>+OtherClients[[#This Row],[Boxes / Pieces]]*OtherClients[[#This Row],[Unit Quantity]]</f>
        <v>55000</v>
      </c>
      <c r="H1442" s="60">
        <v>292</v>
      </c>
      <c r="I1442" s="126" t="s">
        <v>278</v>
      </c>
      <c r="J1442" s="127"/>
      <c r="K1442" s="33" t="s">
        <v>278</v>
      </c>
      <c r="L1442" s="125"/>
      <c r="M1442" s="33" t="s">
        <v>278</v>
      </c>
      <c r="N1442" s="125"/>
      <c r="O1442" s="33" t="s">
        <v>278</v>
      </c>
      <c r="P1442" s="125"/>
      <c r="Q1442" s="33" t="s">
        <v>587</v>
      </c>
      <c r="R1442" s="125"/>
      <c r="S1442" s="33" t="s">
        <v>278</v>
      </c>
      <c r="T1442" s="125"/>
      <c r="U1442" s="33" t="s">
        <v>278</v>
      </c>
      <c r="V1442" s="125"/>
      <c r="W1442" s="59" t="s">
        <v>548</v>
      </c>
      <c r="X1442" s="33" t="str">
        <f>+VLOOKUP(OtherClients[[#This Row],[Part]],PartControl!$A$2:$E$564,5,FALSE)</f>
        <v>infasco</v>
      </c>
      <c r="Y1442" s="108">
        <f>IF(OtherClients[[#This Row],[Re-certified or New]]&lt;&gt;"Re-certified",IF(OtherClients[[#This Row],[Client]]="infasco",VLOOKUP(OtherClients[[#This Row],[Part]],PartControl!$A$2:$E$564,2,FALSE),OtherClients[[#This Row],[Total Quantity]]*VLOOKUP(OtherClients[[#This Row],[Part]],PartControl!$A$2:$E$564,2,FALSE)),0)</f>
        <v>106.94</v>
      </c>
      <c r="Z1442" s="108">
        <f>IF(OtherClients[[#This Row],[Re-certified or New]]&lt;&gt;"Re-certified",IF(OtherClients[[#This Row],[Client]]="infasco",VLOOKUP(OtherClients[[#This Row],[Part]],PartControl!$A$2:$E$564,2,FALSE),OtherClients[[#This Row],[Total Quantity]]*VLOOKUP(OtherClients[[#This Row],[Part]],PartControl!$A$2:$E$564,2,FALSE)),0)</f>
        <v>106.94</v>
      </c>
    </row>
    <row r="1443" spans="1:26" ht="25.15" hidden="1" customHeight="1" x14ac:dyDescent="0.25">
      <c r="A1443" s="112">
        <v>46256</v>
      </c>
      <c r="B1443" s="5" t="s">
        <v>635</v>
      </c>
      <c r="C1443" s="5" t="s">
        <v>706</v>
      </c>
      <c r="D1443" s="5">
        <v>715969</v>
      </c>
      <c r="E1443" s="33">
        <v>18</v>
      </c>
      <c r="F1443" s="60">
        <v>1900</v>
      </c>
      <c r="G1443" s="60">
        <f>+OtherClients[[#This Row],[Boxes / Pieces]]*OtherClients[[#This Row],[Unit Quantity]]</f>
        <v>34200</v>
      </c>
      <c r="H1443" s="60">
        <v>280</v>
      </c>
      <c r="I1443" s="126" t="s">
        <v>278</v>
      </c>
      <c r="J1443" s="127"/>
      <c r="K1443" s="33" t="s">
        <v>278</v>
      </c>
      <c r="L1443" s="125"/>
      <c r="M1443" s="33" t="s">
        <v>278</v>
      </c>
      <c r="N1443" s="125"/>
      <c r="O1443" s="33" t="s">
        <v>278</v>
      </c>
      <c r="P1443" s="125"/>
      <c r="Q1443" s="33" t="s">
        <v>587</v>
      </c>
      <c r="R1443" s="125"/>
      <c r="S1443" s="33" t="s">
        <v>278</v>
      </c>
      <c r="T1443" s="125"/>
      <c r="U1443" s="33" t="s">
        <v>278</v>
      </c>
      <c r="V1443" s="125"/>
      <c r="W1443" s="59" t="s">
        <v>633</v>
      </c>
      <c r="X1443" s="33" t="str">
        <f>+VLOOKUP(OtherClients[[#This Row],[Part]],PartControl!$A$2:$E$564,5,FALSE)</f>
        <v>infasco</v>
      </c>
      <c r="Y1443" s="108">
        <f>IF(OtherClients[[#This Row],[Re-certified or New]]&lt;&gt;"Re-certified",IF(OtherClients[[#This Row],[Client]]="infasco",VLOOKUP(OtherClients[[#This Row],[Part]],PartControl!$A$2:$E$564,2,FALSE),OtherClients[[#This Row],[Total Quantity]]*VLOOKUP(OtherClients[[#This Row],[Part]],PartControl!$A$2:$E$564,2,FALSE)),0)</f>
        <v>0</v>
      </c>
      <c r="Z1443" s="108">
        <f>IF(OtherClients[[#This Row],[Re-certified or New]]&lt;&gt;"Re-certified",IF(OtherClients[[#This Row],[Client]]="infasco",VLOOKUP(OtherClients[[#This Row],[Part]],PartControl!$A$2:$E$564,2,FALSE),OtherClients[[#This Row],[Total Quantity]]*VLOOKUP(OtherClients[[#This Row],[Part]],PartControl!$A$2:$E$564,2,FALSE)),0)</f>
        <v>0</v>
      </c>
    </row>
    <row r="1444" spans="1:26" ht="25.15" hidden="1" customHeight="1" x14ac:dyDescent="0.25">
      <c r="A1444" s="112">
        <v>46254.679212962961</v>
      </c>
      <c r="B1444" s="5" t="s">
        <v>623</v>
      </c>
      <c r="C1444" s="5">
        <v>11610091</v>
      </c>
      <c r="D1444" s="5">
        <v>716453</v>
      </c>
      <c r="E1444" s="33">
        <v>14</v>
      </c>
      <c r="F1444" s="60">
        <v>2500</v>
      </c>
      <c r="G1444" s="60">
        <f>+OtherClients[[#This Row],[Boxes / Pieces]]*OtherClients[[#This Row],[Unit Quantity]]</f>
        <v>35000</v>
      </c>
      <c r="H1444" s="60">
        <v>292</v>
      </c>
      <c r="I1444" s="126" t="s">
        <v>278</v>
      </c>
      <c r="J1444" s="127"/>
      <c r="K1444" s="33" t="s">
        <v>278</v>
      </c>
      <c r="L1444" s="125"/>
      <c r="M1444" s="33" t="s">
        <v>278</v>
      </c>
      <c r="N1444" s="125"/>
      <c r="O1444" s="33" t="s">
        <v>278</v>
      </c>
      <c r="P1444" s="125"/>
      <c r="Q1444" s="33" t="s">
        <v>587</v>
      </c>
      <c r="R1444" s="125"/>
      <c r="S1444" s="33" t="s">
        <v>278</v>
      </c>
      <c r="T1444" s="125"/>
      <c r="U1444" s="33" t="s">
        <v>278</v>
      </c>
      <c r="V1444" s="125"/>
      <c r="W1444" s="59" t="s">
        <v>548</v>
      </c>
      <c r="X1444" s="33" t="str">
        <f>+VLOOKUP(OtherClients[[#This Row],[Part]],PartControl!$A$2:$E$564,5,FALSE)</f>
        <v>infasco</v>
      </c>
      <c r="Y1444" s="108">
        <f>IF(OtherClients[[#This Row],[Re-certified or New]]&lt;&gt;"Re-certified",IF(OtherClients[[#This Row],[Client]]="infasco",VLOOKUP(OtherClients[[#This Row],[Part]],PartControl!$A$2:$E$564,2,FALSE),OtherClients[[#This Row],[Total Quantity]]*VLOOKUP(OtherClients[[#This Row],[Part]],PartControl!$A$2:$E$564,2,FALSE)),0)</f>
        <v>106.94</v>
      </c>
      <c r="Z1444" s="108">
        <f>IF(OtherClients[[#This Row],[Re-certified or New]]&lt;&gt;"Re-certified",IF(OtherClients[[#This Row],[Client]]="infasco",VLOOKUP(OtherClients[[#This Row],[Part]],PartControl!$A$2:$E$564,2,FALSE),OtherClients[[#This Row],[Total Quantity]]*VLOOKUP(OtherClients[[#This Row],[Part]],PartControl!$A$2:$E$564,2,FALSE)),0)</f>
        <v>106.94</v>
      </c>
    </row>
    <row r="1445" spans="1:26" ht="25.15" hidden="1" customHeight="1" x14ac:dyDescent="0.25">
      <c r="A1445" s="112">
        <v>46255.694016203706</v>
      </c>
      <c r="B1445" s="5" t="s">
        <v>623</v>
      </c>
      <c r="C1445" s="5">
        <v>11610091</v>
      </c>
      <c r="D1445" s="5">
        <v>716453</v>
      </c>
      <c r="E1445" s="33">
        <v>16</v>
      </c>
      <c r="F1445" s="60">
        <v>2500</v>
      </c>
      <c r="G1445" s="60">
        <f>+OtherClients[[#This Row],[Boxes / Pieces]]*OtherClients[[#This Row],[Unit Quantity]]</f>
        <v>40000</v>
      </c>
      <c r="H1445" s="60">
        <v>292</v>
      </c>
      <c r="I1445" s="126" t="s">
        <v>278</v>
      </c>
      <c r="J1445" s="127"/>
      <c r="K1445" s="33" t="s">
        <v>278</v>
      </c>
      <c r="L1445" s="125"/>
      <c r="M1445" s="33" t="s">
        <v>278</v>
      </c>
      <c r="N1445" s="125"/>
      <c r="O1445" s="33" t="s">
        <v>278</v>
      </c>
      <c r="P1445" s="125"/>
      <c r="Q1445" s="33" t="s">
        <v>587</v>
      </c>
      <c r="R1445" s="125"/>
      <c r="S1445" s="33" t="s">
        <v>278</v>
      </c>
      <c r="T1445" s="125"/>
      <c r="U1445" s="33" t="s">
        <v>278</v>
      </c>
      <c r="V1445" s="125"/>
      <c r="W1445" s="59" t="s">
        <v>548</v>
      </c>
      <c r="X1445" s="33" t="str">
        <f>+VLOOKUP(OtherClients[[#This Row],[Part]],PartControl!$A$2:$E$564,5,FALSE)</f>
        <v>infasco</v>
      </c>
      <c r="Y1445" s="108">
        <f>IF(OtherClients[[#This Row],[Re-certified or New]]&lt;&gt;"Re-certified",IF(OtherClients[[#This Row],[Client]]="infasco",VLOOKUP(OtherClients[[#This Row],[Part]],PartControl!$A$2:$E$564,2,FALSE),OtherClients[[#This Row],[Total Quantity]]*VLOOKUP(OtherClients[[#This Row],[Part]],PartControl!$A$2:$E$564,2,FALSE)),0)</f>
        <v>106.94</v>
      </c>
      <c r="Z1445" s="108">
        <f>IF(OtherClients[[#This Row],[Re-certified or New]]&lt;&gt;"Re-certified",IF(OtherClients[[#This Row],[Client]]="infasco",VLOOKUP(OtherClients[[#This Row],[Part]],PartControl!$A$2:$E$564,2,FALSE),OtherClients[[#This Row],[Total Quantity]]*VLOOKUP(OtherClients[[#This Row],[Part]],PartControl!$A$2:$E$564,2,FALSE)),0)</f>
        <v>106.94</v>
      </c>
    </row>
    <row r="1446" spans="1:26" ht="25.15" hidden="1" customHeight="1" x14ac:dyDescent="0.25">
      <c r="A1446" s="112">
        <v>46254.679212962961</v>
      </c>
      <c r="B1446" s="5" t="s">
        <v>246</v>
      </c>
      <c r="C1446" s="5">
        <v>11610091</v>
      </c>
      <c r="D1446" s="5">
        <v>716454</v>
      </c>
      <c r="E1446" s="33">
        <f>30-10</f>
        <v>20</v>
      </c>
      <c r="F1446" s="60">
        <v>2500</v>
      </c>
      <c r="G1446" s="60">
        <f>+OtherClients[[#This Row],[Boxes / Pieces]]*OtherClients[[#This Row],[Unit Quantity]]</f>
        <v>50000</v>
      </c>
      <c r="H1446" s="60">
        <v>292</v>
      </c>
      <c r="I1446" s="126" t="s">
        <v>278</v>
      </c>
      <c r="J1446" s="127"/>
      <c r="K1446" s="33" t="s">
        <v>278</v>
      </c>
      <c r="L1446" s="125"/>
      <c r="M1446" s="33" t="s">
        <v>278</v>
      </c>
      <c r="N1446" s="125"/>
      <c r="O1446" s="33" t="s">
        <v>278</v>
      </c>
      <c r="P1446" s="125"/>
      <c r="Q1446" s="33" t="s">
        <v>587</v>
      </c>
      <c r="R1446" s="125"/>
      <c r="S1446" s="33" t="s">
        <v>278</v>
      </c>
      <c r="T1446" s="125"/>
      <c r="U1446" s="33" t="s">
        <v>278</v>
      </c>
      <c r="V1446" s="125"/>
      <c r="W1446" s="59" t="s">
        <v>548</v>
      </c>
      <c r="X1446" s="33" t="str">
        <f>+VLOOKUP(OtherClients[[#This Row],[Part]],PartControl!$A$2:$E$564,5,FALSE)</f>
        <v>infasco</v>
      </c>
      <c r="Y1446" s="108">
        <f>IF(OtherClients[[#This Row],[Re-certified or New]]&lt;&gt;"Re-certified",IF(OtherClients[[#This Row],[Client]]="infasco",VLOOKUP(OtherClients[[#This Row],[Part]],PartControl!$A$2:$E$564,2,FALSE),OtherClients[[#This Row],[Total Quantity]]*VLOOKUP(OtherClients[[#This Row],[Part]],PartControl!$A$2:$E$564,2,FALSE)),0)</f>
        <v>106.94</v>
      </c>
      <c r="Z1446" s="108">
        <f>IF(OtherClients[[#This Row],[Re-certified or New]]&lt;&gt;"Re-certified",IF(OtherClients[[#This Row],[Client]]="infasco",VLOOKUP(OtherClients[[#This Row],[Part]],PartControl!$A$2:$E$564,2,FALSE),OtherClients[[#This Row],[Total Quantity]]*VLOOKUP(OtherClients[[#This Row],[Part]],PartControl!$A$2:$E$564,2,FALSE)),0)</f>
        <v>106.94</v>
      </c>
    </row>
    <row r="1447" spans="1:26" ht="25.15" hidden="1" customHeight="1" x14ac:dyDescent="0.25">
      <c r="A1447" s="112">
        <v>46256</v>
      </c>
      <c r="B1447" s="5" t="s">
        <v>635</v>
      </c>
      <c r="C1447" s="5" t="s">
        <v>790</v>
      </c>
      <c r="D1447" s="5">
        <v>717105</v>
      </c>
      <c r="E1447" s="33">
        <v>1</v>
      </c>
      <c r="F1447" s="60">
        <v>15520</v>
      </c>
      <c r="G1447" s="60">
        <f>+OtherClients[[#This Row],[Boxes / Pieces]]*OtherClients[[#This Row],[Unit Quantity]]</f>
        <v>15520</v>
      </c>
      <c r="H1447" s="60">
        <v>280</v>
      </c>
      <c r="I1447" s="126" t="s">
        <v>278</v>
      </c>
      <c r="J1447" s="127"/>
      <c r="K1447" s="33" t="s">
        <v>278</v>
      </c>
      <c r="L1447" s="125"/>
      <c r="M1447" s="33" t="s">
        <v>278</v>
      </c>
      <c r="N1447" s="125"/>
      <c r="O1447" s="33" t="s">
        <v>278</v>
      </c>
      <c r="P1447" s="125"/>
      <c r="Q1447" s="33" t="s">
        <v>587</v>
      </c>
      <c r="R1447" s="125"/>
      <c r="S1447" s="33" t="s">
        <v>278</v>
      </c>
      <c r="T1447" s="125"/>
      <c r="U1447" s="33" t="s">
        <v>278</v>
      </c>
      <c r="V1447" s="125"/>
      <c r="W1447" s="59" t="s">
        <v>548</v>
      </c>
      <c r="X1447" s="33" t="str">
        <f>+VLOOKUP(OtherClients[[#This Row],[Part]],PartControl!$A$2:$E$564,5,FALSE)</f>
        <v>infasco</v>
      </c>
      <c r="Y1447" s="108">
        <f>IF(OtherClients[[#This Row],[Re-certified or New]]&lt;&gt;"Re-certified",IF(OtherClients[[#This Row],[Client]]="infasco",VLOOKUP(OtherClients[[#This Row],[Part]],PartControl!$A$2:$E$564,2,FALSE),OtherClients[[#This Row],[Total Quantity]]*VLOOKUP(OtherClients[[#This Row],[Part]],PartControl!$A$2:$E$564,2,FALSE)),0)</f>
        <v>129.44999999999999</v>
      </c>
      <c r="Z1447" s="108">
        <f>IF(OtherClients[[#This Row],[Re-certified or New]]&lt;&gt;"Re-certified",IF(OtherClients[[#This Row],[Client]]="infasco",VLOOKUP(OtherClients[[#This Row],[Part]],PartControl!$A$2:$E$564,2,FALSE),OtherClients[[#This Row],[Total Quantity]]*VLOOKUP(OtherClients[[#This Row],[Part]],PartControl!$A$2:$E$564,2,FALSE)),0)</f>
        <v>129.44999999999999</v>
      </c>
    </row>
    <row r="1448" spans="1:26" ht="25.15" hidden="1" customHeight="1" x14ac:dyDescent="0.25">
      <c r="A1448" s="112">
        <v>46256</v>
      </c>
      <c r="B1448" s="5" t="s">
        <v>244</v>
      </c>
      <c r="C1448" s="5" t="s">
        <v>709</v>
      </c>
      <c r="D1448" s="5">
        <v>716971</v>
      </c>
      <c r="E1448" s="33">
        <f>30-10</f>
        <v>20</v>
      </c>
      <c r="F1448" s="60">
        <v>1800</v>
      </c>
      <c r="G1448" s="60">
        <f>+OtherClients[[#This Row],[Boxes / Pieces]]*OtherClients[[#This Row],[Unit Quantity]]</f>
        <v>36000</v>
      </c>
      <c r="H1448" s="60">
        <v>292</v>
      </c>
      <c r="I1448" s="126" t="s">
        <v>278</v>
      </c>
      <c r="J1448" s="127"/>
      <c r="K1448" s="33" t="s">
        <v>278</v>
      </c>
      <c r="L1448" s="125"/>
      <c r="M1448" s="33" t="s">
        <v>278</v>
      </c>
      <c r="N1448" s="125"/>
      <c r="O1448" s="33" t="s">
        <v>278</v>
      </c>
      <c r="P1448" s="125"/>
      <c r="Q1448" s="33" t="s">
        <v>587</v>
      </c>
      <c r="R1448" s="125"/>
      <c r="S1448" s="33" t="s">
        <v>278</v>
      </c>
      <c r="T1448" s="125"/>
      <c r="U1448" s="33" t="s">
        <v>278</v>
      </c>
      <c r="V1448" s="125"/>
      <c r="W1448" s="59" t="s">
        <v>633</v>
      </c>
      <c r="X1448" s="33" t="str">
        <f>+VLOOKUP(OtherClients[[#This Row],[Part]],PartControl!$A$2:$E$564,5,FALSE)</f>
        <v>infasco</v>
      </c>
      <c r="Y1448" s="108">
        <f>IF(OtherClients[[#This Row],[Re-certified or New]]&lt;&gt;"Re-certified",IF(OtherClients[[#This Row],[Client]]="infasco",VLOOKUP(OtherClients[[#This Row],[Part]],PartControl!$A$2:$E$564,2,FALSE),OtherClients[[#This Row],[Total Quantity]]*VLOOKUP(OtherClients[[#This Row],[Part]],PartControl!$A$2:$E$564,2,FALSE)),0)</f>
        <v>0</v>
      </c>
      <c r="Z1448" s="108">
        <f>IF(OtherClients[[#This Row],[Re-certified or New]]&lt;&gt;"Re-certified",IF(OtherClients[[#This Row],[Client]]="infasco",VLOOKUP(OtherClients[[#This Row],[Part]],PartControl!$A$2:$E$564,2,FALSE),OtherClients[[#This Row],[Total Quantity]]*VLOOKUP(OtherClients[[#This Row],[Part]],PartControl!$A$2:$E$564,2,FALSE)),0)</f>
        <v>0</v>
      </c>
    </row>
    <row r="1449" spans="1:26" ht="25.15" hidden="1" customHeight="1" x14ac:dyDescent="0.25">
      <c r="A1449" s="112">
        <v>46254.679212962961</v>
      </c>
      <c r="B1449" s="5" t="s">
        <v>636</v>
      </c>
      <c r="C1449" s="5" t="s">
        <v>645</v>
      </c>
      <c r="D1449" s="5">
        <v>716506</v>
      </c>
      <c r="E1449" s="33">
        <v>26</v>
      </c>
      <c r="F1449" s="60">
        <v>1000</v>
      </c>
      <c r="G1449" s="60">
        <f>+OtherClients[[#This Row],[Boxes / Pieces]]*OtherClients[[#This Row],[Unit Quantity]]</f>
        <v>26000</v>
      </c>
      <c r="H1449" s="60">
        <v>280</v>
      </c>
      <c r="I1449" s="126" t="s">
        <v>278</v>
      </c>
      <c r="J1449" s="127"/>
      <c r="K1449" s="33" t="s">
        <v>278</v>
      </c>
      <c r="L1449" s="125"/>
      <c r="M1449" s="33" t="s">
        <v>278</v>
      </c>
      <c r="N1449" s="125"/>
      <c r="O1449" s="33" t="s">
        <v>278</v>
      </c>
      <c r="P1449" s="125"/>
      <c r="Q1449" s="33" t="s">
        <v>587</v>
      </c>
      <c r="R1449" s="125"/>
      <c r="S1449" s="33" t="s">
        <v>278</v>
      </c>
      <c r="T1449" s="125"/>
      <c r="U1449" s="33" t="s">
        <v>278</v>
      </c>
      <c r="V1449" s="125"/>
      <c r="W1449" s="59" t="s">
        <v>633</v>
      </c>
      <c r="X1449" s="33" t="str">
        <f>+VLOOKUP(OtherClients[[#This Row],[Part]],PartControl!$A$2:$E$564,5,FALSE)</f>
        <v>infasco</v>
      </c>
      <c r="Y1449" s="108">
        <f>IF(OtherClients[[#This Row],[Re-certified or New]]&lt;&gt;"Re-certified",IF(OtherClients[[#This Row],[Client]]="infasco",VLOOKUP(OtherClients[[#This Row],[Part]],PartControl!$A$2:$E$564,2,FALSE),OtherClients[[#This Row],[Total Quantity]]*VLOOKUP(OtherClients[[#This Row],[Part]],PartControl!$A$2:$E$564,2,FALSE)),0)</f>
        <v>0</v>
      </c>
      <c r="Z1449" s="108">
        <f>IF(OtherClients[[#This Row],[Re-certified or New]]&lt;&gt;"Re-certified",IF(OtherClients[[#This Row],[Client]]="infasco",VLOOKUP(OtherClients[[#This Row],[Part]],PartControl!$A$2:$E$564,2,FALSE),OtherClients[[#This Row],[Total Quantity]]*VLOOKUP(OtherClients[[#This Row],[Part]],PartControl!$A$2:$E$564,2,FALSE)),0)</f>
        <v>0</v>
      </c>
    </row>
    <row r="1450" spans="1:26" ht="25.15" hidden="1" customHeight="1" x14ac:dyDescent="0.25">
      <c r="A1450" s="112">
        <v>46255.694016203706</v>
      </c>
      <c r="B1450" s="5" t="s">
        <v>636</v>
      </c>
      <c r="C1450" s="5" t="s">
        <v>645</v>
      </c>
      <c r="D1450" s="5">
        <v>716506</v>
      </c>
      <c r="E1450" s="33">
        <f>34-26</f>
        <v>8</v>
      </c>
      <c r="F1450" s="60">
        <v>1000</v>
      </c>
      <c r="G1450" s="60">
        <f>+OtherClients[[#This Row],[Boxes / Pieces]]*OtherClients[[#This Row],[Unit Quantity]]</f>
        <v>8000</v>
      </c>
      <c r="H1450" s="60">
        <v>280</v>
      </c>
      <c r="I1450" s="126" t="s">
        <v>278</v>
      </c>
      <c r="J1450" s="127"/>
      <c r="K1450" s="33" t="s">
        <v>278</v>
      </c>
      <c r="L1450" s="125"/>
      <c r="M1450" s="33" t="s">
        <v>278</v>
      </c>
      <c r="N1450" s="125"/>
      <c r="O1450" s="33" t="s">
        <v>278</v>
      </c>
      <c r="P1450" s="125"/>
      <c r="Q1450" s="33" t="s">
        <v>587</v>
      </c>
      <c r="R1450" s="125"/>
      <c r="S1450" s="33" t="s">
        <v>278</v>
      </c>
      <c r="T1450" s="125"/>
      <c r="U1450" s="33" t="s">
        <v>278</v>
      </c>
      <c r="V1450" s="125"/>
      <c r="W1450" s="59" t="s">
        <v>548</v>
      </c>
      <c r="X1450" s="33" t="str">
        <f>+VLOOKUP(OtherClients[[#This Row],[Part]],PartControl!$A$2:$E$564,5,FALSE)</f>
        <v>infasco</v>
      </c>
      <c r="Y1450" s="108">
        <f>IF(OtherClients[[#This Row],[Re-certified or New]]&lt;&gt;"Re-certified",IF(OtherClients[[#This Row],[Client]]="infasco",VLOOKUP(OtherClients[[#This Row],[Part]],PartControl!$A$2:$E$564,2,FALSE),OtherClients[[#This Row],[Total Quantity]]*VLOOKUP(OtherClients[[#This Row],[Part]],PartControl!$A$2:$E$564,2,FALSE)),0)</f>
        <v>106.94</v>
      </c>
      <c r="Z1450" s="108">
        <f>IF(OtherClients[[#This Row],[Re-certified or New]]&lt;&gt;"Re-certified",IF(OtherClients[[#This Row],[Client]]="infasco",VLOOKUP(OtherClients[[#This Row],[Part]],PartControl!$A$2:$E$564,2,FALSE),OtherClients[[#This Row],[Total Quantity]]*VLOOKUP(OtherClients[[#This Row],[Part]],PartControl!$A$2:$E$564,2,FALSE)),0)</f>
        <v>106.94</v>
      </c>
    </row>
    <row r="1451" spans="1:26" ht="25.15" hidden="1" customHeight="1" x14ac:dyDescent="0.25">
      <c r="A1451" s="112">
        <v>46254.679212962961</v>
      </c>
      <c r="B1451" s="5" t="s">
        <v>240</v>
      </c>
      <c r="C1451" s="5" t="s">
        <v>645</v>
      </c>
      <c r="D1451" s="5">
        <v>716507</v>
      </c>
      <c r="E1451" s="33">
        <v>17</v>
      </c>
      <c r="F1451" s="60">
        <v>1000</v>
      </c>
      <c r="G1451" s="60">
        <f>+OtherClients[[#This Row],[Boxes / Pieces]]*OtherClients[[#This Row],[Unit Quantity]]</f>
        <v>17000</v>
      </c>
      <c r="H1451" s="60">
        <v>290</v>
      </c>
      <c r="I1451" s="126" t="s">
        <v>278</v>
      </c>
      <c r="J1451" s="127"/>
      <c r="K1451" s="33" t="s">
        <v>278</v>
      </c>
      <c r="L1451" s="125"/>
      <c r="M1451" s="33" t="s">
        <v>278</v>
      </c>
      <c r="N1451" s="125"/>
      <c r="O1451" s="33" t="s">
        <v>278</v>
      </c>
      <c r="P1451" s="125"/>
      <c r="Q1451" s="33" t="s">
        <v>587</v>
      </c>
      <c r="R1451" s="125"/>
      <c r="S1451" s="33" t="s">
        <v>278</v>
      </c>
      <c r="T1451" s="125"/>
      <c r="U1451" s="33" t="s">
        <v>278</v>
      </c>
      <c r="V1451" s="125"/>
      <c r="W1451" s="59" t="s">
        <v>548</v>
      </c>
      <c r="X1451" s="33" t="str">
        <f>+VLOOKUP(OtherClients[[#This Row],[Part]],PartControl!$A$2:$E$564,5,FALSE)</f>
        <v>infasco</v>
      </c>
      <c r="Y1451" s="108">
        <f>IF(OtherClients[[#This Row],[Re-certified or New]]&lt;&gt;"Re-certified",IF(OtherClients[[#This Row],[Client]]="infasco",VLOOKUP(OtherClients[[#This Row],[Part]],PartControl!$A$2:$E$564,2,FALSE),OtherClients[[#This Row],[Total Quantity]]*VLOOKUP(OtherClients[[#This Row],[Part]],PartControl!$A$2:$E$564,2,FALSE)),0)</f>
        <v>106.94</v>
      </c>
      <c r="Z1451" s="108">
        <f>IF(OtherClients[[#This Row],[Re-certified or New]]&lt;&gt;"Re-certified",IF(OtherClients[[#This Row],[Client]]="infasco",VLOOKUP(OtherClients[[#This Row],[Part]],PartControl!$A$2:$E$564,2,FALSE),OtherClients[[#This Row],[Total Quantity]]*VLOOKUP(OtherClients[[#This Row],[Part]],PartControl!$A$2:$E$564,2,FALSE)),0)</f>
        <v>106.94</v>
      </c>
    </row>
    <row r="1452" spans="1:26" ht="25.15" hidden="1" customHeight="1" x14ac:dyDescent="0.25">
      <c r="A1452" s="112">
        <v>46254.679212962961</v>
      </c>
      <c r="B1452" s="5" t="s">
        <v>240</v>
      </c>
      <c r="C1452" s="5" t="s">
        <v>645</v>
      </c>
      <c r="D1452" s="5">
        <v>716508</v>
      </c>
      <c r="E1452" s="33">
        <f>30-14</f>
        <v>16</v>
      </c>
      <c r="F1452" s="60">
        <v>1000</v>
      </c>
      <c r="G1452" s="60">
        <f>+OtherClients[[#This Row],[Boxes / Pieces]]*OtherClients[[#This Row],[Unit Quantity]]</f>
        <v>16000</v>
      </c>
      <c r="H1452" s="60">
        <v>290</v>
      </c>
      <c r="I1452" s="126" t="s">
        <v>278</v>
      </c>
      <c r="J1452" s="127"/>
      <c r="K1452" s="33" t="s">
        <v>278</v>
      </c>
      <c r="L1452" s="125"/>
      <c r="M1452" s="33" t="s">
        <v>278</v>
      </c>
      <c r="N1452" s="125"/>
      <c r="O1452" s="33" t="s">
        <v>278</v>
      </c>
      <c r="P1452" s="125"/>
      <c r="Q1452" s="33" t="s">
        <v>587</v>
      </c>
      <c r="R1452" s="125"/>
      <c r="S1452" s="33" t="s">
        <v>278</v>
      </c>
      <c r="T1452" s="125"/>
      <c r="U1452" s="33" t="s">
        <v>278</v>
      </c>
      <c r="V1452" s="125"/>
      <c r="W1452" s="59" t="s">
        <v>548</v>
      </c>
      <c r="X1452" s="33" t="str">
        <f>+VLOOKUP(OtherClients[[#This Row],[Part]],PartControl!$A$2:$E$564,5,FALSE)</f>
        <v>infasco</v>
      </c>
      <c r="Y1452" s="108">
        <f>IF(OtherClients[[#This Row],[Re-certified or New]]&lt;&gt;"Re-certified",IF(OtherClients[[#This Row],[Client]]="infasco",VLOOKUP(OtherClients[[#This Row],[Part]],PartControl!$A$2:$E$564,2,FALSE),OtherClients[[#This Row],[Total Quantity]]*VLOOKUP(OtherClients[[#This Row],[Part]],PartControl!$A$2:$E$564,2,FALSE)),0)</f>
        <v>106.94</v>
      </c>
      <c r="Z1452" s="108">
        <f>IF(OtherClients[[#This Row],[Re-certified or New]]&lt;&gt;"Re-certified",IF(OtherClients[[#This Row],[Client]]="infasco",VLOOKUP(OtherClients[[#This Row],[Part]],PartControl!$A$2:$E$564,2,FALSE),OtherClients[[#This Row],[Total Quantity]]*VLOOKUP(OtherClients[[#This Row],[Part]],PartControl!$A$2:$E$564,2,FALSE)),0)</f>
        <v>106.94</v>
      </c>
    </row>
    <row r="1453" spans="1:26" ht="25.15" hidden="1" customHeight="1" x14ac:dyDescent="0.25">
      <c r="A1453" s="112">
        <v>46254.679212962961</v>
      </c>
      <c r="B1453" s="5" t="s">
        <v>232</v>
      </c>
      <c r="C1453" s="5">
        <v>11546449</v>
      </c>
      <c r="D1453" s="5">
        <v>716514</v>
      </c>
      <c r="E1453" s="33">
        <v>36</v>
      </c>
      <c r="F1453" s="60">
        <v>2500</v>
      </c>
      <c r="G1453" s="60">
        <f>+OtherClients[[#This Row],[Boxes / Pieces]]*OtherClients[[#This Row],[Unit Quantity]]</f>
        <v>90000</v>
      </c>
      <c r="H1453" s="60">
        <v>275</v>
      </c>
      <c r="I1453" s="126" t="s">
        <v>278</v>
      </c>
      <c r="J1453" s="127"/>
      <c r="K1453" s="33" t="s">
        <v>278</v>
      </c>
      <c r="L1453" s="125"/>
      <c r="M1453" s="33" t="s">
        <v>278</v>
      </c>
      <c r="N1453" s="125"/>
      <c r="O1453" s="33" t="s">
        <v>278</v>
      </c>
      <c r="P1453" s="125"/>
      <c r="Q1453" s="33" t="s">
        <v>587</v>
      </c>
      <c r="R1453" s="125"/>
      <c r="S1453" s="33" t="s">
        <v>278</v>
      </c>
      <c r="T1453" s="125"/>
      <c r="U1453" s="33" t="s">
        <v>278</v>
      </c>
      <c r="V1453" s="125"/>
      <c r="W1453" s="59" t="s">
        <v>548</v>
      </c>
      <c r="X1453" s="33" t="str">
        <f>+VLOOKUP(OtherClients[[#This Row],[Part]],PartControl!$A$2:$E$564,5,FALSE)</f>
        <v>INFASCO</v>
      </c>
      <c r="Y1453" s="108">
        <f>IF(OtherClients[[#This Row],[Re-certified or New]]&lt;&gt;"Re-certified",IF(OtherClients[[#This Row],[Client]]="infasco",VLOOKUP(OtherClients[[#This Row],[Part]],PartControl!$A$2:$E$564,2,FALSE),OtherClients[[#This Row],[Total Quantity]]*VLOOKUP(OtherClients[[#This Row],[Part]],PartControl!$A$2:$E$564,2,FALSE)),0)</f>
        <v>106.94</v>
      </c>
      <c r="Z1453" s="108">
        <f>IF(OtherClients[[#This Row],[Re-certified or New]]&lt;&gt;"Re-certified",IF(OtherClients[[#This Row],[Client]]="infasco",VLOOKUP(OtherClients[[#This Row],[Part]],PartControl!$A$2:$E$564,2,FALSE),OtherClients[[#This Row],[Total Quantity]]*VLOOKUP(OtherClients[[#This Row],[Part]],PartControl!$A$2:$E$564,2,FALSE)),0)</f>
        <v>106.94</v>
      </c>
    </row>
    <row r="1454" spans="1:26" ht="25.15" hidden="1" customHeight="1" x14ac:dyDescent="0.25">
      <c r="A1454" s="112">
        <v>46254.679212962961</v>
      </c>
      <c r="B1454" s="5" t="s">
        <v>637</v>
      </c>
      <c r="C1454" s="5">
        <v>11546449</v>
      </c>
      <c r="D1454" s="5">
        <v>716515</v>
      </c>
      <c r="E1454" s="33">
        <v>36</v>
      </c>
      <c r="F1454" s="60">
        <v>2500</v>
      </c>
      <c r="G1454" s="60">
        <f>+OtherClients[[#This Row],[Boxes / Pieces]]*OtherClients[[#This Row],[Unit Quantity]]</f>
        <v>90000</v>
      </c>
      <c r="H1454" s="60">
        <v>280</v>
      </c>
      <c r="I1454" s="126" t="s">
        <v>278</v>
      </c>
      <c r="J1454" s="127"/>
      <c r="K1454" s="33" t="s">
        <v>278</v>
      </c>
      <c r="L1454" s="125"/>
      <c r="M1454" s="33" t="s">
        <v>278</v>
      </c>
      <c r="N1454" s="125"/>
      <c r="O1454" s="33" t="s">
        <v>278</v>
      </c>
      <c r="P1454" s="125"/>
      <c r="Q1454" s="33" t="s">
        <v>587</v>
      </c>
      <c r="R1454" s="125"/>
      <c r="S1454" s="33" t="s">
        <v>278</v>
      </c>
      <c r="T1454" s="125"/>
      <c r="U1454" s="33" t="s">
        <v>278</v>
      </c>
      <c r="V1454" s="125"/>
      <c r="W1454" s="59" t="s">
        <v>548</v>
      </c>
      <c r="X1454" s="33" t="str">
        <f>+VLOOKUP(OtherClients[[#This Row],[Part]],PartControl!$A$2:$E$564,5,FALSE)</f>
        <v>INFASCO</v>
      </c>
      <c r="Y1454" s="108">
        <f>IF(OtherClients[[#This Row],[Re-certified or New]]&lt;&gt;"Re-certified",IF(OtherClients[[#This Row],[Client]]="infasco",VLOOKUP(OtherClients[[#This Row],[Part]],PartControl!$A$2:$E$564,2,FALSE),OtherClients[[#This Row],[Total Quantity]]*VLOOKUP(OtherClients[[#This Row],[Part]],PartControl!$A$2:$E$564,2,FALSE)),0)</f>
        <v>106.94</v>
      </c>
      <c r="Z1454" s="108">
        <f>IF(OtherClients[[#This Row],[Re-certified or New]]&lt;&gt;"Re-certified",IF(OtherClients[[#This Row],[Client]]="infasco",VLOOKUP(OtherClients[[#This Row],[Part]],PartControl!$A$2:$E$564,2,FALSE),OtherClients[[#This Row],[Total Quantity]]*VLOOKUP(OtherClients[[#This Row],[Part]],PartControl!$A$2:$E$564,2,FALSE)),0)</f>
        <v>106.94</v>
      </c>
    </row>
    <row r="1455" spans="1:26" ht="25.15" hidden="1" customHeight="1" x14ac:dyDescent="0.25">
      <c r="A1455" s="112">
        <v>46254.679212962961</v>
      </c>
      <c r="B1455" s="5" t="s">
        <v>236</v>
      </c>
      <c r="C1455" s="5">
        <v>11546449</v>
      </c>
      <c r="D1455" s="5">
        <v>716517</v>
      </c>
      <c r="E1455" s="33">
        <v>23</v>
      </c>
      <c r="F1455" s="60">
        <v>2500</v>
      </c>
      <c r="G1455" s="60">
        <f>+OtherClients[[#This Row],[Boxes / Pieces]]*OtherClients[[#This Row],[Unit Quantity]]</f>
        <v>57500</v>
      </c>
      <c r="H1455" s="60">
        <v>290</v>
      </c>
      <c r="I1455" s="126" t="s">
        <v>278</v>
      </c>
      <c r="J1455" s="127"/>
      <c r="K1455" s="33" t="s">
        <v>278</v>
      </c>
      <c r="L1455" s="125"/>
      <c r="M1455" s="33" t="s">
        <v>278</v>
      </c>
      <c r="N1455" s="125"/>
      <c r="O1455" s="33" t="s">
        <v>278</v>
      </c>
      <c r="P1455" s="125"/>
      <c r="Q1455" s="33" t="s">
        <v>587</v>
      </c>
      <c r="R1455" s="125"/>
      <c r="S1455" s="33" t="s">
        <v>278</v>
      </c>
      <c r="T1455" s="125"/>
      <c r="U1455" s="33" t="s">
        <v>278</v>
      </c>
      <c r="V1455" s="125"/>
      <c r="W1455" s="59" t="s">
        <v>633</v>
      </c>
      <c r="X1455" s="33" t="str">
        <f>+VLOOKUP(OtherClients[[#This Row],[Part]],PartControl!$A$2:$E$564,5,FALSE)</f>
        <v>INFASCO</v>
      </c>
      <c r="Y1455" s="108">
        <f>IF(OtherClients[[#This Row],[Re-certified or New]]&lt;&gt;"Re-certified",IF(OtherClients[[#This Row],[Client]]="infasco",VLOOKUP(OtherClients[[#This Row],[Part]],PartControl!$A$2:$E$564,2,FALSE),OtherClients[[#This Row],[Total Quantity]]*VLOOKUP(OtherClients[[#This Row],[Part]],PartControl!$A$2:$E$564,2,FALSE)),0)</f>
        <v>0</v>
      </c>
      <c r="Z1455" s="108">
        <f>IF(OtherClients[[#This Row],[Re-certified or New]]&lt;&gt;"Re-certified",IF(OtherClients[[#This Row],[Client]]="infasco",VLOOKUP(OtherClients[[#This Row],[Part]],PartControl!$A$2:$E$564,2,FALSE),OtherClients[[#This Row],[Total Quantity]]*VLOOKUP(OtherClients[[#This Row],[Part]],PartControl!$A$2:$E$564,2,FALSE)),0)</f>
        <v>0</v>
      </c>
    </row>
    <row r="1456" spans="1:26" ht="25.15" hidden="1" customHeight="1" x14ac:dyDescent="0.25">
      <c r="A1456" s="112">
        <v>46255.694016203706</v>
      </c>
      <c r="B1456" s="5" t="s">
        <v>236</v>
      </c>
      <c r="C1456" s="5">
        <v>11546449</v>
      </c>
      <c r="D1456" s="5">
        <v>716517</v>
      </c>
      <c r="E1456" s="33">
        <f>37-23</f>
        <v>14</v>
      </c>
      <c r="F1456" s="60">
        <v>2500</v>
      </c>
      <c r="G1456" s="60">
        <f>+OtherClients[[#This Row],[Boxes / Pieces]]*OtherClients[[#This Row],[Unit Quantity]]</f>
        <v>35000</v>
      </c>
      <c r="H1456" s="60">
        <v>290</v>
      </c>
      <c r="I1456" s="126" t="s">
        <v>278</v>
      </c>
      <c r="J1456" s="127"/>
      <c r="K1456" s="33" t="s">
        <v>278</v>
      </c>
      <c r="L1456" s="125"/>
      <c r="M1456" s="33" t="s">
        <v>278</v>
      </c>
      <c r="N1456" s="125"/>
      <c r="O1456" s="33" t="s">
        <v>278</v>
      </c>
      <c r="P1456" s="125"/>
      <c r="Q1456" s="33" t="s">
        <v>587</v>
      </c>
      <c r="R1456" s="125"/>
      <c r="S1456" s="33" t="s">
        <v>278</v>
      </c>
      <c r="T1456" s="125"/>
      <c r="U1456" s="33" t="s">
        <v>278</v>
      </c>
      <c r="V1456" s="125"/>
      <c r="W1456" s="59" t="s">
        <v>548</v>
      </c>
      <c r="X1456" s="33" t="str">
        <f>+VLOOKUP(OtherClients[[#This Row],[Part]],PartControl!$A$2:$E$564,5,FALSE)</f>
        <v>INFASCO</v>
      </c>
      <c r="Y1456" s="108">
        <f>IF(OtherClients[[#This Row],[Re-certified or New]]&lt;&gt;"Re-certified",IF(OtherClients[[#This Row],[Client]]="infasco",VLOOKUP(OtherClients[[#This Row],[Part]],PartControl!$A$2:$E$564,2,FALSE),OtherClients[[#This Row],[Total Quantity]]*VLOOKUP(OtherClients[[#This Row],[Part]],PartControl!$A$2:$E$564,2,FALSE)),0)</f>
        <v>106.94</v>
      </c>
      <c r="Z1456" s="108">
        <f>IF(OtherClients[[#This Row],[Re-certified or New]]&lt;&gt;"Re-certified",IF(OtherClients[[#This Row],[Client]]="infasco",VLOOKUP(OtherClients[[#This Row],[Part]],PartControl!$A$2:$E$564,2,FALSE),OtherClients[[#This Row],[Total Quantity]]*VLOOKUP(OtherClients[[#This Row],[Part]],PartControl!$A$2:$E$564,2,FALSE)),0)</f>
        <v>106.94</v>
      </c>
    </row>
    <row r="1457" spans="1:26" ht="25.15" hidden="1" customHeight="1" x14ac:dyDescent="0.25">
      <c r="A1457" s="112">
        <v>46254.679212962961</v>
      </c>
      <c r="B1457" s="5" t="s">
        <v>357</v>
      </c>
      <c r="C1457" s="5">
        <v>11546449</v>
      </c>
      <c r="D1457" s="5">
        <v>716518</v>
      </c>
      <c r="E1457" s="33">
        <v>36</v>
      </c>
      <c r="F1457" s="60">
        <v>2500</v>
      </c>
      <c r="G1457" s="60">
        <f>+OtherClients[[#This Row],[Boxes / Pieces]]*OtherClients[[#This Row],[Unit Quantity]]</f>
        <v>90000</v>
      </c>
      <c r="H1457" s="60">
        <v>280</v>
      </c>
      <c r="I1457" s="126" t="s">
        <v>278</v>
      </c>
      <c r="J1457" s="127"/>
      <c r="K1457" s="33" t="s">
        <v>278</v>
      </c>
      <c r="L1457" s="125"/>
      <c r="M1457" s="33" t="s">
        <v>278</v>
      </c>
      <c r="N1457" s="125"/>
      <c r="O1457" s="33" t="s">
        <v>278</v>
      </c>
      <c r="P1457" s="125"/>
      <c r="Q1457" s="33" t="s">
        <v>587</v>
      </c>
      <c r="R1457" s="125"/>
      <c r="S1457" s="33" t="s">
        <v>278</v>
      </c>
      <c r="T1457" s="125"/>
      <c r="U1457" s="33" t="s">
        <v>278</v>
      </c>
      <c r="V1457" s="125"/>
      <c r="W1457" s="59" t="s">
        <v>548</v>
      </c>
      <c r="X1457" s="33" t="str">
        <f>+VLOOKUP(OtherClients[[#This Row],[Part]],PartControl!$A$2:$E$564,5,FALSE)</f>
        <v>INFASCO</v>
      </c>
      <c r="Y1457" s="108">
        <f>IF(OtherClients[[#This Row],[Re-certified or New]]&lt;&gt;"Re-certified",IF(OtherClients[[#This Row],[Client]]="infasco",VLOOKUP(OtherClients[[#This Row],[Part]],PartControl!$A$2:$E$564,2,FALSE),OtherClients[[#This Row],[Total Quantity]]*VLOOKUP(OtherClients[[#This Row],[Part]],PartControl!$A$2:$E$564,2,FALSE)),0)</f>
        <v>106.94</v>
      </c>
      <c r="Z1457" s="108">
        <f>IF(OtherClients[[#This Row],[Re-certified or New]]&lt;&gt;"Re-certified",IF(OtherClients[[#This Row],[Client]]="infasco",VLOOKUP(OtherClients[[#This Row],[Part]],PartControl!$A$2:$E$564,2,FALSE),OtherClients[[#This Row],[Total Quantity]]*VLOOKUP(OtherClients[[#This Row],[Part]],PartControl!$A$2:$E$564,2,FALSE)),0)</f>
        <v>106.94</v>
      </c>
    </row>
    <row r="1458" spans="1:26" ht="25.15" hidden="1" customHeight="1" x14ac:dyDescent="0.25">
      <c r="A1458" s="112">
        <v>46254.679212962961</v>
      </c>
      <c r="B1458" s="5" t="s">
        <v>637</v>
      </c>
      <c r="C1458" s="5">
        <v>11546449</v>
      </c>
      <c r="D1458" s="5">
        <v>716520</v>
      </c>
      <c r="E1458" s="33">
        <v>36</v>
      </c>
      <c r="F1458" s="60">
        <v>2500</v>
      </c>
      <c r="G1458" s="60">
        <f>+OtherClients[[#This Row],[Boxes / Pieces]]*OtherClients[[#This Row],[Unit Quantity]]</f>
        <v>90000</v>
      </c>
      <c r="H1458" s="60">
        <v>280</v>
      </c>
      <c r="I1458" s="126" t="s">
        <v>278</v>
      </c>
      <c r="J1458" s="127"/>
      <c r="K1458" s="33" t="s">
        <v>278</v>
      </c>
      <c r="L1458" s="125"/>
      <c r="M1458" s="33" t="s">
        <v>278</v>
      </c>
      <c r="N1458" s="125"/>
      <c r="O1458" s="33" t="s">
        <v>278</v>
      </c>
      <c r="P1458" s="125"/>
      <c r="Q1458" s="33" t="s">
        <v>587</v>
      </c>
      <c r="R1458" s="125"/>
      <c r="S1458" s="33" t="s">
        <v>278</v>
      </c>
      <c r="T1458" s="125"/>
      <c r="U1458" s="33" t="s">
        <v>278</v>
      </c>
      <c r="V1458" s="125"/>
      <c r="W1458" s="59" t="s">
        <v>548</v>
      </c>
      <c r="X1458" s="33" t="str">
        <f>+VLOOKUP(OtherClients[[#This Row],[Part]],PartControl!$A$2:$E$564,5,FALSE)</f>
        <v>INFASCO</v>
      </c>
      <c r="Y1458" s="108">
        <f>IF(OtherClients[[#This Row],[Re-certified or New]]&lt;&gt;"Re-certified",IF(OtherClients[[#This Row],[Client]]="infasco",VLOOKUP(OtherClients[[#This Row],[Part]],PartControl!$A$2:$E$564,2,FALSE),OtherClients[[#This Row],[Total Quantity]]*VLOOKUP(OtherClients[[#This Row],[Part]],PartControl!$A$2:$E$564,2,FALSE)),0)</f>
        <v>106.94</v>
      </c>
      <c r="Z1458" s="108">
        <f>IF(OtherClients[[#This Row],[Re-certified or New]]&lt;&gt;"Re-certified",IF(OtherClients[[#This Row],[Client]]="infasco",VLOOKUP(OtherClients[[#This Row],[Part]],PartControl!$A$2:$E$564,2,FALSE),OtherClients[[#This Row],[Total Quantity]]*VLOOKUP(OtherClients[[#This Row],[Part]],PartControl!$A$2:$E$564,2,FALSE)),0)</f>
        <v>106.94</v>
      </c>
    </row>
    <row r="1459" spans="1:26" ht="25.15" hidden="1" customHeight="1" x14ac:dyDescent="0.25">
      <c r="A1459" s="112">
        <v>46254.679212962961</v>
      </c>
      <c r="B1459" s="5" t="s">
        <v>236</v>
      </c>
      <c r="C1459" s="5">
        <v>11546449</v>
      </c>
      <c r="D1459" s="5">
        <v>716522</v>
      </c>
      <c r="E1459" s="33">
        <f>37-20</f>
        <v>17</v>
      </c>
      <c r="F1459" s="60">
        <v>2500</v>
      </c>
      <c r="G1459" s="60">
        <f>+OtherClients[[#This Row],[Boxes / Pieces]]*OtherClients[[#This Row],[Unit Quantity]]</f>
        <v>42500</v>
      </c>
      <c r="H1459" s="60">
        <v>290</v>
      </c>
      <c r="I1459" s="126" t="s">
        <v>278</v>
      </c>
      <c r="J1459" s="127"/>
      <c r="K1459" s="33" t="s">
        <v>278</v>
      </c>
      <c r="L1459" s="125"/>
      <c r="M1459" s="33" t="s">
        <v>278</v>
      </c>
      <c r="N1459" s="125"/>
      <c r="O1459" s="33" t="s">
        <v>278</v>
      </c>
      <c r="P1459" s="125"/>
      <c r="Q1459" s="33" t="s">
        <v>587</v>
      </c>
      <c r="R1459" s="125"/>
      <c r="S1459" s="33" t="s">
        <v>278</v>
      </c>
      <c r="T1459" s="125"/>
      <c r="U1459" s="33" t="s">
        <v>278</v>
      </c>
      <c r="V1459" s="125"/>
      <c r="W1459" s="59" t="s">
        <v>548</v>
      </c>
      <c r="X1459" s="33" t="str">
        <f>+VLOOKUP(OtherClients[[#This Row],[Part]],PartControl!$A$2:$E$564,5,FALSE)</f>
        <v>INFASCO</v>
      </c>
      <c r="Y1459" s="108">
        <f>IF(OtherClients[[#This Row],[Re-certified or New]]&lt;&gt;"Re-certified",IF(OtherClients[[#This Row],[Client]]="infasco",VLOOKUP(OtherClients[[#This Row],[Part]],PartControl!$A$2:$E$564,2,FALSE),OtherClients[[#This Row],[Total Quantity]]*VLOOKUP(OtherClients[[#This Row],[Part]],PartControl!$A$2:$E$564,2,FALSE)),0)</f>
        <v>106.94</v>
      </c>
      <c r="Z1459" s="108">
        <f>IF(OtherClients[[#This Row],[Re-certified or New]]&lt;&gt;"Re-certified",IF(OtherClients[[#This Row],[Client]]="infasco",VLOOKUP(OtherClients[[#This Row],[Part]],PartControl!$A$2:$E$564,2,FALSE),OtherClients[[#This Row],[Total Quantity]]*VLOOKUP(OtherClients[[#This Row],[Part]],PartControl!$A$2:$E$564,2,FALSE)),0)</f>
        <v>106.94</v>
      </c>
    </row>
    <row r="1460" spans="1:26" ht="25.15" hidden="1" customHeight="1" x14ac:dyDescent="0.25">
      <c r="A1460" s="112">
        <v>46254.679212962961</v>
      </c>
      <c r="B1460" s="5" t="s">
        <v>637</v>
      </c>
      <c r="C1460" s="5">
        <v>11546449</v>
      </c>
      <c r="D1460" s="5">
        <v>716524</v>
      </c>
      <c r="E1460" s="33">
        <f>36-20</f>
        <v>16</v>
      </c>
      <c r="F1460" s="60">
        <v>2500</v>
      </c>
      <c r="G1460" s="60">
        <f>+OtherClients[[#This Row],[Boxes / Pieces]]*OtherClients[[#This Row],[Unit Quantity]]</f>
        <v>40000</v>
      </c>
      <c r="H1460" s="60">
        <v>280</v>
      </c>
      <c r="I1460" s="126" t="s">
        <v>278</v>
      </c>
      <c r="J1460" s="127"/>
      <c r="K1460" s="33" t="s">
        <v>278</v>
      </c>
      <c r="L1460" s="125"/>
      <c r="M1460" s="33" t="s">
        <v>278</v>
      </c>
      <c r="N1460" s="125"/>
      <c r="O1460" s="33" t="s">
        <v>278</v>
      </c>
      <c r="P1460" s="125"/>
      <c r="Q1460" s="33" t="s">
        <v>587</v>
      </c>
      <c r="R1460" s="125"/>
      <c r="S1460" s="33" t="s">
        <v>278</v>
      </c>
      <c r="T1460" s="125"/>
      <c r="U1460" s="33" t="s">
        <v>278</v>
      </c>
      <c r="V1460" s="125"/>
      <c r="W1460" s="59" t="s">
        <v>548</v>
      </c>
      <c r="X1460" s="33" t="str">
        <f>+VLOOKUP(OtherClients[[#This Row],[Part]],PartControl!$A$2:$E$564,5,FALSE)</f>
        <v>INFASCO</v>
      </c>
      <c r="Y1460" s="108">
        <f>IF(OtherClients[[#This Row],[Re-certified or New]]&lt;&gt;"Re-certified",IF(OtherClients[[#This Row],[Client]]="infasco",VLOOKUP(OtherClients[[#This Row],[Part]],PartControl!$A$2:$E$564,2,FALSE),OtherClients[[#This Row],[Total Quantity]]*VLOOKUP(OtherClients[[#This Row],[Part]],PartControl!$A$2:$E$564,2,FALSE)),0)</f>
        <v>106.94</v>
      </c>
      <c r="Z1460" s="108">
        <f>IF(OtherClients[[#This Row],[Re-certified or New]]&lt;&gt;"Re-certified",IF(OtherClients[[#This Row],[Client]]="infasco",VLOOKUP(OtherClients[[#This Row],[Part]],PartControl!$A$2:$E$564,2,FALSE),OtherClients[[#This Row],[Total Quantity]]*VLOOKUP(OtherClients[[#This Row],[Part]],PartControl!$A$2:$E$564,2,FALSE)),0)</f>
        <v>106.94</v>
      </c>
    </row>
    <row r="1461" spans="1:26" ht="25.15" hidden="1" customHeight="1" x14ac:dyDescent="0.25">
      <c r="A1461" s="112">
        <v>46254.679212962961</v>
      </c>
      <c r="B1461" s="5" t="s">
        <v>357</v>
      </c>
      <c r="C1461" s="5">
        <v>11546449</v>
      </c>
      <c r="D1461" s="5">
        <v>716525</v>
      </c>
      <c r="E1461" s="33">
        <v>36</v>
      </c>
      <c r="F1461" s="60">
        <v>2500</v>
      </c>
      <c r="G1461" s="60">
        <f>+OtherClients[[#This Row],[Boxes / Pieces]]*OtherClients[[#This Row],[Unit Quantity]]</f>
        <v>90000</v>
      </c>
      <c r="H1461" s="60">
        <v>280</v>
      </c>
      <c r="I1461" s="126" t="s">
        <v>278</v>
      </c>
      <c r="J1461" s="127"/>
      <c r="K1461" s="33" t="s">
        <v>278</v>
      </c>
      <c r="L1461" s="125"/>
      <c r="M1461" s="33" t="s">
        <v>278</v>
      </c>
      <c r="N1461" s="125"/>
      <c r="O1461" s="33" t="s">
        <v>278</v>
      </c>
      <c r="P1461" s="125"/>
      <c r="Q1461" s="33" t="s">
        <v>587</v>
      </c>
      <c r="R1461" s="125"/>
      <c r="S1461" s="33" t="s">
        <v>278</v>
      </c>
      <c r="T1461" s="125"/>
      <c r="U1461" s="33" t="s">
        <v>278</v>
      </c>
      <c r="V1461" s="125"/>
      <c r="W1461" s="59" t="s">
        <v>548</v>
      </c>
      <c r="X1461" s="33" t="str">
        <f>+VLOOKUP(OtherClients[[#This Row],[Part]],PartControl!$A$2:$E$564,5,FALSE)</f>
        <v>INFASCO</v>
      </c>
      <c r="Y1461" s="108">
        <f>IF(OtherClients[[#This Row],[Re-certified or New]]&lt;&gt;"Re-certified",IF(OtherClients[[#This Row],[Client]]="infasco",VLOOKUP(OtherClients[[#This Row],[Part]],PartControl!$A$2:$E$564,2,FALSE),OtherClients[[#This Row],[Total Quantity]]*VLOOKUP(OtherClients[[#This Row],[Part]],PartControl!$A$2:$E$564,2,FALSE)),0)</f>
        <v>106.94</v>
      </c>
      <c r="Z1461" s="108">
        <f>IF(OtherClients[[#This Row],[Re-certified or New]]&lt;&gt;"Re-certified",IF(OtherClients[[#This Row],[Client]]="infasco",VLOOKUP(OtherClients[[#This Row],[Part]],PartControl!$A$2:$E$564,2,FALSE),OtherClients[[#This Row],[Total Quantity]]*VLOOKUP(OtherClients[[#This Row],[Part]],PartControl!$A$2:$E$564,2,FALSE)),0)</f>
        <v>106.94</v>
      </c>
    </row>
    <row r="1462" spans="1:26" ht="25.15" hidden="1" customHeight="1" x14ac:dyDescent="0.25">
      <c r="A1462" s="112">
        <v>46254.679212962961</v>
      </c>
      <c r="B1462" s="5" t="s">
        <v>232</v>
      </c>
      <c r="C1462" s="5">
        <v>11546449</v>
      </c>
      <c r="D1462" s="5">
        <v>716527</v>
      </c>
      <c r="E1462" s="33">
        <f>36-27</f>
        <v>9</v>
      </c>
      <c r="F1462" s="60">
        <v>2500</v>
      </c>
      <c r="G1462" s="60">
        <f>+OtherClients[[#This Row],[Boxes / Pieces]]*OtherClients[[#This Row],[Unit Quantity]]</f>
        <v>22500</v>
      </c>
      <c r="H1462" s="60">
        <v>275</v>
      </c>
      <c r="I1462" s="126" t="s">
        <v>278</v>
      </c>
      <c r="J1462" s="127"/>
      <c r="K1462" s="33" t="s">
        <v>278</v>
      </c>
      <c r="L1462" s="125"/>
      <c r="M1462" s="33" t="s">
        <v>278</v>
      </c>
      <c r="N1462" s="125"/>
      <c r="O1462" s="33" t="s">
        <v>278</v>
      </c>
      <c r="P1462" s="125"/>
      <c r="Q1462" s="33" t="s">
        <v>587</v>
      </c>
      <c r="R1462" s="125"/>
      <c r="S1462" s="33" t="s">
        <v>278</v>
      </c>
      <c r="T1462" s="125"/>
      <c r="U1462" s="33" t="s">
        <v>278</v>
      </c>
      <c r="V1462" s="125"/>
      <c r="W1462" s="59" t="s">
        <v>548</v>
      </c>
      <c r="X1462" s="33" t="str">
        <f>+VLOOKUP(OtherClients[[#This Row],[Part]],PartControl!$A$2:$E$564,5,FALSE)</f>
        <v>INFASCO</v>
      </c>
      <c r="Y1462" s="108">
        <f>IF(OtherClients[[#This Row],[Re-certified or New]]&lt;&gt;"Re-certified",IF(OtherClients[[#This Row],[Client]]="infasco",VLOOKUP(OtherClients[[#This Row],[Part]],PartControl!$A$2:$E$564,2,FALSE),OtherClients[[#This Row],[Total Quantity]]*VLOOKUP(OtherClients[[#This Row],[Part]],PartControl!$A$2:$E$564,2,FALSE)),0)</f>
        <v>106.94</v>
      </c>
      <c r="Z1462" s="108">
        <f>IF(OtherClients[[#This Row],[Re-certified or New]]&lt;&gt;"Re-certified",IF(OtherClients[[#This Row],[Client]]="infasco",VLOOKUP(OtherClients[[#This Row],[Part]],PartControl!$A$2:$E$564,2,FALSE),OtherClients[[#This Row],[Total Quantity]]*VLOOKUP(OtherClients[[#This Row],[Part]],PartControl!$A$2:$E$564,2,FALSE)),0)</f>
        <v>106.94</v>
      </c>
    </row>
    <row r="1463" spans="1:26" ht="25.15" hidden="1" customHeight="1" x14ac:dyDescent="0.25">
      <c r="A1463" s="112">
        <v>46254.679212962961</v>
      </c>
      <c r="B1463" s="5" t="s">
        <v>234</v>
      </c>
      <c r="C1463" s="5">
        <v>11546449</v>
      </c>
      <c r="D1463" s="5">
        <v>716528</v>
      </c>
      <c r="E1463" s="33">
        <f>36-9</f>
        <v>27</v>
      </c>
      <c r="F1463" s="60">
        <v>2500</v>
      </c>
      <c r="G1463" s="60">
        <f>+OtherClients[[#This Row],[Boxes / Pieces]]*OtherClients[[#This Row],[Unit Quantity]]</f>
        <v>67500</v>
      </c>
      <c r="H1463" s="60">
        <v>275</v>
      </c>
      <c r="I1463" s="126" t="s">
        <v>278</v>
      </c>
      <c r="J1463" s="127"/>
      <c r="K1463" s="33" t="s">
        <v>278</v>
      </c>
      <c r="L1463" s="125"/>
      <c r="M1463" s="33" t="s">
        <v>278</v>
      </c>
      <c r="N1463" s="125"/>
      <c r="O1463" s="33" t="s">
        <v>278</v>
      </c>
      <c r="P1463" s="125"/>
      <c r="Q1463" s="33" t="s">
        <v>587</v>
      </c>
      <c r="R1463" s="125"/>
      <c r="S1463" s="33" t="s">
        <v>278</v>
      </c>
      <c r="T1463" s="125"/>
      <c r="U1463" s="33" t="s">
        <v>278</v>
      </c>
      <c r="V1463" s="125"/>
      <c r="W1463" s="59" t="s">
        <v>548</v>
      </c>
      <c r="X1463" s="33" t="str">
        <f>+VLOOKUP(OtherClients[[#This Row],[Part]],PartControl!$A$2:$E$564,5,FALSE)</f>
        <v>INFASCO</v>
      </c>
      <c r="Y1463" s="108">
        <f>IF(OtherClients[[#This Row],[Re-certified or New]]&lt;&gt;"Re-certified",IF(OtherClients[[#This Row],[Client]]="infasco",VLOOKUP(OtherClients[[#This Row],[Part]],PartControl!$A$2:$E$564,2,FALSE),OtherClients[[#This Row],[Total Quantity]]*VLOOKUP(OtherClients[[#This Row],[Part]],PartControl!$A$2:$E$564,2,FALSE)),0)</f>
        <v>106.94</v>
      </c>
      <c r="Z1463" s="108">
        <f>IF(OtherClients[[#This Row],[Re-certified or New]]&lt;&gt;"Re-certified",IF(OtherClients[[#This Row],[Client]]="infasco",VLOOKUP(OtherClients[[#This Row],[Part]],PartControl!$A$2:$E$564,2,FALSE),OtherClients[[#This Row],[Total Quantity]]*VLOOKUP(OtherClients[[#This Row],[Part]],PartControl!$A$2:$E$564,2,FALSE)),0)</f>
        <v>106.94</v>
      </c>
    </row>
    <row r="1464" spans="1:26" ht="25.15" hidden="1" customHeight="1" x14ac:dyDescent="0.25">
      <c r="A1464" s="112">
        <v>46255.694016203706</v>
      </c>
      <c r="B1464" s="5" t="s">
        <v>346</v>
      </c>
      <c r="C1464" s="5" t="s">
        <v>649</v>
      </c>
      <c r="D1464" s="5">
        <v>716661</v>
      </c>
      <c r="E1464" s="33">
        <v>36</v>
      </c>
      <c r="F1464" s="60">
        <v>1250</v>
      </c>
      <c r="G1464" s="60">
        <f>+OtherClients[[#This Row],[Boxes / Pieces]]*OtherClients[[#This Row],[Unit Quantity]]</f>
        <v>45000</v>
      </c>
      <c r="H1464" s="60" t="s">
        <v>871</v>
      </c>
      <c r="I1464" s="126" t="s">
        <v>278</v>
      </c>
      <c r="J1464" s="127"/>
      <c r="K1464" s="33" t="s">
        <v>278</v>
      </c>
      <c r="L1464" s="125"/>
      <c r="M1464" s="33" t="s">
        <v>278</v>
      </c>
      <c r="N1464" s="125"/>
      <c r="O1464" s="33" t="s">
        <v>278</v>
      </c>
      <c r="P1464" s="125"/>
      <c r="Q1464" s="33" t="s">
        <v>587</v>
      </c>
      <c r="R1464" s="125"/>
      <c r="S1464" s="33" t="s">
        <v>278</v>
      </c>
      <c r="T1464" s="125"/>
      <c r="U1464" s="33" t="s">
        <v>278</v>
      </c>
      <c r="V1464" s="125"/>
      <c r="W1464" s="59" t="s">
        <v>548</v>
      </c>
      <c r="X1464" s="33" t="str">
        <f>+VLOOKUP(OtherClients[[#This Row],[Part]],PartControl!$A$2:$E$564,5,FALSE)</f>
        <v>infasco</v>
      </c>
      <c r="Y1464" s="108">
        <f>IF(OtherClients[[#This Row],[Re-certified or New]]&lt;&gt;"Re-certified",IF(OtherClients[[#This Row],[Client]]="infasco",VLOOKUP(OtherClients[[#This Row],[Part]],PartControl!$A$2:$E$564,2,FALSE),OtherClients[[#This Row],[Total Quantity]]*VLOOKUP(OtherClients[[#This Row],[Part]],PartControl!$A$2:$E$564,2,FALSE)),0)</f>
        <v>135.07999999999998</v>
      </c>
      <c r="Z1464" s="108">
        <f>IF(OtherClients[[#This Row],[Re-certified or New]]&lt;&gt;"Re-certified",IF(OtherClients[[#This Row],[Client]]="infasco",VLOOKUP(OtherClients[[#This Row],[Part]],PartControl!$A$2:$E$564,2,FALSE),OtherClients[[#This Row],[Total Quantity]]*VLOOKUP(OtherClients[[#This Row],[Part]],PartControl!$A$2:$E$564,2,FALSE)),0)</f>
        <v>135.07999999999998</v>
      </c>
    </row>
    <row r="1465" spans="1:26" ht="25.15" hidden="1" customHeight="1" x14ac:dyDescent="0.25">
      <c r="A1465" s="112">
        <v>46255.694016203706</v>
      </c>
      <c r="B1465" s="5" t="s">
        <v>345</v>
      </c>
      <c r="C1465" s="5" t="s">
        <v>649</v>
      </c>
      <c r="D1465" s="5">
        <v>716662</v>
      </c>
      <c r="E1465" s="33">
        <v>34</v>
      </c>
      <c r="F1465" s="60">
        <v>1250</v>
      </c>
      <c r="G1465" s="60">
        <f>+OtherClients[[#This Row],[Boxes / Pieces]]*OtherClients[[#This Row],[Unit Quantity]]</f>
        <v>42500</v>
      </c>
      <c r="H1465" s="60" t="s">
        <v>849</v>
      </c>
      <c r="I1465" s="126" t="s">
        <v>278</v>
      </c>
      <c r="J1465" s="127"/>
      <c r="K1465" s="33" t="s">
        <v>278</v>
      </c>
      <c r="L1465" s="125"/>
      <c r="M1465" s="33" t="s">
        <v>278</v>
      </c>
      <c r="N1465" s="125"/>
      <c r="O1465" s="33" t="s">
        <v>278</v>
      </c>
      <c r="P1465" s="125"/>
      <c r="Q1465" s="33" t="s">
        <v>587</v>
      </c>
      <c r="R1465" s="125"/>
      <c r="S1465" s="33" t="s">
        <v>278</v>
      </c>
      <c r="T1465" s="125"/>
      <c r="U1465" s="33" t="s">
        <v>278</v>
      </c>
      <c r="V1465" s="125"/>
      <c r="W1465" s="59" t="s">
        <v>548</v>
      </c>
      <c r="X1465" s="33" t="str">
        <f>+VLOOKUP(OtherClients[[#This Row],[Part]],PartControl!$A$2:$E$564,5,FALSE)</f>
        <v>infasco</v>
      </c>
      <c r="Y1465" s="108">
        <f>IF(OtherClients[[#This Row],[Re-certified or New]]&lt;&gt;"Re-certified",IF(OtherClients[[#This Row],[Client]]="infasco",VLOOKUP(OtherClients[[#This Row],[Part]],PartControl!$A$2:$E$564,2,FALSE),OtherClients[[#This Row],[Total Quantity]]*VLOOKUP(OtherClients[[#This Row],[Part]],PartControl!$A$2:$E$564,2,FALSE)),0)</f>
        <v>135.07999999999998</v>
      </c>
      <c r="Z1465" s="108">
        <f>IF(OtherClients[[#This Row],[Re-certified or New]]&lt;&gt;"Re-certified",IF(OtherClients[[#This Row],[Client]]="infasco",VLOOKUP(OtherClients[[#This Row],[Part]],PartControl!$A$2:$E$564,2,FALSE),OtherClients[[#This Row],[Total Quantity]]*VLOOKUP(OtherClients[[#This Row],[Part]],PartControl!$A$2:$E$564,2,FALSE)),0)</f>
        <v>135.07999999999998</v>
      </c>
    </row>
    <row r="1466" spans="1:26" ht="25.15" hidden="1" customHeight="1" x14ac:dyDescent="0.25">
      <c r="A1466" s="112">
        <v>46255.694016203706</v>
      </c>
      <c r="B1466" s="5" t="s">
        <v>343</v>
      </c>
      <c r="C1466" s="5" t="s">
        <v>649</v>
      </c>
      <c r="D1466" s="5">
        <v>716663</v>
      </c>
      <c r="E1466" s="33">
        <v>35</v>
      </c>
      <c r="F1466" s="60">
        <v>1250</v>
      </c>
      <c r="G1466" s="60">
        <f>+OtherClients[[#This Row],[Boxes / Pieces]]*OtherClients[[#This Row],[Unit Quantity]]</f>
        <v>43750</v>
      </c>
      <c r="H1466" s="60" t="s">
        <v>757</v>
      </c>
      <c r="I1466" s="126" t="s">
        <v>278</v>
      </c>
      <c r="J1466" s="127"/>
      <c r="K1466" s="33" t="s">
        <v>278</v>
      </c>
      <c r="L1466" s="125"/>
      <c r="M1466" s="33" t="s">
        <v>278</v>
      </c>
      <c r="N1466" s="125"/>
      <c r="O1466" s="33" t="s">
        <v>278</v>
      </c>
      <c r="P1466" s="125"/>
      <c r="Q1466" s="33" t="s">
        <v>587</v>
      </c>
      <c r="R1466" s="125"/>
      <c r="S1466" s="33" t="s">
        <v>278</v>
      </c>
      <c r="T1466" s="125"/>
      <c r="U1466" s="33" t="s">
        <v>278</v>
      </c>
      <c r="V1466" s="125"/>
      <c r="W1466" s="59" t="s">
        <v>548</v>
      </c>
      <c r="X1466" s="33" t="str">
        <f>+VLOOKUP(OtherClients[[#This Row],[Part]],PartControl!$A$2:$E$564,5,FALSE)</f>
        <v>infasco</v>
      </c>
      <c r="Y1466" s="108">
        <f>IF(OtherClients[[#This Row],[Re-certified or New]]&lt;&gt;"Re-certified",IF(OtherClients[[#This Row],[Client]]="infasco",VLOOKUP(OtherClients[[#This Row],[Part]],PartControl!$A$2:$E$564,2,FALSE),OtherClients[[#This Row],[Total Quantity]]*VLOOKUP(OtherClients[[#This Row],[Part]],PartControl!$A$2:$E$564,2,FALSE)),0)</f>
        <v>135.07999999999998</v>
      </c>
      <c r="Z1466" s="108">
        <f>IF(OtherClients[[#This Row],[Re-certified or New]]&lt;&gt;"Re-certified",IF(OtherClients[[#This Row],[Client]]="infasco",VLOOKUP(OtherClients[[#This Row],[Part]],PartControl!$A$2:$E$564,2,FALSE),OtherClients[[#This Row],[Total Quantity]]*VLOOKUP(OtherClients[[#This Row],[Part]],PartControl!$A$2:$E$564,2,FALSE)),0)</f>
        <v>135.07999999999998</v>
      </c>
    </row>
    <row r="1467" spans="1:26" ht="25.15" hidden="1" customHeight="1" x14ac:dyDescent="0.25">
      <c r="A1467" s="112">
        <v>46255.694016203706</v>
      </c>
      <c r="B1467" s="5" t="s">
        <v>346</v>
      </c>
      <c r="C1467" s="5" t="s">
        <v>649</v>
      </c>
      <c r="D1467" s="5">
        <v>716664</v>
      </c>
      <c r="E1467" s="33">
        <v>21</v>
      </c>
      <c r="F1467" s="60">
        <v>1250</v>
      </c>
      <c r="G1467" s="60">
        <f>+OtherClients[[#This Row],[Boxes / Pieces]]*OtherClients[[#This Row],[Unit Quantity]]</f>
        <v>26250</v>
      </c>
      <c r="H1467" s="60" t="s">
        <v>871</v>
      </c>
      <c r="I1467" s="126" t="s">
        <v>278</v>
      </c>
      <c r="J1467" s="127"/>
      <c r="K1467" s="33" t="s">
        <v>278</v>
      </c>
      <c r="L1467" s="125"/>
      <c r="M1467" s="33" t="s">
        <v>278</v>
      </c>
      <c r="N1467" s="125"/>
      <c r="O1467" s="33" t="s">
        <v>278</v>
      </c>
      <c r="P1467" s="125"/>
      <c r="Q1467" s="33" t="s">
        <v>587</v>
      </c>
      <c r="R1467" s="125"/>
      <c r="S1467" s="33" t="s">
        <v>278</v>
      </c>
      <c r="T1467" s="125"/>
      <c r="U1467" s="33" t="s">
        <v>278</v>
      </c>
      <c r="V1467" s="125"/>
      <c r="W1467" s="59" t="s">
        <v>548</v>
      </c>
      <c r="X1467" s="33" t="str">
        <f>+VLOOKUP(OtherClients[[#This Row],[Part]],PartControl!$A$2:$E$564,5,FALSE)</f>
        <v>infasco</v>
      </c>
      <c r="Y1467" s="108">
        <f>IF(OtherClients[[#This Row],[Re-certified or New]]&lt;&gt;"Re-certified",IF(OtherClients[[#This Row],[Client]]="infasco",VLOOKUP(OtherClients[[#This Row],[Part]],PartControl!$A$2:$E$564,2,FALSE),OtherClients[[#This Row],[Total Quantity]]*VLOOKUP(OtherClients[[#This Row],[Part]],PartControl!$A$2:$E$564,2,FALSE)),0)</f>
        <v>135.07999999999998</v>
      </c>
      <c r="Z1467" s="108">
        <f>IF(OtherClients[[#This Row],[Re-certified or New]]&lt;&gt;"Re-certified",IF(OtherClients[[#This Row],[Client]]="infasco",VLOOKUP(OtherClients[[#This Row],[Part]],PartControl!$A$2:$E$564,2,FALSE),OtherClients[[#This Row],[Total Quantity]]*VLOOKUP(OtherClients[[#This Row],[Part]],PartControl!$A$2:$E$564,2,FALSE)),0)</f>
        <v>135.07999999999998</v>
      </c>
    </row>
    <row r="1468" spans="1:26" ht="25.15" hidden="1" customHeight="1" x14ac:dyDescent="0.25">
      <c r="A1468" s="112">
        <v>46254.679212962961</v>
      </c>
      <c r="B1468" s="5" t="s">
        <v>235</v>
      </c>
      <c r="C1468" s="5" t="s">
        <v>795</v>
      </c>
      <c r="D1468" s="5">
        <v>716677</v>
      </c>
      <c r="E1468" s="33">
        <f>32-22</f>
        <v>10</v>
      </c>
      <c r="F1468" s="60">
        <v>800</v>
      </c>
      <c r="G1468" s="60">
        <f>+OtherClients[[#This Row],[Boxes / Pieces]]*OtherClients[[#This Row],[Unit Quantity]]</f>
        <v>8000</v>
      </c>
      <c r="H1468" s="60">
        <v>290</v>
      </c>
      <c r="I1468" s="126" t="s">
        <v>278</v>
      </c>
      <c r="J1468" s="127"/>
      <c r="K1468" s="33" t="s">
        <v>278</v>
      </c>
      <c r="L1468" s="125"/>
      <c r="M1468" s="33" t="s">
        <v>278</v>
      </c>
      <c r="N1468" s="125"/>
      <c r="O1468" s="33" t="s">
        <v>278</v>
      </c>
      <c r="P1468" s="125"/>
      <c r="Q1468" s="33" t="s">
        <v>587</v>
      </c>
      <c r="R1468" s="125"/>
      <c r="S1468" s="33" t="s">
        <v>278</v>
      </c>
      <c r="T1468" s="125"/>
      <c r="U1468" s="33" t="s">
        <v>278</v>
      </c>
      <c r="V1468" s="125"/>
      <c r="W1468" s="59" t="s">
        <v>548</v>
      </c>
      <c r="X1468" s="33" t="str">
        <f>+VLOOKUP(OtherClients[[#This Row],[Part]],PartControl!$A$2:$E$564,5,FALSE)</f>
        <v>infasco</v>
      </c>
      <c r="Y1468" s="108">
        <f>IF(OtherClients[[#This Row],[Re-certified or New]]&lt;&gt;"Re-certified",IF(OtherClients[[#This Row],[Client]]="infasco",VLOOKUP(OtherClients[[#This Row],[Part]],PartControl!$A$2:$E$564,2,FALSE),OtherClients[[#This Row],[Total Quantity]]*VLOOKUP(OtherClients[[#This Row],[Part]],PartControl!$A$2:$E$564,2,FALSE)),0)</f>
        <v>280.16000000000003</v>
      </c>
      <c r="Z1468" s="108">
        <f>IF(OtherClients[[#This Row],[Re-certified or New]]&lt;&gt;"Re-certified",IF(OtherClients[[#This Row],[Client]]="infasco",VLOOKUP(OtherClients[[#This Row],[Part]],PartControl!$A$2:$E$564,2,FALSE),OtherClients[[#This Row],[Total Quantity]]*VLOOKUP(OtherClients[[#This Row],[Part]],PartControl!$A$2:$E$564,2,FALSE)),0)</f>
        <v>280.16000000000003</v>
      </c>
    </row>
    <row r="1469" spans="1:26" ht="25.15" hidden="1" customHeight="1" x14ac:dyDescent="0.25">
      <c r="A1469" s="112">
        <v>46254.679212962961</v>
      </c>
      <c r="B1469" s="5" t="s">
        <v>235</v>
      </c>
      <c r="C1469" s="5" t="s">
        <v>795</v>
      </c>
      <c r="D1469" s="5">
        <v>716678</v>
      </c>
      <c r="E1469" s="33">
        <v>17</v>
      </c>
      <c r="F1469" s="60">
        <v>800</v>
      </c>
      <c r="G1469" s="60">
        <f>+OtherClients[[#This Row],[Boxes / Pieces]]*OtherClients[[#This Row],[Unit Quantity]]</f>
        <v>13600</v>
      </c>
      <c r="H1469" s="60">
        <v>290</v>
      </c>
      <c r="I1469" s="126" t="s">
        <v>278</v>
      </c>
      <c r="J1469" s="127"/>
      <c r="K1469" s="33" t="s">
        <v>278</v>
      </c>
      <c r="L1469" s="125"/>
      <c r="M1469" s="33" t="s">
        <v>278</v>
      </c>
      <c r="N1469" s="125"/>
      <c r="O1469" s="33" t="s">
        <v>278</v>
      </c>
      <c r="P1469" s="125"/>
      <c r="Q1469" s="33" t="s">
        <v>587</v>
      </c>
      <c r="R1469" s="125"/>
      <c r="S1469" s="33" t="s">
        <v>278</v>
      </c>
      <c r="T1469" s="125"/>
      <c r="U1469" s="33" t="s">
        <v>278</v>
      </c>
      <c r="V1469" s="125"/>
      <c r="W1469" s="59" t="s">
        <v>633</v>
      </c>
      <c r="X1469" s="33" t="str">
        <f>+VLOOKUP(OtherClients[[#This Row],[Part]],PartControl!$A$2:$E$564,5,FALSE)</f>
        <v>infasco</v>
      </c>
      <c r="Y1469" s="108">
        <f>IF(OtherClients[[#This Row],[Re-certified or New]]&lt;&gt;"Re-certified",IF(OtherClients[[#This Row],[Client]]="infasco",VLOOKUP(OtherClients[[#This Row],[Part]],PartControl!$A$2:$E$564,2,FALSE),OtherClients[[#This Row],[Total Quantity]]*VLOOKUP(OtherClients[[#This Row],[Part]],PartControl!$A$2:$E$564,2,FALSE)),0)</f>
        <v>0</v>
      </c>
      <c r="Z1469" s="108">
        <f>IF(OtherClients[[#This Row],[Re-certified or New]]&lt;&gt;"Re-certified",IF(OtherClients[[#This Row],[Client]]="infasco",VLOOKUP(OtherClients[[#This Row],[Part]],PartControl!$A$2:$E$564,2,FALSE),OtherClients[[#This Row],[Total Quantity]]*VLOOKUP(OtherClients[[#This Row],[Part]],PartControl!$A$2:$E$564,2,FALSE)),0)</f>
        <v>0</v>
      </c>
    </row>
    <row r="1470" spans="1:26" ht="25.15" hidden="1" customHeight="1" x14ac:dyDescent="0.25">
      <c r="A1470" s="112">
        <v>46255.694016203706</v>
      </c>
      <c r="B1470" s="5" t="s">
        <v>235</v>
      </c>
      <c r="C1470" s="5" t="s">
        <v>795</v>
      </c>
      <c r="D1470" s="5">
        <v>716678</v>
      </c>
      <c r="E1470" s="33">
        <f>36-17</f>
        <v>19</v>
      </c>
      <c r="F1470" s="60">
        <v>800</v>
      </c>
      <c r="G1470" s="60">
        <f>+OtherClients[[#This Row],[Boxes / Pieces]]*OtherClients[[#This Row],[Unit Quantity]]</f>
        <v>15200</v>
      </c>
      <c r="H1470" s="60">
        <v>290</v>
      </c>
      <c r="I1470" s="126" t="s">
        <v>278</v>
      </c>
      <c r="J1470" s="127"/>
      <c r="K1470" s="33" t="s">
        <v>278</v>
      </c>
      <c r="L1470" s="125"/>
      <c r="M1470" s="33" t="s">
        <v>278</v>
      </c>
      <c r="N1470" s="125"/>
      <c r="O1470" s="33" t="s">
        <v>278</v>
      </c>
      <c r="P1470" s="125"/>
      <c r="Q1470" s="33" t="s">
        <v>587</v>
      </c>
      <c r="R1470" s="125"/>
      <c r="S1470" s="33" t="s">
        <v>278</v>
      </c>
      <c r="T1470" s="125"/>
      <c r="U1470" s="33" t="s">
        <v>278</v>
      </c>
      <c r="V1470" s="125"/>
      <c r="W1470" s="59" t="s">
        <v>548</v>
      </c>
      <c r="X1470" s="33" t="str">
        <f>+VLOOKUP(OtherClients[[#This Row],[Part]],PartControl!$A$2:$E$564,5,FALSE)</f>
        <v>infasco</v>
      </c>
      <c r="Y1470" s="108">
        <f>IF(OtherClients[[#This Row],[Re-certified or New]]&lt;&gt;"Re-certified",IF(OtherClients[[#This Row],[Client]]="infasco",VLOOKUP(OtherClients[[#This Row],[Part]],PartControl!$A$2:$E$564,2,FALSE),OtherClients[[#This Row],[Total Quantity]]*VLOOKUP(OtherClients[[#This Row],[Part]],PartControl!$A$2:$E$564,2,FALSE)),0)</f>
        <v>280.16000000000003</v>
      </c>
      <c r="Z1470" s="108">
        <f>IF(OtherClients[[#This Row],[Re-certified or New]]&lt;&gt;"Re-certified",IF(OtherClients[[#This Row],[Client]]="infasco",VLOOKUP(OtherClients[[#This Row],[Part]],PartControl!$A$2:$E$564,2,FALSE),OtherClients[[#This Row],[Total Quantity]]*VLOOKUP(OtherClients[[#This Row],[Part]],PartControl!$A$2:$E$564,2,FALSE)),0)</f>
        <v>280.16000000000003</v>
      </c>
    </row>
    <row r="1471" spans="1:26" ht="25.15" hidden="1" customHeight="1" x14ac:dyDescent="0.25">
      <c r="A1471" s="112">
        <v>46255.694016203706</v>
      </c>
      <c r="B1471" s="5" t="s">
        <v>235</v>
      </c>
      <c r="C1471" s="5" t="s">
        <v>795</v>
      </c>
      <c r="D1471" s="5">
        <v>716679</v>
      </c>
      <c r="E1471" s="33">
        <v>11</v>
      </c>
      <c r="F1471" s="60">
        <v>800</v>
      </c>
      <c r="G1471" s="60">
        <f>+OtherClients[[#This Row],[Boxes / Pieces]]*OtherClients[[#This Row],[Unit Quantity]]</f>
        <v>8800</v>
      </c>
      <c r="H1471" s="60">
        <v>290</v>
      </c>
      <c r="I1471" s="126" t="s">
        <v>278</v>
      </c>
      <c r="J1471" s="127"/>
      <c r="K1471" s="33" t="s">
        <v>278</v>
      </c>
      <c r="L1471" s="125"/>
      <c r="M1471" s="33" t="s">
        <v>278</v>
      </c>
      <c r="N1471" s="125"/>
      <c r="O1471" s="33" t="s">
        <v>278</v>
      </c>
      <c r="P1471" s="125"/>
      <c r="Q1471" s="33" t="s">
        <v>587</v>
      </c>
      <c r="R1471" s="125"/>
      <c r="S1471" s="33" t="s">
        <v>278</v>
      </c>
      <c r="T1471" s="125"/>
      <c r="U1471" s="33" t="s">
        <v>278</v>
      </c>
      <c r="V1471" s="125"/>
      <c r="W1471" s="59" t="s">
        <v>548</v>
      </c>
      <c r="X1471" s="33" t="str">
        <f>+VLOOKUP(OtherClients[[#This Row],[Part]],PartControl!$A$2:$E$564,5,FALSE)</f>
        <v>infasco</v>
      </c>
      <c r="Y1471" s="108">
        <f>IF(OtherClients[[#This Row],[Re-certified or New]]&lt;&gt;"Re-certified",IF(OtherClients[[#This Row],[Client]]="infasco",VLOOKUP(OtherClients[[#This Row],[Part]],PartControl!$A$2:$E$564,2,FALSE),OtherClients[[#This Row],[Total Quantity]]*VLOOKUP(OtherClients[[#This Row],[Part]],PartControl!$A$2:$E$564,2,FALSE)),0)</f>
        <v>280.16000000000003</v>
      </c>
      <c r="Z1471" s="108">
        <f>IF(OtherClients[[#This Row],[Re-certified or New]]&lt;&gt;"Re-certified",IF(OtherClients[[#This Row],[Client]]="infasco",VLOOKUP(OtherClients[[#This Row],[Part]],PartControl!$A$2:$E$564,2,FALSE),OtherClients[[#This Row],[Total Quantity]]*VLOOKUP(OtherClients[[#This Row],[Part]],PartControl!$A$2:$E$564,2,FALSE)),0)</f>
        <v>280.16000000000003</v>
      </c>
    </row>
    <row r="1472" spans="1:26" ht="25.15" hidden="1" customHeight="1" x14ac:dyDescent="0.25">
      <c r="A1472" s="112">
        <v>46255.694016203706</v>
      </c>
      <c r="B1472" s="5" t="s">
        <v>235</v>
      </c>
      <c r="C1472" s="5" t="s">
        <v>795</v>
      </c>
      <c r="D1472" s="5">
        <v>716680</v>
      </c>
      <c r="E1472" s="33">
        <v>12</v>
      </c>
      <c r="F1472" s="60">
        <v>800</v>
      </c>
      <c r="G1472" s="60">
        <f>+OtherClients[[#This Row],[Boxes / Pieces]]*OtherClients[[#This Row],[Unit Quantity]]</f>
        <v>9600</v>
      </c>
      <c r="H1472" s="60">
        <v>290</v>
      </c>
      <c r="I1472" s="126" t="s">
        <v>278</v>
      </c>
      <c r="J1472" s="127"/>
      <c r="K1472" s="33" t="s">
        <v>278</v>
      </c>
      <c r="L1472" s="125"/>
      <c r="M1472" s="33" t="s">
        <v>278</v>
      </c>
      <c r="N1472" s="125"/>
      <c r="O1472" s="33" t="s">
        <v>278</v>
      </c>
      <c r="P1472" s="125"/>
      <c r="Q1472" s="33" t="s">
        <v>587</v>
      </c>
      <c r="R1472" s="125"/>
      <c r="S1472" s="33" t="s">
        <v>278</v>
      </c>
      <c r="T1472" s="125"/>
      <c r="U1472" s="33" t="s">
        <v>278</v>
      </c>
      <c r="V1472" s="125"/>
      <c r="W1472" s="59" t="s">
        <v>633</v>
      </c>
      <c r="X1472" s="33" t="str">
        <f>+VLOOKUP(OtherClients[[#This Row],[Part]],PartControl!$A$2:$E$564,5,FALSE)</f>
        <v>infasco</v>
      </c>
      <c r="Y1472" s="108">
        <f>IF(OtherClients[[#This Row],[Re-certified or New]]&lt;&gt;"Re-certified",IF(OtherClients[[#This Row],[Client]]="infasco",VLOOKUP(OtherClients[[#This Row],[Part]],PartControl!$A$2:$E$564,2,FALSE),OtherClients[[#This Row],[Total Quantity]]*VLOOKUP(OtherClients[[#This Row],[Part]],PartControl!$A$2:$E$564,2,FALSE)),0)</f>
        <v>0</v>
      </c>
      <c r="Z1472" s="108">
        <f>IF(OtherClients[[#This Row],[Re-certified or New]]&lt;&gt;"Re-certified",IF(OtherClients[[#This Row],[Client]]="infasco",VLOOKUP(OtherClients[[#This Row],[Part]],PartControl!$A$2:$E$564,2,FALSE),OtherClients[[#This Row],[Total Quantity]]*VLOOKUP(OtherClients[[#This Row],[Part]],PartControl!$A$2:$E$564,2,FALSE)),0)</f>
        <v>0</v>
      </c>
    </row>
    <row r="1473" spans="1:26" ht="25.15" hidden="1" customHeight="1" x14ac:dyDescent="0.25">
      <c r="A1473" s="112">
        <v>46256</v>
      </c>
      <c r="B1473" s="5" t="s">
        <v>245</v>
      </c>
      <c r="C1473" s="5" t="s">
        <v>706</v>
      </c>
      <c r="D1473" s="5">
        <v>715967</v>
      </c>
      <c r="E1473" s="33">
        <v>14</v>
      </c>
      <c r="F1473" s="60">
        <v>1900</v>
      </c>
      <c r="G1473" s="60">
        <f>+OtherClients[[#This Row],[Boxes / Pieces]]*OtherClients[[#This Row],[Unit Quantity]]</f>
        <v>26600</v>
      </c>
      <c r="H1473" s="60">
        <v>292</v>
      </c>
      <c r="I1473" s="126" t="s">
        <v>278</v>
      </c>
      <c r="J1473" s="127"/>
      <c r="K1473" s="33" t="s">
        <v>278</v>
      </c>
      <c r="L1473" s="125"/>
      <c r="M1473" s="33" t="s">
        <v>278</v>
      </c>
      <c r="N1473" s="125"/>
      <c r="O1473" s="33" t="s">
        <v>278</v>
      </c>
      <c r="P1473" s="125"/>
      <c r="Q1473" s="33" t="s">
        <v>587</v>
      </c>
      <c r="R1473" s="125"/>
      <c r="S1473" s="33" t="s">
        <v>278</v>
      </c>
      <c r="T1473" s="125"/>
      <c r="U1473" s="33" t="s">
        <v>278</v>
      </c>
      <c r="V1473" s="125"/>
      <c r="W1473" s="59" t="s">
        <v>633</v>
      </c>
      <c r="X1473" s="33" t="str">
        <f>+VLOOKUP(OtherClients[[#This Row],[Part]],PartControl!$A$2:$E$564,5,FALSE)</f>
        <v>infasco</v>
      </c>
      <c r="Y1473" s="108">
        <f>IF(OtherClients[[#This Row],[Re-certified or New]]&lt;&gt;"Re-certified",IF(OtherClients[[#This Row],[Client]]="infasco",VLOOKUP(OtherClients[[#This Row],[Part]],PartControl!$A$2:$E$564,2,FALSE),OtherClients[[#This Row],[Total Quantity]]*VLOOKUP(OtherClients[[#This Row],[Part]],PartControl!$A$2:$E$564,2,FALSE)),0)</f>
        <v>0</v>
      </c>
      <c r="Z1473" s="108">
        <f>IF(OtherClients[[#This Row],[Re-certified or New]]&lt;&gt;"Re-certified",IF(OtherClients[[#This Row],[Client]]="infasco",VLOOKUP(OtherClients[[#This Row],[Part]],PartControl!$A$2:$E$564,2,FALSE),OtherClients[[#This Row],[Total Quantity]]*VLOOKUP(OtherClients[[#This Row],[Part]],PartControl!$A$2:$E$564,2,FALSE)),0)</f>
        <v>0</v>
      </c>
    </row>
    <row r="1474" spans="1:26" ht="25.15" hidden="1" customHeight="1" x14ac:dyDescent="0.25">
      <c r="A1474" s="112">
        <v>46254.679212962961</v>
      </c>
      <c r="B1474" s="5" t="s">
        <v>863</v>
      </c>
      <c r="C1474" s="5">
        <v>11547176</v>
      </c>
      <c r="D1474" s="5">
        <v>716681</v>
      </c>
      <c r="E1474" s="33">
        <v>2</v>
      </c>
      <c r="F1474" s="60">
        <v>850</v>
      </c>
      <c r="G1474" s="60">
        <f>+OtherClients[[#This Row],[Boxes / Pieces]]*OtherClients[[#This Row],[Unit Quantity]]</f>
        <v>1700</v>
      </c>
      <c r="H1474" s="60">
        <v>275</v>
      </c>
      <c r="I1474" s="126" t="s">
        <v>278</v>
      </c>
      <c r="J1474" s="127"/>
      <c r="K1474" s="33" t="s">
        <v>278</v>
      </c>
      <c r="L1474" s="125"/>
      <c r="M1474" s="33" t="s">
        <v>278</v>
      </c>
      <c r="N1474" s="125"/>
      <c r="O1474" s="33" t="s">
        <v>278</v>
      </c>
      <c r="P1474" s="125"/>
      <c r="Q1474" s="33" t="s">
        <v>587</v>
      </c>
      <c r="R1474" s="125"/>
      <c r="S1474" s="33" t="s">
        <v>278</v>
      </c>
      <c r="T1474" s="125"/>
      <c r="U1474" s="33" t="s">
        <v>278</v>
      </c>
      <c r="V1474" s="125"/>
      <c r="W1474" s="59" t="s">
        <v>548</v>
      </c>
      <c r="X1474" s="33" t="str">
        <f>+VLOOKUP(OtherClients[[#This Row],[Part]],PartControl!$A$2:$E$564,5,FALSE)</f>
        <v>INFASCO</v>
      </c>
      <c r="Y1474" s="108">
        <f>IF(OtherClients[[#This Row],[Re-certified or New]]&lt;&gt;"Re-certified",IF(OtherClients[[#This Row],[Client]]="infasco",VLOOKUP(OtherClients[[#This Row],[Part]],PartControl!$A$2:$E$564,2,FALSE),OtherClients[[#This Row],[Total Quantity]]*VLOOKUP(OtherClients[[#This Row],[Part]],PartControl!$A$2:$E$564,2,FALSE)),0)</f>
        <v>280.15999999999997</v>
      </c>
      <c r="Z1474" s="108">
        <f>IF(OtherClients[[#This Row],[Re-certified or New]]&lt;&gt;"Re-certified",IF(OtherClients[[#This Row],[Client]]="infasco",VLOOKUP(OtherClients[[#This Row],[Part]],PartControl!$A$2:$E$564,2,FALSE),OtherClients[[#This Row],[Total Quantity]]*VLOOKUP(OtherClients[[#This Row],[Part]],PartControl!$A$2:$E$564,2,FALSE)),0)</f>
        <v>280.15999999999997</v>
      </c>
    </row>
    <row r="1475" spans="1:26" ht="25.15" hidden="1" customHeight="1" x14ac:dyDescent="0.25">
      <c r="A1475" s="112">
        <v>46254.679212962961</v>
      </c>
      <c r="B1475" s="5" t="s">
        <v>342</v>
      </c>
      <c r="C1475" s="5" t="s">
        <v>883</v>
      </c>
      <c r="D1475" s="5">
        <v>716751</v>
      </c>
      <c r="E1475" s="33">
        <v>32</v>
      </c>
      <c r="F1475" s="60">
        <v>230</v>
      </c>
      <c r="G1475" s="60">
        <f>+OtherClients[[#This Row],[Boxes / Pieces]]*OtherClients[[#This Row],[Unit Quantity]]</f>
        <v>7360</v>
      </c>
      <c r="H1475" s="60" t="s">
        <v>811</v>
      </c>
      <c r="I1475" s="126" t="s">
        <v>278</v>
      </c>
      <c r="J1475" s="127"/>
      <c r="K1475" s="33" t="s">
        <v>278</v>
      </c>
      <c r="L1475" s="125"/>
      <c r="M1475" s="33" t="s">
        <v>278</v>
      </c>
      <c r="N1475" s="125"/>
      <c r="O1475" s="33" t="s">
        <v>278</v>
      </c>
      <c r="P1475" s="125"/>
      <c r="Q1475" s="33" t="s">
        <v>587</v>
      </c>
      <c r="R1475" s="125"/>
      <c r="S1475" s="33" t="s">
        <v>278</v>
      </c>
      <c r="T1475" s="125"/>
      <c r="U1475" s="33" t="s">
        <v>278</v>
      </c>
      <c r="V1475" s="125"/>
      <c r="W1475" s="59" t="s">
        <v>548</v>
      </c>
      <c r="X1475" s="33" t="str">
        <f>+VLOOKUP(OtherClients[[#This Row],[Part]],PartControl!$A$2:$E$564,5,FALSE)</f>
        <v>infasco</v>
      </c>
      <c r="Y1475" s="108">
        <f>IF(OtherClients[[#This Row],[Re-certified or New]]&lt;&gt;"Re-certified",IF(OtherClients[[#This Row],[Client]]="infasco",VLOOKUP(OtherClients[[#This Row],[Part]],PartControl!$A$2:$E$564,2,FALSE),OtherClients[[#This Row],[Total Quantity]]*VLOOKUP(OtherClients[[#This Row],[Part]],PartControl!$A$2:$E$564,2,FALSE)),0)</f>
        <v>106.94</v>
      </c>
      <c r="Z1475" s="108">
        <f>IF(OtherClients[[#This Row],[Re-certified or New]]&lt;&gt;"Re-certified",IF(OtherClients[[#This Row],[Client]]="infasco",VLOOKUP(OtherClients[[#This Row],[Part]],PartControl!$A$2:$E$564,2,FALSE),OtherClients[[#This Row],[Total Quantity]]*VLOOKUP(OtherClients[[#This Row],[Part]],PartControl!$A$2:$E$564,2,FALSE)),0)</f>
        <v>106.94</v>
      </c>
    </row>
    <row r="1476" spans="1:26" ht="25.15" hidden="1" customHeight="1" x14ac:dyDescent="0.25">
      <c r="A1476" s="112">
        <v>46254.679212962961</v>
      </c>
      <c r="B1476" s="5" t="s">
        <v>345</v>
      </c>
      <c r="C1476" s="5" t="s">
        <v>883</v>
      </c>
      <c r="D1476" s="5">
        <v>716752</v>
      </c>
      <c r="E1476" s="33">
        <v>35</v>
      </c>
      <c r="F1476" s="60">
        <v>230</v>
      </c>
      <c r="G1476" s="60">
        <f>+OtherClients[[#This Row],[Boxes / Pieces]]*OtherClients[[#This Row],[Unit Quantity]]</f>
        <v>8050</v>
      </c>
      <c r="H1476" s="60" t="s">
        <v>849</v>
      </c>
      <c r="I1476" s="126" t="s">
        <v>278</v>
      </c>
      <c r="J1476" s="127"/>
      <c r="K1476" s="33" t="s">
        <v>278</v>
      </c>
      <c r="L1476" s="125"/>
      <c r="M1476" s="33" t="s">
        <v>278</v>
      </c>
      <c r="N1476" s="125"/>
      <c r="O1476" s="33" t="s">
        <v>278</v>
      </c>
      <c r="P1476" s="125"/>
      <c r="Q1476" s="33" t="s">
        <v>587</v>
      </c>
      <c r="R1476" s="125"/>
      <c r="S1476" s="33" t="s">
        <v>278</v>
      </c>
      <c r="T1476" s="125"/>
      <c r="U1476" s="33" t="s">
        <v>278</v>
      </c>
      <c r="V1476" s="125"/>
      <c r="W1476" s="59" t="s">
        <v>548</v>
      </c>
      <c r="X1476" s="33" t="str">
        <f>+VLOOKUP(OtherClients[[#This Row],[Part]],PartControl!$A$2:$E$564,5,FALSE)</f>
        <v>infasco</v>
      </c>
      <c r="Y1476" s="108">
        <f>IF(OtherClients[[#This Row],[Re-certified or New]]&lt;&gt;"Re-certified",IF(OtherClients[[#This Row],[Client]]="infasco",VLOOKUP(OtherClients[[#This Row],[Part]],PartControl!$A$2:$E$564,2,FALSE),OtherClients[[#This Row],[Total Quantity]]*VLOOKUP(OtherClients[[#This Row],[Part]],PartControl!$A$2:$E$564,2,FALSE)),0)</f>
        <v>106.94</v>
      </c>
      <c r="Z1476" s="108">
        <f>IF(OtherClients[[#This Row],[Re-certified or New]]&lt;&gt;"Re-certified",IF(OtherClients[[#This Row],[Client]]="infasco",VLOOKUP(OtherClients[[#This Row],[Part]],PartControl!$A$2:$E$564,2,FALSE),OtherClients[[#This Row],[Total Quantity]]*VLOOKUP(OtherClients[[#This Row],[Part]],PartControl!$A$2:$E$564,2,FALSE)),0)</f>
        <v>106.94</v>
      </c>
    </row>
    <row r="1477" spans="1:26" ht="25.15" hidden="1" customHeight="1" x14ac:dyDescent="0.25">
      <c r="A1477" s="112">
        <v>46254.679212962961</v>
      </c>
      <c r="B1477" s="5" t="s">
        <v>343</v>
      </c>
      <c r="C1477" s="5" t="s">
        <v>883</v>
      </c>
      <c r="D1477" s="5">
        <v>716753</v>
      </c>
      <c r="E1477" s="33">
        <v>35</v>
      </c>
      <c r="F1477" s="60">
        <v>230</v>
      </c>
      <c r="G1477" s="60">
        <f>+OtherClients[[#This Row],[Boxes / Pieces]]*OtherClients[[#This Row],[Unit Quantity]]</f>
        <v>8050</v>
      </c>
      <c r="H1477" s="60" t="s">
        <v>757</v>
      </c>
      <c r="I1477" s="126" t="s">
        <v>278</v>
      </c>
      <c r="J1477" s="127"/>
      <c r="K1477" s="33" t="s">
        <v>278</v>
      </c>
      <c r="L1477" s="125"/>
      <c r="M1477" s="33" t="s">
        <v>278</v>
      </c>
      <c r="N1477" s="125"/>
      <c r="O1477" s="33" t="s">
        <v>278</v>
      </c>
      <c r="P1477" s="125"/>
      <c r="Q1477" s="33" t="s">
        <v>587</v>
      </c>
      <c r="R1477" s="125"/>
      <c r="S1477" s="33" t="s">
        <v>278</v>
      </c>
      <c r="T1477" s="125"/>
      <c r="U1477" s="33" t="s">
        <v>278</v>
      </c>
      <c r="V1477" s="125"/>
      <c r="W1477" s="59" t="s">
        <v>548</v>
      </c>
      <c r="X1477" s="33" t="str">
        <f>+VLOOKUP(OtherClients[[#This Row],[Part]],PartControl!$A$2:$E$564,5,FALSE)</f>
        <v>infasco</v>
      </c>
      <c r="Y1477" s="108">
        <f>IF(OtherClients[[#This Row],[Re-certified or New]]&lt;&gt;"Re-certified",IF(OtherClients[[#This Row],[Client]]="infasco",VLOOKUP(OtherClients[[#This Row],[Part]],PartControl!$A$2:$E$564,2,FALSE),OtherClients[[#This Row],[Total Quantity]]*VLOOKUP(OtherClients[[#This Row],[Part]],PartControl!$A$2:$E$564,2,FALSE)),0)</f>
        <v>106.94</v>
      </c>
      <c r="Z1477" s="108">
        <f>IF(OtherClients[[#This Row],[Re-certified or New]]&lt;&gt;"Re-certified",IF(OtherClients[[#This Row],[Client]]="infasco",VLOOKUP(OtherClients[[#This Row],[Part]],PartControl!$A$2:$E$564,2,FALSE),OtherClients[[#This Row],[Total Quantity]]*VLOOKUP(OtherClients[[#This Row],[Part]],PartControl!$A$2:$E$564,2,FALSE)),0)</f>
        <v>106.94</v>
      </c>
    </row>
    <row r="1478" spans="1:26" ht="25.15" hidden="1" customHeight="1" x14ac:dyDescent="0.25">
      <c r="A1478" s="112">
        <v>46254.679212962961</v>
      </c>
      <c r="B1478" s="5" t="s">
        <v>345</v>
      </c>
      <c r="C1478" s="5" t="s">
        <v>883</v>
      </c>
      <c r="D1478" s="5">
        <v>716754</v>
      </c>
      <c r="E1478" s="33">
        <v>34</v>
      </c>
      <c r="F1478" s="60">
        <v>230</v>
      </c>
      <c r="G1478" s="60">
        <f>+OtherClients[[#This Row],[Boxes / Pieces]]*OtherClients[[#This Row],[Unit Quantity]]</f>
        <v>7820</v>
      </c>
      <c r="H1478" s="60" t="s">
        <v>849</v>
      </c>
      <c r="I1478" s="126" t="s">
        <v>278</v>
      </c>
      <c r="J1478" s="127"/>
      <c r="K1478" s="33" t="s">
        <v>278</v>
      </c>
      <c r="L1478" s="125"/>
      <c r="M1478" s="33" t="s">
        <v>278</v>
      </c>
      <c r="N1478" s="125"/>
      <c r="O1478" s="33" t="s">
        <v>278</v>
      </c>
      <c r="P1478" s="125"/>
      <c r="Q1478" s="33" t="s">
        <v>587</v>
      </c>
      <c r="R1478" s="125"/>
      <c r="S1478" s="33" t="s">
        <v>278</v>
      </c>
      <c r="T1478" s="125"/>
      <c r="U1478" s="33" t="s">
        <v>278</v>
      </c>
      <c r="V1478" s="125"/>
      <c r="W1478" s="59" t="s">
        <v>548</v>
      </c>
      <c r="X1478" s="33" t="str">
        <f>+VLOOKUP(OtherClients[[#This Row],[Part]],PartControl!$A$2:$E$564,5,FALSE)</f>
        <v>infasco</v>
      </c>
      <c r="Y1478" s="108">
        <f>IF(OtherClients[[#This Row],[Re-certified or New]]&lt;&gt;"Re-certified",IF(OtherClients[[#This Row],[Client]]="infasco",VLOOKUP(OtherClients[[#This Row],[Part]],PartControl!$A$2:$E$564,2,FALSE),OtherClients[[#This Row],[Total Quantity]]*VLOOKUP(OtherClients[[#This Row],[Part]],PartControl!$A$2:$E$564,2,FALSE)),0)</f>
        <v>106.94</v>
      </c>
      <c r="Z1478" s="108">
        <f>IF(OtherClients[[#This Row],[Re-certified or New]]&lt;&gt;"Re-certified",IF(OtherClients[[#This Row],[Client]]="infasco",VLOOKUP(OtherClients[[#This Row],[Part]],PartControl!$A$2:$E$564,2,FALSE),OtherClients[[#This Row],[Total Quantity]]*VLOOKUP(OtherClients[[#This Row],[Part]],PartControl!$A$2:$E$564,2,FALSE)),0)</f>
        <v>106.94</v>
      </c>
    </row>
    <row r="1479" spans="1:26" ht="25.15" hidden="1" customHeight="1" x14ac:dyDescent="0.25">
      <c r="A1479" s="112">
        <v>46254.679212962961</v>
      </c>
      <c r="B1479" s="5" t="s">
        <v>344</v>
      </c>
      <c r="C1479" s="5" t="s">
        <v>883</v>
      </c>
      <c r="D1479" s="5">
        <v>716756</v>
      </c>
      <c r="E1479" s="33">
        <v>7</v>
      </c>
      <c r="F1479" s="60">
        <v>230</v>
      </c>
      <c r="G1479" s="60">
        <f>+OtherClients[[#This Row],[Boxes / Pieces]]*OtherClients[[#This Row],[Unit Quantity]]</f>
        <v>1610</v>
      </c>
      <c r="H1479" s="60" t="s">
        <v>816</v>
      </c>
      <c r="I1479" s="126" t="s">
        <v>278</v>
      </c>
      <c r="J1479" s="127"/>
      <c r="K1479" s="33" t="s">
        <v>278</v>
      </c>
      <c r="L1479" s="125"/>
      <c r="M1479" s="33" t="s">
        <v>278</v>
      </c>
      <c r="N1479" s="125"/>
      <c r="O1479" s="33" t="s">
        <v>278</v>
      </c>
      <c r="P1479" s="125"/>
      <c r="Q1479" s="33" t="s">
        <v>587</v>
      </c>
      <c r="R1479" s="125"/>
      <c r="S1479" s="33" t="s">
        <v>278</v>
      </c>
      <c r="T1479" s="125"/>
      <c r="U1479" s="33" t="s">
        <v>278</v>
      </c>
      <c r="V1479" s="125"/>
      <c r="W1479" s="59" t="s">
        <v>548</v>
      </c>
      <c r="X1479" s="33" t="str">
        <f>+VLOOKUP(OtherClients[[#This Row],[Part]],PartControl!$A$2:$E$564,5,FALSE)</f>
        <v>infasco</v>
      </c>
      <c r="Y1479" s="108">
        <f>IF(OtherClients[[#This Row],[Re-certified or New]]&lt;&gt;"Re-certified",IF(OtherClients[[#This Row],[Client]]="infasco",VLOOKUP(OtherClients[[#This Row],[Part]],PartControl!$A$2:$E$564,2,FALSE),OtherClients[[#This Row],[Total Quantity]]*VLOOKUP(OtherClients[[#This Row],[Part]],PartControl!$A$2:$E$564,2,FALSE)),0)</f>
        <v>106.94</v>
      </c>
      <c r="Z1479" s="108">
        <f>IF(OtherClients[[#This Row],[Re-certified or New]]&lt;&gt;"Re-certified",IF(OtherClients[[#This Row],[Client]]="infasco",VLOOKUP(OtherClients[[#This Row],[Part]],PartControl!$A$2:$E$564,2,FALSE),OtherClients[[#This Row],[Total Quantity]]*VLOOKUP(OtherClients[[#This Row],[Part]],PartControl!$A$2:$E$564,2,FALSE)),0)</f>
        <v>106.94</v>
      </c>
    </row>
    <row r="1480" spans="1:26" ht="25.15" hidden="1" customHeight="1" x14ac:dyDescent="0.25">
      <c r="A1480" s="112">
        <v>46255.694016203706</v>
      </c>
      <c r="B1480" s="5" t="s">
        <v>234</v>
      </c>
      <c r="C1480" s="5">
        <v>11546437</v>
      </c>
      <c r="D1480" s="5">
        <v>716759</v>
      </c>
      <c r="E1480" s="33">
        <v>9</v>
      </c>
      <c r="F1480" s="60">
        <v>1500</v>
      </c>
      <c r="G1480" s="60">
        <f>+OtherClients[[#This Row],[Boxes / Pieces]]*OtherClients[[#This Row],[Unit Quantity]]</f>
        <v>13500</v>
      </c>
      <c r="H1480" s="60">
        <v>275</v>
      </c>
      <c r="I1480" s="126" t="s">
        <v>278</v>
      </c>
      <c r="J1480" s="127"/>
      <c r="K1480" s="33" t="s">
        <v>278</v>
      </c>
      <c r="L1480" s="125"/>
      <c r="M1480" s="33" t="s">
        <v>278</v>
      </c>
      <c r="N1480" s="125"/>
      <c r="O1480" s="33" t="s">
        <v>278</v>
      </c>
      <c r="P1480" s="125"/>
      <c r="Q1480" s="33" t="s">
        <v>587</v>
      </c>
      <c r="R1480" s="125"/>
      <c r="S1480" s="33" t="s">
        <v>278</v>
      </c>
      <c r="T1480" s="125"/>
      <c r="U1480" s="33" t="s">
        <v>278</v>
      </c>
      <c r="V1480" s="125"/>
      <c r="W1480" s="59" t="s">
        <v>633</v>
      </c>
      <c r="X1480" s="33" t="str">
        <f>+VLOOKUP(OtherClients[[#This Row],[Part]],PartControl!$A$2:$E$564,5,FALSE)</f>
        <v>infasco</v>
      </c>
      <c r="Y1480" s="108">
        <f>IF(OtherClients[[#This Row],[Re-certified or New]]&lt;&gt;"Re-certified",IF(OtherClients[[#This Row],[Client]]="infasco",VLOOKUP(OtherClients[[#This Row],[Part]],PartControl!$A$2:$E$564,2,FALSE),OtherClients[[#This Row],[Total Quantity]]*VLOOKUP(OtherClients[[#This Row],[Part]],PartControl!$A$2:$E$564,2,FALSE)),0)</f>
        <v>0</v>
      </c>
      <c r="Z1480" s="108">
        <f>IF(OtherClients[[#This Row],[Re-certified or New]]&lt;&gt;"Re-certified",IF(OtherClients[[#This Row],[Client]]="infasco",VLOOKUP(OtherClients[[#This Row],[Part]],PartControl!$A$2:$E$564,2,FALSE),OtherClients[[#This Row],[Total Quantity]]*VLOOKUP(OtherClients[[#This Row],[Part]],PartControl!$A$2:$E$564,2,FALSE)),0)</f>
        <v>0</v>
      </c>
    </row>
    <row r="1481" spans="1:26" ht="25.15" hidden="1" customHeight="1" x14ac:dyDescent="0.25">
      <c r="A1481" s="112">
        <v>46256</v>
      </c>
      <c r="B1481" s="5" t="s">
        <v>246</v>
      </c>
      <c r="C1481" s="5">
        <v>11610091</v>
      </c>
      <c r="D1481" s="5">
        <v>716447</v>
      </c>
      <c r="E1481" s="33">
        <v>4</v>
      </c>
      <c r="F1481" s="60">
        <v>2500</v>
      </c>
      <c r="G1481" s="60">
        <f>+OtherClients[[#This Row],[Boxes / Pieces]]*OtherClients[[#This Row],[Unit Quantity]]</f>
        <v>10000</v>
      </c>
      <c r="H1481" s="60">
        <v>292</v>
      </c>
      <c r="I1481" s="126" t="s">
        <v>278</v>
      </c>
      <c r="J1481" s="127"/>
      <c r="K1481" s="33" t="s">
        <v>278</v>
      </c>
      <c r="L1481" s="125"/>
      <c r="M1481" s="33" t="s">
        <v>278</v>
      </c>
      <c r="N1481" s="125"/>
      <c r="O1481" s="33" t="s">
        <v>278</v>
      </c>
      <c r="P1481" s="125"/>
      <c r="Q1481" s="33" t="s">
        <v>587</v>
      </c>
      <c r="R1481" s="125"/>
      <c r="S1481" s="33" t="s">
        <v>278</v>
      </c>
      <c r="T1481" s="125"/>
      <c r="U1481" s="33" t="s">
        <v>278</v>
      </c>
      <c r="V1481" s="125"/>
      <c r="W1481" s="59" t="s">
        <v>548</v>
      </c>
      <c r="X1481" s="33" t="str">
        <f>+VLOOKUP(OtherClients[[#This Row],[Part]],PartControl!$A$2:$E$564,5,FALSE)</f>
        <v>infasco</v>
      </c>
      <c r="Y1481" s="108">
        <f>IF(OtherClients[[#This Row],[Re-certified or New]]&lt;&gt;"Re-certified",IF(OtherClients[[#This Row],[Client]]="infasco",VLOOKUP(OtherClients[[#This Row],[Part]],PartControl!$A$2:$E$564,2,FALSE),OtherClients[[#This Row],[Total Quantity]]*VLOOKUP(OtherClients[[#This Row],[Part]],PartControl!$A$2:$E$564,2,FALSE)),0)</f>
        <v>106.94</v>
      </c>
      <c r="Z1481" s="108">
        <f>IF(OtherClients[[#This Row],[Re-certified or New]]&lt;&gt;"Re-certified",IF(OtherClients[[#This Row],[Client]]="infasco",VLOOKUP(OtherClients[[#This Row],[Part]],PartControl!$A$2:$E$564,2,FALSE),OtherClients[[#This Row],[Total Quantity]]*VLOOKUP(OtherClients[[#This Row],[Part]],PartControl!$A$2:$E$564,2,FALSE)),0)</f>
        <v>106.94</v>
      </c>
    </row>
    <row r="1482" spans="1:26" ht="25.15" hidden="1" customHeight="1" x14ac:dyDescent="0.25">
      <c r="A1482" s="112">
        <v>46256</v>
      </c>
      <c r="B1482" s="5" t="s">
        <v>246</v>
      </c>
      <c r="C1482" s="5" t="s">
        <v>685</v>
      </c>
      <c r="D1482" s="5">
        <v>717442</v>
      </c>
      <c r="E1482" s="33">
        <v>10</v>
      </c>
      <c r="F1482" s="60">
        <v>2500</v>
      </c>
      <c r="G1482" s="60">
        <f>+OtherClients[[#This Row],[Boxes / Pieces]]*OtherClients[[#This Row],[Unit Quantity]]</f>
        <v>25000</v>
      </c>
      <c r="H1482" s="60">
        <v>292</v>
      </c>
      <c r="I1482" s="126" t="s">
        <v>278</v>
      </c>
      <c r="J1482" s="127"/>
      <c r="K1482" s="33" t="s">
        <v>278</v>
      </c>
      <c r="L1482" s="125"/>
      <c r="M1482" s="33" t="s">
        <v>278</v>
      </c>
      <c r="N1482" s="125"/>
      <c r="O1482" s="33" t="s">
        <v>278</v>
      </c>
      <c r="P1482" s="125"/>
      <c r="Q1482" s="33" t="s">
        <v>587</v>
      </c>
      <c r="R1482" s="125"/>
      <c r="S1482" s="33" t="s">
        <v>278</v>
      </c>
      <c r="T1482" s="125"/>
      <c r="U1482" s="33" t="s">
        <v>278</v>
      </c>
      <c r="V1482" s="125"/>
      <c r="W1482" s="59" t="s">
        <v>633</v>
      </c>
      <c r="X1482" s="33" t="str">
        <f>+VLOOKUP(OtherClients[[#This Row],[Part]],PartControl!$A$2:$E$564,5,FALSE)</f>
        <v>infasco</v>
      </c>
      <c r="Y1482" s="108">
        <f>IF(OtherClients[[#This Row],[Re-certified or New]]&lt;&gt;"Re-certified",IF(OtherClients[[#This Row],[Client]]="infasco",VLOOKUP(OtherClients[[#This Row],[Part]],PartControl!$A$2:$E$564,2,FALSE),OtherClients[[#This Row],[Total Quantity]]*VLOOKUP(OtherClients[[#This Row],[Part]],PartControl!$A$2:$E$564,2,FALSE)),0)</f>
        <v>0</v>
      </c>
      <c r="Z1482" s="108">
        <f>IF(OtherClients[[#This Row],[Re-certified or New]]&lt;&gt;"Re-certified",IF(OtherClients[[#This Row],[Client]]="infasco",VLOOKUP(OtherClients[[#This Row],[Part]],PartControl!$A$2:$E$564,2,FALSE),OtherClients[[#This Row],[Total Quantity]]*VLOOKUP(OtherClients[[#This Row],[Part]],PartControl!$A$2:$E$564,2,FALSE)),0)</f>
        <v>0</v>
      </c>
    </row>
    <row r="1483" spans="1:26" ht="25.15" hidden="1" customHeight="1" x14ac:dyDescent="0.25">
      <c r="A1483" s="112">
        <v>46256</v>
      </c>
      <c r="B1483" s="5" t="s">
        <v>249</v>
      </c>
      <c r="C1483" s="5">
        <v>11612078</v>
      </c>
      <c r="D1483" s="5">
        <v>709059</v>
      </c>
      <c r="E1483" s="33">
        <v>16</v>
      </c>
      <c r="F1483" s="60">
        <v>1850</v>
      </c>
      <c r="G1483" s="60">
        <f>+OtherClients[[#This Row],[Boxes / Pieces]]*OtherClients[[#This Row],[Unit Quantity]]</f>
        <v>29600</v>
      </c>
      <c r="H1483" s="60">
        <v>4</v>
      </c>
      <c r="I1483" s="126" t="s">
        <v>278</v>
      </c>
      <c r="J1483" s="127"/>
      <c r="K1483" s="33" t="s">
        <v>278</v>
      </c>
      <c r="L1483" s="125"/>
      <c r="M1483" s="33" t="s">
        <v>278</v>
      </c>
      <c r="N1483" s="125"/>
      <c r="O1483" s="33" t="s">
        <v>278</v>
      </c>
      <c r="P1483" s="125"/>
      <c r="Q1483" s="33" t="s">
        <v>587</v>
      </c>
      <c r="R1483" s="125"/>
      <c r="S1483" s="33" t="s">
        <v>278</v>
      </c>
      <c r="T1483" s="125"/>
      <c r="U1483" s="33" t="s">
        <v>278</v>
      </c>
      <c r="V1483" s="125"/>
      <c r="W1483" s="59" t="s">
        <v>633</v>
      </c>
      <c r="X1483" s="33" t="str">
        <f>+VLOOKUP(OtherClients[[#This Row],[Part]],PartControl!$A$2:$E$564,5,FALSE)</f>
        <v>infasco</v>
      </c>
      <c r="Y1483" s="108">
        <f>IF(OtherClients[[#This Row],[Re-certified or New]]&lt;&gt;"Re-certified",IF(OtherClients[[#This Row],[Client]]="infasco",VLOOKUP(OtherClients[[#This Row],[Part]],PartControl!$A$2:$E$564,2,FALSE),OtherClients[[#This Row],[Total Quantity]]*VLOOKUP(OtherClients[[#This Row],[Part]],PartControl!$A$2:$E$564,2,FALSE)),0)</f>
        <v>0</v>
      </c>
      <c r="Z1483" s="108">
        <f>IF(OtherClients[[#This Row],[Re-certified or New]]&lt;&gt;"Re-certified",IF(OtherClients[[#This Row],[Client]]="infasco",VLOOKUP(OtherClients[[#This Row],[Part]],PartControl!$A$2:$E$564,2,FALSE),OtherClients[[#This Row],[Total Quantity]]*VLOOKUP(OtherClients[[#This Row],[Part]],PartControl!$A$2:$E$564,2,FALSE)),0)</f>
        <v>0</v>
      </c>
    </row>
    <row r="1484" spans="1:26" ht="25.15" hidden="1" customHeight="1" x14ac:dyDescent="0.25">
      <c r="A1484" s="112">
        <v>46254.679212962961</v>
      </c>
      <c r="B1484" s="5" t="s">
        <v>240</v>
      </c>
      <c r="C1484" s="5">
        <v>11516782</v>
      </c>
      <c r="D1484" s="5">
        <v>716767</v>
      </c>
      <c r="E1484" s="33">
        <v>34</v>
      </c>
      <c r="F1484" s="60">
        <v>500</v>
      </c>
      <c r="G1484" s="60">
        <f>+OtherClients[[#This Row],[Boxes / Pieces]]*OtherClients[[#This Row],[Unit Quantity]]</f>
        <v>17000</v>
      </c>
      <c r="H1484" s="60">
        <v>290</v>
      </c>
      <c r="I1484" s="126" t="s">
        <v>278</v>
      </c>
      <c r="J1484" s="127"/>
      <c r="K1484" s="33" t="s">
        <v>278</v>
      </c>
      <c r="L1484" s="125"/>
      <c r="M1484" s="33" t="s">
        <v>278</v>
      </c>
      <c r="N1484" s="125"/>
      <c r="O1484" s="33" t="s">
        <v>278</v>
      </c>
      <c r="P1484" s="125"/>
      <c r="Q1484" s="33" t="s">
        <v>587</v>
      </c>
      <c r="R1484" s="125"/>
      <c r="S1484" s="33" t="s">
        <v>278</v>
      </c>
      <c r="T1484" s="125"/>
      <c r="U1484" s="33" t="s">
        <v>278</v>
      </c>
      <c r="V1484" s="125"/>
      <c r="W1484" s="59" t="s">
        <v>548</v>
      </c>
      <c r="X1484" s="33" t="str">
        <f>+VLOOKUP(OtherClients[[#This Row],[Part]],PartControl!$A$2:$E$564,5,FALSE)</f>
        <v>infasco</v>
      </c>
      <c r="Y1484" s="108">
        <f>IF(OtherClients[[#This Row],[Re-certified or New]]&lt;&gt;"Re-certified",IF(OtherClients[[#This Row],[Client]]="infasco",VLOOKUP(OtherClients[[#This Row],[Part]],PartControl!$A$2:$E$564,2,FALSE),OtherClients[[#This Row],[Total Quantity]]*VLOOKUP(OtherClients[[#This Row],[Part]],PartControl!$A$2:$E$564,2,FALSE)),0)</f>
        <v>106.94</v>
      </c>
      <c r="Z1484" s="108">
        <f>IF(OtherClients[[#This Row],[Re-certified or New]]&lt;&gt;"Re-certified",IF(OtherClients[[#This Row],[Client]]="infasco",VLOOKUP(OtherClients[[#This Row],[Part]],PartControl!$A$2:$E$564,2,FALSE),OtherClients[[#This Row],[Total Quantity]]*VLOOKUP(OtherClients[[#This Row],[Part]],PartControl!$A$2:$E$564,2,FALSE)),0)</f>
        <v>106.94</v>
      </c>
    </row>
    <row r="1485" spans="1:26" ht="25.15" hidden="1" customHeight="1" x14ac:dyDescent="0.25">
      <c r="A1485" s="112">
        <v>46254.679212962961</v>
      </c>
      <c r="B1485" s="5" t="s">
        <v>240</v>
      </c>
      <c r="C1485" s="5">
        <v>11516782</v>
      </c>
      <c r="D1485" s="5">
        <v>716768</v>
      </c>
      <c r="E1485" s="33">
        <v>36</v>
      </c>
      <c r="F1485" s="60">
        <v>500</v>
      </c>
      <c r="G1485" s="60">
        <f>+OtherClients[[#This Row],[Boxes / Pieces]]*OtherClients[[#This Row],[Unit Quantity]]</f>
        <v>18000</v>
      </c>
      <c r="H1485" s="60">
        <v>290</v>
      </c>
      <c r="I1485" s="126" t="s">
        <v>278</v>
      </c>
      <c r="J1485" s="127"/>
      <c r="K1485" s="33" t="s">
        <v>278</v>
      </c>
      <c r="L1485" s="125"/>
      <c r="M1485" s="33" t="s">
        <v>278</v>
      </c>
      <c r="N1485" s="125"/>
      <c r="O1485" s="33" t="s">
        <v>278</v>
      </c>
      <c r="P1485" s="125"/>
      <c r="Q1485" s="33" t="s">
        <v>587</v>
      </c>
      <c r="R1485" s="125"/>
      <c r="S1485" s="33" t="s">
        <v>278</v>
      </c>
      <c r="T1485" s="125"/>
      <c r="U1485" s="33" t="s">
        <v>278</v>
      </c>
      <c r="V1485" s="125"/>
      <c r="W1485" s="59" t="s">
        <v>548</v>
      </c>
      <c r="X1485" s="33" t="str">
        <f>+VLOOKUP(OtherClients[[#This Row],[Part]],PartControl!$A$2:$E$564,5,FALSE)</f>
        <v>infasco</v>
      </c>
      <c r="Y1485" s="108">
        <f>IF(OtherClients[[#This Row],[Re-certified or New]]&lt;&gt;"Re-certified",IF(OtherClients[[#This Row],[Client]]="infasco",VLOOKUP(OtherClients[[#This Row],[Part]],PartControl!$A$2:$E$564,2,FALSE),OtherClients[[#This Row],[Total Quantity]]*VLOOKUP(OtherClients[[#This Row],[Part]],PartControl!$A$2:$E$564,2,FALSE)),0)</f>
        <v>106.94</v>
      </c>
      <c r="Z1485" s="108">
        <f>IF(OtherClients[[#This Row],[Re-certified or New]]&lt;&gt;"Re-certified",IF(OtherClients[[#This Row],[Client]]="infasco",VLOOKUP(OtherClients[[#This Row],[Part]],PartControl!$A$2:$E$564,2,FALSE),OtherClients[[#This Row],[Total Quantity]]*VLOOKUP(OtherClients[[#This Row],[Part]],PartControl!$A$2:$E$564,2,FALSE)),0)</f>
        <v>106.94</v>
      </c>
    </row>
    <row r="1486" spans="1:26" ht="25.15" hidden="1" customHeight="1" x14ac:dyDescent="0.25">
      <c r="A1486" s="112">
        <v>46255.694016203706</v>
      </c>
      <c r="B1486" s="5" t="s">
        <v>345</v>
      </c>
      <c r="C1486" s="5" t="s">
        <v>674</v>
      </c>
      <c r="D1486" s="5">
        <v>716769</v>
      </c>
      <c r="E1486" s="33">
        <v>30</v>
      </c>
      <c r="F1486" s="60">
        <v>750</v>
      </c>
      <c r="G1486" s="60">
        <f>+OtherClients[[#This Row],[Boxes / Pieces]]*OtherClients[[#This Row],[Unit Quantity]]</f>
        <v>22500</v>
      </c>
      <c r="H1486" s="60" t="s">
        <v>849</v>
      </c>
      <c r="I1486" s="126" t="s">
        <v>278</v>
      </c>
      <c r="J1486" s="127"/>
      <c r="K1486" s="33" t="s">
        <v>278</v>
      </c>
      <c r="L1486" s="125"/>
      <c r="M1486" s="33" t="s">
        <v>278</v>
      </c>
      <c r="N1486" s="125"/>
      <c r="O1486" s="33" t="s">
        <v>278</v>
      </c>
      <c r="P1486" s="125"/>
      <c r="Q1486" s="33" t="s">
        <v>587</v>
      </c>
      <c r="R1486" s="125"/>
      <c r="S1486" s="33" t="s">
        <v>278</v>
      </c>
      <c r="T1486" s="125"/>
      <c r="U1486" s="33" t="s">
        <v>278</v>
      </c>
      <c r="V1486" s="125"/>
      <c r="W1486" s="59" t="s">
        <v>548</v>
      </c>
      <c r="X1486" s="33" t="str">
        <f>+VLOOKUP(OtherClients[[#This Row],[Part]],PartControl!$A$2:$E$564,5,FALSE)</f>
        <v>infasco</v>
      </c>
      <c r="Y1486" s="108">
        <f>IF(OtherClients[[#This Row],[Re-certified or New]]&lt;&gt;"Re-certified",IF(OtherClients[[#This Row],[Client]]="infasco",VLOOKUP(OtherClients[[#This Row],[Part]],PartControl!$A$2:$E$564,2,FALSE),OtherClients[[#This Row],[Total Quantity]]*VLOOKUP(OtherClients[[#This Row],[Part]],PartControl!$A$2:$E$564,2,FALSE)),0)</f>
        <v>135.07999999999998</v>
      </c>
      <c r="Z1486" s="108">
        <f>IF(OtherClients[[#This Row],[Re-certified or New]]&lt;&gt;"Re-certified",IF(OtherClients[[#This Row],[Client]]="infasco",VLOOKUP(OtherClients[[#This Row],[Part]],PartControl!$A$2:$E$564,2,FALSE),OtherClients[[#This Row],[Total Quantity]]*VLOOKUP(OtherClients[[#This Row],[Part]],PartControl!$A$2:$E$564,2,FALSE)),0)</f>
        <v>135.07999999999998</v>
      </c>
    </row>
    <row r="1487" spans="1:26" ht="25.15" hidden="1" customHeight="1" x14ac:dyDescent="0.25">
      <c r="A1487" s="112">
        <v>46255.694016203706</v>
      </c>
      <c r="B1487" s="5" t="s">
        <v>345</v>
      </c>
      <c r="C1487" s="5" t="s">
        <v>674</v>
      </c>
      <c r="D1487" s="5">
        <v>716770</v>
      </c>
      <c r="E1487" s="33">
        <v>36</v>
      </c>
      <c r="F1487" s="60">
        <v>750</v>
      </c>
      <c r="G1487" s="60">
        <f>+OtherClients[[#This Row],[Boxes / Pieces]]*OtherClients[[#This Row],[Unit Quantity]]</f>
        <v>27000</v>
      </c>
      <c r="H1487" s="60" t="s">
        <v>849</v>
      </c>
      <c r="I1487" s="126" t="s">
        <v>278</v>
      </c>
      <c r="J1487" s="127"/>
      <c r="K1487" s="33" t="s">
        <v>278</v>
      </c>
      <c r="L1487" s="125"/>
      <c r="M1487" s="33" t="s">
        <v>278</v>
      </c>
      <c r="N1487" s="125"/>
      <c r="O1487" s="33" t="s">
        <v>278</v>
      </c>
      <c r="P1487" s="125"/>
      <c r="Q1487" s="33" t="s">
        <v>587</v>
      </c>
      <c r="R1487" s="125"/>
      <c r="S1487" s="33" t="s">
        <v>278</v>
      </c>
      <c r="T1487" s="125"/>
      <c r="U1487" s="33" t="s">
        <v>278</v>
      </c>
      <c r="V1487" s="125"/>
      <c r="W1487" s="59" t="s">
        <v>548</v>
      </c>
      <c r="X1487" s="33" t="str">
        <f>+VLOOKUP(OtherClients[[#This Row],[Part]],PartControl!$A$2:$E$564,5,FALSE)</f>
        <v>infasco</v>
      </c>
      <c r="Y1487" s="108">
        <f>IF(OtherClients[[#This Row],[Re-certified or New]]&lt;&gt;"Re-certified",IF(OtherClients[[#This Row],[Client]]="infasco",VLOOKUP(OtherClients[[#This Row],[Part]],PartControl!$A$2:$E$564,2,FALSE),OtherClients[[#This Row],[Total Quantity]]*VLOOKUP(OtherClients[[#This Row],[Part]],PartControl!$A$2:$E$564,2,FALSE)),0)</f>
        <v>135.07999999999998</v>
      </c>
      <c r="Z1487" s="108">
        <f>IF(OtherClients[[#This Row],[Re-certified or New]]&lt;&gt;"Re-certified",IF(OtherClients[[#This Row],[Client]]="infasco",VLOOKUP(OtherClients[[#This Row],[Part]],PartControl!$A$2:$E$564,2,FALSE),OtherClients[[#This Row],[Total Quantity]]*VLOOKUP(OtherClients[[#This Row],[Part]],PartControl!$A$2:$E$564,2,FALSE)),0)</f>
        <v>135.07999999999998</v>
      </c>
    </row>
    <row r="1488" spans="1:26" ht="25.15" hidden="1" customHeight="1" x14ac:dyDescent="0.25">
      <c r="A1488" s="112">
        <v>46256</v>
      </c>
      <c r="B1488" s="5" t="s">
        <v>250</v>
      </c>
      <c r="C1488" s="5" t="s">
        <v>703</v>
      </c>
      <c r="D1488" s="5">
        <v>716134</v>
      </c>
      <c r="E1488" s="33">
        <v>39</v>
      </c>
      <c r="F1488" s="60">
        <v>700</v>
      </c>
      <c r="G1488" s="60">
        <f>+OtherClients[[#This Row],[Boxes / Pieces]]*OtherClients[[#This Row],[Unit Quantity]]</f>
        <v>27300</v>
      </c>
      <c r="H1488" s="60">
        <v>290</v>
      </c>
      <c r="I1488" s="126" t="s">
        <v>278</v>
      </c>
      <c r="J1488" s="127"/>
      <c r="K1488" s="33" t="s">
        <v>278</v>
      </c>
      <c r="L1488" s="125"/>
      <c r="M1488" s="33" t="s">
        <v>278</v>
      </c>
      <c r="N1488" s="125"/>
      <c r="O1488" s="33" t="s">
        <v>278</v>
      </c>
      <c r="P1488" s="125"/>
      <c r="Q1488" s="33" t="s">
        <v>587</v>
      </c>
      <c r="R1488" s="125"/>
      <c r="S1488" s="33" t="s">
        <v>278</v>
      </c>
      <c r="T1488" s="125"/>
      <c r="U1488" s="33" t="s">
        <v>278</v>
      </c>
      <c r="V1488" s="125"/>
      <c r="W1488" s="59" t="s">
        <v>548</v>
      </c>
      <c r="X1488" s="33" t="str">
        <f>+VLOOKUP(OtherClients[[#This Row],[Part]],PartControl!$A$2:$E$564,5,FALSE)</f>
        <v>infasco</v>
      </c>
      <c r="Y1488" s="108">
        <f>IF(OtherClients[[#This Row],[Re-certified or New]]&lt;&gt;"Re-certified",IF(OtherClients[[#This Row],[Client]]="infasco",VLOOKUP(OtherClients[[#This Row],[Part]],PartControl!$A$2:$E$564,2,FALSE),OtherClients[[#This Row],[Total Quantity]]*VLOOKUP(OtherClients[[#This Row],[Part]],PartControl!$A$2:$E$564,2,FALSE)),0)</f>
        <v>106.94</v>
      </c>
      <c r="Z1488" s="108">
        <f>IF(OtherClients[[#This Row],[Re-certified or New]]&lt;&gt;"Re-certified",IF(OtherClients[[#This Row],[Client]]="infasco",VLOOKUP(OtherClients[[#This Row],[Part]],PartControl!$A$2:$E$564,2,FALSE),OtherClients[[#This Row],[Total Quantity]]*VLOOKUP(OtherClients[[#This Row],[Part]],PartControl!$A$2:$E$564,2,FALSE)),0)</f>
        <v>106.94</v>
      </c>
    </row>
    <row r="1489" spans="1:26" ht="25.15" hidden="1" customHeight="1" x14ac:dyDescent="0.25">
      <c r="A1489" s="112">
        <v>46256</v>
      </c>
      <c r="B1489" s="5" t="s">
        <v>251</v>
      </c>
      <c r="C1489" s="5" t="s">
        <v>703</v>
      </c>
      <c r="D1489" s="5">
        <v>716132</v>
      </c>
      <c r="E1489" s="33">
        <v>25</v>
      </c>
      <c r="F1489" s="60">
        <v>700</v>
      </c>
      <c r="G1489" s="60">
        <f>+OtherClients[[#This Row],[Boxes / Pieces]]*OtherClients[[#This Row],[Unit Quantity]]</f>
        <v>17500</v>
      </c>
      <c r="H1489" s="60">
        <v>292</v>
      </c>
      <c r="I1489" s="126" t="s">
        <v>278</v>
      </c>
      <c r="J1489" s="127"/>
      <c r="K1489" s="33" t="s">
        <v>278</v>
      </c>
      <c r="L1489" s="125"/>
      <c r="M1489" s="33" t="s">
        <v>278</v>
      </c>
      <c r="N1489" s="125"/>
      <c r="O1489" s="33" t="s">
        <v>278</v>
      </c>
      <c r="P1489" s="125"/>
      <c r="Q1489" s="33" t="s">
        <v>587</v>
      </c>
      <c r="R1489" s="125"/>
      <c r="S1489" s="33" t="s">
        <v>278</v>
      </c>
      <c r="T1489" s="125"/>
      <c r="U1489" s="33" t="s">
        <v>278</v>
      </c>
      <c r="V1489" s="125"/>
      <c r="W1489" s="59" t="s">
        <v>633</v>
      </c>
      <c r="X1489" s="33" t="str">
        <f>+VLOOKUP(OtherClients[[#This Row],[Part]],PartControl!$A$2:$E$564,5,FALSE)</f>
        <v>infasco</v>
      </c>
      <c r="Y1489" s="108">
        <f>IF(OtherClients[[#This Row],[Re-certified or New]]&lt;&gt;"Re-certified",IF(OtherClients[[#This Row],[Client]]="infasco",VLOOKUP(OtherClients[[#This Row],[Part]],PartControl!$A$2:$E$564,2,FALSE),OtherClients[[#This Row],[Total Quantity]]*VLOOKUP(OtherClients[[#This Row],[Part]],PartControl!$A$2:$E$564,2,FALSE)),0)</f>
        <v>0</v>
      </c>
      <c r="Z1489" s="108">
        <f>IF(OtherClients[[#This Row],[Re-certified or New]]&lt;&gt;"Re-certified",IF(OtherClients[[#This Row],[Client]]="infasco",VLOOKUP(OtherClients[[#This Row],[Part]],PartControl!$A$2:$E$564,2,FALSE),OtherClients[[#This Row],[Total Quantity]]*VLOOKUP(OtherClients[[#This Row],[Part]],PartControl!$A$2:$E$564,2,FALSE)),0)</f>
        <v>0</v>
      </c>
    </row>
    <row r="1490" spans="1:26" ht="25.15" hidden="1" customHeight="1" x14ac:dyDescent="0.25">
      <c r="A1490" s="112">
        <v>46256</v>
      </c>
      <c r="B1490" s="5" t="s">
        <v>252</v>
      </c>
      <c r="C1490" s="5" t="s">
        <v>659</v>
      </c>
      <c r="D1490" s="5">
        <v>714693</v>
      </c>
      <c r="E1490" s="33">
        <f>36+18-18</f>
        <v>36</v>
      </c>
      <c r="F1490" s="60">
        <v>3000</v>
      </c>
      <c r="G1490" s="60">
        <f>+OtherClients[[#This Row],[Boxes / Pieces]]*OtherClients[[#This Row],[Unit Quantity]]</f>
        <v>108000</v>
      </c>
      <c r="H1490" s="60">
        <v>275</v>
      </c>
      <c r="I1490" s="126" t="s">
        <v>278</v>
      </c>
      <c r="J1490" s="127"/>
      <c r="K1490" s="33" t="s">
        <v>278</v>
      </c>
      <c r="L1490" s="125"/>
      <c r="M1490" s="33" t="s">
        <v>278</v>
      </c>
      <c r="N1490" s="125"/>
      <c r="O1490" s="33" t="s">
        <v>278</v>
      </c>
      <c r="P1490" s="125"/>
      <c r="Q1490" s="33" t="s">
        <v>587</v>
      </c>
      <c r="R1490" s="125"/>
      <c r="S1490" s="33" t="s">
        <v>278</v>
      </c>
      <c r="T1490" s="125"/>
      <c r="U1490" s="33" t="s">
        <v>278</v>
      </c>
      <c r="V1490" s="125"/>
      <c r="W1490" s="59" t="s">
        <v>548</v>
      </c>
      <c r="X1490" s="33" t="str">
        <f>+VLOOKUP(OtherClients[[#This Row],[Part]],PartControl!$A$2:$E$564,5,FALSE)</f>
        <v>infasco</v>
      </c>
      <c r="Y1490" s="108">
        <f>IF(OtherClients[[#This Row],[Re-certified or New]]&lt;&gt;"Re-certified",IF(OtherClients[[#This Row],[Client]]="infasco",VLOOKUP(OtherClients[[#This Row],[Part]],PartControl!$A$2:$E$564,2,FALSE),OtherClients[[#This Row],[Total Quantity]]*VLOOKUP(OtherClients[[#This Row],[Part]],PartControl!$A$2:$E$564,2,FALSE)),0)</f>
        <v>106.94</v>
      </c>
      <c r="Z1490" s="108">
        <f>IF(OtherClients[[#This Row],[Re-certified or New]]&lt;&gt;"Re-certified",IF(OtherClients[[#This Row],[Client]]="infasco",VLOOKUP(OtherClients[[#This Row],[Part]],PartControl!$A$2:$E$564,2,FALSE),OtherClients[[#This Row],[Total Quantity]]*VLOOKUP(OtherClients[[#This Row],[Part]],PartControl!$A$2:$E$564,2,FALSE)),0)</f>
        <v>106.94</v>
      </c>
    </row>
    <row r="1491" spans="1:26" ht="25.15" hidden="1" customHeight="1" x14ac:dyDescent="0.25">
      <c r="A1491" s="112">
        <v>46255.694016203706</v>
      </c>
      <c r="B1491" s="5" t="s">
        <v>343</v>
      </c>
      <c r="C1491" s="5" t="s">
        <v>835</v>
      </c>
      <c r="D1491" s="5">
        <v>716799</v>
      </c>
      <c r="E1491" s="33">
        <v>36</v>
      </c>
      <c r="F1491" s="60">
        <v>660</v>
      </c>
      <c r="G1491" s="60">
        <f>+OtherClients[[#This Row],[Boxes / Pieces]]*OtherClients[[#This Row],[Unit Quantity]]</f>
        <v>23760</v>
      </c>
      <c r="H1491" s="60" t="s">
        <v>757</v>
      </c>
      <c r="I1491" s="126" t="s">
        <v>278</v>
      </c>
      <c r="J1491" s="127"/>
      <c r="K1491" s="33" t="s">
        <v>278</v>
      </c>
      <c r="L1491" s="125"/>
      <c r="M1491" s="33" t="s">
        <v>278</v>
      </c>
      <c r="N1491" s="125"/>
      <c r="O1491" s="33" t="s">
        <v>278</v>
      </c>
      <c r="P1491" s="125"/>
      <c r="Q1491" s="33" t="s">
        <v>587</v>
      </c>
      <c r="R1491" s="125"/>
      <c r="S1491" s="33" t="s">
        <v>278</v>
      </c>
      <c r="T1491" s="125"/>
      <c r="U1491" s="33" t="s">
        <v>278</v>
      </c>
      <c r="V1491" s="125"/>
      <c r="W1491" s="59" t="s">
        <v>548</v>
      </c>
      <c r="X1491" s="33" t="str">
        <f>+VLOOKUP(OtherClients[[#This Row],[Part]],PartControl!$A$2:$E$564,5,FALSE)</f>
        <v>infasco</v>
      </c>
      <c r="Y1491" s="108">
        <f>IF(OtherClients[[#This Row],[Re-certified or New]]&lt;&gt;"Re-certified",IF(OtherClients[[#This Row],[Client]]="infasco",VLOOKUP(OtherClients[[#This Row],[Part]],PartControl!$A$2:$E$564,2,FALSE),OtherClients[[#This Row],[Total Quantity]]*VLOOKUP(OtherClients[[#This Row],[Part]],PartControl!$A$2:$E$564,2,FALSE)),0)</f>
        <v>135.08000000000001</v>
      </c>
      <c r="Z1491" s="108">
        <f>IF(OtherClients[[#This Row],[Re-certified or New]]&lt;&gt;"Re-certified",IF(OtherClients[[#This Row],[Client]]="infasco",VLOOKUP(OtherClients[[#This Row],[Part]],PartControl!$A$2:$E$564,2,FALSE),OtherClients[[#This Row],[Total Quantity]]*VLOOKUP(OtherClients[[#This Row],[Part]],PartControl!$A$2:$E$564,2,FALSE)),0)</f>
        <v>135.08000000000001</v>
      </c>
    </row>
    <row r="1492" spans="1:26" ht="25.15" hidden="1" customHeight="1" x14ac:dyDescent="0.25">
      <c r="A1492" s="112">
        <v>46255.694016203706</v>
      </c>
      <c r="B1492" s="5" t="s">
        <v>343</v>
      </c>
      <c r="C1492" s="5" t="s">
        <v>835</v>
      </c>
      <c r="D1492" s="5">
        <v>716800</v>
      </c>
      <c r="E1492" s="33">
        <v>24</v>
      </c>
      <c r="F1492" s="60">
        <v>660</v>
      </c>
      <c r="G1492" s="60">
        <f>+OtherClients[[#This Row],[Boxes / Pieces]]*OtherClients[[#This Row],[Unit Quantity]]</f>
        <v>15840</v>
      </c>
      <c r="H1492" s="60" t="s">
        <v>757</v>
      </c>
      <c r="I1492" s="126" t="s">
        <v>278</v>
      </c>
      <c r="J1492" s="127"/>
      <c r="K1492" s="33" t="s">
        <v>278</v>
      </c>
      <c r="L1492" s="125"/>
      <c r="M1492" s="33" t="s">
        <v>278</v>
      </c>
      <c r="N1492" s="125"/>
      <c r="O1492" s="33" t="s">
        <v>278</v>
      </c>
      <c r="P1492" s="125"/>
      <c r="Q1492" s="33" t="s">
        <v>587</v>
      </c>
      <c r="R1492" s="125"/>
      <c r="S1492" s="33" t="s">
        <v>278</v>
      </c>
      <c r="T1492" s="125"/>
      <c r="U1492" s="33" t="s">
        <v>278</v>
      </c>
      <c r="V1492" s="125"/>
      <c r="W1492" s="59" t="s">
        <v>548</v>
      </c>
      <c r="X1492" s="33" t="str">
        <f>+VLOOKUP(OtherClients[[#This Row],[Part]],PartControl!$A$2:$E$564,5,FALSE)</f>
        <v>infasco</v>
      </c>
      <c r="Y1492" s="108">
        <f>IF(OtherClients[[#This Row],[Re-certified or New]]&lt;&gt;"Re-certified",IF(OtherClients[[#This Row],[Client]]="infasco",VLOOKUP(OtherClients[[#This Row],[Part]],PartControl!$A$2:$E$564,2,FALSE),OtherClients[[#This Row],[Total Quantity]]*VLOOKUP(OtherClients[[#This Row],[Part]],PartControl!$A$2:$E$564,2,FALSE)),0)</f>
        <v>135.08000000000001</v>
      </c>
      <c r="Z1492" s="108">
        <f>IF(OtherClients[[#This Row],[Re-certified or New]]&lt;&gt;"Re-certified",IF(OtherClients[[#This Row],[Client]]="infasco",VLOOKUP(OtherClients[[#This Row],[Part]],PartControl!$A$2:$E$564,2,FALSE),OtherClients[[#This Row],[Total Quantity]]*VLOOKUP(OtherClients[[#This Row],[Part]],PartControl!$A$2:$E$564,2,FALSE)),0)</f>
        <v>135.08000000000001</v>
      </c>
    </row>
    <row r="1493" spans="1:26" ht="25.15" hidden="1" customHeight="1" x14ac:dyDescent="0.25">
      <c r="A1493" s="112">
        <v>46255.694016203706</v>
      </c>
      <c r="B1493" s="5" t="s">
        <v>342</v>
      </c>
      <c r="C1493" s="5" t="s">
        <v>835</v>
      </c>
      <c r="D1493" s="5">
        <v>716801</v>
      </c>
      <c r="E1493" s="33">
        <v>36</v>
      </c>
      <c r="F1493" s="60">
        <v>660</v>
      </c>
      <c r="G1493" s="60">
        <f>+OtherClients[[#This Row],[Boxes / Pieces]]*OtherClients[[#This Row],[Unit Quantity]]</f>
        <v>23760</v>
      </c>
      <c r="H1493" s="60" t="s">
        <v>811</v>
      </c>
      <c r="I1493" s="126" t="s">
        <v>278</v>
      </c>
      <c r="J1493" s="127"/>
      <c r="K1493" s="33" t="s">
        <v>278</v>
      </c>
      <c r="L1493" s="125"/>
      <c r="M1493" s="33" t="s">
        <v>278</v>
      </c>
      <c r="N1493" s="125"/>
      <c r="O1493" s="33" t="s">
        <v>278</v>
      </c>
      <c r="P1493" s="125"/>
      <c r="Q1493" s="33" t="s">
        <v>587</v>
      </c>
      <c r="R1493" s="125"/>
      <c r="S1493" s="33" t="s">
        <v>278</v>
      </c>
      <c r="T1493" s="125"/>
      <c r="U1493" s="33" t="s">
        <v>278</v>
      </c>
      <c r="V1493" s="125"/>
      <c r="W1493" s="59" t="s">
        <v>548</v>
      </c>
      <c r="X1493" s="33" t="str">
        <f>+VLOOKUP(OtherClients[[#This Row],[Part]],PartControl!$A$2:$E$564,5,FALSE)</f>
        <v>infasco</v>
      </c>
      <c r="Y1493" s="108">
        <f>IF(OtherClients[[#This Row],[Re-certified or New]]&lt;&gt;"Re-certified",IF(OtherClients[[#This Row],[Client]]="infasco",VLOOKUP(OtherClients[[#This Row],[Part]],PartControl!$A$2:$E$564,2,FALSE),OtherClients[[#This Row],[Total Quantity]]*VLOOKUP(OtherClients[[#This Row],[Part]],PartControl!$A$2:$E$564,2,FALSE)),0)</f>
        <v>135.08000000000001</v>
      </c>
      <c r="Z1493" s="108">
        <f>IF(OtherClients[[#This Row],[Re-certified or New]]&lt;&gt;"Re-certified",IF(OtherClients[[#This Row],[Client]]="infasco",VLOOKUP(OtherClients[[#This Row],[Part]],PartControl!$A$2:$E$564,2,FALSE),OtherClients[[#This Row],[Total Quantity]]*VLOOKUP(OtherClients[[#This Row],[Part]],PartControl!$A$2:$E$564,2,FALSE)),0)</f>
        <v>135.08000000000001</v>
      </c>
    </row>
    <row r="1494" spans="1:26" ht="25.15" hidden="1" customHeight="1" x14ac:dyDescent="0.25">
      <c r="A1494" s="112">
        <v>46255.694016203706</v>
      </c>
      <c r="B1494" s="5" t="s">
        <v>342</v>
      </c>
      <c r="C1494" s="5" t="s">
        <v>835</v>
      </c>
      <c r="D1494" s="5">
        <v>716802</v>
      </c>
      <c r="E1494" s="33">
        <v>16</v>
      </c>
      <c r="F1494" s="60">
        <v>660</v>
      </c>
      <c r="G1494" s="60">
        <f>+OtherClients[[#This Row],[Boxes / Pieces]]*OtherClients[[#This Row],[Unit Quantity]]</f>
        <v>10560</v>
      </c>
      <c r="H1494" s="60" t="s">
        <v>811</v>
      </c>
      <c r="I1494" s="126" t="s">
        <v>278</v>
      </c>
      <c r="J1494" s="127"/>
      <c r="K1494" s="33" t="s">
        <v>278</v>
      </c>
      <c r="L1494" s="125"/>
      <c r="M1494" s="33" t="s">
        <v>278</v>
      </c>
      <c r="N1494" s="125"/>
      <c r="O1494" s="33" t="s">
        <v>278</v>
      </c>
      <c r="P1494" s="125"/>
      <c r="Q1494" s="33" t="s">
        <v>587</v>
      </c>
      <c r="R1494" s="125"/>
      <c r="S1494" s="33" t="s">
        <v>278</v>
      </c>
      <c r="T1494" s="125"/>
      <c r="U1494" s="33" t="s">
        <v>278</v>
      </c>
      <c r="V1494" s="125"/>
      <c r="W1494" s="59" t="s">
        <v>548</v>
      </c>
      <c r="X1494" s="33" t="str">
        <f>+VLOOKUP(OtherClients[[#This Row],[Part]],PartControl!$A$2:$E$564,5,FALSE)</f>
        <v>infasco</v>
      </c>
      <c r="Y1494" s="108">
        <f>IF(OtherClients[[#This Row],[Re-certified or New]]&lt;&gt;"Re-certified",IF(OtherClients[[#This Row],[Client]]="infasco",VLOOKUP(OtherClients[[#This Row],[Part]],PartControl!$A$2:$E$564,2,FALSE),OtherClients[[#This Row],[Total Quantity]]*VLOOKUP(OtherClients[[#This Row],[Part]],PartControl!$A$2:$E$564,2,FALSE)),0)</f>
        <v>135.08000000000001</v>
      </c>
      <c r="Z1494" s="108">
        <f>IF(OtherClients[[#This Row],[Re-certified or New]]&lt;&gt;"Re-certified",IF(OtherClients[[#This Row],[Client]]="infasco",VLOOKUP(OtherClients[[#This Row],[Part]],PartControl!$A$2:$E$564,2,FALSE),OtherClients[[#This Row],[Total Quantity]]*VLOOKUP(OtherClients[[#This Row],[Part]],PartControl!$A$2:$E$564,2,FALSE)),0)</f>
        <v>135.08000000000001</v>
      </c>
    </row>
    <row r="1495" spans="1:26" ht="25.15" hidden="1" customHeight="1" x14ac:dyDescent="0.25">
      <c r="A1495" s="112">
        <v>46255.694016203706</v>
      </c>
      <c r="B1495" s="5" t="s">
        <v>345</v>
      </c>
      <c r="C1495" s="5" t="s">
        <v>835</v>
      </c>
      <c r="D1495" s="5">
        <v>716803</v>
      </c>
      <c r="E1495" s="33">
        <v>31</v>
      </c>
      <c r="F1495" s="60">
        <v>660</v>
      </c>
      <c r="G1495" s="60">
        <f>+OtherClients[[#This Row],[Boxes / Pieces]]*OtherClients[[#This Row],[Unit Quantity]]</f>
        <v>20460</v>
      </c>
      <c r="H1495" s="60" t="s">
        <v>849</v>
      </c>
      <c r="I1495" s="126" t="s">
        <v>278</v>
      </c>
      <c r="J1495" s="127"/>
      <c r="K1495" s="33" t="s">
        <v>278</v>
      </c>
      <c r="L1495" s="125"/>
      <c r="M1495" s="33" t="s">
        <v>278</v>
      </c>
      <c r="N1495" s="125"/>
      <c r="O1495" s="33" t="s">
        <v>278</v>
      </c>
      <c r="P1495" s="125"/>
      <c r="Q1495" s="33" t="s">
        <v>587</v>
      </c>
      <c r="R1495" s="125"/>
      <c r="S1495" s="33" t="s">
        <v>278</v>
      </c>
      <c r="T1495" s="125"/>
      <c r="U1495" s="33" t="s">
        <v>278</v>
      </c>
      <c r="V1495" s="125"/>
      <c r="W1495" s="59" t="s">
        <v>548</v>
      </c>
      <c r="X1495" s="33" t="str">
        <f>+VLOOKUP(OtherClients[[#This Row],[Part]],PartControl!$A$2:$E$564,5,FALSE)</f>
        <v>infasco</v>
      </c>
      <c r="Y1495" s="108">
        <f>IF(OtherClients[[#This Row],[Re-certified or New]]&lt;&gt;"Re-certified",IF(OtherClients[[#This Row],[Client]]="infasco",VLOOKUP(OtherClients[[#This Row],[Part]],PartControl!$A$2:$E$564,2,FALSE),OtherClients[[#This Row],[Total Quantity]]*VLOOKUP(OtherClients[[#This Row],[Part]],PartControl!$A$2:$E$564,2,FALSE)),0)</f>
        <v>135.08000000000001</v>
      </c>
      <c r="Z1495" s="108">
        <f>IF(OtherClients[[#This Row],[Re-certified or New]]&lt;&gt;"Re-certified",IF(OtherClients[[#This Row],[Client]]="infasco",VLOOKUP(OtherClients[[#This Row],[Part]],PartControl!$A$2:$E$564,2,FALSE),OtherClients[[#This Row],[Total Quantity]]*VLOOKUP(OtherClients[[#This Row],[Part]],PartControl!$A$2:$E$564,2,FALSE)),0)</f>
        <v>135.08000000000001</v>
      </c>
    </row>
    <row r="1496" spans="1:26" ht="25.15" hidden="1" customHeight="1" x14ac:dyDescent="0.25">
      <c r="A1496" s="112">
        <v>46255.694016203706</v>
      </c>
      <c r="B1496" s="5" t="s">
        <v>346</v>
      </c>
      <c r="C1496" s="5" t="s">
        <v>835</v>
      </c>
      <c r="D1496" s="5">
        <v>716804</v>
      </c>
      <c r="E1496" s="33">
        <v>36</v>
      </c>
      <c r="F1496" s="60">
        <v>660</v>
      </c>
      <c r="G1496" s="60">
        <f>+OtherClients[[#This Row],[Boxes / Pieces]]*OtherClients[[#This Row],[Unit Quantity]]</f>
        <v>23760</v>
      </c>
      <c r="H1496" s="60" t="s">
        <v>871</v>
      </c>
      <c r="I1496" s="126" t="s">
        <v>278</v>
      </c>
      <c r="J1496" s="127"/>
      <c r="K1496" s="33" t="s">
        <v>278</v>
      </c>
      <c r="L1496" s="125"/>
      <c r="M1496" s="33" t="s">
        <v>278</v>
      </c>
      <c r="N1496" s="125"/>
      <c r="O1496" s="33" t="s">
        <v>278</v>
      </c>
      <c r="P1496" s="125"/>
      <c r="Q1496" s="33" t="s">
        <v>587</v>
      </c>
      <c r="R1496" s="125"/>
      <c r="S1496" s="33" t="s">
        <v>278</v>
      </c>
      <c r="T1496" s="125"/>
      <c r="U1496" s="33" t="s">
        <v>278</v>
      </c>
      <c r="V1496" s="125"/>
      <c r="W1496" s="59" t="s">
        <v>548</v>
      </c>
      <c r="X1496" s="33" t="str">
        <f>+VLOOKUP(OtherClients[[#This Row],[Part]],PartControl!$A$2:$E$564,5,FALSE)</f>
        <v>infasco</v>
      </c>
      <c r="Y1496" s="108">
        <f>IF(OtherClients[[#This Row],[Re-certified or New]]&lt;&gt;"Re-certified",IF(OtherClients[[#This Row],[Client]]="infasco",VLOOKUP(OtherClients[[#This Row],[Part]],PartControl!$A$2:$E$564,2,FALSE),OtherClients[[#This Row],[Total Quantity]]*VLOOKUP(OtherClients[[#This Row],[Part]],PartControl!$A$2:$E$564,2,FALSE)),0)</f>
        <v>135.08000000000001</v>
      </c>
      <c r="Z1496" s="108">
        <f>IF(OtherClients[[#This Row],[Re-certified or New]]&lt;&gt;"Re-certified",IF(OtherClients[[#This Row],[Client]]="infasco",VLOOKUP(OtherClients[[#This Row],[Part]],PartControl!$A$2:$E$564,2,FALSE),OtherClients[[#This Row],[Total Quantity]]*VLOOKUP(OtherClients[[#This Row],[Part]],PartControl!$A$2:$E$564,2,FALSE)),0)</f>
        <v>135.08000000000001</v>
      </c>
    </row>
    <row r="1497" spans="1:26" ht="25.15" hidden="1" customHeight="1" x14ac:dyDescent="0.25">
      <c r="A1497" s="112">
        <v>46255.694016203706</v>
      </c>
      <c r="B1497" s="5" t="s">
        <v>346</v>
      </c>
      <c r="C1497" s="5" t="s">
        <v>299</v>
      </c>
      <c r="D1497" s="5">
        <v>716807</v>
      </c>
      <c r="E1497" s="33">
        <v>1</v>
      </c>
      <c r="F1497" s="60">
        <v>20000</v>
      </c>
      <c r="G1497" s="60">
        <f>+OtherClients[[#This Row],[Boxes / Pieces]]*OtherClients[[#This Row],[Unit Quantity]]</f>
        <v>20000</v>
      </c>
      <c r="H1497" s="60" t="s">
        <v>871</v>
      </c>
      <c r="I1497" s="126" t="s">
        <v>278</v>
      </c>
      <c r="J1497" s="127"/>
      <c r="K1497" s="33" t="s">
        <v>278</v>
      </c>
      <c r="L1497" s="125"/>
      <c r="M1497" s="33" t="s">
        <v>278</v>
      </c>
      <c r="N1497" s="125"/>
      <c r="O1497" s="33" t="s">
        <v>278</v>
      </c>
      <c r="P1497" s="125"/>
      <c r="Q1497" s="33" t="s">
        <v>587</v>
      </c>
      <c r="R1497" s="125"/>
      <c r="S1497" s="33" t="s">
        <v>278</v>
      </c>
      <c r="T1497" s="125"/>
      <c r="U1497" s="33" t="s">
        <v>278</v>
      </c>
      <c r="V1497" s="125"/>
      <c r="W1497" s="59" t="s">
        <v>548</v>
      </c>
      <c r="X1497" s="33" t="str">
        <f>+VLOOKUP(OtherClients[[#This Row],[Part]],PartControl!$A$2:$E$564,5,FALSE)</f>
        <v>infasco</v>
      </c>
      <c r="Y1497" s="108">
        <f>IF(OtherClients[[#This Row],[Re-certified or New]]&lt;&gt;"Re-certified",IF(OtherClients[[#This Row],[Client]]="infasco",VLOOKUP(OtherClients[[#This Row],[Part]],PartControl!$A$2:$E$564,2,FALSE),OtherClients[[#This Row],[Total Quantity]]*VLOOKUP(OtherClients[[#This Row],[Part]],PartControl!$A$2:$E$564,2,FALSE)),0)</f>
        <v>51.78</v>
      </c>
      <c r="Z1497" s="108">
        <f>IF(OtherClients[[#This Row],[Re-certified or New]]&lt;&gt;"Re-certified",IF(OtherClients[[#This Row],[Client]]="infasco",VLOOKUP(OtherClients[[#This Row],[Part]],PartControl!$A$2:$E$564,2,FALSE),OtherClients[[#This Row],[Total Quantity]]*VLOOKUP(OtherClients[[#This Row],[Part]],PartControl!$A$2:$E$564,2,FALSE)),0)</f>
        <v>51.78</v>
      </c>
    </row>
    <row r="1498" spans="1:26" ht="25.15" hidden="1" customHeight="1" x14ac:dyDescent="0.25">
      <c r="A1498" s="112">
        <v>46255.694016203706</v>
      </c>
      <c r="B1498" s="5" t="s">
        <v>345</v>
      </c>
      <c r="C1498" s="5" t="s">
        <v>299</v>
      </c>
      <c r="D1498" s="5">
        <v>716808</v>
      </c>
      <c r="E1498" s="33">
        <v>1</v>
      </c>
      <c r="F1498" s="60">
        <v>22000</v>
      </c>
      <c r="G1498" s="60">
        <f>+OtherClients[[#This Row],[Boxes / Pieces]]*OtherClients[[#This Row],[Unit Quantity]]</f>
        <v>22000</v>
      </c>
      <c r="H1498" s="60" t="s">
        <v>849</v>
      </c>
      <c r="I1498" s="126" t="s">
        <v>278</v>
      </c>
      <c r="J1498" s="127"/>
      <c r="K1498" s="33" t="s">
        <v>278</v>
      </c>
      <c r="L1498" s="125"/>
      <c r="M1498" s="33" t="s">
        <v>278</v>
      </c>
      <c r="N1498" s="125"/>
      <c r="O1498" s="33" t="s">
        <v>278</v>
      </c>
      <c r="P1498" s="125"/>
      <c r="Q1498" s="33" t="s">
        <v>587</v>
      </c>
      <c r="R1498" s="125"/>
      <c r="S1498" s="33" t="s">
        <v>278</v>
      </c>
      <c r="T1498" s="125"/>
      <c r="U1498" s="33" t="s">
        <v>278</v>
      </c>
      <c r="V1498" s="125"/>
      <c r="W1498" s="59" t="s">
        <v>548</v>
      </c>
      <c r="X1498" s="33" t="str">
        <f>+VLOOKUP(OtherClients[[#This Row],[Part]],PartControl!$A$2:$E$564,5,FALSE)</f>
        <v>infasco</v>
      </c>
      <c r="Y1498" s="108">
        <f>IF(OtherClients[[#This Row],[Re-certified or New]]&lt;&gt;"Re-certified",IF(OtherClients[[#This Row],[Client]]="infasco",VLOOKUP(OtherClients[[#This Row],[Part]],PartControl!$A$2:$E$564,2,FALSE),OtherClients[[#This Row],[Total Quantity]]*VLOOKUP(OtherClients[[#This Row],[Part]],PartControl!$A$2:$E$564,2,FALSE)),0)</f>
        <v>51.78</v>
      </c>
      <c r="Z1498" s="108">
        <f>IF(OtherClients[[#This Row],[Re-certified or New]]&lt;&gt;"Re-certified",IF(OtherClients[[#This Row],[Client]]="infasco",VLOOKUP(OtherClients[[#This Row],[Part]],PartControl!$A$2:$E$564,2,FALSE),OtherClients[[#This Row],[Total Quantity]]*VLOOKUP(OtherClients[[#This Row],[Part]],PartControl!$A$2:$E$564,2,FALSE)),0)</f>
        <v>51.78</v>
      </c>
    </row>
    <row r="1499" spans="1:26" ht="25.15" hidden="1" customHeight="1" x14ac:dyDescent="0.25">
      <c r="A1499" s="112">
        <v>46255.694016203706</v>
      </c>
      <c r="B1499" s="5" t="s">
        <v>346</v>
      </c>
      <c r="C1499" s="5" t="s">
        <v>299</v>
      </c>
      <c r="D1499" s="5">
        <v>716809</v>
      </c>
      <c r="E1499" s="33">
        <v>1</v>
      </c>
      <c r="F1499" s="60">
        <v>27460</v>
      </c>
      <c r="G1499" s="60">
        <f>+OtherClients[[#This Row],[Boxes / Pieces]]*OtherClients[[#This Row],[Unit Quantity]]</f>
        <v>27460</v>
      </c>
      <c r="H1499" s="60" t="s">
        <v>871</v>
      </c>
      <c r="I1499" s="126" t="s">
        <v>278</v>
      </c>
      <c r="J1499" s="127"/>
      <c r="K1499" s="33" t="s">
        <v>278</v>
      </c>
      <c r="L1499" s="125"/>
      <c r="M1499" s="33" t="s">
        <v>278</v>
      </c>
      <c r="N1499" s="125"/>
      <c r="O1499" s="33" t="s">
        <v>278</v>
      </c>
      <c r="P1499" s="125"/>
      <c r="Q1499" s="33" t="s">
        <v>587</v>
      </c>
      <c r="R1499" s="125"/>
      <c r="S1499" s="33" t="s">
        <v>278</v>
      </c>
      <c r="T1499" s="125"/>
      <c r="U1499" s="33" t="s">
        <v>278</v>
      </c>
      <c r="V1499" s="125"/>
      <c r="W1499" s="59" t="s">
        <v>548</v>
      </c>
      <c r="X1499" s="33" t="str">
        <f>+VLOOKUP(OtherClients[[#This Row],[Part]],PartControl!$A$2:$E$564,5,FALSE)</f>
        <v>infasco</v>
      </c>
      <c r="Y1499" s="108">
        <f>IF(OtherClients[[#This Row],[Re-certified or New]]&lt;&gt;"Re-certified",IF(OtherClients[[#This Row],[Client]]="infasco",VLOOKUP(OtherClients[[#This Row],[Part]],PartControl!$A$2:$E$564,2,FALSE),OtherClients[[#This Row],[Total Quantity]]*VLOOKUP(OtherClients[[#This Row],[Part]],PartControl!$A$2:$E$564,2,FALSE)),0)</f>
        <v>51.78</v>
      </c>
      <c r="Z1499" s="108">
        <f>IF(OtherClients[[#This Row],[Re-certified or New]]&lt;&gt;"Re-certified",IF(OtherClients[[#This Row],[Client]]="infasco",VLOOKUP(OtherClients[[#This Row],[Part]],PartControl!$A$2:$E$564,2,FALSE),OtherClients[[#This Row],[Total Quantity]]*VLOOKUP(OtherClients[[#This Row],[Part]],PartControl!$A$2:$E$564,2,FALSE)),0)</f>
        <v>51.78</v>
      </c>
    </row>
    <row r="1500" spans="1:26" ht="25.15" hidden="1" customHeight="1" x14ac:dyDescent="0.25">
      <c r="A1500" s="112">
        <v>46255.694016203706</v>
      </c>
      <c r="B1500" s="5" t="s">
        <v>345</v>
      </c>
      <c r="C1500" s="5" t="s">
        <v>299</v>
      </c>
      <c r="D1500" s="5">
        <v>716810</v>
      </c>
      <c r="E1500" s="33">
        <v>1</v>
      </c>
      <c r="F1500" s="60">
        <v>26500</v>
      </c>
      <c r="G1500" s="60">
        <f>+OtherClients[[#This Row],[Boxes / Pieces]]*OtherClients[[#This Row],[Unit Quantity]]</f>
        <v>26500</v>
      </c>
      <c r="H1500" s="60" t="s">
        <v>849</v>
      </c>
      <c r="I1500" s="126" t="s">
        <v>278</v>
      </c>
      <c r="J1500" s="127"/>
      <c r="K1500" s="33" t="s">
        <v>278</v>
      </c>
      <c r="L1500" s="125"/>
      <c r="M1500" s="33" t="s">
        <v>278</v>
      </c>
      <c r="N1500" s="125"/>
      <c r="O1500" s="33" t="s">
        <v>278</v>
      </c>
      <c r="P1500" s="125"/>
      <c r="Q1500" s="33" t="s">
        <v>587</v>
      </c>
      <c r="R1500" s="125"/>
      <c r="S1500" s="33" t="s">
        <v>278</v>
      </c>
      <c r="T1500" s="125"/>
      <c r="U1500" s="33" t="s">
        <v>278</v>
      </c>
      <c r="V1500" s="125"/>
      <c r="W1500" s="59" t="s">
        <v>548</v>
      </c>
      <c r="X1500" s="33" t="str">
        <f>+VLOOKUP(OtherClients[[#This Row],[Part]],PartControl!$A$2:$E$564,5,FALSE)</f>
        <v>infasco</v>
      </c>
      <c r="Y1500" s="108">
        <f>IF(OtherClients[[#This Row],[Re-certified or New]]&lt;&gt;"Re-certified",IF(OtherClients[[#This Row],[Client]]="infasco",VLOOKUP(OtherClients[[#This Row],[Part]],PartControl!$A$2:$E$564,2,FALSE),OtherClients[[#This Row],[Total Quantity]]*VLOOKUP(OtherClients[[#This Row],[Part]],PartControl!$A$2:$E$564,2,FALSE)),0)</f>
        <v>51.78</v>
      </c>
      <c r="Z1500" s="108">
        <f>IF(OtherClients[[#This Row],[Re-certified or New]]&lt;&gt;"Re-certified",IF(OtherClients[[#This Row],[Client]]="infasco",VLOOKUP(OtherClients[[#This Row],[Part]],PartControl!$A$2:$E$564,2,FALSE),OtherClients[[#This Row],[Total Quantity]]*VLOOKUP(OtherClients[[#This Row],[Part]],PartControl!$A$2:$E$564,2,FALSE)),0)</f>
        <v>51.78</v>
      </c>
    </row>
    <row r="1501" spans="1:26" ht="25.15" hidden="1" customHeight="1" x14ac:dyDescent="0.25">
      <c r="A1501" s="112">
        <v>46255.694016203706</v>
      </c>
      <c r="B1501" s="5" t="s">
        <v>346</v>
      </c>
      <c r="C1501" s="5" t="s">
        <v>594</v>
      </c>
      <c r="D1501" s="5">
        <v>716815</v>
      </c>
      <c r="E1501" s="33">
        <v>28</v>
      </c>
      <c r="F1501" s="60">
        <v>450</v>
      </c>
      <c r="G1501" s="60">
        <f>+OtherClients[[#This Row],[Boxes / Pieces]]*OtherClients[[#This Row],[Unit Quantity]]</f>
        <v>12600</v>
      </c>
      <c r="H1501" s="60" t="s">
        <v>871</v>
      </c>
      <c r="I1501" s="126" t="s">
        <v>278</v>
      </c>
      <c r="J1501" s="127"/>
      <c r="K1501" s="33" t="s">
        <v>278</v>
      </c>
      <c r="L1501" s="125"/>
      <c r="M1501" s="33" t="s">
        <v>278</v>
      </c>
      <c r="N1501" s="125"/>
      <c r="O1501" s="33" t="s">
        <v>278</v>
      </c>
      <c r="P1501" s="125"/>
      <c r="Q1501" s="33" t="s">
        <v>587</v>
      </c>
      <c r="R1501" s="125"/>
      <c r="S1501" s="33" t="s">
        <v>278</v>
      </c>
      <c r="T1501" s="125"/>
      <c r="U1501" s="33" t="s">
        <v>278</v>
      </c>
      <c r="V1501" s="125"/>
      <c r="W1501" s="59" t="s">
        <v>548</v>
      </c>
      <c r="X1501" s="33" t="str">
        <f>+VLOOKUP(OtherClients[[#This Row],[Part]],PartControl!$A$2:$E$564,5,FALSE)</f>
        <v>Infasco</v>
      </c>
      <c r="Y1501" s="108">
        <f>IF(OtherClients[[#This Row],[Re-certified or New]]&lt;&gt;"Re-certified",IF(OtherClients[[#This Row],[Client]]="infasco",VLOOKUP(OtherClients[[#This Row],[Part]],PartControl!$A$2:$E$564,2,FALSE),OtherClients[[#This Row],[Total Quantity]]*VLOOKUP(OtherClients[[#This Row],[Part]],PartControl!$A$2:$E$564,2,FALSE)),0)</f>
        <v>106.94</v>
      </c>
      <c r="Z1501" s="108">
        <f>IF(OtherClients[[#This Row],[Re-certified or New]]&lt;&gt;"Re-certified",IF(OtherClients[[#This Row],[Client]]="infasco",VLOOKUP(OtherClients[[#This Row],[Part]],PartControl!$A$2:$E$564,2,FALSE),OtherClients[[#This Row],[Total Quantity]]*VLOOKUP(OtherClients[[#This Row],[Part]],PartControl!$A$2:$E$564,2,FALSE)),0)</f>
        <v>106.94</v>
      </c>
    </row>
    <row r="1502" spans="1:26" ht="25.15" hidden="1" customHeight="1" x14ac:dyDescent="0.25">
      <c r="A1502" s="112">
        <v>46255.694016203706</v>
      </c>
      <c r="B1502" s="5" t="s">
        <v>345</v>
      </c>
      <c r="C1502" s="5" t="s">
        <v>594</v>
      </c>
      <c r="D1502" s="5">
        <v>716816</v>
      </c>
      <c r="E1502" s="33">
        <v>40</v>
      </c>
      <c r="F1502" s="60">
        <v>450</v>
      </c>
      <c r="G1502" s="60">
        <f>+OtherClients[[#This Row],[Boxes / Pieces]]*OtherClients[[#This Row],[Unit Quantity]]</f>
        <v>18000</v>
      </c>
      <c r="H1502" s="60" t="s">
        <v>849</v>
      </c>
      <c r="I1502" s="126" t="s">
        <v>278</v>
      </c>
      <c r="J1502" s="127"/>
      <c r="K1502" s="33" t="s">
        <v>278</v>
      </c>
      <c r="L1502" s="125"/>
      <c r="M1502" s="33" t="s">
        <v>278</v>
      </c>
      <c r="N1502" s="125"/>
      <c r="O1502" s="33" t="s">
        <v>278</v>
      </c>
      <c r="P1502" s="125"/>
      <c r="Q1502" s="33" t="s">
        <v>587</v>
      </c>
      <c r="R1502" s="125"/>
      <c r="S1502" s="33" t="s">
        <v>278</v>
      </c>
      <c r="T1502" s="125"/>
      <c r="U1502" s="33" t="s">
        <v>278</v>
      </c>
      <c r="V1502" s="125"/>
      <c r="W1502" s="59" t="s">
        <v>548</v>
      </c>
      <c r="X1502" s="33" t="str">
        <f>+VLOOKUP(OtherClients[[#This Row],[Part]],PartControl!$A$2:$E$564,5,FALSE)</f>
        <v>Infasco</v>
      </c>
      <c r="Y1502" s="108">
        <f>IF(OtherClients[[#This Row],[Re-certified or New]]&lt;&gt;"Re-certified",IF(OtherClients[[#This Row],[Client]]="infasco",VLOOKUP(OtherClients[[#This Row],[Part]],PartControl!$A$2:$E$564,2,FALSE),OtherClients[[#This Row],[Total Quantity]]*VLOOKUP(OtherClients[[#This Row],[Part]],PartControl!$A$2:$E$564,2,FALSE)),0)</f>
        <v>106.94</v>
      </c>
      <c r="Z1502" s="108">
        <f>IF(OtherClients[[#This Row],[Re-certified or New]]&lt;&gt;"Re-certified",IF(OtherClients[[#This Row],[Client]]="infasco",VLOOKUP(OtherClients[[#This Row],[Part]],PartControl!$A$2:$E$564,2,FALSE),OtherClients[[#This Row],[Total Quantity]]*VLOOKUP(OtherClients[[#This Row],[Part]],PartControl!$A$2:$E$564,2,FALSE)),0)</f>
        <v>106.94</v>
      </c>
    </row>
    <row r="1503" spans="1:26" ht="25.15" hidden="1" customHeight="1" x14ac:dyDescent="0.25">
      <c r="A1503" s="112">
        <v>46255.694016203706</v>
      </c>
      <c r="B1503" s="5" t="s">
        <v>343</v>
      </c>
      <c r="C1503" s="5" t="s">
        <v>872</v>
      </c>
      <c r="D1503" s="5">
        <v>716822</v>
      </c>
      <c r="E1503" s="33">
        <v>26</v>
      </c>
      <c r="F1503" s="60">
        <v>215</v>
      </c>
      <c r="G1503" s="60">
        <f>+OtherClients[[#This Row],[Boxes / Pieces]]*OtherClients[[#This Row],[Unit Quantity]]</f>
        <v>5590</v>
      </c>
      <c r="H1503" s="60" t="s">
        <v>757</v>
      </c>
      <c r="I1503" s="126" t="s">
        <v>278</v>
      </c>
      <c r="J1503" s="127"/>
      <c r="K1503" s="33" t="s">
        <v>278</v>
      </c>
      <c r="L1503" s="125"/>
      <c r="M1503" s="33" t="s">
        <v>278</v>
      </c>
      <c r="N1503" s="125"/>
      <c r="O1503" s="33" t="s">
        <v>278</v>
      </c>
      <c r="P1503" s="125"/>
      <c r="Q1503" s="33" t="s">
        <v>587</v>
      </c>
      <c r="R1503" s="125"/>
      <c r="S1503" s="33" t="s">
        <v>278</v>
      </c>
      <c r="T1503" s="125"/>
      <c r="U1503" s="33" t="s">
        <v>278</v>
      </c>
      <c r="V1503" s="125"/>
      <c r="W1503" s="59" t="s">
        <v>548</v>
      </c>
      <c r="X1503" s="33" t="str">
        <f>+VLOOKUP(OtherClients[[#This Row],[Part]],PartControl!$A$2:$E$564,5,FALSE)</f>
        <v>infasco</v>
      </c>
      <c r="Y1503" s="108">
        <f>IF(OtherClients[[#This Row],[Re-certified or New]]&lt;&gt;"Re-certified",IF(OtherClients[[#This Row],[Client]]="infasco",VLOOKUP(OtherClients[[#This Row],[Part]],PartControl!$A$2:$E$564,2,FALSE),OtherClients[[#This Row],[Total Quantity]]*VLOOKUP(OtherClients[[#This Row],[Part]],PartControl!$A$2:$E$564,2,FALSE)),0)</f>
        <v>106.94</v>
      </c>
      <c r="Z1503" s="108">
        <f>IF(OtherClients[[#This Row],[Re-certified or New]]&lt;&gt;"Re-certified",IF(OtherClients[[#This Row],[Client]]="infasco",VLOOKUP(OtherClients[[#This Row],[Part]],PartControl!$A$2:$E$564,2,FALSE),OtherClients[[#This Row],[Total Quantity]]*VLOOKUP(OtherClients[[#This Row],[Part]],PartControl!$A$2:$E$564,2,FALSE)),0)</f>
        <v>106.94</v>
      </c>
    </row>
    <row r="1504" spans="1:26" ht="25.15" hidden="1" customHeight="1" x14ac:dyDescent="0.25">
      <c r="A1504" s="112">
        <v>46254.679212962961</v>
      </c>
      <c r="B1504" s="5" t="s">
        <v>342</v>
      </c>
      <c r="C1504" s="5" t="s">
        <v>821</v>
      </c>
      <c r="D1504" s="5">
        <v>716849</v>
      </c>
      <c r="E1504" s="33">
        <v>35</v>
      </c>
      <c r="F1504" s="60">
        <v>215</v>
      </c>
      <c r="G1504" s="60">
        <f>+OtherClients[[#This Row],[Boxes / Pieces]]*OtherClients[[#This Row],[Unit Quantity]]</f>
        <v>7525</v>
      </c>
      <c r="H1504" s="60" t="s">
        <v>811</v>
      </c>
      <c r="I1504" s="126" t="s">
        <v>278</v>
      </c>
      <c r="J1504" s="127"/>
      <c r="K1504" s="33" t="s">
        <v>278</v>
      </c>
      <c r="L1504" s="125"/>
      <c r="M1504" s="33" t="s">
        <v>278</v>
      </c>
      <c r="N1504" s="125"/>
      <c r="O1504" s="33" t="s">
        <v>278</v>
      </c>
      <c r="P1504" s="125"/>
      <c r="Q1504" s="33" t="s">
        <v>587</v>
      </c>
      <c r="R1504" s="125"/>
      <c r="S1504" s="33" t="s">
        <v>278</v>
      </c>
      <c r="T1504" s="125"/>
      <c r="U1504" s="33" t="s">
        <v>278</v>
      </c>
      <c r="V1504" s="125"/>
      <c r="W1504" s="59" t="s">
        <v>548</v>
      </c>
      <c r="X1504" s="33" t="str">
        <f>+VLOOKUP(OtherClients[[#This Row],[Part]],PartControl!$A$2:$E$564,5,FALSE)</f>
        <v>Infasco</v>
      </c>
      <c r="Y1504" s="108">
        <f>IF(OtherClients[[#This Row],[Re-certified or New]]&lt;&gt;"Re-certified",IF(OtherClients[[#This Row],[Client]]="infasco",VLOOKUP(OtherClients[[#This Row],[Part]],PartControl!$A$2:$E$564,2,FALSE),OtherClients[[#This Row],[Total Quantity]]*VLOOKUP(OtherClients[[#This Row],[Part]],PartControl!$A$2:$E$564,2,FALSE)),0)</f>
        <v>106.94</v>
      </c>
      <c r="Z1504" s="108">
        <f>IF(OtherClients[[#This Row],[Re-certified or New]]&lt;&gt;"Re-certified",IF(OtherClients[[#This Row],[Client]]="infasco",VLOOKUP(OtherClients[[#This Row],[Part]],PartControl!$A$2:$E$564,2,FALSE),OtherClients[[#This Row],[Total Quantity]]*VLOOKUP(OtherClients[[#This Row],[Part]],PartControl!$A$2:$E$564,2,FALSE)),0)</f>
        <v>106.94</v>
      </c>
    </row>
    <row r="1505" spans="1:26" ht="25.15" hidden="1" customHeight="1" x14ac:dyDescent="0.25">
      <c r="A1505" s="112">
        <v>46254.679212962961</v>
      </c>
      <c r="B1505" s="5" t="s">
        <v>343</v>
      </c>
      <c r="C1505" s="5" t="s">
        <v>821</v>
      </c>
      <c r="D1505" s="5">
        <v>716850</v>
      </c>
      <c r="E1505" s="33">
        <v>25</v>
      </c>
      <c r="F1505" s="60">
        <v>215</v>
      </c>
      <c r="G1505" s="60">
        <f>+OtherClients[[#This Row],[Boxes / Pieces]]*OtherClients[[#This Row],[Unit Quantity]]</f>
        <v>5375</v>
      </c>
      <c r="H1505" s="60" t="s">
        <v>757</v>
      </c>
      <c r="I1505" s="126" t="s">
        <v>278</v>
      </c>
      <c r="J1505" s="127"/>
      <c r="K1505" s="33" t="s">
        <v>278</v>
      </c>
      <c r="L1505" s="125"/>
      <c r="M1505" s="33" t="s">
        <v>278</v>
      </c>
      <c r="N1505" s="125"/>
      <c r="O1505" s="33" t="s">
        <v>278</v>
      </c>
      <c r="P1505" s="125"/>
      <c r="Q1505" s="33" t="s">
        <v>587</v>
      </c>
      <c r="R1505" s="125"/>
      <c r="S1505" s="33" t="s">
        <v>278</v>
      </c>
      <c r="T1505" s="125"/>
      <c r="U1505" s="33" t="s">
        <v>278</v>
      </c>
      <c r="V1505" s="125"/>
      <c r="W1505" s="59" t="s">
        <v>548</v>
      </c>
      <c r="X1505" s="33" t="str">
        <f>+VLOOKUP(OtherClients[[#This Row],[Part]],PartControl!$A$2:$E$564,5,FALSE)</f>
        <v>Infasco</v>
      </c>
      <c r="Y1505" s="108">
        <f>IF(OtherClients[[#This Row],[Re-certified or New]]&lt;&gt;"Re-certified",IF(OtherClients[[#This Row],[Client]]="infasco",VLOOKUP(OtherClients[[#This Row],[Part]],PartControl!$A$2:$E$564,2,FALSE),OtherClients[[#This Row],[Total Quantity]]*VLOOKUP(OtherClients[[#This Row],[Part]],PartControl!$A$2:$E$564,2,FALSE)),0)</f>
        <v>106.94</v>
      </c>
      <c r="Z1505" s="108">
        <f>IF(OtherClients[[#This Row],[Re-certified or New]]&lt;&gt;"Re-certified",IF(OtherClients[[#This Row],[Client]]="infasco",VLOOKUP(OtherClients[[#This Row],[Part]],PartControl!$A$2:$E$564,2,FALSE),OtherClients[[#This Row],[Total Quantity]]*VLOOKUP(OtherClients[[#This Row],[Part]],PartControl!$A$2:$E$564,2,FALSE)),0)</f>
        <v>106.94</v>
      </c>
    </row>
    <row r="1506" spans="1:26" ht="25.15" hidden="1" customHeight="1" x14ac:dyDescent="0.25">
      <c r="A1506" s="112">
        <v>46254.679212962961</v>
      </c>
      <c r="B1506" s="5" t="s">
        <v>342</v>
      </c>
      <c r="C1506" s="5" t="s">
        <v>821</v>
      </c>
      <c r="D1506" s="5">
        <v>716851</v>
      </c>
      <c r="E1506" s="33">
        <v>15</v>
      </c>
      <c r="F1506" s="60">
        <v>215</v>
      </c>
      <c r="G1506" s="60">
        <f>+OtherClients[[#This Row],[Boxes / Pieces]]*OtherClients[[#This Row],[Unit Quantity]]</f>
        <v>3225</v>
      </c>
      <c r="H1506" s="60" t="s">
        <v>811</v>
      </c>
      <c r="I1506" s="126" t="s">
        <v>278</v>
      </c>
      <c r="J1506" s="127"/>
      <c r="K1506" s="33" t="s">
        <v>278</v>
      </c>
      <c r="L1506" s="125"/>
      <c r="M1506" s="33" t="s">
        <v>278</v>
      </c>
      <c r="N1506" s="125"/>
      <c r="O1506" s="33" t="s">
        <v>278</v>
      </c>
      <c r="P1506" s="125"/>
      <c r="Q1506" s="33" t="s">
        <v>587</v>
      </c>
      <c r="R1506" s="125"/>
      <c r="S1506" s="33" t="s">
        <v>278</v>
      </c>
      <c r="T1506" s="125"/>
      <c r="U1506" s="33" t="s">
        <v>278</v>
      </c>
      <c r="V1506" s="125"/>
      <c r="W1506" s="59" t="s">
        <v>633</v>
      </c>
      <c r="X1506" s="33" t="str">
        <f>+VLOOKUP(OtherClients[[#This Row],[Part]],PartControl!$A$2:$E$564,5,FALSE)</f>
        <v>Infasco</v>
      </c>
      <c r="Y1506" s="108">
        <f>IF(OtherClients[[#This Row],[Re-certified or New]]&lt;&gt;"Re-certified",IF(OtherClients[[#This Row],[Client]]="infasco",VLOOKUP(OtherClients[[#This Row],[Part]],PartControl!$A$2:$E$564,2,FALSE),OtherClients[[#This Row],[Total Quantity]]*VLOOKUP(OtherClients[[#This Row],[Part]],PartControl!$A$2:$E$564,2,FALSE)),0)</f>
        <v>0</v>
      </c>
      <c r="Z1506" s="108">
        <f>IF(OtherClients[[#This Row],[Re-certified or New]]&lt;&gt;"Re-certified",IF(OtherClients[[#This Row],[Client]]="infasco",VLOOKUP(OtherClients[[#This Row],[Part]],PartControl!$A$2:$E$564,2,FALSE),OtherClients[[#This Row],[Total Quantity]]*VLOOKUP(OtherClients[[#This Row],[Part]],PartControl!$A$2:$E$564,2,FALSE)),0)</f>
        <v>0</v>
      </c>
    </row>
    <row r="1507" spans="1:26" ht="25.15" hidden="1" customHeight="1" x14ac:dyDescent="0.25">
      <c r="A1507" s="112">
        <v>46255.694016203706</v>
      </c>
      <c r="B1507" s="5" t="s">
        <v>342</v>
      </c>
      <c r="C1507" s="5" t="s">
        <v>872</v>
      </c>
      <c r="D1507" s="5">
        <v>716851</v>
      </c>
      <c r="E1507" s="33">
        <f>27-15</f>
        <v>12</v>
      </c>
      <c r="F1507" s="60">
        <v>215</v>
      </c>
      <c r="G1507" s="60">
        <f>+OtherClients[[#This Row],[Boxes / Pieces]]*OtherClients[[#This Row],[Unit Quantity]]</f>
        <v>2580</v>
      </c>
      <c r="H1507" s="60" t="s">
        <v>811</v>
      </c>
      <c r="I1507" s="126" t="s">
        <v>278</v>
      </c>
      <c r="J1507" s="127"/>
      <c r="K1507" s="33" t="s">
        <v>278</v>
      </c>
      <c r="L1507" s="125"/>
      <c r="M1507" s="33" t="s">
        <v>278</v>
      </c>
      <c r="N1507" s="125"/>
      <c r="O1507" s="33" t="s">
        <v>278</v>
      </c>
      <c r="P1507" s="125"/>
      <c r="Q1507" s="33" t="s">
        <v>587</v>
      </c>
      <c r="R1507" s="125"/>
      <c r="S1507" s="33" t="s">
        <v>278</v>
      </c>
      <c r="T1507" s="125"/>
      <c r="U1507" s="33" t="s">
        <v>278</v>
      </c>
      <c r="V1507" s="125"/>
      <c r="W1507" s="59" t="s">
        <v>548</v>
      </c>
      <c r="X1507" s="33" t="str">
        <f>+VLOOKUP(OtherClients[[#This Row],[Part]],PartControl!$A$2:$E$564,5,FALSE)</f>
        <v>infasco</v>
      </c>
      <c r="Y1507" s="108">
        <f>IF(OtherClients[[#This Row],[Re-certified or New]]&lt;&gt;"Re-certified",IF(OtherClients[[#This Row],[Client]]="infasco",VLOOKUP(OtherClients[[#This Row],[Part]],PartControl!$A$2:$E$564,2,FALSE),OtherClients[[#This Row],[Total Quantity]]*VLOOKUP(OtherClients[[#This Row],[Part]],PartControl!$A$2:$E$564,2,FALSE)),0)</f>
        <v>106.94</v>
      </c>
      <c r="Z1507" s="108">
        <f>IF(OtherClients[[#This Row],[Re-certified or New]]&lt;&gt;"Re-certified",IF(OtherClients[[#This Row],[Client]]="infasco",VLOOKUP(OtherClients[[#This Row],[Part]],PartControl!$A$2:$E$564,2,FALSE),OtherClients[[#This Row],[Total Quantity]]*VLOOKUP(OtherClients[[#This Row],[Part]],PartControl!$A$2:$E$564,2,FALSE)),0)</f>
        <v>106.94</v>
      </c>
    </row>
    <row r="1508" spans="1:26" ht="25.15" hidden="1" customHeight="1" x14ac:dyDescent="0.25">
      <c r="A1508" s="112">
        <v>46254.679212962961</v>
      </c>
      <c r="B1508" s="5" t="s">
        <v>344</v>
      </c>
      <c r="C1508" s="5" t="s">
        <v>821</v>
      </c>
      <c r="D1508" s="5">
        <v>716852</v>
      </c>
      <c r="E1508" s="33">
        <v>36</v>
      </c>
      <c r="F1508" s="60">
        <v>215</v>
      </c>
      <c r="G1508" s="60">
        <f>+OtherClients[[#This Row],[Boxes / Pieces]]*OtherClients[[#This Row],[Unit Quantity]]</f>
        <v>7740</v>
      </c>
      <c r="H1508" s="60" t="s">
        <v>816</v>
      </c>
      <c r="I1508" s="126" t="s">
        <v>278</v>
      </c>
      <c r="J1508" s="127"/>
      <c r="K1508" s="33" t="s">
        <v>278</v>
      </c>
      <c r="L1508" s="125"/>
      <c r="M1508" s="33" t="s">
        <v>278</v>
      </c>
      <c r="N1508" s="125"/>
      <c r="O1508" s="33" t="s">
        <v>278</v>
      </c>
      <c r="P1508" s="125"/>
      <c r="Q1508" s="33" t="s">
        <v>587</v>
      </c>
      <c r="R1508" s="125"/>
      <c r="S1508" s="33" t="s">
        <v>278</v>
      </c>
      <c r="T1508" s="125"/>
      <c r="U1508" s="33" t="s">
        <v>278</v>
      </c>
      <c r="V1508" s="125"/>
      <c r="W1508" s="59" t="s">
        <v>548</v>
      </c>
      <c r="X1508" s="33" t="str">
        <f>+VLOOKUP(OtherClients[[#This Row],[Part]],PartControl!$A$2:$E$564,5,FALSE)</f>
        <v>Infasco</v>
      </c>
      <c r="Y1508" s="108">
        <f>IF(OtherClients[[#This Row],[Re-certified or New]]&lt;&gt;"Re-certified",IF(OtherClients[[#This Row],[Client]]="infasco",VLOOKUP(OtherClients[[#This Row],[Part]],PartControl!$A$2:$E$564,2,FALSE),OtherClients[[#This Row],[Total Quantity]]*VLOOKUP(OtherClients[[#This Row],[Part]],PartControl!$A$2:$E$564,2,FALSE)),0)</f>
        <v>106.94</v>
      </c>
      <c r="Z1508" s="108">
        <f>IF(OtherClients[[#This Row],[Re-certified or New]]&lt;&gt;"Re-certified",IF(OtherClients[[#This Row],[Client]]="infasco",VLOOKUP(OtherClients[[#This Row],[Part]],PartControl!$A$2:$E$564,2,FALSE),OtherClients[[#This Row],[Total Quantity]]*VLOOKUP(OtherClients[[#This Row],[Part]],PartControl!$A$2:$E$564,2,FALSE)),0)</f>
        <v>106.94</v>
      </c>
    </row>
    <row r="1509" spans="1:26" ht="25.15" hidden="1" customHeight="1" x14ac:dyDescent="0.25">
      <c r="A1509" s="112">
        <v>46255.694016203706</v>
      </c>
      <c r="B1509" s="5" t="s">
        <v>357</v>
      </c>
      <c r="C1509" s="5">
        <v>11546449</v>
      </c>
      <c r="D1509" s="5">
        <v>716868</v>
      </c>
      <c r="E1509" s="33">
        <v>36</v>
      </c>
      <c r="F1509" s="60">
        <v>2500</v>
      </c>
      <c r="G1509" s="60">
        <f>+OtherClients[[#This Row],[Boxes / Pieces]]*OtherClients[[#This Row],[Unit Quantity]]</f>
        <v>90000</v>
      </c>
      <c r="H1509" s="60">
        <v>280</v>
      </c>
      <c r="I1509" s="126" t="s">
        <v>278</v>
      </c>
      <c r="J1509" s="127"/>
      <c r="K1509" s="33" t="s">
        <v>278</v>
      </c>
      <c r="L1509" s="125"/>
      <c r="M1509" s="33" t="s">
        <v>278</v>
      </c>
      <c r="N1509" s="125"/>
      <c r="O1509" s="33" t="s">
        <v>278</v>
      </c>
      <c r="P1509" s="125"/>
      <c r="Q1509" s="33" t="s">
        <v>587</v>
      </c>
      <c r="R1509" s="125"/>
      <c r="S1509" s="33" t="s">
        <v>278</v>
      </c>
      <c r="T1509" s="125"/>
      <c r="U1509" s="33" t="s">
        <v>278</v>
      </c>
      <c r="V1509" s="125"/>
      <c r="W1509" s="59" t="s">
        <v>548</v>
      </c>
      <c r="X1509" s="33" t="str">
        <f>+VLOOKUP(OtherClients[[#This Row],[Part]],PartControl!$A$2:$E$564,5,FALSE)</f>
        <v>INFASCO</v>
      </c>
      <c r="Y1509" s="108">
        <f>IF(OtherClients[[#This Row],[Re-certified or New]]&lt;&gt;"Re-certified",IF(OtherClients[[#This Row],[Client]]="infasco",VLOOKUP(OtherClients[[#This Row],[Part]],PartControl!$A$2:$E$564,2,FALSE),OtherClients[[#This Row],[Total Quantity]]*VLOOKUP(OtherClients[[#This Row],[Part]],PartControl!$A$2:$E$564,2,FALSE)),0)</f>
        <v>106.94</v>
      </c>
      <c r="Z1509" s="108">
        <f>IF(OtherClients[[#This Row],[Re-certified or New]]&lt;&gt;"Re-certified",IF(OtherClients[[#This Row],[Client]]="infasco",VLOOKUP(OtherClients[[#This Row],[Part]],PartControl!$A$2:$E$564,2,FALSE),OtherClients[[#This Row],[Total Quantity]]*VLOOKUP(OtherClients[[#This Row],[Part]],PartControl!$A$2:$E$564,2,FALSE)),0)</f>
        <v>106.94</v>
      </c>
    </row>
    <row r="1510" spans="1:26" ht="25.15" hidden="1" customHeight="1" x14ac:dyDescent="0.25">
      <c r="A1510" s="112">
        <v>46255.694016203706</v>
      </c>
      <c r="B1510" s="5" t="s">
        <v>357</v>
      </c>
      <c r="C1510" s="5">
        <v>11546449</v>
      </c>
      <c r="D1510" s="5">
        <v>716869</v>
      </c>
      <c r="E1510" s="33">
        <v>27</v>
      </c>
      <c r="F1510" s="60">
        <v>2500</v>
      </c>
      <c r="G1510" s="60">
        <f>+OtherClients[[#This Row],[Boxes / Pieces]]*OtherClients[[#This Row],[Unit Quantity]]</f>
        <v>67500</v>
      </c>
      <c r="H1510" s="60">
        <v>280</v>
      </c>
      <c r="I1510" s="126" t="s">
        <v>278</v>
      </c>
      <c r="J1510" s="127"/>
      <c r="K1510" s="33" t="s">
        <v>278</v>
      </c>
      <c r="L1510" s="125"/>
      <c r="M1510" s="33" t="s">
        <v>278</v>
      </c>
      <c r="N1510" s="125"/>
      <c r="O1510" s="33" t="s">
        <v>278</v>
      </c>
      <c r="P1510" s="125"/>
      <c r="Q1510" s="33" t="s">
        <v>587</v>
      </c>
      <c r="R1510" s="125"/>
      <c r="S1510" s="33" t="s">
        <v>278</v>
      </c>
      <c r="T1510" s="125"/>
      <c r="U1510" s="33" t="s">
        <v>278</v>
      </c>
      <c r="V1510" s="125"/>
      <c r="W1510" s="59" t="s">
        <v>633</v>
      </c>
      <c r="X1510" s="33" t="str">
        <f>+VLOOKUP(OtherClients[[#This Row],[Part]],PartControl!$A$2:$E$564,5,FALSE)</f>
        <v>INFASCO</v>
      </c>
      <c r="Y1510" s="108">
        <f>IF(OtherClients[[#This Row],[Re-certified or New]]&lt;&gt;"Re-certified",IF(OtherClients[[#This Row],[Client]]="infasco",VLOOKUP(OtherClients[[#This Row],[Part]],PartControl!$A$2:$E$564,2,FALSE),OtherClients[[#This Row],[Total Quantity]]*VLOOKUP(OtherClients[[#This Row],[Part]],PartControl!$A$2:$E$564,2,FALSE)),0)</f>
        <v>0</v>
      </c>
      <c r="Z1510" s="108">
        <f>IF(OtherClients[[#This Row],[Re-certified or New]]&lt;&gt;"Re-certified",IF(OtherClients[[#This Row],[Client]]="infasco",VLOOKUP(OtherClients[[#This Row],[Part]],PartControl!$A$2:$E$564,2,FALSE),OtherClients[[#This Row],[Total Quantity]]*VLOOKUP(OtherClients[[#This Row],[Part]],PartControl!$A$2:$E$564,2,FALSE)),0)</f>
        <v>0</v>
      </c>
    </row>
    <row r="1511" spans="1:26" ht="25.15" hidden="1" customHeight="1" x14ac:dyDescent="0.25">
      <c r="A1511" s="112">
        <v>46256</v>
      </c>
      <c r="B1511" s="5" t="s">
        <v>342</v>
      </c>
      <c r="C1511" s="5">
        <v>91054</v>
      </c>
      <c r="D1511" s="5">
        <v>714018</v>
      </c>
      <c r="E1511" s="33">
        <v>23</v>
      </c>
      <c r="F1511" s="60">
        <v>1700</v>
      </c>
      <c r="G1511" s="60">
        <f>+OtherClients[[#This Row],[Boxes / Pieces]]*OtherClients[[#This Row],[Unit Quantity]]</f>
        <v>39100</v>
      </c>
      <c r="H1511" s="60" t="s">
        <v>811</v>
      </c>
      <c r="I1511" s="126" t="s">
        <v>278</v>
      </c>
      <c r="J1511" s="127"/>
      <c r="K1511" s="33" t="s">
        <v>278</v>
      </c>
      <c r="L1511" s="125"/>
      <c r="M1511" s="33" t="s">
        <v>278</v>
      </c>
      <c r="N1511" s="125"/>
      <c r="O1511" s="33" t="s">
        <v>278</v>
      </c>
      <c r="P1511" s="125"/>
      <c r="Q1511" s="33" t="s">
        <v>587</v>
      </c>
      <c r="R1511" s="125"/>
      <c r="S1511" s="33" t="s">
        <v>278</v>
      </c>
      <c r="T1511" s="125"/>
      <c r="U1511" s="33" t="s">
        <v>278</v>
      </c>
      <c r="V1511" s="125"/>
      <c r="W1511" s="59" t="s">
        <v>633</v>
      </c>
      <c r="X1511" s="33" t="str">
        <f>+VLOOKUP(OtherClients[[#This Row],[Part]],PartControl!$A$2:$E$564,5,FALSE)</f>
        <v>infasco</v>
      </c>
      <c r="Y1511" s="108">
        <f>IF(OtherClients[[#This Row],[Re-certified or New]]&lt;&gt;"Re-certified",IF(OtherClients[[#This Row],[Client]]="infasco",VLOOKUP(OtherClients[[#This Row],[Part]],PartControl!$A$2:$E$564,2,FALSE),OtherClients[[#This Row],[Total Quantity]]*VLOOKUP(OtherClients[[#This Row],[Part]],PartControl!$A$2:$E$564,2,FALSE)),0)</f>
        <v>0</v>
      </c>
      <c r="Z1511" s="108">
        <f>IF(OtherClients[[#This Row],[Re-certified or New]]&lt;&gt;"Re-certified",IF(OtherClients[[#This Row],[Client]]="infasco",VLOOKUP(OtherClients[[#This Row],[Part]],PartControl!$A$2:$E$564,2,FALSE),OtherClients[[#This Row],[Total Quantity]]*VLOOKUP(OtherClients[[#This Row],[Part]],PartControl!$A$2:$E$564,2,FALSE)),0)</f>
        <v>0</v>
      </c>
    </row>
    <row r="1512" spans="1:26" ht="25.15" hidden="1" customHeight="1" x14ac:dyDescent="0.25">
      <c r="A1512" s="112">
        <v>46256</v>
      </c>
      <c r="B1512" s="5" t="s">
        <v>342</v>
      </c>
      <c r="C1512" s="5">
        <v>11546703</v>
      </c>
      <c r="D1512" s="5">
        <v>714423</v>
      </c>
      <c r="E1512" s="33">
        <v>27</v>
      </c>
      <c r="F1512" s="60">
        <v>4000</v>
      </c>
      <c r="G1512" s="60">
        <f>+OtherClients[[#This Row],[Boxes / Pieces]]*OtherClients[[#This Row],[Unit Quantity]]</f>
        <v>108000</v>
      </c>
      <c r="H1512" s="60" t="s">
        <v>811</v>
      </c>
      <c r="I1512" s="126" t="s">
        <v>278</v>
      </c>
      <c r="J1512" s="127"/>
      <c r="K1512" s="33" t="s">
        <v>278</v>
      </c>
      <c r="L1512" s="125"/>
      <c r="M1512" s="33" t="s">
        <v>278</v>
      </c>
      <c r="N1512" s="125"/>
      <c r="O1512" s="33" t="s">
        <v>278</v>
      </c>
      <c r="P1512" s="125"/>
      <c r="Q1512" s="33" t="s">
        <v>587</v>
      </c>
      <c r="R1512" s="125"/>
      <c r="S1512" s="33" t="s">
        <v>278</v>
      </c>
      <c r="T1512" s="125"/>
      <c r="U1512" s="33" t="s">
        <v>278</v>
      </c>
      <c r="V1512" s="125"/>
      <c r="W1512" s="59" t="s">
        <v>548</v>
      </c>
      <c r="X1512" s="33" t="str">
        <f>+VLOOKUP(OtherClients[[#This Row],[Part]],PartControl!$A$2:$E$564,5,FALSE)</f>
        <v>infasco</v>
      </c>
      <c r="Y1512" s="108">
        <f>IF(OtherClients[[#This Row],[Re-certified or New]]&lt;&gt;"Re-certified",IF(OtherClients[[#This Row],[Client]]="infasco",VLOOKUP(OtherClients[[#This Row],[Part]],PartControl!$A$2:$E$564,2,FALSE),OtherClients[[#This Row],[Total Quantity]]*VLOOKUP(OtherClients[[#This Row],[Part]],PartControl!$A$2:$E$564,2,FALSE)),0)</f>
        <v>135.07999999999998</v>
      </c>
      <c r="Z1512" s="108">
        <f>IF(OtherClients[[#This Row],[Re-certified or New]]&lt;&gt;"Re-certified",IF(OtherClients[[#This Row],[Client]]="infasco",VLOOKUP(OtherClients[[#This Row],[Part]],PartControl!$A$2:$E$564,2,FALSE),OtherClients[[#This Row],[Total Quantity]]*VLOOKUP(OtherClients[[#This Row],[Part]],PartControl!$A$2:$E$564,2,FALSE)),0)</f>
        <v>135.07999999999998</v>
      </c>
    </row>
    <row r="1513" spans="1:26" ht="25.15" hidden="1" customHeight="1" x14ac:dyDescent="0.25">
      <c r="A1513" s="112">
        <v>46255.694016203706</v>
      </c>
      <c r="B1513" s="5" t="s">
        <v>637</v>
      </c>
      <c r="C1513" s="5">
        <v>11546449</v>
      </c>
      <c r="D1513" s="5">
        <v>716871</v>
      </c>
      <c r="E1513" s="33">
        <v>26</v>
      </c>
      <c r="F1513" s="60">
        <v>2500</v>
      </c>
      <c r="G1513" s="60">
        <f>+OtherClients[[#This Row],[Boxes / Pieces]]*OtherClients[[#This Row],[Unit Quantity]]</f>
        <v>65000</v>
      </c>
      <c r="H1513" s="60">
        <v>280</v>
      </c>
      <c r="I1513" s="126" t="s">
        <v>278</v>
      </c>
      <c r="J1513" s="127"/>
      <c r="K1513" s="33" t="s">
        <v>278</v>
      </c>
      <c r="L1513" s="125"/>
      <c r="M1513" s="33" t="s">
        <v>278</v>
      </c>
      <c r="N1513" s="125"/>
      <c r="O1513" s="33" t="s">
        <v>278</v>
      </c>
      <c r="P1513" s="125"/>
      <c r="Q1513" s="33" t="s">
        <v>587</v>
      </c>
      <c r="R1513" s="125"/>
      <c r="S1513" s="33" t="s">
        <v>278</v>
      </c>
      <c r="T1513" s="125"/>
      <c r="U1513" s="33" t="s">
        <v>278</v>
      </c>
      <c r="V1513" s="125"/>
      <c r="W1513" s="59" t="s">
        <v>548</v>
      </c>
      <c r="X1513" s="33" t="str">
        <f>+VLOOKUP(OtherClients[[#This Row],[Part]],PartControl!$A$2:$E$564,5,FALSE)</f>
        <v>INFASCO</v>
      </c>
      <c r="Y1513" s="108">
        <f>IF(OtherClients[[#This Row],[Re-certified or New]]&lt;&gt;"Re-certified",IF(OtherClients[[#This Row],[Client]]="infasco",VLOOKUP(OtherClients[[#This Row],[Part]],PartControl!$A$2:$E$564,2,FALSE),OtherClients[[#This Row],[Total Quantity]]*VLOOKUP(OtherClients[[#This Row],[Part]],PartControl!$A$2:$E$564,2,FALSE)),0)</f>
        <v>106.94</v>
      </c>
      <c r="Z1513" s="108">
        <f>IF(OtherClients[[#This Row],[Re-certified or New]]&lt;&gt;"Re-certified",IF(OtherClients[[#This Row],[Client]]="infasco",VLOOKUP(OtherClients[[#This Row],[Part]],PartControl!$A$2:$E$564,2,FALSE),OtherClients[[#This Row],[Total Quantity]]*VLOOKUP(OtherClients[[#This Row],[Part]],PartControl!$A$2:$E$564,2,FALSE)),0)</f>
        <v>106.94</v>
      </c>
    </row>
    <row r="1514" spans="1:26" ht="25.15" hidden="1" customHeight="1" x14ac:dyDescent="0.25">
      <c r="A1514" s="112">
        <v>46255.694016203706</v>
      </c>
      <c r="B1514" s="5" t="s">
        <v>236</v>
      </c>
      <c r="C1514" s="5">
        <v>11546449</v>
      </c>
      <c r="D1514" s="5">
        <v>716872</v>
      </c>
      <c r="E1514" s="33">
        <v>35</v>
      </c>
      <c r="F1514" s="60">
        <v>2500</v>
      </c>
      <c r="G1514" s="60">
        <f>+OtherClients[[#This Row],[Boxes / Pieces]]*OtherClients[[#This Row],[Unit Quantity]]</f>
        <v>87500</v>
      </c>
      <c r="H1514" s="60">
        <v>290</v>
      </c>
      <c r="I1514" s="126" t="s">
        <v>278</v>
      </c>
      <c r="J1514" s="127"/>
      <c r="K1514" s="33" t="s">
        <v>278</v>
      </c>
      <c r="L1514" s="125"/>
      <c r="M1514" s="33" t="s">
        <v>278</v>
      </c>
      <c r="N1514" s="125"/>
      <c r="O1514" s="33" t="s">
        <v>278</v>
      </c>
      <c r="P1514" s="125"/>
      <c r="Q1514" s="33" t="s">
        <v>587</v>
      </c>
      <c r="R1514" s="125"/>
      <c r="S1514" s="33" t="s">
        <v>278</v>
      </c>
      <c r="T1514" s="125"/>
      <c r="U1514" s="33" t="s">
        <v>278</v>
      </c>
      <c r="V1514" s="125"/>
      <c r="W1514" s="59" t="s">
        <v>633</v>
      </c>
      <c r="X1514" s="33" t="str">
        <f>+VLOOKUP(OtherClients[[#This Row],[Part]],PartControl!$A$2:$E$564,5,FALSE)</f>
        <v>INFASCO</v>
      </c>
      <c r="Y1514" s="108">
        <f>IF(OtherClients[[#This Row],[Re-certified or New]]&lt;&gt;"Re-certified",IF(OtherClients[[#This Row],[Client]]="infasco",VLOOKUP(OtherClients[[#This Row],[Part]],PartControl!$A$2:$E$564,2,FALSE),OtherClients[[#This Row],[Total Quantity]]*VLOOKUP(OtherClients[[#This Row],[Part]],PartControl!$A$2:$E$564,2,FALSE)),0)</f>
        <v>0</v>
      </c>
      <c r="Z1514" s="108">
        <f>IF(OtherClients[[#This Row],[Re-certified or New]]&lt;&gt;"Re-certified",IF(OtherClients[[#This Row],[Client]]="infasco",VLOOKUP(OtherClients[[#This Row],[Part]],PartControl!$A$2:$E$564,2,FALSE),OtherClients[[#This Row],[Total Quantity]]*VLOOKUP(OtherClients[[#This Row],[Part]],PartControl!$A$2:$E$564,2,FALSE)),0)</f>
        <v>0</v>
      </c>
    </row>
    <row r="1515" spans="1:26" ht="25.15" hidden="1" customHeight="1" x14ac:dyDescent="0.25">
      <c r="A1515" s="112">
        <v>46256</v>
      </c>
      <c r="B1515" s="5" t="s">
        <v>342</v>
      </c>
      <c r="C1515" s="5" t="s">
        <v>792</v>
      </c>
      <c r="D1515" s="5">
        <v>714653</v>
      </c>
      <c r="E1515" s="33">
        <v>23</v>
      </c>
      <c r="F1515" s="60">
        <v>450</v>
      </c>
      <c r="G1515" s="60">
        <f>+OtherClients[[#This Row],[Boxes / Pieces]]*OtherClients[[#This Row],[Unit Quantity]]</f>
        <v>10350</v>
      </c>
      <c r="H1515" s="60" t="s">
        <v>811</v>
      </c>
      <c r="I1515" s="126" t="s">
        <v>278</v>
      </c>
      <c r="J1515" s="127"/>
      <c r="K1515" s="33" t="s">
        <v>278</v>
      </c>
      <c r="L1515" s="125"/>
      <c r="M1515" s="33" t="s">
        <v>278</v>
      </c>
      <c r="N1515" s="125"/>
      <c r="O1515" s="33" t="s">
        <v>278</v>
      </c>
      <c r="P1515" s="125"/>
      <c r="Q1515" s="33" t="s">
        <v>587</v>
      </c>
      <c r="R1515" s="125"/>
      <c r="S1515" s="33" t="s">
        <v>278</v>
      </c>
      <c r="T1515" s="125"/>
      <c r="U1515" s="33" t="s">
        <v>278</v>
      </c>
      <c r="V1515" s="125"/>
      <c r="W1515" s="59" t="s">
        <v>548</v>
      </c>
      <c r="X1515" s="33" t="str">
        <f>+VLOOKUP(OtherClients[[#This Row],[Part]],PartControl!$A$2:$E$564,5,FALSE)</f>
        <v>infasco</v>
      </c>
      <c r="Y1515" s="108">
        <f>IF(OtherClients[[#This Row],[Re-certified or New]]&lt;&gt;"Re-certified",IF(OtherClients[[#This Row],[Client]]="infasco",VLOOKUP(OtherClients[[#This Row],[Part]],PartControl!$A$2:$E$564,2,FALSE),OtherClients[[#This Row],[Total Quantity]]*VLOOKUP(OtherClients[[#This Row],[Part]],PartControl!$A$2:$E$564,2,FALSE)),0)</f>
        <v>106.94</v>
      </c>
      <c r="Z1515" s="108">
        <f>IF(OtherClients[[#This Row],[Re-certified or New]]&lt;&gt;"Re-certified",IF(OtherClients[[#This Row],[Client]]="infasco",VLOOKUP(OtherClients[[#This Row],[Part]],PartControl!$A$2:$E$564,2,FALSE),OtherClients[[#This Row],[Total Quantity]]*VLOOKUP(OtherClients[[#This Row],[Part]],PartControl!$A$2:$E$564,2,FALSE)),0)</f>
        <v>106.94</v>
      </c>
    </row>
    <row r="1516" spans="1:26" ht="25.15" hidden="1" customHeight="1" x14ac:dyDescent="0.25">
      <c r="A1516" s="112">
        <v>46256</v>
      </c>
      <c r="B1516" s="5" t="s">
        <v>342</v>
      </c>
      <c r="C1516" s="5" t="s">
        <v>818</v>
      </c>
      <c r="D1516" s="5">
        <v>716988</v>
      </c>
      <c r="E1516" s="33">
        <v>31</v>
      </c>
      <c r="F1516" s="60">
        <v>670</v>
      </c>
      <c r="G1516" s="60">
        <f>+OtherClients[[#This Row],[Boxes / Pieces]]*OtherClients[[#This Row],[Unit Quantity]]</f>
        <v>20770</v>
      </c>
      <c r="H1516" s="60" t="s">
        <v>811</v>
      </c>
      <c r="I1516" s="126" t="s">
        <v>278</v>
      </c>
      <c r="J1516" s="127"/>
      <c r="K1516" s="33" t="s">
        <v>278</v>
      </c>
      <c r="L1516" s="125"/>
      <c r="M1516" s="33" t="s">
        <v>278</v>
      </c>
      <c r="N1516" s="125"/>
      <c r="O1516" s="33" t="s">
        <v>278</v>
      </c>
      <c r="P1516" s="125"/>
      <c r="Q1516" s="33" t="s">
        <v>587</v>
      </c>
      <c r="R1516" s="125"/>
      <c r="S1516" s="33" t="s">
        <v>278</v>
      </c>
      <c r="T1516" s="125"/>
      <c r="U1516" s="33" t="s">
        <v>278</v>
      </c>
      <c r="V1516" s="125"/>
      <c r="W1516" s="59" t="s">
        <v>548</v>
      </c>
      <c r="X1516" s="33" t="str">
        <f>+VLOOKUP(OtherClients[[#This Row],[Part]],PartControl!$A$2:$E$564,5,FALSE)</f>
        <v>infasco</v>
      </c>
      <c r="Y1516" s="108">
        <f>IF(OtherClients[[#This Row],[Re-certified or New]]&lt;&gt;"Re-certified",IF(OtherClients[[#This Row],[Client]]="infasco",VLOOKUP(OtherClients[[#This Row],[Part]],PartControl!$A$2:$E$564,2,FALSE),OtherClients[[#This Row],[Total Quantity]]*VLOOKUP(OtherClients[[#This Row],[Part]],PartControl!$A$2:$E$564,2,FALSE)),0)</f>
        <v>280.16000000000003</v>
      </c>
      <c r="Z1516" s="108">
        <f>IF(OtherClients[[#This Row],[Re-certified or New]]&lt;&gt;"Re-certified",IF(OtherClients[[#This Row],[Client]]="infasco",VLOOKUP(OtherClients[[#This Row],[Part]],PartControl!$A$2:$E$564,2,FALSE),OtherClients[[#This Row],[Total Quantity]]*VLOOKUP(OtherClients[[#This Row],[Part]],PartControl!$A$2:$E$564,2,FALSE)),0)</f>
        <v>280.16000000000003</v>
      </c>
    </row>
    <row r="1517" spans="1:26" ht="25.15" hidden="1" customHeight="1" x14ac:dyDescent="0.25">
      <c r="A1517" s="112">
        <v>46254.679212962961</v>
      </c>
      <c r="B1517" s="5" t="s">
        <v>357</v>
      </c>
      <c r="C1517" s="5">
        <v>11546449</v>
      </c>
      <c r="D1517" s="5">
        <v>716874</v>
      </c>
      <c r="E1517" s="33">
        <v>8</v>
      </c>
      <c r="F1517" s="60">
        <v>2500</v>
      </c>
      <c r="G1517" s="60">
        <f>+OtherClients[[#This Row],[Boxes / Pieces]]*OtherClients[[#This Row],[Unit Quantity]]</f>
        <v>20000</v>
      </c>
      <c r="H1517" s="60">
        <v>280</v>
      </c>
      <c r="I1517" s="126" t="s">
        <v>278</v>
      </c>
      <c r="J1517" s="127"/>
      <c r="K1517" s="33" t="s">
        <v>278</v>
      </c>
      <c r="L1517" s="125"/>
      <c r="M1517" s="33" t="s">
        <v>278</v>
      </c>
      <c r="N1517" s="125"/>
      <c r="O1517" s="33" t="s">
        <v>278</v>
      </c>
      <c r="P1517" s="125"/>
      <c r="Q1517" s="33" t="s">
        <v>587</v>
      </c>
      <c r="R1517" s="125"/>
      <c r="S1517" s="33" t="s">
        <v>278</v>
      </c>
      <c r="T1517" s="125"/>
      <c r="U1517" s="33" t="s">
        <v>278</v>
      </c>
      <c r="V1517" s="125"/>
      <c r="W1517" s="59" t="s">
        <v>633</v>
      </c>
      <c r="X1517" s="33" t="str">
        <f>+VLOOKUP(OtherClients[[#This Row],[Part]],PartControl!$A$2:$E$564,5,FALSE)</f>
        <v>INFASCO</v>
      </c>
      <c r="Y1517" s="108">
        <f>IF(OtherClients[[#This Row],[Re-certified or New]]&lt;&gt;"Re-certified",IF(OtherClients[[#This Row],[Client]]="infasco",VLOOKUP(OtherClients[[#This Row],[Part]],PartControl!$A$2:$E$564,2,FALSE),OtherClients[[#This Row],[Total Quantity]]*VLOOKUP(OtherClients[[#This Row],[Part]],PartControl!$A$2:$E$564,2,FALSE)),0)</f>
        <v>0</v>
      </c>
      <c r="Z1517" s="108">
        <f>IF(OtherClients[[#This Row],[Re-certified or New]]&lt;&gt;"Re-certified",IF(OtherClients[[#This Row],[Client]]="infasco",VLOOKUP(OtherClients[[#This Row],[Part]],PartControl!$A$2:$E$564,2,FALSE),OtherClients[[#This Row],[Total Quantity]]*VLOOKUP(OtherClients[[#This Row],[Part]],PartControl!$A$2:$E$564,2,FALSE)),0)</f>
        <v>0</v>
      </c>
    </row>
    <row r="1518" spans="1:26" ht="25.15" hidden="1" customHeight="1" x14ac:dyDescent="0.25">
      <c r="A1518" s="112">
        <v>46255.694016203706</v>
      </c>
      <c r="B1518" s="5" t="s">
        <v>357</v>
      </c>
      <c r="C1518" s="5">
        <v>11546449</v>
      </c>
      <c r="D1518" s="5">
        <v>716874</v>
      </c>
      <c r="E1518" s="33">
        <f>22-8</f>
        <v>14</v>
      </c>
      <c r="F1518" s="60">
        <v>2500</v>
      </c>
      <c r="G1518" s="60">
        <f>+OtherClients[[#This Row],[Boxes / Pieces]]*OtherClients[[#This Row],[Unit Quantity]]</f>
        <v>35000</v>
      </c>
      <c r="H1518" s="60">
        <v>280</v>
      </c>
      <c r="I1518" s="126" t="s">
        <v>278</v>
      </c>
      <c r="J1518" s="127"/>
      <c r="K1518" s="33" t="s">
        <v>278</v>
      </c>
      <c r="L1518" s="125"/>
      <c r="M1518" s="33" t="s">
        <v>278</v>
      </c>
      <c r="N1518" s="125"/>
      <c r="O1518" s="33" t="s">
        <v>278</v>
      </c>
      <c r="P1518" s="125"/>
      <c r="Q1518" s="33" t="s">
        <v>587</v>
      </c>
      <c r="R1518" s="125"/>
      <c r="S1518" s="33" t="s">
        <v>278</v>
      </c>
      <c r="T1518" s="125"/>
      <c r="U1518" s="33" t="s">
        <v>278</v>
      </c>
      <c r="V1518" s="125"/>
      <c r="W1518" s="59" t="s">
        <v>548</v>
      </c>
      <c r="X1518" s="33" t="str">
        <f>+VLOOKUP(OtherClients[[#This Row],[Part]],PartControl!$A$2:$E$564,5,FALSE)</f>
        <v>INFASCO</v>
      </c>
      <c r="Y1518" s="108">
        <f>IF(OtherClients[[#This Row],[Re-certified or New]]&lt;&gt;"Re-certified",IF(OtherClients[[#This Row],[Client]]="infasco",VLOOKUP(OtherClients[[#This Row],[Part]],PartControl!$A$2:$E$564,2,FALSE),OtherClients[[#This Row],[Total Quantity]]*VLOOKUP(OtherClients[[#This Row],[Part]],PartControl!$A$2:$E$564,2,FALSE)),0)</f>
        <v>106.94</v>
      </c>
      <c r="Z1518" s="108">
        <f>IF(OtherClients[[#This Row],[Re-certified or New]]&lt;&gt;"Re-certified",IF(OtherClients[[#This Row],[Client]]="infasco",VLOOKUP(OtherClients[[#This Row],[Part]],PartControl!$A$2:$E$564,2,FALSE),OtherClients[[#This Row],[Total Quantity]]*VLOOKUP(OtherClients[[#This Row],[Part]],PartControl!$A$2:$E$564,2,FALSE)),0)</f>
        <v>106.94</v>
      </c>
    </row>
    <row r="1519" spans="1:26" ht="25.15" hidden="1" customHeight="1" x14ac:dyDescent="0.25">
      <c r="A1519" s="112">
        <v>46255.694016203706</v>
      </c>
      <c r="B1519" s="5" t="s">
        <v>637</v>
      </c>
      <c r="C1519" s="5">
        <v>11546449</v>
      </c>
      <c r="D1519" s="5">
        <v>716875</v>
      </c>
      <c r="E1519" s="33">
        <v>30</v>
      </c>
      <c r="F1519" s="60">
        <v>2500</v>
      </c>
      <c r="G1519" s="60">
        <f>+OtherClients[[#This Row],[Boxes / Pieces]]*OtherClients[[#This Row],[Unit Quantity]]</f>
        <v>75000</v>
      </c>
      <c r="H1519" s="60">
        <v>280</v>
      </c>
      <c r="I1519" s="126" t="s">
        <v>278</v>
      </c>
      <c r="J1519" s="127"/>
      <c r="K1519" s="33" t="s">
        <v>278</v>
      </c>
      <c r="L1519" s="125"/>
      <c r="M1519" s="33" t="s">
        <v>278</v>
      </c>
      <c r="N1519" s="125"/>
      <c r="O1519" s="33" t="s">
        <v>278</v>
      </c>
      <c r="P1519" s="125"/>
      <c r="Q1519" s="33" t="s">
        <v>587</v>
      </c>
      <c r="R1519" s="125"/>
      <c r="S1519" s="33" t="s">
        <v>278</v>
      </c>
      <c r="T1519" s="125"/>
      <c r="U1519" s="33" t="s">
        <v>278</v>
      </c>
      <c r="V1519" s="125"/>
      <c r="W1519" s="59" t="s">
        <v>633</v>
      </c>
      <c r="X1519" s="33" t="str">
        <f>+VLOOKUP(OtherClients[[#This Row],[Part]],PartControl!$A$2:$E$564,5,FALSE)</f>
        <v>INFASCO</v>
      </c>
      <c r="Y1519" s="108">
        <f>IF(OtherClients[[#This Row],[Re-certified or New]]&lt;&gt;"Re-certified",IF(OtherClients[[#This Row],[Client]]="infasco",VLOOKUP(OtherClients[[#This Row],[Part]],PartControl!$A$2:$E$564,2,FALSE),OtherClients[[#This Row],[Total Quantity]]*VLOOKUP(OtherClients[[#This Row],[Part]],PartControl!$A$2:$E$564,2,FALSE)),0)</f>
        <v>0</v>
      </c>
      <c r="Z1519" s="108">
        <f>IF(OtherClients[[#This Row],[Re-certified or New]]&lt;&gt;"Re-certified",IF(OtherClients[[#This Row],[Client]]="infasco",VLOOKUP(OtherClients[[#This Row],[Part]],PartControl!$A$2:$E$564,2,FALSE),OtherClients[[#This Row],[Total Quantity]]*VLOOKUP(OtherClients[[#This Row],[Part]],PartControl!$A$2:$E$564,2,FALSE)),0)</f>
        <v>0</v>
      </c>
    </row>
    <row r="1520" spans="1:26" ht="25.15" hidden="1" customHeight="1" x14ac:dyDescent="0.25">
      <c r="A1520" s="112">
        <v>46256</v>
      </c>
      <c r="B1520" s="5" t="s">
        <v>342</v>
      </c>
      <c r="C1520" s="5">
        <v>11546463</v>
      </c>
      <c r="D1520" s="5">
        <v>717057</v>
      </c>
      <c r="E1520" s="33">
        <v>37</v>
      </c>
      <c r="F1520" s="60">
        <v>450</v>
      </c>
      <c r="G1520" s="60">
        <f>+OtherClients[[#This Row],[Boxes / Pieces]]*OtherClients[[#This Row],[Unit Quantity]]</f>
        <v>16650</v>
      </c>
      <c r="H1520" s="60" t="s">
        <v>811</v>
      </c>
      <c r="I1520" s="126" t="s">
        <v>278</v>
      </c>
      <c r="J1520" s="127"/>
      <c r="K1520" s="33" t="s">
        <v>278</v>
      </c>
      <c r="L1520" s="125"/>
      <c r="M1520" s="33" t="s">
        <v>278</v>
      </c>
      <c r="N1520" s="125"/>
      <c r="O1520" s="33" t="s">
        <v>278</v>
      </c>
      <c r="P1520" s="125"/>
      <c r="Q1520" s="33" t="s">
        <v>587</v>
      </c>
      <c r="R1520" s="125"/>
      <c r="S1520" s="33" t="s">
        <v>278</v>
      </c>
      <c r="T1520" s="125"/>
      <c r="U1520" s="33" t="s">
        <v>278</v>
      </c>
      <c r="V1520" s="125"/>
      <c r="W1520" s="59" t="s">
        <v>548</v>
      </c>
      <c r="X1520" s="33" t="str">
        <f>+VLOOKUP(OtherClients[[#This Row],[Part]],PartControl!$A$2:$E$564,5,FALSE)</f>
        <v>infasco</v>
      </c>
      <c r="Y1520" s="108">
        <f>IF(OtherClients[[#This Row],[Re-certified or New]]&lt;&gt;"Re-certified",IF(OtherClients[[#This Row],[Client]]="infasco",VLOOKUP(OtherClients[[#This Row],[Part]],PartControl!$A$2:$E$564,2,FALSE),OtherClients[[#This Row],[Total Quantity]]*VLOOKUP(OtherClients[[#This Row],[Part]],PartControl!$A$2:$E$564,2,FALSE)),0)</f>
        <v>106.94</v>
      </c>
      <c r="Z1520" s="108">
        <f>IF(OtherClients[[#This Row],[Re-certified or New]]&lt;&gt;"Re-certified",IF(OtherClients[[#This Row],[Client]]="infasco",VLOOKUP(OtherClients[[#This Row],[Part]],PartControl!$A$2:$E$564,2,FALSE),OtherClients[[#This Row],[Total Quantity]]*VLOOKUP(OtherClients[[#This Row],[Part]],PartControl!$A$2:$E$564,2,FALSE)),0)</f>
        <v>106.94</v>
      </c>
    </row>
    <row r="1521" spans="1:26" ht="25.15" hidden="1" customHeight="1" x14ac:dyDescent="0.25">
      <c r="A1521" s="112">
        <v>46254.679212962961</v>
      </c>
      <c r="B1521" s="5" t="s">
        <v>234</v>
      </c>
      <c r="C1521" s="5">
        <v>11546449</v>
      </c>
      <c r="D1521" s="5">
        <v>716876</v>
      </c>
      <c r="E1521" s="33">
        <v>12</v>
      </c>
      <c r="F1521" s="60">
        <v>2500</v>
      </c>
      <c r="G1521" s="60">
        <f>+OtherClients[[#This Row],[Boxes / Pieces]]*OtherClients[[#This Row],[Unit Quantity]]</f>
        <v>30000</v>
      </c>
      <c r="H1521" s="60">
        <v>275</v>
      </c>
      <c r="I1521" s="126" t="s">
        <v>278</v>
      </c>
      <c r="J1521" s="127"/>
      <c r="K1521" s="33" t="s">
        <v>278</v>
      </c>
      <c r="L1521" s="125"/>
      <c r="M1521" s="33" t="s">
        <v>278</v>
      </c>
      <c r="N1521" s="125"/>
      <c r="O1521" s="33" t="s">
        <v>278</v>
      </c>
      <c r="P1521" s="125"/>
      <c r="Q1521" s="33" t="s">
        <v>587</v>
      </c>
      <c r="R1521" s="125"/>
      <c r="S1521" s="33" t="s">
        <v>278</v>
      </c>
      <c r="T1521" s="125"/>
      <c r="U1521" s="33" t="s">
        <v>278</v>
      </c>
      <c r="V1521" s="125"/>
      <c r="W1521" s="59" t="s">
        <v>633</v>
      </c>
      <c r="X1521" s="33" t="str">
        <f>+VLOOKUP(OtherClients[[#This Row],[Part]],PartControl!$A$2:$E$564,5,FALSE)</f>
        <v>INFASCO</v>
      </c>
      <c r="Y1521" s="108">
        <f>IF(OtherClients[[#This Row],[Re-certified or New]]&lt;&gt;"Re-certified",IF(OtherClients[[#This Row],[Client]]="infasco",VLOOKUP(OtherClients[[#This Row],[Part]],PartControl!$A$2:$E$564,2,FALSE),OtherClients[[#This Row],[Total Quantity]]*VLOOKUP(OtherClients[[#This Row],[Part]],PartControl!$A$2:$E$564,2,FALSE)),0)</f>
        <v>0</v>
      </c>
      <c r="Z1521" s="108">
        <f>IF(OtherClients[[#This Row],[Re-certified or New]]&lt;&gt;"Re-certified",IF(OtherClients[[#This Row],[Client]]="infasco",VLOOKUP(OtherClients[[#This Row],[Part]],PartControl!$A$2:$E$564,2,FALSE),OtherClients[[#This Row],[Total Quantity]]*VLOOKUP(OtherClients[[#This Row],[Part]],PartControl!$A$2:$E$564,2,FALSE)),0)</f>
        <v>0</v>
      </c>
    </row>
    <row r="1522" spans="1:26" ht="25.15" hidden="1" customHeight="1" x14ac:dyDescent="0.25">
      <c r="A1522" s="112">
        <v>46255.694016203706</v>
      </c>
      <c r="B1522" s="5" t="s">
        <v>234</v>
      </c>
      <c r="C1522" s="5">
        <v>11546449</v>
      </c>
      <c r="D1522" s="5">
        <v>716876</v>
      </c>
      <c r="E1522" s="33">
        <f>36-12</f>
        <v>24</v>
      </c>
      <c r="F1522" s="60">
        <v>2500</v>
      </c>
      <c r="G1522" s="60">
        <f>+OtherClients[[#This Row],[Boxes / Pieces]]*OtherClients[[#This Row],[Unit Quantity]]</f>
        <v>60000</v>
      </c>
      <c r="H1522" s="60">
        <v>275</v>
      </c>
      <c r="I1522" s="126" t="s">
        <v>278</v>
      </c>
      <c r="J1522" s="127"/>
      <c r="K1522" s="33" t="s">
        <v>278</v>
      </c>
      <c r="L1522" s="125"/>
      <c r="M1522" s="33" t="s">
        <v>278</v>
      </c>
      <c r="N1522" s="125"/>
      <c r="O1522" s="33" t="s">
        <v>278</v>
      </c>
      <c r="P1522" s="125"/>
      <c r="Q1522" s="33" t="s">
        <v>587</v>
      </c>
      <c r="R1522" s="125"/>
      <c r="S1522" s="33" t="s">
        <v>278</v>
      </c>
      <c r="T1522" s="125"/>
      <c r="U1522" s="33" t="s">
        <v>278</v>
      </c>
      <c r="V1522" s="125"/>
      <c r="W1522" s="59" t="s">
        <v>548</v>
      </c>
      <c r="X1522" s="33" t="str">
        <f>+VLOOKUP(OtherClients[[#This Row],[Part]],PartControl!$A$2:$E$564,5,FALSE)</f>
        <v>INFASCO</v>
      </c>
      <c r="Y1522" s="108">
        <f>IF(OtherClients[[#This Row],[Re-certified or New]]&lt;&gt;"Re-certified",IF(OtherClients[[#This Row],[Client]]="infasco",VLOOKUP(OtherClients[[#This Row],[Part]],PartControl!$A$2:$E$564,2,FALSE),OtherClients[[#This Row],[Total Quantity]]*VLOOKUP(OtherClients[[#This Row],[Part]],PartControl!$A$2:$E$564,2,FALSE)),0)</f>
        <v>106.94</v>
      </c>
      <c r="Z1522" s="108">
        <f>IF(OtherClients[[#This Row],[Re-certified or New]]&lt;&gt;"Re-certified",IF(OtherClients[[#This Row],[Client]]="infasco",VLOOKUP(OtherClients[[#This Row],[Part]],PartControl!$A$2:$E$564,2,FALSE),OtherClients[[#This Row],[Total Quantity]]*VLOOKUP(OtherClients[[#This Row],[Part]],PartControl!$A$2:$E$564,2,FALSE)),0)</f>
        <v>106.94</v>
      </c>
    </row>
    <row r="1523" spans="1:26" ht="25.15" hidden="1" customHeight="1" x14ac:dyDescent="0.25">
      <c r="A1523" s="112">
        <v>46255.694016203706</v>
      </c>
      <c r="B1523" s="5" t="s">
        <v>637</v>
      </c>
      <c r="C1523" s="5">
        <v>11546449</v>
      </c>
      <c r="D1523" s="5">
        <v>716877</v>
      </c>
      <c r="E1523" s="33">
        <v>36</v>
      </c>
      <c r="F1523" s="60">
        <v>2500</v>
      </c>
      <c r="G1523" s="60">
        <f>+OtherClients[[#This Row],[Boxes / Pieces]]*OtherClients[[#This Row],[Unit Quantity]]</f>
        <v>90000</v>
      </c>
      <c r="H1523" s="60">
        <v>280</v>
      </c>
      <c r="I1523" s="126" t="s">
        <v>278</v>
      </c>
      <c r="J1523" s="127"/>
      <c r="K1523" s="33" t="s">
        <v>278</v>
      </c>
      <c r="L1523" s="125"/>
      <c r="M1523" s="33" t="s">
        <v>278</v>
      </c>
      <c r="N1523" s="125"/>
      <c r="O1523" s="33" t="s">
        <v>278</v>
      </c>
      <c r="P1523" s="125"/>
      <c r="Q1523" s="33" t="s">
        <v>587</v>
      </c>
      <c r="R1523" s="125"/>
      <c r="S1523" s="33" t="s">
        <v>278</v>
      </c>
      <c r="T1523" s="125"/>
      <c r="U1523" s="33" t="s">
        <v>278</v>
      </c>
      <c r="V1523" s="125"/>
      <c r="W1523" s="59" t="s">
        <v>548</v>
      </c>
      <c r="X1523" s="33" t="str">
        <f>+VLOOKUP(OtherClients[[#This Row],[Part]],PartControl!$A$2:$E$564,5,FALSE)</f>
        <v>INFASCO</v>
      </c>
      <c r="Y1523" s="108">
        <f>IF(OtherClients[[#This Row],[Re-certified or New]]&lt;&gt;"Re-certified",IF(OtherClients[[#This Row],[Client]]="infasco",VLOOKUP(OtherClients[[#This Row],[Part]],PartControl!$A$2:$E$564,2,FALSE),OtherClients[[#This Row],[Total Quantity]]*VLOOKUP(OtherClients[[#This Row],[Part]],PartControl!$A$2:$E$564,2,FALSE)),0)</f>
        <v>106.94</v>
      </c>
      <c r="Z1523" s="108">
        <f>IF(OtherClients[[#This Row],[Re-certified or New]]&lt;&gt;"Re-certified",IF(OtherClients[[#This Row],[Client]]="infasco",VLOOKUP(OtherClients[[#This Row],[Part]],PartControl!$A$2:$E$564,2,FALSE),OtherClients[[#This Row],[Total Quantity]]*VLOOKUP(OtherClients[[#This Row],[Part]],PartControl!$A$2:$E$564,2,FALSE)),0)</f>
        <v>106.94</v>
      </c>
    </row>
    <row r="1524" spans="1:26" ht="25.15" hidden="1" customHeight="1" x14ac:dyDescent="0.25">
      <c r="A1524" s="112">
        <v>46255.694016203706</v>
      </c>
      <c r="B1524" s="5" t="s">
        <v>232</v>
      </c>
      <c r="C1524" s="5">
        <v>11546449</v>
      </c>
      <c r="D1524" s="5">
        <v>716878</v>
      </c>
      <c r="E1524" s="33">
        <v>15</v>
      </c>
      <c r="F1524" s="60">
        <v>2500</v>
      </c>
      <c r="G1524" s="60">
        <f>+OtherClients[[#This Row],[Boxes / Pieces]]*OtherClients[[#This Row],[Unit Quantity]]</f>
        <v>37500</v>
      </c>
      <c r="H1524" s="60">
        <v>275</v>
      </c>
      <c r="I1524" s="126" t="s">
        <v>278</v>
      </c>
      <c r="J1524" s="127"/>
      <c r="K1524" s="33" t="s">
        <v>278</v>
      </c>
      <c r="L1524" s="125"/>
      <c r="M1524" s="33" t="s">
        <v>278</v>
      </c>
      <c r="N1524" s="125"/>
      <c r="O1524" s="33" t="s">
        <v>278</v>
      </c>
      <c r="P1524" s="125"/>
      <c r="Q1524" s="33" t="s">
        <v>587</v>
      </c>
      <c r="R1524" s="125"/>
      <c r="S1524" s="33" t="s">
        <v>278</v>
      </c>
      <c r="T1524" s="125"/>
      <c r="U1524" s="33" t="s">
        <v>278</v>
      </c>
      <c r="V1524" s="125"/>
      <c r="W1524" s="59" t="s">
        <v>633</v>
      </c>
      <c r="X1524" s="33" t="str">
        <f>+VLOOKUP(OtherClients[[#This Row],[Part]],PartControl!$A$2:$E$564,5,FALSE)</f>
        <v>INFASCO</v>
      </c>
      <c r="Y1524" s="108">
        <f>IF(OtherClients[[#This Row],[Re-certified or New]]&lt;&gt;"Re-certified",IF(OtherClients[[#This Row],[Client]]="infasco",VLOOKUP(OtherClients[[#This Row],[Part]],PartControl!$A$2:$E$564,2,FALSE),OtherClients[[#This Row],[Total Quantity]]*VLOOKUP(OtherClients[[#This Row],[Part]],PartControl!$A$2:$E$564,2,FALSE)),0)</f>
        <v>0</v>
      </c>
      <c r="Z1524" s="108">
        <f>IF(OtherClients[[#This Row],[Re-certified or New]]&lt;&gt;"Re-certified",IF(OtherClients[[#This Row],[Client]]="infasco",VLOOKUP(OtherClients[[#This Row],[Part]],PartControl!$A$2:$E$564,2,FALSE),OtherClients[[#This Row],[Total Quantity]]*VLOOKUP(OtherClients[[#This Row],[Part]],PartControl!$A$2:$E$564,2,FALSE)),0)</f>
        <v>0</v>
      </c>
    </row>
    <row r="1525" spans="1:26" ht="25.15" hidden="1" customHeight="1" x14ac:dyDescent="0.25">
      <c r="A1525" s="112">
        <v>46256</v>
      </c>
      <c r="B1525" s="5" t="s">
        <v>342</v>
      </c>
      <c r="C1525" s="5">
        <v>11604000</v>
      </c>
      <c r="D1525" s="5">
        <v>717443</v>
      </c>
      <c r="E1525" s="33">
        <v>24</v>
      </c>
      <c r="F1525" s="60">
        <v>585</v>
      </c>
      <c r="G1525" s="60">
        <f>+OtherClients[[#This Row],[Boxes / Pieces]]*OtherClients[[#This Row],[Unit Quantity]]</f>
        <v>14040</v>
      </c>
      <c r="H1525" s="60" t="s">
        <v>811</v>
      </c>
      <c r="I1525" s="126" t="s">
        <v>278</v>
      </c>
      <c r="J1525" s="127"/>
      <c r="K1525" s="33" t="s">
        <v>278</v>
      </c>
      <c r="L1525" s="125"/>
      <c r="M1525" s="33" t="s">
        <v>278</v>
      </c>
      <c r="N1525" s="125"/>
      <c r="O1525" s="33" t="s">
        <v>278</v>
      </c>
      <c r="P1525" s="125"/>
      <c r="Q1525" s="33" t="s">
        <v>587</v>
      </c>
      <c r="R1525" s="125"/>
      <c r="S1525" s="33" t="s">
        <v>278</v>
      </c>
      <c r="T1525" s="125"/>
      <c r="U1525" s="33" t="s">
        <v>278</v>
      </c>
      <c r="V1525" s="125"/>
      <c r="W1525" s="59" t="s">
        <v>548</v>
      </c>
      <c r="X1525" s="33" t="str">
        <f>+VLOOKUP(OtherClients[[#This Row],[Part]],PartControl!$A$2:$E$564,5,FALSE)</f>
        <v>infasco</v>
      </c>
      <c r="Y1525" s="108">
        <f>IF(OtherClients[[#This Row],[Re-certified or New]]&lt;&gt;"Re-certified",IF(OtherClients[[#This Row],[Client]]="infasco",VLOOKUP(OtherClients[[#This Row],[Part]],PartControl!$A$2:$E$564,2,FALSE),OtherClients[[#This Row],[Total Quantity]]*VLOOKUP(OtherClients[[#This Row],[Part]],PartControl!$A$2:$E$564,2,FALSE)),0)</f>
        <v>223.88</v>
      </c>
      <c r="Z1525" s="108">
        <f>IF(OtherClients[[#This Row],[Re-certified or New]]&lt;&gt;"Re-certified",IF(OtherClients[[#This Row],[Client]]="infasco",VLOOKUP(OtherClients[[#This Row],[Part]],PartControl!$A$2:$E$564,2,FALSE),OtherClients[[#This Row],[Total Quantity]]*VLOOKUP(OtherClients[[#This Row],[Part]],PartControl!$A$2:$E$564,2,FALSE)),0)</f>
        <v>223.88</v>
      </c>
    </row>
    <row r="1526" spans="1:26" ht="25.15" hidden="1" customHeight="1" x14ac:dyDescent="0.25">
      <c r="A1526" s="112">
        <v>46255.694016203706</v>
      </c>
      <c r="B1526" s="5" t="s">
        <v>232</v>
      </c>
      <c r="C1526" s="5">
        <v>11546449</v>
      </c>
      <c r="D1526" s="5">
        <v>716879</v>
      </c>
      <c r="E1526" s="33">
        <v>36</v>
      </c>
      <c r="F1526" s="60">
        <v>2500</v>
      </c>
      <c r="G1526" s="60">
        <f>+OtherClients[[#This Row],[Boxes / Pieces]]*OtherClients[[#This Row],[Unit Quantity]]</f>
        <v>90000</v>
      </c>
      <c r="H1526" s="60">
        <v>275</v>
      </c>
      <c r="I1526" s="126" t="s">
        <v>278</v>
      </c>
      <c r="J1526" s="127"/>
      <c r="K1526" s="33" t="s">
        <v>278</v>
      </c>
      <c r="L1526" s="125"/>
      <c r="M1526" s="33" t="s">
        <v>278</v>
      </c>
      <c r="N1526" s="125"/>
      <c r="O1526" s="33" t="s">
        <v>278</v>
      </c>
      <c r="P1526" s="125"/>
      <c r="Q1526" s="33" t="s">
        <v>587</v>
      </c>
      <c r="R1526" s="125"/>
      <c r="S1526" s="33" t="s">
        <v>278</v>
      </c>
      <c r="T1526" s="125"/>
      <c r="U1526" s="33" t="s">
        <v>278</v>
      </c>
      <c r="V1526" s="125"/>
      <c r="W1526" s="59" t="s">
        <v>548</v>
      </c>
      <c r="X1526" s="33" t="str">
        <f>+VLOOKUP(OtherClients[[#This Row],[Part]],PartControl!$A$2:$E$564,5,FALSE)</f>
        <v>INFASCO</v>
      </c>
      <c r="Y1526" s="108">
        <f>IF(OtherClients[[#This Row],[Re-certified or New]]&lt;&gt;"Re-certified",IF(OtherClients[[#This Row],[Client]]="infasco",VLOOKUP(OtherClients[[#This Row],[Part]],PartControl!$A$2:$E$564,2,FALSE),OtherClients[[#This Row],[Total Quantity]]*VLOOKUP(OtherClients[[#This Row],[Part]],PartControl!$A$2:$E$564,2,FALSE)),0)</f>
        <v>106.94</v>
      </c>
      <c r="Z1526" s="108">
        <f>IF(OtherClients[[#This Row],[Re-certified or New]]&lt;&gt;"Re-certified",IF(OtherClients[[#This Row],[Client]]="infasco",VLOOKUP(OtherClients[[#This Row],[Part]],PartControl!$A$2:$E$564,2,FALSE),OtherClients[[#This Row],[Total Quantity]]*VLOOKUP(OtherClients[[#This Row],[Part]],PartControl!$A$2:$E$564,2,FALSE)),0)</f>
        <v>106.94</v>
      </c>
    </row>
    <row r="1527" spans="1:26" ht="25.15" hidden="1" customHeight="1" x14ac:dyDescent="0.25">
      <c r="A1527" s="112">
        <v>46255.694016203706</v>
      </c>
      <c r="B1527" s="5" t="s">
        <v>346</v>
      </c>
      <c r="C1527" s="5" t="s">
        <v>872</v>
      </c>
      <c r="D1527" s="5">
        <v>716880</v>
      </c>
      <c r="E1527" s="33">
        <v>36</v>
      </c>
      <c r="F1527" s="60">
        <v>215</v>
      </c>
      <c r="G1527" s="60">
        <f>+OtherClients[[#This Row],[Boxes / Pieces]]*OtherClients[[#This Row],[Unit Quantity]]</f>
        <v>7740</v>
      </c>
      <c r="H1527" s="60" t="s">
        <v>871</v>
      </c>
      <c r="I1527" s="126" t="s">
        <v>278</v>
      </c>
      <c r="J1527" s="127"/>
      <c r="K1527" s="33" t="s">
        <v>278</v>
      </c>
      <c r="L1527" s="125"/>
      <c r="M1527" s="33" t="s">
        <v>278</v>
      </c>
      <c r="N1527" s="125"/>
      <c r="O1527" s="33" t="s">
        <v>278</v>
      </c>
      <c r="P1527" s="125"/>
      <c r="Q1527" s="33" t="s">
        <v>587</v>
      </c>
      <c r="R1527" s="125"/>
      <c r="S1527" s="33" t="s">
        <v>278</v>
      </c>
      <c r="T1527" s="125"/>
      <c r="U1527" s="33" t="s">
        <v>278</v>
      </c>
      <c r="V1527" s="125"/>
      <c r="W1527" s="59" t="s">
        <v>548</v>
      </c>
      <c r="X1527" s="33" t="str">
        <f>+VLOOKUP(OtherClients[[#This Row],[Part]],PartControl!$A$2:$E$564,5,FALSE)</f>
        <v>infasco</v>
      </c>
      <c r="Y1527" s="108">
        <f>IF(OtherClients[[#This Row],[Re-certified or New]]&lt;&gt;"Re-certified",IF(OtherClients[[#This Row],[Client]]="infasco",VLOOKUP(OtherClients[[#This Row],[Part]],PartControl!$A$2:$E$564,2,FALSE),OtherClients[[#This Row],[Total Quantity]]*VLOOKUP(OtherClients[[#This Row],[Part]],PartControl!$A$2:$E$564,2,FALSE)),0)</f>
        <v>106.94</v>
      </c>
      <c r="Z1527" s="108">
        <f>IF(OtherClients[[#This Row],[Re-certified or New]]&lt;&gt;"Re-certified",IF(OtherClients[[#This Row],[Client]]="infasco",VLOOKUP(OtherClients[[#This Row],[Part]],PartControl!$A$2:$E$564,2,FALSE),OtherClients[[#This Row],[Total Quantity]]*VLOOKUP(OtherClients[[#This Row],[Part]],PartControl!$A$2:$E$564,2,FALSE)),0)</f>
        <v>106.94</v>
      </c>
    </row>
    <row r="1528" spans="1:26" ht="25.15" hidden="1" customHeight="1" x14ac:dyDescent="0.25">
      <c r="A1528" s="112">
        <v>46255.694016203706</v>
      </c>
      <c r="B1528" s="5" t="s">
        <v>343</v>
      </c>
      <c r="C1528" s="5" t="s">
        <v>872</v>
      </c>
      <c r="D1528" s="5">
        <v>716881</v>
      </c>
      <c r="E1528" s="33">
        <v>36</v>
      </c>
      <c r="F1528" s="60">
        <v>215</v>
      </c>
      <c r="G1528" s="60">
        <f>+OtherClients[[#This Row],[Boxes / Pieces]]*OtherClients[[#This Row],[Unit Quantity]]</f>
        <v>7740</v>
      </c>
      <c r="H1528" s="60" t="s">
        <v>757</v>
      </c>
      <c r="I1528" s="126" t="s">
        <v>278</v>
      </c>
      <c r="J1528" s="127"/>
      <c r="K1528" s="33" t="s">
        <v>278</v>
      </c>
      <c r="L1528" s="125"/>
      <c r="M1528" s="33" t="s">
        <v>278</v>
      </c>
      <c r="N1528" s="125"/>
      <c r="O1528" s="33" t="s">
        <v>278</v>
      </c>
      <c r="P1528" s="125"/>
      <c r="Q1528" s="33" t="s">
        <v>587</v>
      </c>
      <c r="R1528" s="125"/>
      <c r="S1528" s="33" t="s">
        <v>278</v>
      </c>
      <c r="T1528" s="125"/>
      <c r="U1528" s="33" t="s">
        <v>278</v>
      </c>
      <c r="V1528" s="125"/>
      <c r="W1528" s="59" t="s">
        <v>548</v>
      </c>
      <c r="X1528" s="33" t="str">
        <f>+VLOOKUP(OtherClients[[#This Row],[Part]],PartControl!$A$2:$E$564,5,FALSE)</f>
        <v>infasco</v>
      </c>
      <c r="Y1528" s="108">
        <f>IF(OtherClients[[#This Row],[Re-certified or New]]&lt;&gt;"Re-certified",IF(OtherClients[[#This Row],[Client]]="infasco",VLOOKUP(OtherClients[[#This Row],[Part]],PartControl!$A$2:$E$564,2,FALSE),OtherClients[[#This Row],[Total Quantity]]*VLOOKUP(OtherClients[[#This Row],[Part]],PartControl!$A$2:$E$564,2,FALSE)),0)</f>
        <v>106.94</v>
      </c>
      <c r="Z1528" s="108">
        <f>IF(OtherClients[[#This Row],[Re-certified or New]]&lt;&gt;"Re-certified",IF(OtherClients[[#This Row],[Client]]="infasco",VLOOKUP(OtherClients[[#This Row],[Part]],PartControl!$A$2:$E$564,2,FALSE),OtherClients[[#This Row],[Total Quantity]]*VLOOKUP(OtherClients[[#This Row],[Part]],PartControl!$A$2:$E$564,2,FALSE)),0)</f>
        <v>106.94</v>
      </c>
    </row>
    <row r="1529" spans="1:26" ht="25.15" hidden="1" customHeight="1" x14ac:dyDescent="0.25">
      <c r="A1529" s="112">
        <v>46255.694016203706</v>
      </c>
      <c r="B1529" s="5" t="s">
        <v>342</v>
      </c>
      <c r="C1529" s="5" t="s">
        <v>872</v>
      </c>
      <c r="D1529" s="5">
        <v>716883</v>
      </c>
      <c r="E1529" s="33">
        <v>30</v>
      </c>
      <c r="F1529" s="60">
        <v>215</v>
      </c>
      <c r="G1529" s="60">
        <f>+OtherClients[[#This Row],[Boxes / Pieces]]*OtherClients[[#This Row],[Unit Quantity]]</f>
        <v>6450</v>
      </c>
      <c r="H1529" s="60" t="s">
        <v>811</v>
      </c>
      <c r="I1529" s="126" t="s">
        <v>278</v>
      </c>
      <c r="J1529" s="127"/>
      <c r="K1529" s="33" t="s">
        <v>278</v>
      </c>
      <c r="L1529" s="125"/>
      <c r="M1529" s="33" t="s">
        <v>278</v>
      </c>
      <c r="N1529" s="125"/>
      <c r="O1529" s="33" t="s">
        <v>278</v>
      </c>
      <c r="P1529" s="125"/>
      <c r="Q1529" s="33" t="s">
        <v>587</v>
      </c>
      <c r="R1529" s="125"/>
      <c r="S1529" s="33" t="s">
        <v>278</v>
      </c>
      <c r="T1529" s="125"/>
      <c r="U1529" s="33" t="s">
        <v>278</v>
      </c>
      <c r="V1529" s="125"/>
      <c r="W1529" s="59" t="s">
        <v>548</v>
      </c>
      <c r="X1529" s="33" t="str">
        <f>+VLOOKUP(OtherClients[[#This Row],[Part]],PartControl!$A$2:$E$564,5,FALSE)</f>
        <v>infasco</v>
      </c>
      <c r="Y1529" s="108">
        <f>IF(OtherClients[[#This Row],[Re-certified or New]]&lt;&gt;"Re-certified",IF(OtherClients[[#This Row],[Client]]="infasco",VLOOKUP(OtherClients[[#This Row],[Part]],PartControl!$A$2:$E$564,2,FALSE),OtherClients[[#This Row],[Total Quantity]]*VLOOKUP(OtherClients[[#This Row],[Part]],PartControl!$A$2:$E$564,2,FALSE)),0)</f>
        <v>106.94</v>
      </c>
      <c r="Z1529" s="108">
        <f>IF(OtherClients[[#This Row],[Re-certified or New]]&lt;&gt;"Re-certified",IF(OtherClients[[#This Row],[Client]]="infasco",VLOOKUP(OtherClients[[#This Row],[Part]],PartControl!$A$2:$E$564,2,FALSE),OtherClients[[#This Row],[Total Quantity]]*VLOOKUP(OtherClients[[#This Row],[Part]],PartControl!$A$2:$E$564,2,FALSE)),0)</f>
        <v>106.94</v>
      </c>
    </row>
    <row r="1530" spans="1:26" ht="25.15" hidden="1" customHeight="1" x14ac:dyDescent="0.25">
      <c r="A1530" s="112">
        <v>46255.694016203706</v>
      </c>
      <c r="B1530" s="5" t="s">
        <v>346</v>
      </c>
      <c r="C1530" s="5" t="s">
        <v>872</v>
      </c>
      <c r="D1530" s="5">
        <v>716884</v>
      </c>
      <c r="E1530" s="33">
        <v>36</v>
      </c>
      <c r="F1530" s="60">
        <v>215</v>
      </c>
      <c r="G1530" s="60">
        <f>+OtherClients[[#This Row],[Boxes / Pieces]]*OtherClients[[#This Row],[Unit Quantity]]</f>
        <v>7740</v>
      </c>
      <c r="H1530" s="60" t="s">
        <v>871</v>
      </c>
      <c r="I1530" s="126" t="s">
        <v>278</v>
      </c>
      <c r="J1530" s="127"/>
      <c r="K1530" s="33" t="s">
        <v>278</v>
      </c>
      <c r="L1530" s="125"/>
      <c r="M1530" s="33" t="s">
        <v>278</v>
      </c>
      <c r="N1530" s="125"/>
      <c r="O1530" s="33" t="s">
        <v>278</v>
      </c>
      <c r="P1530" s="125"/>
      <c r="Q1530" s="33" t="s">
        <v>587</v>
      </c>
      <c r="R1530" s="125"/>
      <c r="S1530" s="33" t="s">
        <v>278</v>
      </c>
      <c r="T1530" s="125"/>
      <c r="U1530" s="33" t="s">
        <v>278</v>
      </c>
      <c r="V1530" s="125"/>
      <c r="W1530" s="59" t="s">
        <v>548</v>
      </c>
      <c r="X1530" s="33" t="str">
        <f>+VLOOKUP(OtherClients[[#This Row],[Part]],PartControl!$A$2:$E$564,5,FALSE)</f>
        <v>infasco</v>
      </c>
      <c r="Y1530" s="108">
        <f>IF(OtherClients[[#This Row],[Re-certified or New]]&lt;&gt;"Re-certified",IF(OtherClients[[#This Row],[Client]]="infasco",VLOOKUP(OtherClients[[#This Row],[Part]],PartControl!$A$2:$E$564,2,FALSE),OtherClients[[#This Row],[Total Quantity]]*VLOOKUP(OtherClients[[#This Row],[Part]],PartControl!$A$2:$E$564,2,FALSE)),0)</f>
        <v>106.94</v>
      </c>
      <c r="Z1530" s="108">
        <f>IF(OtherClients[[#This Row],[Re-certified or New]]&lt;&gt;"Re-certified",IF(OtherClients[[#This Row],[Client]]="infasco",VLOOKUP(OtherClients[[#This Row],[Part]],PartControl!$A$2:$E$564,2,FALSE),OtherClients[[#This Row],[Total Quantity]]*VLOOKUP(OtherClients[[#This Row],[Part]],PartControl!$A$2:$E$564,2,FALSE)),0)</f>
        <v>106.94</v>
      </c>
    </row>
    <row r="1531" spans="1:26" ht="25.15" hidden="1" customHeight="1" x14ac:dyDescent="0.25">
      <c r="A1531" s="112">
        <v>46255.694016203706</v>
      </c>
      <c r="B1531" s="5" t="s">
        <v>344</v>
      </c>
      <c r="C1531" s="5" t="s">
        <v>872</v>
      </c>
      <c r="D1531" s="5">
        <v>716885</v>
      </c>
      <c r="E1531" s="33">
        <f>36+4</f>
        <v>40</v>
      </c>
      <c r="F1531" s="60">
        <v>215</v>
      </c>
      <c r="G1531" s="60">
        <f>+OtherClients[[#This Row],[Boxes / Pieces]]*OtherClients[[#This Row],[Unit Quantity]]</f>
        <v>8600</v>
      </c>
      <c r="H1531" s="60" t="s">
        <v>816</v>
      </c>
      <c r="I1531" s="126" t="s">
        <v>278</v>
      </c>
      <c r="J1531" s="127"/>
      <c r="K1531" s="33" t="s">
        <v>278</v>
      </c>
      <c r="L1531" s="125"/>
      <c r="M1531" s="33" t="s">
        <v>278</v>
      </c>
      <c r="N1531" s="125"/>
      <c r="O1531" s="33" t="s">
        <v>278</v>
      </c>
      <c r="P1531" s="125"/>
      <c r="Q1531" s="33" t="s">
        <v>587</v>
      </c>
      <c r="R1531" s="125"/>
      <c r="S1531" s="33" t="s">
        <v>278</v>
      </c>
      <c r="T1531" s="125"/>
      <c r="U1531" s="33" t="s">
        <v>278</v>
      </c>
      <c r="V1531" s="125"/>
      <c r="W1531" s="59" t="s">
        <v>548</v>
      </c>
      <c r="X1531" s="33" t="str">
        <f>+VLOOKUP(OtherClients[[#This Row],[Part]],PartControl!$A$2:$E$564,5,FALSE)</f>
        <v>infasco</v>
      </c>
      <c r="Y1531" s="108">
        <f>IF(OtherClients[[#This Row],[Re-certified or New]]&lt;&gt;"Re-certified",IF(OtherClients[[#This Row],[Client]]="infasco",VLOOKUP(OtherClients[[#This Row],[Part]],PartControl!$A$2:$E$564,2,FALSE),OtherClients[[#This Row],[Total Quantity]]*VLOOKUP(OtherClients[[#This Row],[Part]],PartControl!$A$2:$E$564,2,FALSE)),0)</f>
        <v>106.94</v>
      </c>
      <c r="Z1531" s="108">
        <f>IF(OtherClients[[#This Row],[Re-certified or New]]&lt;&gt;"Re-certified",IF(OtherClients[[#This Row],[Client]]="infasco",VLOOKUP(OtherClients[[#This Row],[Part]],PartControl!$A$2:$E$564,2,FALSE),OtherClients[[#This Row],[Total Quantity]]*VLOOKUP(OtherClients[[#This Row],[Part]],PartControl!$A$2:$E$564,2,FALSE)),0)</f>
        <v>106.94</v>
      </c>
    </row>
    <row r="1532" spans="1:26" ht="25.15" hidden="1" customHeight="1" x14ac:dyDescent="0.25">
      <c r="A1532" s="112">
        <v>46254.679212962961</v>
      </c>
      <c r="B1532" s="5" t="s">
        <v>343</v>
      </c>
      <c r="C1532" s="5">
        <v>11548535</v>
      </c>
      <c r="D1532" s="5">
        <v>716969</v>
      </c>
      <c r="E1532" s="33">
        <v>1</v>
      </c>
      <c r="F1532" s="60">
        <v>5710</v>
      </c>
      <c r="G1532" s="60">
        <f>+OtherClients[[#This Row],[Boxes / Pieces]]*OtherClients[[#This Row],[Unit Quantity]]</f>
        <v>5710</v>
      </c>
      <c r="H1532" s="60" t="s">
        <v>757</v>
      </c>
      <c r="I1532" s="126" t="s">
        <v>278</v>
      </c>
      <c r="J1532" s="127"/>
      <c r="K1532" s="33" t="s">
        <v>278</v>
      </c>
      <c r="L1532" s="125"/>
      <c r="M1532" s="33" t="s">
        <v>278</v>
      </c>
      <c r="N1532" s="125"/>
      <c r="O1532" s="33" t="s">
        <v>278</v>
      </c>
      <c r="P1532" s="125"/>
      <c r="Q1532" s="33" t="s">
        <v>587</v>
      </c>
      <c r="R1532" s="125"/>
      <c r="S1532" s="33" t="s">
        <v>278</v>
      </c>
      <c r="T1532" s="125"/>
      <c r="U1532" s="33" t="s">
        <v>278</v>
      </c>
      <c r="V1532" s="125"/>
      <c r="W1532" s="59" t="s">
        <v>548</v>
      </c>
      <c r="X1532" s="33" t="str">
        <f>+VLOOKUP(OtherClients[[#This Row],[Part]],PartControl!$A$2:$E$564,5,FALSE)</f>
        <v>infasco</v>
      </c>
      <c r="Y1532" s="108">
        <v>77.67</v>
      </c>
      <c r="Z1532" s="108">
        <v>77.67</v>
      </c>
    </row>
    <row r="1533" spans="1:26" ht="25.15" hidden="1" customHeight="1" x14ac:dyDescent="0.25">
      <c r="A1533" s="112">
        <v>46254.679212962961</v>
      </c>
      <c r="B1533" s="5" t="s">
        <v>343</v>
      </c>
      <c r="C1533" s="5">
        <v>11548535</v>
      </c>
      <c r="D1533" s="5">
        <v>716970</v>
      </c>
      <c r="E1533" s="33">
        <v>1</v>
      </c>
      <c r="F1533" s="60">
        <v>5500</v>
      </c>
      <c r="G1533" s="60">
        <f>+OtherClients[[#This Row],[Boxes / Pieces]]*OtherClients[[#This Row],[Unit Quantity]]</f>
        <v>5500</v>
      </c>
      <c r="H1533" s="60" t="s">
        <v>757</v>
      </c>
      <c r="I1533" s="126" t="s">
        <v>278</v>
      </c>
      <c r="J1533" s="127"/>
      <c r="K1533" s="33" t="s">
        <v>278</v>
      </c>
      <c r="L1533" s="125"/>
      <c r="M1533" s="33" t="s">
        <v>278</v>
      </c>
      <c r="N1533" s="125"/>
      <c r="O1533" s="33" t="s">
        <v>278</v>
      </c>
      <c r="P1533" s="125"/>
      <c r="Q1533" s="33" t="s">
        <v>587</v>
      </c>
      <c r="R1533" s="125"/>
      <c r="S1533" s="33" t="s">
        <v>278</v>
      </c>
      <c r="T1533" s="125"/>
      <c r="U1533" s="33" t="s">
        <v>278</v>
      </c>
      <c r="V1533" s="125"/>
      <c r="W1533" s="59" t="s">
        <v>548</v>
      </c>
      <c r="X1533" s="33" t="str">
        <f>+VLOOKUP(OtherClients[[#This Row],[Part]],PartControl!$A$2:$E$564,5,FALSE)</f>
        <v>infasco</v>
      </c>
      <c r="Y1533" s="108">
        <v>77.67</v>
      </c>
      <c r="Z1533" s="108">
        <v>77.67</v>
      </c>
    </row>
    <row r="1534" spans="1:26" ht="25.15" hidden="1" customHeight="1" x14ac:dyDescent="0.25">
      <c r="A1534" s="112">
        <v>46255.694016203706</v>
      </c>
      <c r="B1534" s="5" t="s">
        <v>244</v>
      </c>
      <c r="C1534" s="5" t="s">
        <v>709</v>
      </c>
      <c r="D1534" s="5">
        <v>716971</v>
      </c>
      <c r="E1534" s="33">
        <v>10</v>
      </c>
      <c r="F1534" s="60">
        <v>1800</v>
      </c>
      <c r="G1534" s="60">
        <f>+OtherClients[[#This Row],[Boxes / Pieces]]*OtherClients[[#This Row],[Unit Quantity]]</f>
        <v>18000</v>
      </c>
      <c r="H1534" s="60">
        <v>292</v>
      </c>
      <c r="I1534" s="126" t="s">
        <v>278</v>
      </c>
      <c r="J1534" s="127"/>
      <c r="K1534" s="33" t="s">
        <v>278</v>
      </c>
      <c r="L1534" s="125"/>
      <c r="M1534" s="33" t="s">
        <v>278</v>
      </c>
      <c r="N1534" s="125"/>
      <c r="O1534" s="33" t="s">
        <v>278</v>
      </c>
      <c r="P1534" s="125"/>
      <c r="Q1534" s="33" t="s">
        <v>587</v>
      </c>
      <c r="R1534" s="125"/>
      <c r="S1534" s="33" t="s">
        <v>278</v>
      </c>
      <c r="T1534" s="125"/>
      <c r="U1534" s="33" t="s">
        <v>278</v>
      </c>
      <c r="V1534" s="125"/>
      <c r="W1534" s="59" t="s">
        <v>633</v>
      </c>
      <c r="X1534" s="33" t="str">
        <f>+VLOOKUP(OtherClients[[#This Row],[Part]],PartControl!$A$2:$E$564,5,FALSE)</f>
        <v>infasco</v>
      </c>
      <c r="Y1534" s="108">
        <f>IF(OtherClients[[#This Row],[Re-certified or New]]&lt;&gt;"Re-certified",IF(OtherClients[[#This Row],[Client]]="infasco",VLOOKUP(OtherClients[[#This Row],[Part]],PartControl!$A$2:$E$564,2,FALSE),OtherClients[[#This Row],[Total Quantity]]*VLOOKUP(OtherClients[[#This Row],[Part]],PartControl!$A$2:$E$564,2,FALSE)),0)</f>
        <v>0</v>
      </c>
      <c r="Z1534" s="108">
        <f>IF(OtherClients[[#This Row],[Re-certified or New]]&lt;&gt;"Re-certified",IF(OtherClients[[#This Row],[Client]]="infasco",VLOOKUP(OtherClients[[#This Row],[Part]],PartControl!$A$2:$E$564,2,FALSE),OtherClients[[#This Row],[Total Quantity]]*VLOOKUP(OtherClients[[#This Row],[Part]],PartControl!$A$2:$E$564,2,FALSE)),0)</f>
        <v>0</v>
      </c>
    </row>
    <row r="1535" spans="1:26" ht="25.15" hidden="1" customHeight="1" x14ac:dyDescent="0.25">
      <c r="A1535" s="112">
        <v>46256</v>
      </c>
      <c r="B1535" s="5" t="s">
        <v>343</v>
      </c>
      <c r="C1535" s="5" t="s">
        <v>720</v>
      </c>
      <c r="D1535" s="5">
        <v>713053</v>
      </c>
      <c r="E1535" s="33">
        <f>24+18</f>
        <v>42</v>
      </c>
      <c r="F1535" s="60">
        <v>200</v>
      </c>
      <c r="G1535" s="60">
        <f>+OtherClients[[#This Row],[Boxes / Pieces]]*OtherClients[[#This Row],[Unit Quantity]]</f>
        <v>8400</v>
      </c>
      <c r="H1535" s="60" t="s">
        <v>757</v>
      </c>
      <c r="I1535" s="126" t="s">
        <v>278</v>
      </c>
      <c r="J1535" s="127"/>
      <c r="K1535" s="33" t="s">
        <v>278</v>
      </c>
      <c r="L1535" s="125"/>
      <c r="M1535" s="33" t="s">
        <v>278</v>
      </c>
      <c r="N1535" s="125"/>
      <c r="O1535" s="33" t="s">
        <v>278</v>
      </c>
      <c r="P1535" s="125"/>
      <c r="Q1535" s="33" t="s">
        <v>587</v>
      </c>
      <c r="R1535" s="125"/>
      <c r="S1535" s="33" t="s">
        <v>278</v>
      </c>
      <c r="T1535" s="125"/>
      <c r="U1535" s="33" t="s">
        <v>278</v>
      </c>
      <c r="V1535" s="125"/>
      <c r="W1535" s="59" t="s">
        <v>548</v>
      </c>
      <c r="X1535" s="33" t="str">
        <f>+VLOOKUP(OtherClients[[#This Row],[Part]],PartControl!$A$2:$E$564,5,FALSE)</f>
        <v>infasco</v>
      </c>
      <c r="Y1535" s="108">
        <f>IF(OtherClients[[#This Row],[Re-certified or New]]&lt;&gt;"Re-certified",IF(OtherClients[[#This Row],[Client]]="infasco",VLOOKUP(OtherClients[[#This Row],[Part]],PartControl!$A$2:$E$564,2,FALSE),OtherClients[[#This Row],[Total Quantity]]*VLOOKUP(OtherClients[[#This Row],[Part]],PartControl!$A$2:$E$564,2,FALSE)),0)</f>
        <v>129.44999999999999</v>
      </c>
      <c r="Z1535" s="108">
        <f>IF(OtherClients[[#This Row],[Re-certified or New]]&lt;&gt;"Re-certified",IF(OtherClients[[#This Row],[Client]]="infasco",VLOOKUP(OtherClients[[#This Row],[Part]],PartControl!$A$2:$E$564,2,FALSE),OtherClients[[#This Row],[Total Quantity]]*VLOOKUP(OtherClients[[#This Row],[Part]],PartControl!$A$2:$E$564,2,FALSE)),0)</f>
        <v>129.44999999999999</v>
      </c>
    </row>
    <row r="1536" spans="1:26" ht="25.15" hidden="1" customHeight="1" x14ac:dyDescent="0.25">
      <c r="A1536" s="112">
        <v>46256</v>
      </c>
      <c r="B1536" s="5" t="s">
        <v>343</v>
      </c>
      <c r="C1536" s="5">
        <v>91054</v>
      </c>
      <c r="D1536" s="5">
        <v>714019</v>
      </c>
      <c r="E1536" s="33">
        <v>16</v>
      </c>
      <c r="F1536" s="60">
        <v>1700</v>
      </c>
      <c r="G1536" s="60">
        <f>+OtherClients[[#This Row],[Boxes / Pieces]]*OtherClients[[#This Row],[Unit Quantity]]</f>
        <v>27200</v>
      </c>
      <c r="H1536" s="60" t="s">
        <v>757</v>
      </c>
      <c r="I1536" s="126" t="s">
        <v>278</v>
      </c>
      <c r="J1536" s="127"/>
      <c r="K1536" s="33" t="s">
        <v>278</v>
      </c>
      <c r="L1536" s="125"/>
      <c r="M1536" s="33" t="s">
        <v>278</v>
      </c>
      <c r="N1536" s="125"/>
      <c r="O1536" s="33" t="s">
        <v>278</v>
      </c>
      <c r="P1536" s="125"/>
      <c r="Q1536" s="33" t="s">
        <v>587</v>
      </c>
      <c r="R1536" s="125"/>
      <c r="S1536" s="33" t="s">
        <v>278</v>
      </c>
      <c r="T1536" s="125"/>
      <c r="U1536" s="33" t="s">
        <v>278</v>
      </c>
      <c r="V1536" s="125"/>
      <c r="W1536" s="59" t="s">
        <v>633</v>
      </c>
      <c r="X1536" s="33" t="str">
        <f>+VLOOKUP(OtherClients[[#This Row],[Part]],PartControl!$A$2:$E$564,5,FALSE)</f>
        <v>infasco</v>
      </c>
      <c r="Y1536" s="108">
        <f>IF(OtherClients[[#This Row],[Re-certified or New]]&lt;&gt;"Re-certified",IF(OtherClients[[#This Row],[Client]]="infasco",VLOOKUP(OtherClients[[#This Row],[Part]],PartControl!$A$2:$E$564,2,FALSE),OtherClients[[#This Row],[Total Quantity]]*VLOOKUP(OtherClients[[#This Row],[Part]],PartControl!$A$2:$E$564,2,FALSE)),0)</f>
        <v>0</v>
      </c>
      <c r="Z1536" s="108">
        <f>IF(OtherClients[[#This Row],[Re-certified or New]]&lt;&gt;"Re-certified",IF(OtherClients[[#This Row],[Client]]="infasco",VLOOKUP(OtherClients[[#This Row],[Part]],PartControl!$A$2:$E$564,2,FALSE),OtherClients[[#This Row],[Total Quantity]]*VLOOKUP(OtherClients[[#This Row],[Part]],PartControl!$A$2:$E$564,2,FALSE)),0)</f>
        <v>0</v>
      </c>
    </row>
    <row r="1537" spans="1:26" ht="25.15" hidden="1" customHeight="1" x14ac:dyDescent="0.25">
      <c r="A1537" s="112">
        <v>46256</v>
      </c>
      <c r="B1537" s="5" t="s">
        <v>343</v>
      </c>
      <c r="C1537" s="5" t="s">
        <v>720</v>
      </c>
      <c r="D1537" s="5">
        <v>714604</v>
      </c>
      <c r="E1537" s="33">
        <v>24</v>
      </c>
      <c r="F1537" s="60">
        <v>200</v>
      </c>
      <c r="G1537" s="60">
        <f>+OtherClients[[#This Row],[Boxes / Pieces]]*OtherClients[[#This Row],[Unit Quantity]]</f>
        <v>4800</v>
      </c>
      <c r="H1537" s="60" t="s">
        <v>757</v>
      </c>
      <c r="I1537" s="126" t="s">
        <v>278</v>
      </c>
      <c r="J1537" s="127"/>
      <c r="K1537" s="33" t="s">
        <v>278</v>
      </c>
      <c r="L1537" s="125"/>
      <c r="M1537" s="33" t="s">
        <v>278</v>
      </c>
      <c r="N1537" s="125"/>
      <c r="O1537" s="33" t="s">
        <v>278</v>
      </c>
      <c r="P1537" s="125"/>
      <c r="Q1537" s="33" t="s">
        <v>587</v>
      </c>
      <c r="R1537" s="125"/>
      <c r="S1537" s="33" t="s">
        <v>278</v>
      </c>
      <c r="T1537" s="125"/>
      <c r="U1537" s="33" t="s">
        <v>278</v>
      </c>
      <c r="V1537" s="125"/>
      <c r="W1537" s="59" t="s">
        <v>548</v>
      </c>
      <c r="X1537" s="33" t="str">
        <f>+VLOOKUP(OtherClients[[#This Row],[Part]],PartControl!$A$2:$E$564,5,FALSE)</f>
        <v>infasco</v>
      </c>
      <c r="Y1537" s="108">
        <f>IF(OtherClients[[#This Row],[Re-certified or New]]&lt;&gt;"Re-certified",IF(OtherClients[[#This Row],[Client]]="infasco",VLOOKUP(OtherClients[[#This Row],[Part]],PartControl!$A$2:$E$564,2,FALSE),OtherClients[[#This Row],[Total Quantity]]*VLOOKUP(OtherClients[[#This Row],[Part]],PartControl!$A$2:$E$564,2,FALSE)),0)</f>
        <v>129.44999999999999</v>
      </c>
      <c r="Z1537" s="108">
        <f>IF(OtherClients[[#This Row],[Re-certified or New]]&lt;&gt;"Re-certified",IF(OtherClients[[#This Row],[Client]]="infasco",VLOOKUP(OtherClients[[#This Row],[Part]],PartControl!$A$2:$E$564,2,FALSE),OtherClients[[#This Row],[Total Quantity]]*VLOOKUP(OtherClients[[#This Row],[Part]],PartControl!$A$2:$E$564,2,FALSE)),0)</f>
        <v>129.44999999999999</v>
      </c>
    </row>
    <row r="1538" spans="1:26" ht="25.15" hidden="1" customHeight="1" x14ac:dyDescent="0.25">
      <c r="A1538" s="112">
        <v>46256</v>
      </c>
      <c r="B1538" s="5" t="s">
        <v>343</v>
      </c>
      <c r="C1538" s="5" t="s">
        <v>720</v>
      </c>
      <c r="D1538" s="5">
        <v>714606</v>
      </c>
      <c r="E1538" s="33">
        <v>24</v>
      </c>
      <c r="F1538" s="60">
        <v>200</v>
      </c>
      <c r="G1538" s="60">
        <f>+OtherClients[[#This Row],[Boxes / Pieces]]*OtherClients[[#This Row],[Unit Quantity]]</f>
        <v>4800</v>
      </c>
      <c r="H1538" s="60" t="s">
        <v>757</v>
      </c>
      <c r="I1538" s="126" t="s">
        <v>278</v>
      </c>
      <c r="J1538" s="127"/>
      <c r="K1538" s="33" t="s">
        <v>278</v>
      </c>
      <c r="L1538" s="125"/>
      <c r="M1538" s="33" t="s">
        <v>278</v>
      </c>
      <c r="N1538" s="125"/>
      <c r="O1538" s="33" t="s">
        <v>278</v>
      </c>
      <c r="P1538" s="125"/>
      <c r="Q1538" s="33" t="s">
        <v>587</v>
      </c>
      <c r="R1538" s="125"/>
      <c r="S1538" s="33" t="s">
        <v>278</v>
      </c>
      <c r="T1538" s="125"/>
      <c r="U1538" s="33" t="s">
        <v>278</v>
      </c>
      <c r="V1538" s="125"/>
      <c r="W1538" s="59" t="s">
        <v>548</v>
      </c>
      <c r="X1538" s="33" t="str">
        <f>+VLOOKUP(OtherClients[[#This Row],[Part]],PartControl!$A$2:$E$564,5,FALSE)</f>
        <v>infasco</v>
      </c>
      <c r="Y1538" s="108">
        <f>IF(OtherClients[[#This Row],[Re-certified or New]]&lt;&gt;"Re-certified",IF(OtherClients[[#This Row],[Client]]="infasco",VLOOKUP(OtherClients[[#This Row],[Part]],PartControl!$A$2:$E$564,2,FALSE),OtherClients[[#This Row],[Total Quantity]]*VLOOKUP(OtherClients[[#This Row],[Part]],PartControl!$A$2:$E$564,2,FALSE)),0)</f>
        <v>129.44999999999999</v>
      </c>
      <c r="Z1538" s="108">
        <f>IF(OtherClients[[#This Row],[Re-certified or New]]&lt;&gt;"Re-certified",IF(OtherClients[[#This Row],[Client]]="infasco",VLOOKUP(OtherClients[[#This Row],[Part]],PartControl!$A$2:$E$564,2,FALSE),OtherClients[[#This Row],[Total Quantity]]*VLOOKUP(OtherClients[[#This Row],[Part]],PartControl!$A$2:$E$564,2,FALSE)),0)</f>
        <v>129.44999999999999</v>
      </c>
    </row>
    <row r="1539" spans="1:26" ht="25.15" hidden="1" customHeight="1" x14ac:dyDescent="0.25">
      <c r="A1539" s="112">
        <v>46256</v>
      </c>
      <c r="B1539" s="5" t="s">
        <v>343</v>
      </c>
      <c r="C1539" s="5" t="s">
        <v>885</v>
      </c>
      <c r="D1539" s="5">
        <v>716034</v>
      </c>
      <c r="E1539" s="33">
        <f>36-20</f>
        <v>16</v>
      </c>
      <c r="F1539" s="60">
        <v>250</v>
      </c>
      <c r="G1539" s="60">
        <f>+OtherClients[[#This Row],[Boxes / Pieces]]*OtherClients[[#This Row],[Unit Quantity]]</f>
        <v>4000</v>
      </c>
      <c r="H1539" s="60" t="s">
        <v>757</v>
      </c>
      <c r="I1539" s="126" t="s">
        <v>278</v>
      </c>
      <c r="J1539" s="127"/>
      <c r="K1539" s="33" t="s">
        <v>278</v>
      </c>
      <c r="L1539" s="125"/>
      <c r="M1539" s="33" t="s">
        <v>278</v>
      </c>
      <c r="N1539" s="125"/>
      <c r="O1539" s="33" t="s">
        <v>278</v>
      </c>
      <c r="P1539" s="125"/>
      <c r="Q1539" s="33" t="s">
        <v>587</v>
      </c>
      <c r="R1539" s="125"/>
      <c r="S1539" s="33" t="s">
        <v>278</v>
      </c>
      <c r="T1539" s="125"/>
      <c r="U1539" s="33" t="s">
        <v>278</v>
      </c>
      <c r="V1539" s="125"/>
      <c r="W1539" s="59" t="s">
        <v>548</v>
      </c>
      <c r="X1539" s="33" t="str">
        <f>+VLOOKUP(OtherClients[[#This Row],[Part]],PartControl!$A$2:$E$564,5,FALSE)</f>
        <v>infasco</v>
      </c>
      <c r="Y1539" s="108">
        <f>IF(OtherClients[[#This Row],[Re-certified or New]]&lt;&gt;"Re-certified",IF(OtherClients[[#This Row],[Client]]="infasco",VLOOKUP(OtherClients[[#This Row],[Part]],PartControl!$A$2:$E$564,2,FALSE),OtherClients[[#This Row],[Total Quantity]]*VLOOKUP(OtherClients[[#This Row],[Part]],PartControl!$A$2:$E$564,2,FALSE)),0)</f>
        <v>106.94</v>
      </c>
      <c r="Z1539" s="108">
        <f>IF(OtherClients[[#This Row],[Re-certified or New]]&lt;&gt;"Re-certified",IF(OtherClients[[#This Row],[Client]]="infasco",VLOOKUP(OtherClients[[#This Row],[Part]],PartControl!$A$2:$E$564,2,FALSE),OtherClients[[#This Row],[Total Quantity]]*VLOOKUP(OtherClients[[#This Row],[Part]],PartControl!$A$2:$E$564,2,FALSE)),0)</f>
        <v>106.94</v>
      </c>
    </row>
    <row r="1540" spans="1:26" ht="25.15" hidden="1" customHeight="1" x14ac:dyDescent="0.25">
      <c r="A1540" s="112">
        <v>46256</v>
      </c>
      <c r="B1540" s="5" t="s">
        <v>343</v>
      </c>
      <c r="C1540" s="5" t="s">
        <v>885</v>
      </c>
      <c r="D1540" s="5">
        <v>716042</v>
      </c>
      <c r="E1540" s="33">
        <f>36+4</f>
        <v>40</v>
      </c>
      <c r="F1540" s="60">
        <v>250</v>
      </c>
      <c r="G1540" s="60">
        <f>+OtherClients[[#This Row],[Boxes / Pieces]]*OtherClients[[#This Row],[Unit Quantity]]</f>
        <v>10000</v>
      </c>
      <c r="H1540" s="60" t="s">
        <v>757</v>
      </c>
      <c r="I1540" s="126" t="s">
        <v>278</v>
      </c>
      <c r="J1540" s="127"/>
      <c r="K1540" s="33" t="s">
        <v>278</v>
      </c>
      <c r="L1540" s="125"/>
      <c r="M1540" s="33" t="s">
        <v>278</v>
      </c>
      <c r="N1540" s="125"/>
      <c r="O1540" s="33" t="s">
        <v>278</v>
      </c>
      <c r="P1540" s="125"/>
      <c r="Q1540" s="33" t="s">
        <v>587</v>
      </c>
      <c r="R1540" s="125"/>
      <c r="S1540" s="33" t="s">
        <v>278</v>
      </c>
      <c r="T1540" s="125"/>
      <c r="U1540" s="33" t="s">
        <v>278</v>
      </c>
      <c r="V1540" s="125"/>
      <c r="W1540" s="59" t="s">
        <v>548</v>
      </c>
      <c r="X1540" s="33" t="str">
        <f>+VLOOKUP(OtherClients[[#This Row],[Part]],PartControl!$A$2:$E$564,5,FALSE)</f>
        <v>infasco</v>
      </c>
      <c r="Y1540" s="108">
        <f>IF(OtherClients[[#This Row],[Re-certified or New]]&lt;&gt;"Re-certified",IF(OtherClients[[#This Row],[Client]]="infasco",VLOOKUP(OtherClients[[#This Row],[Part]],PartControl!$A$2:$E$564,2,FALSE),OtherClients[[#This Row],[Total Quantity]]*VLOOKUP(OtherClients[[#This Row],[Part]],PartControl!$A$2:$E$564,2,FALSE)),0)</f>
        <v>106.94</v>
      </c>
      <c r="Z1540" s="108">
        <f>IF(OtherClients[[#This Row],[Re-certified or New]]&lt;&gt;"Re-certified",IF(OtherClients[[#This Row],[Client]]="infasco",VLOOKUP(OtherClients[[#This Row],[Part]],PartControl!$A$2:$E$564,2,FALSE),OtherClients[[#This Row],[Total Quantity]]*VLOOKUP(OtherClients[[#This Row],[Part]],PartControl!$A$2:$E$564,2,FALSE)),0)</f>
        <v>106.94</v>
      </c>
    </row>
    <row r="1541" spans="1:26" ht="25.15" hidden="1" customHeight="1" x14ac:dyDescent="0.25">
      <c r="A1541" s="112">
        <v>46256</v>
      </c>
      <c r="B1541" s="5" t="s">
        <v>343</v>
      </c>
      <c r="C1541" s="5" t="s">
        <v>818</v>
      </c>
      <c r="D1541" s="5">
        <v>716987</v>
      </c>
      <c r="E1541" s="33">
        <v>23</v>
      </c>
      <c r="F1541" s="60">
        <v>670</v>
      </c>
      <c r="G1541" s="60">
        <f>+OtherClients[[#This Row],[Boxes / Pieces]]*OtherClients[[#This Row],[Unit Quantity]]</f>
        <v>15410</v>
      </c>
      <c r="H1541" s="60" t="s">
        <v>757</v>
      </c>
      <c r="I1541" s="126" t="s">
        <v>278</v>
      </c>
      <c r="J1541" s="127"/>
      <c r="K1541" s="33" t="s">
        <v>278</v>
      </c>
      <c r="L1541" s="125"/>
      <c r="M1541" s="33" t="s">
        <v>278</v>
      </c>
      <c r="N1541" s="125"/>
      <c r="O1541" s="33" t="s">
        <v>278</v>
      </c>
      <c r="P1541" s="125"/>
      <c r="Q1541" s="33" t="s">
        <v>587</v>
      </c>
      <c r="R1541" s="125"/>
      <c r="S1541" s="33" t="s">
        <v>278</v>
      </c>
      <c r="T1541" s="125"/>
      <c r="U1541" s="33" t="s">
        <v>278</v>
      </c>
      <c r="V1541" s="125"/>
      <c r="W1541" s="59" t="s">
        <v>548</v>
      </c>
      <c r="X1541" s="33" t="str">
        <f>+VLOOKUP(OtherClients[[#This Row],[Part]],PartControl!$A$2:$E$564,5,FALSE)</f>
        <v>infasco</v>
      </c>
      <c r="Y1541" s="108">
        <f>IF(OtherClients[[#This Row],[Re-certified or New]]&lt;&gt;"Re-certified",IF(OtherClients[[#This Row],[Client]]="infasco",VLOOKUP(OtherClients[[#This Row],[Part]],PartControl!$A$2:$E$564,2,FALSE),OtherClients[[#This Row],[Total Quantity]]*VLOOKUP(OtherClients[[#This Row],[Part]],PartControl!$A$2:$E$564,2,FALSE)),0)</f>
        <v>280.16000000000003</v>
      </c>
      <c r="Z1541" s="108">
        <f>IF(OtherClients[[#This Row],[Re-certified or New]]&lt;&gt;"Re-certified",IF(OtherClients[[#This Row],[Client]]="infasco",VLOOKUP(OtherClients[[#This Row],[Part]],PartControl!$A$2:$E$564,2,FALSE),OtherClients[[#This Row],[Total Quantity]]*VLOOKUP(OtherClients[[#This Row],[Part]],PartControl!$A$2:$E$564,2,FALSE)),0)</f>
        <v>280.16000000000003</v>
      </c>
    </row>
    <row r="1542" spans="1:26" ht="25.15" hidden="1" customHeight="1" x14ac:dyDescent="0.25">
      <c r="A1542" s="112">
        <v>46256</v>
      </c>
      <c r="B1542" s="5" t="s">
        <v>344</v>
      </c>
      <c r="C1542" s="5">
        <v>91054</v>
      </c>
      <c r="D1542" s="5">
        <v>714020</v>
      </c>
      <c r="E1542" s="33">
        <v>18</v>
      </c>
      <c r="F1542" s="60">
        <v>1700</v>
      </c>
      <c r="G1542" s="60">
        <f>+OtherClients[[#This Row],[Boxes / Pieces]]*OtherClients[[#This Row],[Unit Quantity]]</f>
        <v>30600</v>
      </c>
      <c r="H1542" s="60" t="s">
        <v>816</v>
      </c>
      <c r="I1542" s="126" t="s">
        <v>278</v>
      </c>
      <c r="J1542" s="127"/>
      <c r="K1542" s="33" t="s">
        <v>278</v>
      </c>
      <c r="L1542" s="125"/>
      <c r="M1542" s="33" t="s">
        <v>278</v>
      </c>
      <c r="N1542" s="125"/>
      <c r="O1542" s="33" t="s">
        <v>278</v>
      </c>
      <c r="P1542" s="125"/>
      <c r="Q1542" s="33" t="s">
        <v>587</v>
      </c>
      <c r="R1542" s="125"/>
      <c r="S1542" s="33" t="s">
        <v>278</v>
      </c>
      <c r="T1542" s="125"/>
      <c r="U1542" s="33" t="s">
        <v>278</v>
      </c>
      <c r="V1542" s="125"/>
      <c r="W1542" s="59" t="s">
        <v>633</v>
      </c>
      <c r="X1542" s="33" t="str">
        <f>+VLOOKUP(OtherClients[[#This Row],[Part]],PartControl!$A$2:$E$564,5,FALSE)</f>
        <v>infasco</v>
      </c>
      <c r="Y1542" s="108">
        <f>IF(OtherClients[[#This Row],[Re-certified or New]]&lt;&gt;"Re-certified",IF(OtherClients[[#This Row],[Client]]="infasco",VLOOKUP(OtherClients[[#This Row],[Part]],PartControl!$A$2:$E$564,2,FALSE),OtherClients[[#This Row],[Total Quantity]]*VLOOKUP(OtherClients[[#This Row],[Part]],PartControl!$A$2:$E$564,2,FALSE)),0)</f>
        <v>0</v>
      </c>
      <c r="Z1542" s="108">
        <f>IF(OtherClients[[#This Row],[Re-certified or New]]&lt;&gt;"Re-certified",IF(OtherClients[[#This Row],[Client]]="infasco",VLOOKUP(OtherClients[[#This Row],[Part]],PartControl!$A$2:$E$564,2,FALSE),OtherClients[[#This Row],[Total Quantity]]*VLOOKUP(OtherClients[[#This Row],[Part]],PartControl!$A$2:$E$564,2,FALSE)),0)</f>
        <v>0</v>
      </c>
    </row>
    <row r="1543" spans="1:26" ht="25.15" hidden="1" customHeight="1" x14ac:dyDescent="0.25">
      <c r="A1543" s="112">
        <v>46256</v>
      </c>
      <c r="B1543" s="5" t="s">
        <v>344</v>
      </c>
      <c r="C1543" s="5" t="s">
        <v>818</v>
      </c>
      <c r="D1543" s="5">
        <v>716986</v>
      </c>
      <c r="E1543" s="33">
        <v>33</v>
      </c>
      <c r="F1543" s="60">
        <v>670</v>
      </c>
      <c r="G1543" s="60">
        <f>+OtherClients[[#This Row],[Boxes / Pieces]]*OtherClients[[#This Row],[Unit Quantity]]</f>
        <v>22110</v>
      </c>
      <c r="H1543" s="60" t="s">
        <v>816</v>
      </c>
      <c r="I1543" s="126" t="s">
        <v>278</v>
      </c>
      <c r="J1543" s="127"/>
      <c r="K1543" s="33" t="s">
        <v>278</v>
      </c>
      <c r="L1543" s="125"/>
      <c r="M1543" s="33" t="s">
        <v>278</v>
      </c>
      <c r="N1543" s="125"/>
      <c r="O1543" s="33" t="s">
        <v>278</v>
      </c>
      <c r="P1543" s="125"/>
      <c r="Q1543" s="33" t="s">
        <v>587</v>
      </c>
      <c r="R1543" s="125"/>
      <c r="S1543" s="33" t="s">
        <v>278</v>
      </c>
      <c r="T1543" s="125"/>
      <c r="U1543" s="33" t="s">
        <v>278</v>
      </c>
      <c r="V1543" s="125"/>
      <c r="W1543" s="59" t="s">
        <v>548</v>
      </c>
      <c r="X1543" s="33" t="str">
        <f>+VLOOKUP(OtherClients[[#This Row],[Part]],PartControl!$A$2:$E$564,5,FALSE)</f>
        <v>infasco</v>
      </c>
      <c r="Y1543" s="108">
        <f>IF(OtherClients[[#This Row],[Re-certified or New]]&lt;&gt;"Re-certified",IF(OtherClients[[#This Row],[Client]]="infasco",VLOOKUP(OtherClients[[#This Row],[Part]],PartControl!$A$2:$E$564,2,FALSE),OtherClients[[#This Row],[Total Quantity]]*VLOOKUP(OtherClients[[#This Row],[Part]],PartControl!$A$2:$E$564,2,FALSE)),0)</f>
        <v>280.16000000000003</v>
      </c>
      <c r="Z1543" s="108">
        <f>IF(OtherClients[[#This Row],[Re-certified or New]]&lt;&gt;"Re-certified",IF(OtherClients[[#This Row],[Client]]="infasco",VLOOKUP(OtherClients[[#This Row],[Part]],PartControl!$A$2:$E$564,2,FALSE),OtherClients[[#This Row],[Total Quantity]]*VLOOKUP(OtherClients[[#This Row],[Part]],PartControl!$A$2:$E$564,2,FALSE)),0)</f>
        <v>280.16000000000003</v>
      </c>
    </row>
    <row r="1544" spans="1:26" ht="25.15" hidden="1" customHeight="1" x14ac:dyDescent="0.25">
      <c r="A1544" s="112">
        <v>46256</v>
      </c>
      <c r="B1544" s="5" t="s">
        <v>344</v>
      </c>
      <c r="C1544" s="5">
        <v>11546463</v>
      </c>
      <c r="D1544" s="5">
        <v>717058</v>
      </c>
      <c r="E1544" s="33">
        <f>36+4</f>
        <v>40</v>
      </c>
      <c r="F1544" s="60">
        <v>450</v>
      </c>
      <c r="G1544" s="60">
        <f>+OtherClients[[#This Row],[Boxes / Pieces]]*OtherClients[[#This Row],[Unit Quantity]]</f>
        <v>18000</v>
      </c>
      <c r="H1544" s="60" t="s">
        <v>816</v>
      </c>
      <c r="I1544" s="126" t="s">
        <v>278</v>
      </c>
      <c r="J1544" s="127"/>
      <c r="K1544" s="33" t="s">
        <v>278</v>
      </c>
      <c r="L1544" s="125"/>
      <c r="M1544" s="33" t="s">
        <v>278</v>
      </c>
      <c r="N1544" s="125"/>
      <c r="O1544" s="33" t="s">
        <v>278</v>
      </c>
      <c r="P1544" s="125"/>
      <c r="Q1544" s="33" t="s">
        <v>587</v>
      </c>
      <c r="R1544" s="125"/>
      <c r="S1544" s="33" t="s">
        <v>278</v>
      </c>
      <c r="T1544" s="125"/>
      <c r="U1544" s="33" t="s">
        <v>278</v>
      </c>
      <c r="V1544" s="125"/>
      <c r="W1544" s="59" t="s">
        <v>548</v>
      </c>
      <c r="X1544" s="33" t="str">
        <f>+VLOOKUP(OtherClients[[#This Row],[Part]],PartControl!$A$2:$E$564,5,FALSE)</f>
        <v>infasco</v>
      </c>
      <c r="Y1544" s="108">
        <f>IF(OtherClients[[#This Row],[Re-certified or New]]&lt;&gt;"Re-certified",IF(OtherClients[[#This Row],[Client]]="infasco",VLOOKUP(OtherClients[[#This Row],[Part]],PartControl!$A$2:$E$564,2,FALSE),OtherClients[[#This Row],[Total Quantity]]*VLOOKUP(OtherClients[[#This Row],[Part]],PartControl!$A$2:$E$564,2,FALSE)),0)</f>
        <v>106.94</v>
      </c>
      <c r="Z1544" s="108">
        <f>IF(OtherClients[[#This Row],[Re-certified or New]]&lt;&gt;"Re-certified",IF(OtherClients[[#This Row],[Client]]="infasco",VLOOKUP(OtherClients[[#This Row],[Part]],PartControl!$A$2:$E$564,2,FALSE),OtherClients[[#This Row],[Total Quantity]]*VLOOKUP(OtherClients[[#This Row],[Part]],PartControl!$A$2:$E$564,2,FALSE)),0)</f>
        <v>106.94</v>
      </c>
    </row>
    <row r="1545" spans="1:26" ht="25.15" hidden="1" customHeight="1" x14ac:dyDescent="0.25">
      <c r="A1545" s="112">
        <v>46255.694016203706</v>
      </c>
      <c r="B1545" s="5" t="s">
        <v>346</v>
      </c>
      <c r="C1545" s="5">
        <v>11546463</v>
      </c>
      <c r="D1545" s="5">
        <v>717060</v>
      </c>
      <c r="E1545" s="33">
        <v>17</v>
      </c>
      <c r="F1545" s="60">
        <v>450</v>
      </c>
      <c r="G1545" s="60">
        <f>+OtherClients[[#This Row],[Boxes / Pieces]]*OtherClients[[#This Row],[Unit Quantity]]</f>
        <v>7650</v>
      </c>
      <c r="H1545" s="60" t="s">
        <v>871</v>
      </c>
      <c r="I1545" s="126" t="s">
        <v>278</v>
      </c>
      <c r="J1545" s="127"/>
      <c r="K1545" s="33" t="s">
        <v>278</v>
      </c>
      <c r="L1545" s="125"/>
      <c r="M1545" s="33" t="s">
        <v>278</v>
      </c>
      <c r="N1545" s="125"/>
      <c r="O1545" s="33" t="s">
        <v>278</v>
      </c>
      <c r="P1545" s="125"/>
      <c r="Q1545" s="33" t="s">
        <v>587</v>
      </c>
      <c r="R1545" s="125"/>
      <c r="S1545" s="33" t="s">
        <v>278</v>
      </c>
      <c r="T1545" s="125"/>
      <c r="U1545" s="33" t="s">
        <v>278</v>
      </c>
      <c r="V1545" s="125"/>
      <c r="W1545" s="59" t="s">
        <v>548</v>
      </c>
      <c r="X1545" s="33" t="str">
        <f>+VLOOKUP(OtherClients[[#This Row],[Part]],PartControl!$A$2:$E$564,5,FALSE)</f>
        <v>infasco</v>
      </c>
      <c r="Y1545" s="108">
        <f>IF(OtherClients[[#This Row],[Re-certified or New]]&lt;&gt;"Re-certified",IF(OtherClients[[#This Row],[Client]]="infasco",VLOOKUP(OtherClients[[#This Row],[Part]],PartControl!$A$2:$E$564,2,FALSE),OtherClients[[#This Row],[Total Quantity]]*VLOOKUP(OtherClients[[#This Row],[Part]],PartControl!$A$2:$E$564,2,FALSE)),0)</f>
        <v>106.94</v>
      </c>
      <c r="Z1545" s="108">
        <f>IF(OtherClients[[#This Row],[Re-certified or New]]&lt;&gt;"Re-certified",IF(OtherClients[[#This Row],[Client]]="infasco",VLOOKUP(OtherClients[[#This Row],[Part]],PartControl!$A$2:$E$564,2,FALSE),OtherClients[[#This Row],[Total Quantity]]*VLOOKUP(OtherClients[[#This Row],[Part]],PartControl!$A$2:$E$564,2,FALSE)),0)</f>
        <v>106.94</v>
      </c>
    </row>
    <row r="1546" spans="1:26" ht="25.15" hidden="1" customHeight="1" x14ac:dyDescent="0.25">
      <c r="A1546" s="112">
        <v>46254.679212962961</v>
      </c>
      <c r="B1546" s="5" t="s">
        <v>345</v>
      </c>
      <c r="C1546" s="5">
        <v>11588714</v>
      </c>
      <c r="D1546" s="5">
        <v>717086</v>
      </c>
      <c r="E1546" s="33">
        <v>4</v>
      </c>
      <c r="F1546" s="60">
        <v>1400</v>
      </c>
      <c r="G1546" s="60">
        <f>+OtherClients[[#This Row],[Boxes / Pieces]]*OtherClients[[#This Row],[Unit Quantity]]</f>
        <v>5600</v>
      </c>
      <c r="H1546" s="60" t="s">
        <v>849</v>
      </c>
      <c r="I1546" s="126" t="s">
        <v>278</v>
      </c>
      <c r="J1546" s="127"/>
      <c r="K1546" s="33" t="s">
        <v>278</v>
      </c>
      <c r="L1546" s="125"/>
      <c r="M1546" s="33" t="s">
        <v>278</v>
      </c>
      <c r="N1546" s="125"/>
      <c r="O1546" s="33" t="s">
        <v>278</v>
      </c>
      <c r="P1546" s="125"/>
      <c r="Q1546" s="33" t="s">
        <v>587</v>
      </c>
      <c r="R1546" s="125"/>
      <c r="S1546" s="33" t="s">
        <v>278</v>
      </c>
      <c r="T1546" s="125"/>
      <c r="U1546" s="33" t="s">
        <v>278</v>
      </c>
      <c r="V1546" s="125"/>
      <c r="W1546" s="59" t="s">
        <v>548</v>
      </c>
      <c r="X1546" s="33" t="str">
        <f>+VLOOKUP(OtherClients[[#This Row],[Part]],PartControl!$A$2:$E$564,5,FALSE)</f>
        <v>INFASCO</v>
      </c>
      <c r="Y1546" s="108">
        <f>IF(OtherClients[[#This Row],[Re-certified or New]]&lt;&gt;"Re-certified",IF(OtherClients[[#This Row],[Client]]="infasco",VLOOKUP(OtherClients[[#This Row],[Part]],PartControl!$A$2:$E$564,2,FALSE),OtherClients[[#This Row],[Total Quantity]]*VLOOKUP(OtherClients[[#This Row],[Part]],PartControl!$A$2:$E$564,2,FALSE)),0)</f>
        <v>280.15999999999997</v>
      </c>
      <c r="Z1546" s="108">
        <f>IF(OtherClients[[#This Row],[Re-certified or New]]&lt;&gt;"Re-certified",IF(OtherClients[[#This Row],[Client]]="infasco",VLOOKUP(OtherClients[[#This Row],[Part]],PartControl!$A$2:$E$564,2,FALSE),OtherClients[[#This Row],[Total Quantity]]*VLOOKUP(OtherClients[[#This Row],[Part]],PartControl!$A$2:$E$564,2,FALSE)),0)</f>
        <v>280.15999999999997</v>
      </c>
    </row>
    <row r="1547" spans="1:26" ht="25.15" hidden="1" customHeight="1" x14ac:dyDescent="0.25">
      <c r="A1547" s="112">
        <v>46255.694016203706</v>
      </c>
      <c r="B1547" s="5" t="s">
        <v>635</v>
      </c>
      <c r="C1547" s="5" t="s">
        <v>790</v>
      </c>
      <c r="D1547" s="5">
        <v>717105</v>
      </c>
      <c r="E1547" s="33">
        <v>1</v>
      </c>
      <c r="F1547" s="60">
        <v>25000</v>
      </c>
      <c r="G1547" s="60">
        <f>+OtherClients[[#This Row],[Boxes / Pieces]]*OtherClients[[#This Row],[Unit Quantity]]</f>
        <v>25000</v>
      </c>
      <c r="H1547" s="60">
        <v>280</v>
      </c>
      <c r="I1547" s="126" t="s">
        <v>278</v>
      </c>
      <c r="J1547" s="127"/>
      <c r="K1547" s="33" t="s">
        <v>278</v>
      </c>
      <c r="L1547" s="125"/>
      <c r="M1547" s="33" t="s">
        <v>278</v>
      </c>
      <c r="N1547" s="125"/>
      <c r="O1547" s="33" t="s">
        <v>278</v>
      </c>
      <c r="P1547" s="125"/>
      <c r="Q1547" s="33" t="s">
        <v>587</v>
      </c>
      <c r="R1547" s="125"/>
      <c r="S1547" s="33" t="s">
        <v>278</v>
      </c>
      <c r="T1547" s="125"/>
      <c r="U1547" s="33" t="s">
        <v>278</v>
      </c>
      <c r="V1547" s="125"/>
      <c r="W1547" s="59" t="s">
        <v>633</v>
      </c>
      <c r="X1547" s="33" t="str">
        <f>+VLOOKUP(OtherClients[[#This Row],[Part]],PartControl!$A$2:$E$564,5,FALSE)</f>
        <v>infasco</v>
      </c>
      <c r="Y1547" s="108">
        <f>IF(OtherClients[[#This Row],[Re-certified or New]]&lt;&gt;"Re-certified",IF(OtherClients[[#This Row],[Client]]="infasco",VLOOKUP(OtherClients[[#This Row],[Part]],PartControl!$A$2:$E$564,2,FALSE),OtherClients[[#This Row],[Total Quantity]]*VLOOKUP(OtherClients[[#This Row],[Part]],PartControl!$A$2:$E$564,2,FALSE)),0)</f>
        <v>0</v>
      </c>
      <c r="Z1547" s="108">
        <f>IF(OtherClients[[#This Row],[Re-certified or New]]&lt;&gt;"Re-certified",IF(OtherClients[[#This Row],[Client]]="infasco",VLOOKUP(OtherClients[[#This Row],[Part]],PartControl!$A$2:$E$564,2,FALSE),OtherClients[[#This Row],[Total Quantity]]*VLOOKUP(OtherClients[[#This Row],[Part]],PartControl!$A$2:$E$564,2,FALSE)),0)</f>
        <v>0</v>
      </c>
    </row>
    <row r="1548" spans="1:26" ht="25.15" hidden="1" customHeight="1" x14ac:dyDescent="0.25">
      <c r="A1548" s="112">
        <v>46256</v>
      </c>
      <c r="B1548" s="5" t="s">
        <v>344</v>
      </c>
      <c r="C1548" s="5">
        <v>11546463</v>
      </c>
      <c r="D1548" s="5">
        <v>717059</v>
      </c>
      <c r="E1548" s="33">
        <f>36+2</f>
        <v>38</v>
      </c>
      <c r="F1548" s="60">
        <v>450</v>
      </c>
      <c r="G1548" s="60">
        <f>+OtherClients[[#This Row],[Boxes / Pieces]]*OtherClients[[#This Row],[Unit Quantity]]</f>
        <v>17100</v>
      </c>
      <c r="H1548" s="60" t="s">
        <v>816</v>
      </c>
      <c r="I1548" s="126" t="s">
        <v>278</v>
      </c>
      <c r="J1548" s="127"/>
      <c r="K1548" s="33" t="s">
        <v>278</v>
      </c>
      <c r="L1548" s="125"/>
      <c r="M1548" s="33" t="s">
        <v>278</v>
      </c>
      <c r="N1548" s="125"/>
      <c r="O1548" s="33" t="s">
        <v>278</v>
      </c>
      <c r="P1548" s="125"/>
      <c r="Q1548" s="33" t="s">
        <v>587</v>
      </c>
      <c r="R1548" s="125"/>
      <c r="S1548" s="33" t="s">
        <v>278</v>
      </c>
      <c r="T1548" s="125"/>
      <c r="U1548" s="33" t="s">
        <v>278</v>
      </c>
      <c r="V1548" s="125"/>
      <c r="W1548" s="59" t="s">
        <v>548</v>
      </c>
      <c r="X1548" s="33" t="str">
        <f>+VLOOKUP(OtherClients[[#This Row],[Part]],PartControl!$A$2:$E$564,5,FALSE)</f>
        <v>infasco</v>
      </c>
      <c r="Y1548" s="108">
        <f>IF(OtherClients[[#This Row],[Re-certified or New]]&lt;&gt;"Re-certified",IF(OtherClients[[#This Row],[Client]]="infasco",VLOOKUP(OtherClients[[#This Row],[Part]],PartControl!$A$2:$E$564,2,FALSE),OtherClients[[#This Row],[Total Quantity]]*VLOOKUP(OtherClients[[#This Row],[Part]],PartControl!$A$2:$E$564,2,FALSE)),0)</f>
        <v>106.94</v>
      </c>
      <c r="Z1548" s="108">
        <f>IF(OtherClients[[#This Row],[Re-certified or New]]&lt;&gt;"Re-certified",IF(OtherClients[[#This Row],[Client]]="infasco",VLOOKUP(OtherClients[[#This Row],[Part]],PartControl!$A$2:$E$564,2,FALSE),OtherClients[[#This Row],[Total Quantity]]*VLOOKUP(OtherClients[[#This Row],[Part]],PartControl!$A$2:$E$564,2,FALSE)),0)</f>
        <v>106.94</v>
      </c>
    </row>
    <row r="1549" spans="1:26" ht="25.15" hidden="1" customHeight="1" x14ac:dyDescent="0.25">
      <c r="A1549" s="112">
        <v>46254.679212962961</v>
      </c>
      <c r="B1549" s="5" t="s">
        <v>343</v>
      </c>
      <c r="C1549" s="5">
        <v>11588714</v>
      </c>
      <c r="D1549" s="5">
        <v>717115</v>
      </c>
      <c r="E1549" s="33">
        <v>15</v>
      </c>
      <c r="F1549" s="60">
        <v>1400</v>
      </c>
      <c r="G1549" s="60">
        <f>+OtherClients[[#This Row],[Boxes / Pieces]]*OtherClients[[#This Row],[Unit Quantity]]</f>
        <v>21000</v>
      </c>
      <c r="H1549" s="60" t="s">
        <v>757</v>
      </c>
      <c r="I1549" s="126" t="s">
        <v>278</v>
      </c>
      <c r="J1549" s="127"/>
      <c r="K1549" s="33" t="s">
        <v>278</v>
      </c>
      <c r="L1549" s="125"/>
      <c r="M1549" s="33" t="s">
        <v>278</v>
      </c>
      <c r="N1549" s="125"/>
      <c r="O1549" s="33" t="s">
        <v>278</v>
      </c>
      <c r="P1549" s="125"/>
      <c r="Q1549" s="33" t="s">
        <v>587</v>
      </c>
      <c r="R1549" s="125"/>
      <c r="S1549" s="33" t="s">
        <v>278</v>
      </c>
      <c r="T1549" s="125"/>
      <c r="U1549" s="33" t="s">
        <v>278</v>
      </c>
      <c r="V1549" s="125"/>
      <c r="W1549" s="59" t="s">
        <v>548</v>
      </c>
      <c r="X1549" s="33" t="str">
        <f>+VLOOKUP(OtherClients[[#This Row],[Part]],PartControl!$A$2:$E$564,5,FALSE)</f>
        <v>INFASCO</v>
      </c>
      <c r="Y1549" s="108">
        <f>IF(OtherClients[[#This Row],[Re-certified or New]]&lt;&gt;"Re-certified",IF(OtherClients[[#This Row],[Client]]="infasco",VLOOKUP(OtherClients[[#This Row],[Part]],PartControl!$A$2:$E$564,2,FALSE),OtherClients[[#This Row],[Total Quantity]]*VLOOKUP(OtherClients[[#This Row],[Part]],PartControl!$A$2:$E$564,2,FALSE)),0)</f>
        <v>280.15999999999997</v>
      </c>
      <c r="Z1549" s="108">
        <f>IF(OtherClients[[#This Row],[Re-certified or New]]&lt;&gt;"Re-certified",IF(OtherClients[[#This Row],[Client]]="infasco",VLOOKUP(OtherClients[[#This Row],[Part]],PartControl!$A$2:$E$564,2,FALSE),OtherClients[[#This Row],[Total Quantity]]*VLOOKUP(OtherClients[[#This Row],[Part]],PartControl!$A$2:$E$564,2,FALSE)),0)</f>
        <v>280.15999999999997</v>
      </c>
    </row>
    <row r="1550" spans="1:26" ht="25.15" hidden="1" customHeight="1" x14ac:dyDescent="0.25">
      <c r="A1550" s="112">
        <v>46254.679212962961</v>
      </c>
      <c r="B1550" s="5" t="s">
        <v>344</v>
      </c>
      <c r="C1550" s="5">
        <v>11588714</v>
      </c>
      <c r="D1550" s="5">
        <v>717116</v>
      </c>
      <c r="E1550" s="33">
        <v>24</v>
      </c>
      <c r="F1550" s="60">
        <v>1400</v>
      </c>
      <c r="G1550" s="60">
        <f>+OtherClients[[#This Row],[Boxes / Pieces]]*OtherClients[[#This Row],[Unit Quantity]]</f>
        <v>33600</v>
      </c>
      <c r="H1550" s="60" t="s">
        <v>816</v>
      </c>
      <c r="I1550" s="126" t="s">
        <v>278</v>
      </c>
      <c r="J1550" s="127"/>
      <c r="K1550" s="33" t="s">
        <v>278</v>
      </c>
      <c r="L1550" s="125"/>
      <c r="M1550" s="33" t="s">
        <v>278</v>
      </c>
      <c r="N1550" s="125"/>
      <c r="O1550" s="33" t="s">
        <v>278</v>
      </c>
      <c r="P1550" s="125"/>
      <c r="Q1550" s="33" t="s">
        <v>587</v>
      </c>
      <c r="R1550" s="125"/>
      <c r="S1550" s="33" t="s">
        <v>278</v>
      </c>
      <c r="T1550" s="125"/>
      <c r="U1550" s="33" t="s">
        <v>278</v>
      </c>
      <c r="V1550" s="125"/>
      <c r="W1550" s="59" t="s">
        <v>548</v>
      </c>
      <c r="X1550" s="33" t="str">
        <f>+VLOOKUP(OtherClients[[#This Row],[Part]],PartControl!$A$2:$E$564,5,FALSE)</f>
        <v>INFASCO</v>
      </c>
      <c r="Y1550" s="108">
        <f>IF(OtherClients[[#This Row],[Re-certified or New]]&lt;&gt;"Re-certified",IF(OtherClients[[#This Row],[Client]]="infasco",VLOOKUP(OtherClients[[#This Row],[Part]],PartControl!$A$2:$E$564,2,FALSE),OtherClients[[#This Row],[Total Quantity]]*VLOOKUP(OtherClients[[#This Row],[Part]],PartControl!$A$2:$E$564,2,FALSE)),0)</f>
        <v>280.15999999999997</v>
      </c>
      <c r="Z1550" s="108">
        <f>IF(OtherClients[[#This Row],[Re-certified or New]]&lt;&gt;"Re-certified",IF(OtherClients[[#This Row],[Client]]="infasco",VLOOKUP(OtherClients[[#This Row],[Part]],PartControl!$A$2:$E$564,2,FALSE),OtherClients[[#This Row],[Total Quantity]]*VLOOKUP(OtherClients[[#This Row],[Part]],PartControl!$A$2:$E$564,2,FALSE)),0)</f>
        <v>280.15999999999997</v>
      </c>
    </row>
    <row r="1551" spans="1:26" ht="25.15" hidden="1" customHeight="1" x14ac:dyDescent="0.25">
      <c r="A1551" s="112">
        <v>46255.694016203706</v>
      </c>
      <c r="B1551" s="5" t="s">
        <v>344</v>
      </c>
      <c r="C1551" s="5" t="s">
        <v>886</v>
      </c>
      <c r="D1551" s="5">
        <v>717141</v>
      </c>
      <c r="E1551" s="33">
        <v>36</v>
      </c>
      <c r="F1551" s="60">
        <v>2500</v>
      </c>
      <c r="G1551" s="60">
        <f>+OtherClients[[#This Row],[Boxes / Pieces]]*OtherClients[[#This Row],[Unit Quantity]]</f>
        <v>90000</v>
      </c>
      <c r="H1551" s="60" t="s">
        <v>816</v>
      </c>
      <c r="I1551" s="126" t="s">
        <v>278</v>
      </c>
      <c r="J1551" s="127"/>
      <c r="K1551" s="33" t="s">
        <v>278</v>
      </c>
      <c r="L1551" s="125"/>
      <c r="M1551" s="33" t="s">
        <v>278</v>
      </c>
      <c r="N1551" s="125"/>
      <c r="O1551" s="33" t="s">
        <v>278</v>
      </c>
      <c r="P1551" s="125"/>
      <c r="Q1551" s="33" t="s">
        <v>587</v>
      </c>
      <c r="R1551" s="125"/>
      <c r="S1551" s="33" t="s">
        <v>278</v>
      </c>
      <c r="T1551" s="125"/>
      <c r="U1551" s="33" t="s">
        <v>278</v>
      </c>
      <c r="V1551" s="125"/>
      <c r="W1551" s="59" t="s">
        <v>548</v>
      </c>
      <c r="X1551" s="33" t="str">
        <f>+VLOOKUP(OtherClients[[#This Row],[Part]],PartControl!$A$2:$E$564,5,FALSE)</f>
        <v>infasco</v>
      </c>
      <c r="Y1551" s="108">
        <f>IF(OtherClients[[#This Row],[Re-certified or New]]&lt;&gt;"Re-certified",IF(OtherClients[[#This Row],[Client]]="infasco",VLOOKUP(OtherClients[[#This Row],[Part]],PartControl!$A$2:$E$564,2,FALSE),OtherClients[[#This Row],[Total Quantity]]*VLOOKUP(OtherClients[[#This Row],[Part]],PartControl!$A$2:$E$564,2,FALSE)),0)</f>
        <v>106.94</v>
      </c>
      <c r="Z1551" s="108">
        <f>IF(OtherClients[[#This Row],[Re-certified or New]]&lt;&gt;"Re-certified",IF(OtherClients[[#This Row],[Client]]="infasco",VLOOKUP(OtherClients[[#This Row],[Part]],PartControl!$A$2:$E$564,2,FALSE),OtherClients[[#This Row],[Total Quantity]]*VLOOKUP(OtherClients[[#This Row],[Part]],PartControl!$A$2:$E$564,2,FALSE)),0)</f>
        <v>106.94</v>
      </c>
    </row>
    <row r="1552" spans="1:26" ht="25.15" hidden="1" customHeight="1" x14ac:dyDescent="0.25">
      <c r="A1552" s="112">
        <v>46255.694016203706</v>
      </c>
      <c r="B1552" s="5" t="s">
        <v>344</v>
      </c>
      <c r="C1552" s="5" t="s">
        <v>886</v>
      </c>
      <c r="D1552" s="5">
        <v>717142</v>
      </c>
      <c r="E1552" s="33">
        <v>30</v>
      </c>
      <c r="F1552" s="60">
        <v>2500</v>
      </c>
      <c r="G1552" s="60">
        <f>+OtherClients[[#This Row],[Boxes / Pieces]]*OtherClients[[#This Row],[Unit Quantity]]</f>
        <v>75000</v>
      </c>
      <c r="H1552" s="60" t="s">
        <v>816</v>
      </c>
      <c r="I1552" s="126" t="s">
        <v>278</v>
      </c>
      <c r="J1552" s="127"/>
      <c r="K1552" s="33" t="s">
        <v>278</v>
      </c>
      <c r="L1552" s="125"/>
      <c r="M1552" s="33" t="s">
        <v>278</v>
      </c>
      <c r="N1552" s="125"/>
      <c r="O1552" s="33" t="s">
        <v>278</v>
      </c>
      <c r="P1552" s="125"/>
      <c r="Q1552" s="33" t="s">
        <v>587</v>
      </c>
      <c r="R1552" s="125"/>
      <c r="S1552" s="33" t="s">
        <v>278</v>
      </c>
      <c r="T1552" s="125"/>
      <c r="U1552" s="33" t="s">
        <v>278</v>
      </c>
      <c r="V1552" s="125"/>
      <c r="W1552" s="59" t="s">
        <v>548</v>
      </c>
      <c r="X1552" s="33" t="str">
        <f>+VLOOKUP(OtherClients[[#This Row],[Part]],PartControl!$A$2:$E$564,5,FALSE)</f>
        <v>infasco</v>
      </c>
      <c r="Y1552" s="108">
        <f>IF(OtherClients[[#This Row],[Re-certified or New]]&lt;&gt;"Re-certified",IF(OtherClients[[#This Row],[Client]]="infasco",VLOOKUP(OtherClients[[#This Row],[Part]],PartControl!$A$2:$E$564,2,FALSE),OtherClients[[#This Row],[Total Quantity]]*VLOOKUP(OtherClients[[#This Row],[Part]],PartControl!$A$2:$E$564,2,FALSE)),0)</f>
        <v>106.94</v>
      </c>
      <c r="Z1552" s="108">
        <f>IF(OtherClients[[#This Row],[Re-certified or New]]&lt;&gt;"Re-certified",IF(OtherClients[[#This Row],[Client]]="infasco",VLOOKUP(OtherClients[[#This Row],[Part]],PartControl!$A$2:$E$564,2,FALSE),OtherClients[[#This Row],[Total Quantity]]*VLOOKUP(OtherClients[[#This Row],[Part]],PartControl!$A$2:$E$564,2,FALSE)),0)</f>
        <v>106.94</v>
      </c>
    </row>
    <row r="1553" spans="1:26" ht="25.15" hidden="1" customHeight="1" x14ac:dyDescent="0.25">
      <c r="A1553" s="112">
        <v>46255.694016203706</v>
      </c>
      <c r="B1553" s="5" t="s">
        <v>342</v>
      </c>
      <c r="C1553" s="5">
        <v>11546449</v>
      </c>
      <c r="D1553" s="5">
        <v>717143</v>
      </c>
      <c r="E1553" s="33">
        <v>34</v>
      </c>
      <c r="F1553" s="60">
        <v>2500</v>
      </c>
      <c r="G1553" s="60">
        <f>+OtherClients[[#This Row],[Boxes / Pieces]]*OtherClients[[#This Row],[Unit Quantity]]</f>
        <v>85000</v>
      </c>
      <c r="H1553" s="60" t="s">
        <v>811</v>
      </c>
      <c r="I1553" s="126" t="s">
        <v>278</v>
      </c>
      <c r="J1553" s="127"/>
      <c r="K1553" s="33" t="s">
        <v>278</v>
      </c>
      <c r="L1553" s="125"/>
      <c r="M1553" s="33" t="s">
        <v>278</v>
      </c>
      <c r="N1553" s="125"/>
      <c r="O1553" s="33" t="s">
        <v>278</v>
      </c>
      <c r="P1553" s="125"/>
      <c r="Q1553" s="33" t="s">
        <v>587</v>
      </c>
      <c r="R1553" s="125"/>
      <c r="S1553" s="33" t="s">
        <v>278</v>
      </c>
      <c r="T1553" s="125"/>
      <c r="U1553" s="33" t="s">
        <v>278</v>
      </c>
      <c r="V1553" s="125"/>
      <c r="W1553" s="59" t="s">
        <v>548</v>
      </c>
      <c r="X1553" s="33" t="str">
        <f>+VLOOKUP(OtherClients[[#This Row],[Part]],PartControl!$A$2:$E$564,5,FALSE)</f>
        <v>INFASCO</v>
      </c>
      <c r="Y1553" s="108">
        <f>IF(OtherClients[[#This Row],[Re-certified or New]]&lt;&gt;"Re-certified",IF(OtherClients[[#This Row],[Client]]="infasco",VLOOKUP(OtherClients[[#This Row],[Part]],PartControl!$A$2:$E$564,2,FALSE),OtherClients[[#This Row],[Total Quantity]]*VLOOKUP(OtherClients[[#This Row],[Part]],PartControl!$A$2:$E$564,2,FALSE)),0)</f>
        <v>106.94</v>
      </c>
      <c r="Z1553" s="108">
        <f>IF(OtherClients[[#This Row],[Re-certified or New]]&lt;&gt;"Re-certified",IF(OtherClients[[#This Row],[Client]]="infasco",VLOOKUP(OtherClients[[#This Row],[Part]],PartControl!$A$2:$E$564,2,FALSE),OtherClients[[#This Row],[Total Quantity]]*VLOOKUP(OtherClients[[#This Row],[Part]],PartControl!$A$2:$E$564,2,FALSE)),0)</f>
        <v>106.94</v>
      </c>
    </row>
    <row r="1554" spans="1:26" ht="25.15" hidden="1" customHeight="1" x14ac:dyDescent="0.25">
      <c r="A1554" s="112">
        <v>46255.694016203706</v>
      </c>
      <c r="B1554" s="5" t="s">
        <v>342</v>
      </c>
      <c r="C1554" s="5" t="s">
        <v>657</v>
      </c>
      <c r="D1554" s="5">
        <v>717279</v>
      </c>
      <c r="E1554" s="33">
        <v>1</v>
      </c>
      <c r="F1554" s="60">
        <v>72000</v>
      </c>
      <c r="G1554" s="60">
        <f>+OtherClients[[#This Row],[Boxes / Pieces]]*OtherClients[[#This Row],[Unit Quantity]]</f>
        <v>72000</v>
      </c>
      <c r="H1554" s="60" t="s">
        <v>811</v>
      </c>
      <c r="I1554" s="126" t="s">
        <v>278</v>
      </c>
      <c r="J1554" s="127"/>
      <c r="K1554" s="33" t="s">
        <v>278</v>
      </c>
      <c r="L1554" s="125"/>
      <c r="M1554" s="33" t="s">
        <v>278</v>
      </c>
      <c r="N1554" s="125"/>
      <c r="O1554" s="33" t="s">
        <v>278</v>
      </c>
      <c r="P1554" s="125"/>
      <c r="Q1554" s="33" t="s">
        <v>587</v>
      </c>
      <c r="R1554" s="125"/>
      <c r="S1554" s="33" t="s">
        <v>278</v>
      </c>
      <c r="T1554" s="125"/>
      <c r="U1554" s="33" t="s">
        <v>278</v>
      </c>
      <c r="V1554" s="125"/>
      <c r="W1554" s="59" t="s">
        <v>548</v>
      </c>
      <c r="X1554" s="33" t="str">
        <f>+VLOOKUP(OtherClients[[#This Row],[Part]],PartControl!$A$2:$E$564,5,FALSE)</f>
        <v>infasco</v>
      </c>
      <c r="Y1554" s="108">
        <f>IF(OtherClients[[#This Row],[Re-certified or New]]&lt;&gt;"Re-certified",IF(OtherClients[[#This Row],[Client]]="infasco",VLOOKUP(OtherClients[[#This Row],[Part]],PartControl!$A$2:$E$564,2,FALSE),OtherClients[[#This Row],[Total Quantity]]*VLOOKUP(OtherClients[[#This Row],[Part]],PartControl!$A$2:$E$564,2,FALSE)),0)</f>
        <v>129.44999999999999</v>
      </c>
      <c r="Z1554" s="108">
        <f>IF(OtherClients[[#This Row],[Re-certified or New]]&lt;&gt;"Re-certified",IF(OtherClients[[#This Row],[Client]]="infasco",VLOOKUP(OtherClients[[#This Row],[Part]],PartControl!$A$2:$E$564,2,FALSE),OtherClients[[#This Row],[Total Quantity]]*VLOOKUP(OtherClients[[#This Row],[Part]],PartControl!$A$2:$E$564,2,FALSE)),0)</f>
        <v>129.44999999999999</v>
      </c>
    </row>
    <row r="1555" spans="1:26" ht="25.15" hidden="1" customHeight="1" x14ac:dyDescent="0.25">
      <c r="A1555" s="112">
        <v>46255.694016203706</v>
      </c>
      <c r="B1555" s="5" t="s">
        <v>343</v>
      </c>
      <c r="C1555" s="5" t="s">
        <v>657</v>
      </c>
      <c r="D1555" s="5">
        <v>717280</v>
      </c>
      <c r="E1555" s="33">
        <v>1</v>
      </c>
      <c r="F1555" s="60">
        <v>77696</v>
      </c>
      <c r="G1555" s="60">
        <f>+OtherClients[[#This Row],[Boxes / Pieces]]*OtherClients[[#This Row],[Unit Quantity]]</f>
        <v>77696</v>
      </c>
      <c r="H1555" s="60" t="s">
        <v>757</v>
      </c>
      <c r="I1555" s="126" t="s">
        <v>278</v>
      </c>
      <c r="J1555" s="127"/>
      <c r="K1555" s="33" t="s">
        <v>278</v>
      </c>
      <c r="L1555" s="125"/>
      <c r="M1555" s="33" t="s">
        <v>278</v>
      </c>
      <c r="N1555" s="125"/>
      <c r="O1555" s="33" t="s">
        <v>278</v>
      </c>
      <c r="P1555" s="125"/>
      <c r="Q1555" s="33" t="s">
        <v>587</v>
      </c>
      <c r="R1555" s="125"/>
      <c r="S1555" s="33" t="s">
        <v>278</v>
      </c>
      <c r="T1555" s="125"/>
      <c r="U1555" s="33" t="s">
        <v>278</v>
      </c>
      <c r="V1555" s="125"/>
      <c r="W1555" s="59" t="s">
        <v>548</v>
      </c>
      <c r="X1555" s="33" t="str">
        <f>+VLOOKUP(OtherClients[[#This Row],[Part]],PartControl!$A$2:$E$564,5,FALSE)</f>
        <v>infasco</v>
      </c>
      <c r="Y1555" s="108">
        <f>IF(OtherClients[[#This Row],[Re-certified or New]]&lt;&gt;"Re-certified",IF(OtherClients[[#This Row],[Client]]="infasco",VLOOKUP(OtherClients[[#This Row],[Part]],PartControl!$A$2:$E$564,2,FALSE),OtherClients[[#This Row],[Total Quantity]]*VLOOKUP(OtherClients[[#This Row],[Part]],PartControl!$A$2:$E$564,2,FALSE)),0)</f>
        <v>129.44999999999999</v>
      </c>
      <c r="Z1555" s="108">
        <f>IF(OtherClients[[#This Row],[Re-certified or New]]&lt;&gt;"Re-certified",IF(OtherClients[[#This Row],[Client]]="infasco",VLOOKUP(OtherClients[[#This Row],[Part]],PartControl!$A$2:$E$564,2,FALSE),OtherClients[[#This Row],[Total Quantity]]*VLOOKUP(OtherClients[[#This Row],[Part]],PartControl!$A$2:$E$564,2,FALSE)),0)</f>
        <v>129.44999999999999</v>
      </c>
    </row>
    <row r="1556" spans="1:26" ht="25.15" hidden="1" customHeight="1" x14ac:dyDescent="0.25">
      <c r="A1556" s="112">
        <v>46255.694016203706</v>
      </c>
      <c r="B1556" s="5" t="s">
        <v>344</v>
      </c>
      <c r="C1556" s="5" t="s">
        <v>657</v>
      </c>
      <c r="D1556" s="5">
        <v>717281</v>
      </c>
      <c r="E1556" s="33">
        <v>1</v>
      </c>
      <c r="F1556" s="60">
        <v>69900</v>
      </c>
      <c r="G1556" s="60">
        <f>+OtherClients[[#This Row],[Boxes / Pieces]]*OtherClients[[#This Row],[Unit Quantity]]</f>
        <v>69900</v>
      </c>
      <c r="H1556" s="60" t="s">
        <v>816</v>
      </c>
      <c r="I1556" s="126" t="s">
        <v>278</v>
      </c>
      <c r="J1556" s="127"/>
      <c r="K1556" s="33" t="s">
        <v>278</v>
      </c>
      <c r="L1556" s="125"/>
      <c r="M1556" s="33" t="s">
        <v>278</v>
      </c>
      <c r="N1556" s="125"/>
      <c r="O1556" s="33" t="s">
        <v>278</v>
      </c>
      <c r="P1556" s="125"/>
      <c r="Q1556" s="33" t="s">
        <v>587</v>
      </c>
      <c r="R1556" s="125"/>
      <c r="S1556" s="33" t="s">
        <v>278</v>
      </c>
      <c r="T1556" s="125"/>
      <c r="U1556" s="33" t="s">
        <v>278</v>
      </c>
      <c r="V1556" s="125"/>
      <c r="W1556" s="59" t="s">
        <v>548</v>
      </c>
      <c r="X1556" s="33" t="str">
        <f>+VLOOKUP(OtherClients[[#This Row],[Part]],PartControl!$A$2:$E$564,5,FALSE)</f>
        <v>infasco</v>
      </c>
      <c r="Y1556" s="108">
        <f>IF(OtherClients[[#This Row],[Re-certified or New]]&lt;&gt;"Re-certified",IF(OtherClients[[#This Row],[Client]]="infasco",VLOOKUP(OtherClients[[#This Row],[Part]],PartControl!$A$2:$E$564,2,FALSE),OtherClients[[#This Row],[Total Quantity]]*VLOOKUP(OtherClients[[#This Row],[Part]],PartControl!$A$2:$E$564,2,FALSE)),0)</f>
        <v>129.44999999999999</v>
      </c>
      <c r="Z1556" s="108">
        <f>IF(OtherClients[[#This Row],[Re-certified or New]]&lt;&gt;"Re-certified",IF(OtherClients[[#This Row],[Client]]="infasco",VLOOKUP(OtherClients[[#This Row],[Part]],PartControl!$A$2:$E$564,2,FALSE),OtherClients[[#This Row],[Total Quantity]]*VLOOKUP(OtherClients[[#This Row],[Part]],PartControl!$A$2:$E$564,2,FALSE)),0)</f>
        <v>129.44999999999999</v>
      </c>
    </row>
    <row r="1557" spans="1:26" ht="25.15" hidden="1" customHeight="1" x14ac:dyDescent="0.25">
      <c r="A1557" s="112">
        <v>46256</v>
      </c>
      <c r="B1557" s="5" t="s">
        <v>344</v>
      </c>
      <c r="C1557" s="5">
        <v>11604000</v>
      </c>
      <c r="D1557" s="5">
        <v>717444</v>
      </c>
      <c r="E1557" s="33">
        <v>26</v>
      </c>
      <c r="F1557" s="60">
        <v>585</v>
      </c>
      <c r="G1557" s="60">
        <f>+OtherClients[[#This Row],[Boxes / Pieces]]*OtherClients[[#This Row],[Unit Quantity]]</f>
        <v>15210</v>
      </c>
      <c r="H1557" s="60" t="s">
        <v>816</v>
      </c>
      <c r="I1557" s="126" t="s">
        <v>278</v>
      </c>
      <c r="J1557" s="127"/>
      <c r="K1557" s="33" t="s">
        <v>278</v>
      </c>
      <c r="L1557" s="125"/>
      <c r="M1557" s="33" t="s">
        <v>278</v>
      </c>
      <c r="N1557" s="125"/>
      <c r="O1557" s="33" t="s">
        <v>278</v>
      </c>
      <c r="P1557" s="125"/>
      <c r="Q1557" s="33" t="s">
        <v>587</v>
      </c>
      <c r="R1557" s="125"/>
      <c r="S1557" s="33" t="s">
        <v>278</v>
      </c>
      <c r="T1557" s="125"/>
      <c r="U1557" s="33" t="s">
        <v>278</v>
      </c>
      <c r="V1557" s="125"/>
      <c r="W1557" s="59" t="s">
        <v>548</v>
      </c>
      <c r="X1557" s="33" t="str">
        <f>+VLOOKUP(OtherClients[[#This Row],[Part]],PartControl!$A$2:$E$564,5,FALSE)</f>
        <v>infasco</v>
      </c>
      <c r="Y1557" s="108">
        <f>IF(OtherClients[[#This Row],[Re-certified or New]]&lt;&gt;"Re-certified",IF(OtherClients[[#This Row],[Client]]="infasco",VLOOKUP(OtherClients[[#This Row],[Part]],PartControl!$A$2:$E$564,2,FALSE),OtherClients[[#This Row],[Total Quantity]]*VLOOKUP(OtherClients[[#This Row],[Part]],PartControl!$A$2:$E$564,2,FALSE)),0)</f>
        <v>223.88</v>
      </c>
      <c r="Z1557" s="108">
        <f>IF(OtherClients[[#This Row],[Re-certified or New]]&lt;&gt;"Re-certified",IF(OtherClients[[#This Row],[Client]]="infasco",VLOOKUP(OtherClients[[#This Row],[Part]],PartControl!$A$2:$E$564,2,FALSE),OtherClients[[#This Row],[Total Quantity]]*VLOOKUP(OtherClients[[#This Row],[Part]],PartControl!$A$2:$E$564,2,FALSE)),0)</f>
        <v>223.88</v>
      </c>
    </row>
    <row r="1558" spans="1:26" ht="25.15" hidden="1" customHeight="1" x14ac:dyDescent="0.25">
      <c r="A1558" s="112">
        <v>46255.694016203706</v>
      </c>
      <c r="B1558" s="5" t="s">
        <v>243</v>
      </c>
      <c r="C1558" s="5" t="s">
        <v>657</v>
      </c>
      <c r="D1558" s="5">
        <v>717284</v>
      </c>
      <c r="E1558" s="33">
        <v>1</v>
      </c>
      <c r="F1558" s="60">
        <v>42500</v>
      </c>
      <c r="G1558" s="60">
        <f>+OtherClients[[#This Row],[Boxes / Pieces]]*OtherClients[[#This Row],[Unit Quantity]]</f>
        <v>42500</v>
      </c>
      <c r="H1558" s="60">
        <v>292</v>
      </c>
      <c r="I1558" s="126" t="s">
        <v>278</v>
      </c>
      <c r="J1558" s="127"/>
      <c r="K1558" s="33" t="s">
        <v>278</v>
      </c>
      <c r="L1558" s="125"/>
      <c r="M1558" s="33" t="s">
        <v>278</v>
      </c>
      <c r="N1558" s="125"/>
      <c r="O1558" s="33" t="s">
        <v>278</v>
      </c>
      <c r="P1558" s="125"/>
      <c r="Q1558" s="33" t="s">
        <v>587</v>
      </c>
      <c r="R1558" s="125"/>
      <c r="S1558" s="33" t="s">
        <v>278</v>
      </c>
      <c r="T1558" s="125"/>
      <c r="U1558" s="33" t="s">
        <v>278</v>
      </c>
      <c r="V1558" s="125"/>
      <c r="W1558" s="59" t="s">
        <v>633</v>
      </c>
      <c r="X1558" s="33" t="str">
        <f>+VLOOKUP(OtherClients[[#This Row],[Part]],PartControl!$A$2:$E$564,5,FALSE)</f>
        <v>infasco</v>
      </c>
      <c r="Y1558" s="108">
        <f>IF(OtherClients[[#This Row],[Re-certified or New]]&lt;&gt;"Re-certified",IF(OtherClients[[#This Row],[Client]]="infasco",VLOOKUP(OtherClients[[#This Row],[Part]],PartControl!$A$2:$E$564,2,FALSE),OtherClients[[#This Row],[Total Quantity]]*VLOOKUP(OtherClients[[#This Row],[Part]],PartControl!$A$2:$E$564,2,FALSE)),0)</f>
        <v>0</v>
      </c>
      <c r="Z1558" s="108">
        <f>IF(OtherClients[[#This Row],[Re-certified or New]]&lt;&gt;"Re-certified",IF(OtherClients[[#This Row],[Client]]="infasco",VLOOKUP(OtherClients[[#This Row],[Part]],PartControl!$A$2:$E$564,2,FALSE),OtherClients[[#This Row],[Total Quantity]]*VLOOKUP(OtherClients[[#This Row],[Part]],PartControl!$A$2:$E$564,2,FALSE)),0)</f>
        <v>0</v>
      </c>
    </row>
    <row r="1559" spans="1:26" ht="25.15" hidden="1" customHeight="1" x14ac:dyDescent="0.25">
      <c r="A1559" s="112">
        <v>46256</v>
      </c>
      <c r="B1559" s="5" t="s">
        <v>344</v>
      </c>
      <c r="C1559" s="5">
        <v>11588293</v>
      </c>
      <c r="D1559" s="5">
        <v>717553</v>
      </c>
      <c r="E1559" s="33">
        <v>36</v>
      </c>
      <c r="F1559" s="60">
        <v>1150</v>
      </c>
      <c r="G1559" s="60">
        <f>+OtherClients[[#This Row],[Boxes / Pieces]]*OtherClients[[#This Row],[Unit Quantity]]</f>
        <v>41400</v>
      </c>
      <c r="H1559" s="60" t="s">
        <v>816</v>
      </c>
      <c r="I1559" s="126" t="s">
        <v>278</v>
      </c>
      <c r="J1559" s="127"/>
      <c r="K1559" s="33" t="s">
        <v>278</v>
      </c>
      <c r="L1559" s="125"/>
      <c r="M1559" s="33" t="s">
        <v>278</v>
      </c>
      <c r="N1559" s="125"/>
      <c r="O1559" s="33" t="s">
        <v>278</v>
      </c>
      <c r="P1559" s="125"/>
      <c r="Q1559" s="33" t="s">
        <v>587</v>
      </c>
      <c r="R1559" s="125"/>
      <c r="S1559" s="33" t="s">
        <v>278</v>
      </c>
      <c r="T1559" s="125"/>
      <c r="U1559" s="33" t="s">
        <v>278</v>
      </c>
      <c r="V1559" s="125"/>
      <c r="W1559" s="59" t="s">
        <v>548</v>
      </c>
      <c r="X1559" s="33" t="str">
        <f>+VLOOKUP(OtherClients[[#This Row],[Part]],PartControl!$A$2:$E$564,5,FALSE)</f>
        <v>infasco</v>
      </c>
      <c r="Y1559" s="108">
        <f>IF(OtherClients[[#This Row],[Re-certified or New]]&lt;&gt;"Re-certified",IF(OtherClients[[#This Row],[Client]]="infasco",VLOOKUP(OtherClients[[#This Row],[Part]],PartControl!$A$2:$E$564,2,FALSE),OtherClients[[#This Row],[Total Quantity]]*VLOOKUP(OtherClients[[#This Row],[Part]],PartControl!$A$2:$E$564,2,FALSE)),0)</f>
        <v>223.88</v>
      </c>
      <c r="Z1559" s="108">
        <f>IF(OtherClients[[#This Row],[Re-certified or New]]&lt;&gt;"Re-certified",IF(OtherClients[[#This Row],[Client]]="infasco",VLOOKUP(OtherClients[[#This Row],[Part]],PartControl!$A$2:$E$564,2,FALSE),OtherClients[[#This Row],[Total Quantity]]*VLOOKUP(OtherClients[[#This Row],[Part]],PartControl!$A$2:$E$564,2,FALSE)),0)</f>
        <v>223.88</v>
      </c>
    </row>
    <row r="1560" spans="1:26" ht="25.15" hidden="1" customHeight="1" x14ac:dyDescent="0.25">
      <c r="A1560" s="112">
        <v>46256</v>
      </c>
      <c r="B1560" s="5" t="s">
        <v>344</v>
      </c>
      <c r="C1560" s="5">
        <v>11588293</v>
      </c>
      <c r="D1560" s="5">
        <v>717554</v>
      </c>
      <c r="E1560" s="33">
        <v>24</v>
      </c>
      <c r="F1560" s="60">
        <v>1150</v>
      </c>
      <c r="G1560" s="60">
        <f>+OtherClients[[#This Row],[Boxes / Pieces]]*OtherClients[[#This Row],[Unit Quantity]]</f>
        <v>27600</v>
      </c>
      <c r="H1560" s="60" t="s">
        <v>816</v>
      </c>
      <c r="I1560" s="126" t="s">
        <v>278</v>
      </c>
      <c r="J1560" s="127"/>
      <c r="K1560" s="33" t="s">
        <v>278</v>
      </c>
      <c r="L1560" s="125"/>
      <c r="M1560" s="33" t="s">
        <v>278</v>
      </c>
      <c r="N1560" s="125"/>
      <c r="O1560" s="33" t="s">
        <v>278</v>
      </c>
      <c r="P1560" s="125"/>
      <c r="Q1560" s="33" t="s">
        <v>587</v>
      </c>
      <c r="R1560" s="125"/>
      <c r="S1560" s="33" t="s">
        <v>278</v>
      </c>
      <c r="T1560" s="125"/>
      <c r="U1560" s="33" t="s">
        <v>278</v>
      </c>
      <c r="V1560" s="125"/>
      <c r="W1560" s="59" t="s">
        <v>548</v>
      </c>
      <c r="X1560" s="33" t="str">
        <f>+VLOOKUP(OtherClients[[#This Row],[Part]],PartControl!$A$2:$E$564,5,FALSE)</f>
        <v>infasco</v>
      </c>
      <c r="Y1560" s="108">
        <f>IF(OtherClients[[#This Row],[Re-certified or New]]&lt;&gt;"Re-certified",IF(OtherClients[[#This Row],[Client]]="infasco",VLOOKUP(OtherClients[[#This Row],[Part]],PartControl!$A$2:$E$564,2,FALSE),OtherClients[[#This Row],[Total Quantity]]*VLOOKUP(OtherClients[[#This Row],[Part]],PartControl!$A$2:$E$564,2,FALSE)),0)</f>
        <v>223.88</v>
      </c>
      <c r="Z1560" s="108">
        <f>IF(OtherClients[[#This Row],[Re-certified or New]]&lt;&gt;"Re-certified",IF(OtherClients[[#This Row],[Client]]="infasco",VLOOKUP(OtherClients[[#This Row],[Part]],PartControl!$A$2:$E$564,2,FALSE),OtherClients[[#This Row],[Total Quantity]]*VLOOKUP(OtherClients[[#This Row],[Part]],PartControl!$A$2:$E$564,2,FALSE)),0)</f>
        <v>223.88</v>
      </c>
    </row>
    <row r="1561" spans="1:26" ht="25.15" hidden="1" customHeight="1" x14ac:dyDescent="0.25">
      <c r="A1561" s="112">
        <v>46256</v>
      </c>
      <c r="B1561" s="5" t="s">
        <v>345</v>
      </c>
      <c r="C1561" s="5">
        <v>11546703</v>
      </c>
      <c r="D1561" s="5">
        <v>713856</v>
      </c>
      <c r="E1561" s="33">
        <f>31-24</f>
        <v>7</v>
      </c>
      <c r="F1561" s="60">
        <v>4000</v>
      </c>
      <c r="G1561" s="60">
        <f>+OtherClients[[#This Row],[Boxes / Pieces]]*OtherClients[[#This Row],[Unit Quantity]]</f>
        <v>28000</v>
      </c>
      <c r="H1561" s="60" t="s">
        <v>887</v>
      </c>
      <c r="I1561" s="126" t="s">
        <v>278</v>
      </c>
      <c r="J1561" s="127"/>
      <c r="K1561" s="33" t="s">
        <v>278</v>
      </c>
      <c r="L1561" s="125"/>
      <c r="M1561" s="33" t="s">
        <v>278</v>
      </c>
      <c r="N1561" s="125"/>
      <c r="O1561" s="33" t="s">
        <v>278</v>
      </c>
      <c r="P1561" s="125"/>
      <c r="Q1561" s="33" t="s">
        <v>587</v>
      </c>
      <c r="R1561" s="125"/>
      <c r="S1561" s="33" t="s">
        <v>278</v>
      </c>
      <c r="T1561" s="125"/>
      <c r="U1561" s="33" t="s">
        <v>278</v>
      </c>
      <c r="V1561" s="125"/>
      <c r="W1561" s="59" t="s">
        <v>548</v>
      </c>
      <c r="X1561" s="33" t="str">
        <f>+VLOOKUP(OtherClients[[#This Row],[Part]],PartControl!$A$2:$E$564,5,FALSE)</f>
        <v>infasco</v>
      </c>
      <c r="Y1561" s="108">
        <f>IF(OtherClients[[#This Row],[Re-certified or New]]&lt;&gt;"Re-certified",IF(OtherClients[[#This Row],[Client]]="infasco",VLOOKUP(OtherClients[[#This Row],[Part]],PartControl!$A$2:$E$564,2,FALSE),OtherClients[[#This Row],[Total Quantity]]*VLOOKUP(OtherClients[[#This Row],[Part]],PartControl!$A$2:$E$564,2,FALSE)),0)</f>
        <v>135.07999999999998</v>
      </c>
      <c r="Z1561" s="108">
        <f>IF(OtherClients[[#This Row],[Re-certified or New]]&lt;&gt;"Re-certified",IF(OtherClients[[#This Row],[Client]]="infasco",VLOOKUP(OtherClients[[#This Row],[Part]],PartControl!$A$2:$E$564,2,FALSE),OtherClients[[#This Row],[Total Quantity]]*VLOOKUP(OtherClients[[#This Row],[Part]],PartControl!$A$2:$E$564,2,FALSE)),0)</f>
        <v>135.07999999999998</v>
      </c>
    </row>
    <row r="1562" spans="1:26" ht="25.15" hidden="1" customHeight="1" x14ac:dyDescent="0.25">
      <c r="A1562" s="112">
        <v>46256</v>
      </c>
      <c r="B1562" s="5" t="s">
        <v>346</v>
      </c>
      <c r="C1562" s="5">
        <v>91054</v>
      </c>
      <c r="D1562" s="5">
        <v>714021</v>
      </c>
      <c r="E1562" s="33">
        <v>16</v>
      </c>
      <c r="F1562" s="60">
        <v>1700</v>
      </c>
      <c r="G1562" s="60">
        <f>+OtherClients[[#This Row],[Boxes / Pieces]]*OtherClients[[#This Row],[Unit Quantity]]</f>
        <v>27200</v>
      </c>
      <c r="H1562" s="60">
        <v>11</v>
      </c>
      <c r="I1562" s="126" t="s">
        <v>278</v>
      </c>
      <c r="J1562" s="127"/>
      <c r="K1562" s="33" t="s">
        <v>278</v>
      </c>
      <c r="L1562" s="125"/>
      <c r="M1562" s="33" t="s">
        <v>278</v>
      </c>
      <c r="N1562" s="125"/>
      <c r="O1562" s="33" t="s">
        <v>278</v>
      </c>
      <c r="P1562" s="125"/>
      <c r="Q1562" s="33" t="s">
        <v>587</v>
      </c>
      <c r="R1562" s="125"/>
      <c r="S1562" s="33" t="s">
        <v>278</v>
      </c>
      <c r="T1562" s="125"/>
      <c r="U1562" s="33" t="s">
        <v>278</v>
      </c>
      <c r="V1562" s="125"/>
      <c r="W1562" s="59" t="s">
        <v>548</v>
      </c>
      <c r="X1562" s="33" t="str">
        <f>+VLOOKUP(OtherClients[[#This Row],[Part]],PartControl!$A$2:$E$564,5,FALSE)</f>
        <v>infasco</v>
      </c>
      <c r="Y1562" s="108">
        <f>IF(OtherClients[[#This Row],[Re-certified or New]]&lt;&gt;"Re-certified",IF(OtherClients[[#This Row],[Client]]="infasco",VLOOKUP(OtherClients[[#This Row],[Part]],PartControl!$A$2:$E$564,2,FALSE),OtherClients[[#This Row],[Total Quantity]]*VLOOKUP(OtherClients[[#This Row],[Part]],PartControl!$A$2:$E$564,2,FALSE)),0)</f>
        <v>106.94</v>
      </c>
      <c r="Z1562" s="108">
        <f>IF(OtherClients[[#This Row],[Re-certified or New]]&lt;&gt;"Re-certified",IF(OtherClients[[#This Row],[Client]]="infasco",VLOOKUP(OtherClients[[#This Row],[Part]],PartControl!$A$2:$E$564,2,FALSE),OtherClients[[#This Row],[Total Quantity]]*VLOOKUP(OtherClients[[#This Row],[Part]],PartControl!$A$2:$E$564,2,FALSE)),0)</f>
        <v>106.94</v>
      </c>
    </row>
    <row r="1563" spans="1:26" ht="25.15" hidden="1" customHeight="1" x14ac:dyDescent="0.25">
      <c r="A1563" s="112">
        <v>46256</v>
      </c>
      <c r="B1563" s="5" t="s">
        <v>346</v>
      </c>
      <c r="C1563" s="5" t="s">
        <v>664</v>
      </c>
      <c r="D1563" s="5">
        <v>714527</v>
      </c>
      <c r="E1563" s="33">
        <v>35</v>
      </c>
      <c r="F1563" s="60">
        <v>1050</v>
      </c>
      <c r="G1563" s="60">
        <f>+OtherClients[[#This Row],[Boxes / Pieces]]*OtherClients[[#This Row],[Unit Quantity]]</f>
        <v>36750</v>
      </c>
      <c r="H1563" s="60">
        <v>11</v>
      </c>
      <c r="I1563" s="126" t="s">
        <v>278</v>
      </c>
      <c r="J1563" s="127"/>
      <c r="K1563" s="33" t="s">
        <v>278</v>
      </c>
      <c r="L1563" s="125"/>
      <c r="M1563" s="33" t="s">
        <v>278</v>
      </c>
      <c r="N1563" s="125"/>
      <c r="O1563" s="33" t="s">
        <v>278</v>
      </c>
      <c r="P1563" s="125"/>
      <c r="Q1563" s="33" t="s">
        <v>587</v>
      </c>
      <c r="R1563" s="125"/>
      <c r="S1563" s="33" t="s">
        <v>278</v>
      </c>
      <c r="T1563" s="125"/>
      <c r="U1563" s="33" t="s">
        <v>278</v>
      </c>
      <c r="V1563" s="125"/>
      <c r="W1563" s="59" t="s">
        <v>548</v>
      </c>
      <c r="X1563" s="33" t="str">
        <f>+VLOOKUP(OtherClients[[#This Row],[Part]],PartControl!$A$2:$E$564,5,FALSE)</f>
        <v>infasco</v>
      </c>
      <c r="Y1563" s="108">
        <f>IF(OtherClients[[#This Row],[Re-certified or New]]&lt;&gt;"Re-certified",IF(OtherClients[[#This Row],[Client]]="infasco",VLOOKUP(OtherClients[[#This Row],[Part]],PartControl!$A$2:$E$564,2,FALSE),OtherClients[[#This Row],[Total Quantity]]*VLOOKUP(OtherClients[[#This Row],[Part]],PartControl!$A$2:$E$564,2,FALSE)),0)</f>
        <v>106.94</v>
      </c>
      <c r="Z1563" s="108">
        <f>IF(OtherClients[[#This Row],[Re-certified or New]]&lt;&gt;"Re-certified",IF(OtherClients[[#This Row],[Client]]="infasco",VLOOKUP(OtherClients[[#This Row],[Part]],PartControl!$A$2:$E$564,2,FALSE),OtherClients[[#This Row],[Total Quantity]]*VLOOKUP(OtherClients[[#This Row],[Part]],PartControl!$A$2:$E$564,2,FALSE)),0)</f>
        <v>106.94</v>
      </c>
    </row>
    <row r="1564" spans="1:26" ht="25.15" hidden="1" customHeight="1" x14ac:dyDescent="0.25">
      <c r="A1564" s="112">
        <v>46256</v>
      </c>
      <c r="B1564" s="5" t="s">
        <v>346</v>
      </c>
      <c r="C1564" s="5" t="s">
        <v>818</v>
      </c>
      <c r="D1564" s="5">
        <v>716985</v>
      </c>
      <c r="E1564" s="33">
        <v>31</v>
      </c>
      <c r="F1564" s="60">
        <v>670</v>
      </c>
      <c r="G1564" s="60">
        <f>+OtherClients[[#This Row],[Boxes / Pieces]]*OtherClients[[#This Row],[Unit Quantity]]</f>
        <v>20770</v>
      </c>
      <c r="H1564" s="60">
        <v>11</v>
      </c>
      <c r="I1564" s="126" t="s">
        <v>278</v>
      </c>
      <c r="J1564" s="127"/>
      <c r="K1564" s="33" t="s">
        <v>278</v>
      </c>
      <c r="L1564" s="125"/>
      <c r="M1564" s="33" t="s">
        <v>278</v>
      </c>
      <c r="N1564" s="125"/>
      <c r="O1564" s="33" t="s">
        <v>278</v>
      </c>
      <c r="P1564" s="125"/>
      <c r="Q1564" s="33" t="s">
        <v>587</v>
      </c>
      <c r="R1564" s="125"/>
      <c r="S1564" s="33" t="s">
        <v>278</v>
      </c>
      <c r="T1564" s="125"/>
      <c r="U1564" s="33" t="s">
        <v>278</v>
      </c>
      <c r="V1564" s="125"/>
      <c r="W1564" s="59" t="s">
        <v>548</v>
      </c>
      <c r="X1564" s="33" t="str">
        <f>+VLOOKUP(OtherClients[[#This Row],[Part]],PartControl!$A$2:$E$564,5,FALSE)</f>
        <v>infasco</v>
      </c>
      <c r="Y1564" s="108">
        <f>IF(OtherClients[[#This Row],[Re-certified or New]]&lt;&gt;"Re-certified",IF(OtherClients[[#This Row],[Client]]="infasco",VLOOKUP(OtherClients[[#This Row],[Part]],PartControl!$A$2:$E$564,2,FALSE),OtherClients[[#This Row],[Total Quantity]]*VLOOKUP(OtherClients[[#This Row],[Part]],PartControl!$A$2:$E$564,2,FALSE)),0)</f>
        <v>280.16000000000003</v>
      </c>
      <c r="Z1564" s="108">
        <f>IF(OtherClients[[#This Row],[Re-certified or New]]&lt;&gt;"Re-certified",IF(OtherClients[[#This Row],[Client]]="infasco",VLOOKUP(OtherClients[[#This Row],[Part]],PartControl!$A$2:$E$564,2,FALSE),OtherClients[[#This Row],[Total Quantity]]*VLOOKUP(OtherClients[[#This Row],[Part]],PartControl!$A$2:$E$564,2,FALSE)),0)</f>
        <v>280.16000000000003</v>
      </c>
    </row>
    <row r="1565" spans="1:26" ht="25.15" hidden="1" customHeight="1" x14ac:dyDescent="0.25">
      <c r="A1565" s="112">
        <v>46255.694016203706</v>
      </c>
      <c r="B1565" s="5" t="s">
        <v>343</v>
      </c>
      <c r="C1565" s="5">
        <v>11588293</v>
      </c>
      <c r="D1565" s="5">
        <v>717555</v>
      </c>
      <c r="E1565" s="33">
        <v>34</v>
      </c>
      <c r="F1565" s="60">
        <v>1150</v>
      </c>
      <c r="G1565" s="60">
        <f>+OtherClients[[#This Row],[Boxes / Pieces]]*OtherClients[[#This Row],[Unit Quantity]]</f>
        <v>39100</v>
      </c>
      <c r="H1565" s="60" t="s">
        <v>757</v>
      </c>
      <c r="I1565" s="126" t="s">
        <v>278</v>
      </c>
      <c r="J1565" s="127"/>
      <c r="K1565" s="33" t="s">
        <v>278</v>
      </c>
      <c r="L1565" s="125"/>
      <c r="M1565" s="33" t="s">
        <v>278</v>
      </c>
      <c r="N1565" s="125"/>
      <c r="O1565" s="33" t="s">
        <v>278</v>
      </c>
      <c r="P1565" s="125"/>
      <c r="Q1565" s="33" t="s">
        <v>587</v>
      </c>
      <c r="R1565" s="125"/>
      <c r="S1565" s="33" t="s">
        <v>278</v>
      </c>
      <c r="T1565" s="125"/>
      <c r="U1565" s="33" t="s">
        <v>278</v>
      </c>
      <c r="V1565" s="125"/>
      <c r="W1565" s="59" t="s">
        <v>548</v>
      </c>
      <c r="X1565" s="33" t="str">
        <f>+VLOOKUP(OtherClients[[#This Row],[Part]],PartControl!$A$2:$E$564,5,FALSE)</f>
        <v>infasco</v>
      </c>
      <c r="Y1565" s="108">
        <f>IF(OtherClients[[#This Row],[Re-certified or New]]&lt;&gt;"Re-certified",IF(OtherClients[[#This Row],[Client]]="infasco",VLOOKUP(OtherClients[[#This Row],[Part]],PartControl!$A$2:$E$564,2,FALSE),OtherClients[[#This Row],[Total Quantity]]*VLOOKUP(OtherClients[[#This Row],[Part]],PartControl!$A$2:$E$564,2,FALSE)),0)</f>
        <v>223.88</v>
      </c>
      <c r="Z1565" s="108">
        <f>IF(OtherClients[[#This Row],[Re-certified or New]]&lt;&gt;"Re-certified",IF(OtherClients[[#This Row],[Client]]="infasco",VLOOKUP(OtherClients[[#This Row],[Part]],PartControl!$A$2:$E$564,2,FALSE),OtherClients[[#This Row],[Total Quantity]]*VLOOKUP(OtherClients[[#This Row],[Part]],PartControl!$A$2:$E$564,2,FALSE)),0)</f>
        <v>223.88</v>
      </c>
    </row>
    <row r="1566" spans="1:26" ht="25.15" hidden="1" customHeight="1" x14ac:dyDescent="0.25">
      <c r="A1566" s="112">
        <v>46255.694016203706</v>
      </c>
      <c r="B1566" s="5" t="s">
        <v>344</v>
      </c>
      <c r="C1566" s="5">
        <v>11588293</v>
      </c>
      <c r="D1566" s="5">
        <v>717556</v>
      </c>
      <c r="E1566" s="33">
        <v>26</v>
      </c>
      <c r="F1566" s="60">
        <v>1150</v>
      </c>
      <c r="G1566" s="60">
        <f>+OtherClients[[#This Row],[Boxes / Pieces]]*OtherClients[[#This Row],[Unit Quantity]]</f>
        <v>29900</v>
      </c>
      <c r="H1566" s="60" t="s">
        <v>816</v>
      </c>
      <c r="I1566" s="126" t="s">
        <v>278</v>
      </c>
      <c r="J1566" s="127"/>
      <c r="K1566" s="33" t="s">
        <v>278</v>
      </c>
      <c r="L1566" s="125"/>
      <c r="M1566" s="33" t="s">
        <v>278</v>
      </c>
      <c r="N1566" s="125"/>
      <c r="O1566" s="33" t="s">
        <v>278</v>
      </c>
      <c r="P1566" s="125"/>
      <c r="Q1566" s="33" t="s">
        <v>587</v>
      </c>
      <c r="R1566" s="125"/>
      <c r="S1566" s="33" t="s">
        <v>278</v>
      </c>
      <c r="T1566" s="125"/>
      <c r="U1566" s="33" t="s">
        <v>278</v>
      </c>
      <c r="V1566" s="125"/>
      <c r="W1566" s="59" t="s">
        <v>548</v>
      </c>
      <c r="X1566" s="33" t="str">
        <f>+VLOOKUP(OtherClients[[#This Row],[Part]],PartControl!$A$2:$E$564,5,FALSE)</f>
        <v>infasco</v>
      </c>
      <c r="Y1566" s="108">
        <f>IF(OtherClients[[#This Row],[Re-certified or New]]&lt;&gt;"Re-certified",IF(OtherClients[[#This Row],[Client]]="infasco",VLOOKUP(OtherClients[[#This Row],[Part]],PartControl!$A$2:$E$564,2,FALSE),OtherClients[[#This Row],[Total Quantity]]*VLOOKUP(OtherClients[[#This Row],[Part]],PartControl!$A$2:$E$564,2,FALSE)),0)</f>
        <v>223.88</v>
      </c>
      <c r="Z1566" s="108">
        <f>IF(OtherClients[[#This Row],[Re-certified or New]]&lt;&gt;"Re-certified",IF(OtherClients[[#This Row],[Client]]="infasco",VLOOKUP(OtherClients[[#This Row],[Part]],PartControl!$A$2:$E$564,2,FALSE),OtherClients[[#This Row],[Total Quantity]]*VLOOKUP(OtherClients[[#This Row],[Part]],PartControl!$A$2:$E$564,2,FALSE)),0)</f>
        <v>223.88</v>
      </c>
    </row>
    <row r="1567" spans="1:26" ht="25.15" hidden="1" customHeight="1" x14ac:dyDescent="0.25">
      <c r="A1567" s="112">
        <v>46255.694016203706</v>
      </c>
      <c r="B1567" s="5" t="s">
        <v>343</v>
      </c>
      <c r="C1567" s="5">
        <v>11588293</v>
      </c>
      <c r="D1567" s="5">
        <v>717557</v>
      </c>
      <c r="E1567" s="33">
        <v>35</v>
      </c>
      <c r="F1567" s="60">
        <v>1150</v>
      </c>
      <c r="G1567" s="60">
        <f>+OtherClients[[#This Row],[Boxes / Pieces]]*OtherClients[[#This Row],[Unit Quantity]]</f>
        <v>40250</v>
      </c>
      <c r="H1567" s="60" t="s">
        <v>757</v>
      </c>
      <c r="I1567" s="126" t="s">
        <v>278</v>
      </c>
      <c r="J1567" s="127"/>
      <c r="K1567" s="33" t="s">
        <v>278</v>
      </c>
      <c r="L1567" s="125"/>
      <c r="M1567" s="33" t="s">
        <v>278</v>
      </c>
      <c r="N1567" s="125"/>
      <c r="O1567" s="33" t="s">
        <v>278</v>
      </c>
      <c r="P1567" s="125"/>
      <c r="Q1567" s="33" t="s">
        <v>587</v>
      </c>
      <c r="R1567" s="125"/>
      <c r="S1567" s="33" t="s">
        <v>278</v>
      </c>
      <c r="T1567" s="125"/>
      <c r="U1567" s="33" t="s">
        <v>278</v>
      </c>
      <c r="V1567" s="125"/>
      <c r="W1567" s="59" t="s">
        <v>548</v>
      </c>
      <c r="X1567" s="33" t="str">
        <f>+VLOOKUP(OtherClients[[#This Row],[Part]],PartControl!$A$2:$E$564,5,FALSE)</f>
        <v>infasco</v>
      </c>
      <c r="Y1567" s="108">
        <f>IF(OtherClients[[#This Row],[Re-certified or New]]&lt;&gt;"Re-certified",IF(OtherClients[[#This Row],[Client]]="infasco",VLOOKUP(OtherClients[[#This Row],[Part]],PartControl!$A$2:$E$564,2,FALSE),OtherClients[[#This Row],[Total Quantity]]*VLOOKUP(OtherClients[[#This Row],[Part]],PartControl!$A$2:$E$564,2,FALSE)),0)</f>
        <v>223.88</v>
      </c>
      <c r="Z1567" s="108">
        <f>IF(OtherClients[[#This Row],[Re-certified or New]]&lt;&gt;"Re-certified",IF(OtherClients[[#This Row],[Client]]="infasco",VLOOKUP(OtherClients[[#This Row],[Part]],PartControl!$A$2:$E$564,2,FALSE),OtherClients[[#This Row],[Total Quantity]]*VLOOKUP(OtherClients[[#This Row],[Part]],PartControl!$A$2:$E$564,2,FALSE)),0)</f>
        <v>223.88</v>
      </c>
    </row>
    <row r="1568" spans="1:26" ht="25.15" hidden="1" customHeight="1" x14ac:dyDescent="0.25">
      <c r="A1568" s="112">
        <v>46255.694016203706</v>
      </c>
      <c r="B1568" s="5" t="s">
        <v>342</v>
      </c>
      <c r="C1568" s="5">
        <v>11588293</v>
      </c>
      <c r="D1568" s="5">
        <v>717558</v>
      </c>
      <c r="E1568" s="33">
        <v>26</v>
      </c>
      <c r="F1568" s="60">
        <v>1150</v>
      </c>
      <c r="G1568" s="60">
        <f>+OtherClients[[#This Row],[Boxes / Pieces]]*OtherClients[[#This Row],[Unit Quantity]]</f>
        <v>29900</v>
      </c>
      <c r="H1568" s="60" t="s">
        <v>811</v>
      </c>
      <c r="I1568" s="126" t="s">
        <v>278</v>
      </c>
      <c r="J1568" s="127"/>
      <c r="K1568" s="33" t="s">
        <v>278</v>
      </c>
      <c r="L1568" s="125"/>
      <c r="M1568" s="33" t="s">
        <v>278</v>
      </c>
      <c r="N1568" s="125"/>
      <c r="O1568" s="33" t="s">
        <v>278</v>
      </c>
      <c r="P1568" s="125"/>
      <c r="Q1568" s="33" t="s">
        <v>587</v>
      </c>
      <c r="R1568" s="125"/>
      <c r="S1568" s="33" t="s">
        <v>278</v>
      </c>
      <c r="T1568" s="125"/>
      <c r="U1568" s="33" t="s">
        <v>278</v>
      </c>
      <c r="V1568" s="125"/>
      <c r="W1568" s="59" t="s">
        <v>548</v>
      </c>
      <c r="X1568" s="33" t="str">
        <f>+VLOOKUP(OtherClients[[#This Row],[Part]],PartControl!$A$2:$E$564,5,FALSE)</f>
        <v>infasco</v>
      </c>
      <c r="Y1568" s="108">
        <f>IF(OtherClients[[#This Row],[Re-certified or New]]&lt;&gt;"Re-certified",IF(OtherClients[[#This Row],[Client]]="infasco",VLOOKUP(OtherClients[[#This Row],[Part]],PartControl!$A$2:$E$564,2,FALSE),OtherClients[[#This Row],[Total Quantity]]*VLOOKUP(OtherClients[[#This Row],[Part]],PartControl!$A$2:$E$564,2,FALSE)),0)</f>
        <v>223.88</v>
      </c>
      <c r="Z1568" s="108">
        <f>IF(OtherClients[[#This Row],[Re-certified or New]]&lt;&gt;"Re-certified",IF(OtherClients[[#This Row],[Client]]="infasco",VLOOKUP(OtherClients[[#This Row],[Part]],PartControl!$A$2:$E$564,2,FALSE),OtherClients[[#This Row],[Total Quantity]]*VLOOKUP(OtherClients[[#This Row],[Part]],PartControl!$A$2:$E$564,2,FALSE)),0)</f>
        <v>223.88</v>
      </c>
    </row>
    <row r="1569" spans="1:26" ht="25.15" hidden="1" customHeight="1" x14ac:dyDescent="0.25">
      <c r="A1569" s="112">
        <v>46258.689768518518</v>
      </c>
      <c r="B1569" s="5" t="s">
        <v>238</v>
      </c>
      <c r="C1569" s="5">
        <v>11546462</v>
      </c>
      <c r="D1569" s="5">
        <v>717082</v>
      </c>
      <c r="E1569" s="33">
        <v>36</v>
      </c>
      <c r="F1569" s="60">
        <v>650</v>
      </c>
      <c r="G1569" s="60">
        <v>23400</v>
      </c>
      <c r="H1569" s="60">
        <v>275</v>
      </c>
      <c r="I1569" s="60" t="s">
        <v>278</v>
      </c>
      <c r="J1569" s="104"/>
      <c r="K1569" s="33" t="s">
        <v>278</v>
      </c>
      <c r="L1569" s="111"/>
      <c r="M1569" s="33" t="s">
        <v>278</v>
      </c>
      <c r="N1569" s="111"/>
      <c r="O1569" s="33" t="s">
        <v>278</v>
      </c>
      <c r="P1569" s="111"/>
      <c r="Q1569" s="33" t="s">
        <v>587</v>
      </c>
      <c r="R1569" s="111"/>
      <c r="S1569" s="33" t="s">
        <v>278</v>
      </c>
      <c r="T1569" s="111"/>
      <c r="U1569" s="33" t="s">
        <v>278</v>
      </c>
      <c r="V1569" s="111"/>
      <c r="W1569" s="59" t="s">
        <v>548</v>
      </c>
      <c r="X1569" s="33" t="str">
        <f>+VLOOKUP(OtherClients[[#This Row],[Part]],PartControl!$A$2:$E$564,5,FALSE)</f>
        <v>INFASCO</v>
      </c>
      <c r="Y1569" s="103">
        <v>106.94</v>
      </c>
      <c r="Z1569" s="108">
        <f>IF(OtherClients[[#This Row],[Re-certified or New]]&lt;&gt;"Re-certified",IF(OtherClients[[#This Row],[Client]]="infasco",VLOOKUP(OtherClients[[#This Row],[Part]],PartControl!$A$2:$E$564,2,FALSE),OtherClients[[#This Row],[Total Quantity]]*VLOOKUP(OtherClients[[#This Row],[Part]],PartControl!$A$2:$E$564,2,FALSE)),0)</f>
        <v>106.94</v>
      </c>
    </row>
    <row r="1570" spans="1:26" ht="25.15" hidden="1" customHeight="1" x14ac:dyDescent="0.25">
      <c r="A1570" s="112">
        <v>46258.689768518518</v>
      </c>
      <c r="B1570" s="5" t="s">
        <v>238</v>
      </c>
      <c r="C1570" s="5">
        <v>11546462</v>
      </c>
      <c r="D1570" s="5">
        <v>717080</v>
      </c>
      <c r="E1570" s="33">
        <v>36</v>
      </c>
      <c r="F1570" s="60">
        <v>650</v>
      </c>
      <c r="G1570" s="60">
        <f>+OtherClients[[#This Row],[Boxes / Pieces]]*OtherClients[[#This Row],[Unit Quantity]]</f>
        <v>23400</v>
      </c>
      <c r="H1570" s="60">
        <v>275</v>
      </c>
      <c r="I1570" s="60" t="s">
        <v>278</v>
      </c>
      <c r="J1570" s="104"/>
      <c r="K1570" s="33" t="s">
        <v>278</v>
      </c>
      <c r="L1570" s="111"/>
      <c r="M1570" s="33" t="s">
        <v>278</v>
      </c>
      <c r="N1570" s="111"/>
      <c r="O1570" s="33" t="s">
        <v>278</v>
      </c>
      <c r="P1570" s="111"/>
      <c r="Q1570" s="33" t="s">
        <v>587</v>
      </c>
      <c r="R1570" s="111"/>
      <c r="S1570" s="33" t="s">
        <v>278</v>
      </c>
      <c r="T1570" s="111"/>
      <c r="U1570" s="33" t="s">
        <v>278</v>
      </c>
      <c r="V1570" s="111"/>
      <c r="W1570" s="59" t="s">
        <v>548</v>
      </c>
      <c r="X1570" s="33" t="str">
        <f>+VLOOKUP(OtherClients[[#This Row],[Part]],PartControl!$A$2:$E$564,5,FALSE)</f>
        <v>INFASCO</v>
      </c>
      <c r="Y1570" s="108">
        <f>IF(OtherClients[[#This Row],[Re-certified or New]]&lt;&gt;"Re-certified",IF(OtherClients[[#This Row],[Client]]="infasco",VLOOKUP(OtherClients[[#This Row],[Part]],PartControl!$A$2:$E$564,2,FALSE),OtherClients[[#This Row],[Total Quantity]]*VLOOKUP(OtherClients[[#This Row],[Part]],PartControl!$A$2:$E$564,2,FALSE)),0)</f>
        <v>106.94</v>
      </c>
      <c r="Z1570" s="108">
        <f>IF(OtherClients[[#This Row],[Re-certified or New]]&lt;&gt;"Re-certified",IF(OtherClients[[#This Row],[Client]]="infasco",VLOOKUP(OtherClients[[#This Row],[Part]],PartControl!$A$2:$E$564,2,FALSE),OtherClients[[#This Row],[Total Quantity]]*VLOOKUP(OtherClients[[#This Row],[Part]],PartControl!$A$2:$E$564,2,FALSE)),0)</f>
        <v>106.94</v>
      </c>
    </row>
    <row r="1571" spans="1:26" ht="25.15" hidden="1" customHeight="1" x14ac:dyDescent="0.25">
      <c r="A1571" s="112">
        <v>46258.689768518518</v>
      </c>
      <c r="B1571" s="5" t="s">
        <v>238</v>
      </c>
      <c r="C1571" s="5">
        <v>11546462</v>
      </c>
      <c r="D1571" s="5">
        <v>717081</v>
      </c>
      <c r="E1571" s="33">
        <v>16</v>
      </c>
      <c r="F1571" s="60">
        <v>650</v>
      </c>
      <c r="G1571" s="60">
        <f>+OtherClients[[#This Row],[Boxes / Pieces]]*OtherClients[[#This Row],[Unit Quantity]]</f>
        <v>10400</v>
      </c>
      <c r="H1571" s="60">
        <v>275</v>
      </c>
      <c r="I1571" s="60" t="s">
        <v>278</v>
      </c>
      <c r="J1571" s="104"/>
      <c r="K1571" s="33" t="s">
        <v>278</v>
      </c>
      <c r="L1571" s="111"/>
      <c r="M1571" s="33" t="s">
        <v>278</v>
      </c>
      <c r="N1571" s="111"/>
      <c r="O1571" s="33" t="s">
        <v>278</v>
      </c>
      <c r="P1571" s="111"/>
      <c r="Q1571" s="33" t="s">
        <v>587</v>
      </c>
      <c r="R1571" s="111"/>
      <c r="S1571" s="33" t="s">
        <v>278</v>
      </c>
      <c r="T1571" s="111"/>
      <c r="U1571" s="33" t="s">
        <v>278</v>
      </c>
      <c r="V1571" s="111"/>
      <c r="W1571" s="59" t="s">
        <v>633</v>
      </c>
      <c r="X1571" s="33" t="str">
        <f>+VLOOKUP(OtherClients[[#This Row],[Part]],PartControl!$A$2:$E$564,5,FALSE)</f>
        <v>INFASCO</v>
      </c>
      <c r="Y1571" s="108">
        <f>IF(OtherClients[[#This Row],[Re-certified or New]]&lt;&gt;"Re-certified",IF(OtherClients[[#This Row],[Client]]="infasco",VLOOKUP(OtherClients[[#This Row],[Part]],PartControl!$A$2:$E$564,2,FALSE),OtherClients[[#This Row],[Total Quantity]]*VLOOKUP(OtherClients[[#This Row],[Part]],PartControl!$A$2:$E$564,2,FALSE)),0)</f>
        <v>0</v>
      </c>
      <c r="Z1571" s="108">
        <f>IF(OtherClients[[#This Row],[Re-certified or New]]&lt;&gt;"Re-certified",IF(OtherClients[[#This Row],[Client]]="infasco",VLOOKUP(OtherClients[[#This Row],[Part]],PartControl!$A$2:$E$564,2,FALSE),OtherClients[[#This Row],[Total Quantity]]*VLOOKUP(OtherClients[[#This Row],[Part]],PartControl!$A$2:$E$564,2,FALSE)),0)</f>
        <v>0</v>
      </c>
    </row>
    <row r="1572" spans="1:26" ht="25.15" hidden="1" customHeight="1" x14ac:dyDescent="0.25">
      <c r="A1572" s="112">
        <v>46258.689768518518</v>
      </c>
      <c r="B1572" s="5" t="s">
        <v>233</v>
      </c>
      <c r="C1572" s="5" t="s">
        <v>644</v>
      </c>
      <c r="D1572" s="5">
        <v>715607</v>
      </c>
      <c r="E1572" s="33">
        <v>37</v>
      </c>
      <c r="F1572" s="60">
        <v>2200</v>
      </c>
      <c r="G1572" s="60">
        <f>+OtherClients[[#This Row],[Boxes / Pieces]]*OtherClients[[#This Row],[Unit Quantity]]</f>
        <v>81400</v>
      </c>
      <c r="H1572" s="60">
        <v>275</v>
      </c>
      <c r="I1572" s="60" t="s">
        <v>278</v>
      </c>
      <c r="J1572" s="104"/>
      <c r="K1572" s="33" t="s">
        <v>278</v>
      </c>
      <c r="L1572" s="111"/>
      <c r="M1572" s="33" t="s">
        <v>278</v>
      </c>
      <c r="N1572" s="111"/>
      <c r="O1572" s="33" t="s">
        <v>278</v>
      </c>
      <c r="P1572" s="111"/>
      <c r="Q1572" s="33" t="s">
        <v>587</v>
      </c>
      <c r="R1572" s="111"/>
      <c r="S1572" s="33" t="s">
        <v>278</v>
      </c>
      <c r="T1572" s="111"/>
      <c r="U1572" s="33" t="s">
        <v>278</v>
      </c>
      <c r="V1572" s="111"/>
      <c r="W1572" s="59" t="s">
        <v>548</v>
      </c>
      <c r="X1572" s="33" t="str">
        <f>+VLOOKUP(OtherClients[[#This Row],[Part]],PartControl!$A$2:$E$564,5,FALSE)</f>
        <v>infasco</v>
      </c>
      <c r="Y1572" s="108">
        <f>IF(OtherClients[[#This Row],[Re-certified or New]]&lt;&gt;"Re-certified",IF(OtherClients[[#This Row],[Client]]="infasco",VLOOKUP(OtherClients[[#This Row],[Part]],PartControl!$A$2:$E$564,2,FALSE),OtherClients[[#This Row],[Total Quantity]]*VLOOKUP(OtherClients[[#This Row],[Part]],PartControl!$A$2:$E$564,2,FALSE)),0)</f>
        <v>106.94</v>
      </c>
      <c r="Z1572" s="108">
        <f>IF(OtherClients[[#This Row],[Re-certified or New]]&lt;&gt;"Re-certified",IF(OtherClients[[#This Row],[Client]]="infasco",VLOOKUP(OtherClients[[#This Row],[Part]],PartControl!$A$2:$E$564,2,FALSE),OtherClients[[#This Row],[Total Quantity]]*VLOOKUP(OtherClients[[#This Row],[Part]],PartControl!$A$2:$E$564,2,FALSE)),0)</f>
        <v>106.94</v>
      </c>
    </row>
    <row r="1573" spans="1:26" ht="25.15" hidden="1" customHeight="1" x14ac:dyDescent="0.25">
      <c r="A1573" s="112">
        <v>46258.689768518518</v>
      </c>
      <c r="B1573" s="5" t="s">
        <v>234</v>
      </c>
      <c r="C1573" s="5">
        <v>11546437</v>
      </c>
      <c r="D1573" s="5">
        <v>716761</v>
      </c>
      <c r="E1573" s="33">
        <f>36+24-9</f>
        <v>51</v>
      </c>
      <c r="F1573" s="60">
        <v>1500</v>
      </c>
      <c r="G1573" s="60">
        <f>+OtherClients[[#This Row],[Boxes / Pieces]]*OtherClients[[#This Row],[Unit Quantity]]</f>
        <v>76500</v>
      </c>
      <c r="H1573" s="60">
        <v>275</v>
      </c>
      <c r="I1573" s="60" t="s">
        <v>278</v>
      </c>
      <c r="J1573" s="104"/>
      <c r="K1573" s="33" t="s">
        <v>278</v>
      </c>
      <c r="L1573" s="111"/>
      <c r="M1573" s="33" t="s">
        <v>278</v>
      </c>
      <c r="N1573" s="111"/>
      <c r="O1573" s="33" t="s">
        <v>278</v>
      </c>
      <c r="P1573" s="111"/>
      <c r="Q1573" s="33" t="s">
        <v>587</v>
      </c>
      <c r="R1573" s="111"/>
      <c r="S1573" s="33" t="s">
        <v>278</v>
      </c>
      <c r="T1573" s="111"/>
      <c r="U1573" s="33" t="s">
        <v>278</v>
      </c>
      <c r="V1573" s="111"/>
      <c r="W1573" s="59" t="s">
        <v>548</v>
      </c>
      <c r="X1573" s="33" t="str">
        <f>+VLOOKUP(OtherClients[[#This Row],[Part]],PartControl!$A$2:$E$564,5,FALSE)</f>
        <v>infasco</v>
      </c>
      <c r="Y1573" s="108">
        <f>IF(OtherClients[[#This Row],[Re-certified or New]]&lt;&gt;"Re-certified",IF(OtherClients[[#This Row],[Client]]="infasco",VLOOKUP(OtherClients[[#This Row],[Part]],PartControl!$A$2:$E$564,2,FALSE),OtherClients[[#This Row],[Total Quantity]]*VLOOKUP(OtherClients[[#This Row],[Part]],PartControl!$A$2:$E$564,2,FALSE)),0)</f>
        <v>106.94</v>
      </c>
      <c r="Z1573" s="108">
        <f>IF(OtherClients[[#This Row],[Re-certified or New]]&lt;&gt;"Re-certified",IF(OtherClients[[#This Row],[Client]]="infasco",VLOOKUP(OtherClients[[#This Row],[Part]],PartControl!$A$2:$E$564,2,FALSE),OtherClients[[#This Row],[Total Quantity]]*VLOOKUP(OtherClients[[#This Row],[Part]],PartControl!$A$2:$E$564,2,FALSE)),0)</f>
        <v>106.94</v>
      </c>
    </row>
    <row r="1574" spans="1:26" ht="25.15" hidden="1" customHeight="1" x14ac:dyDescent="0.25">
      <c r="A1574" s="112">
        <v>46258.689768518518</v>
      </c>
      <c r="B1574" s="5" t="s">
        <v>234</v>
      </c>
      <c r="C1574" s="5">
        <v>11546437</v>
      </c>
      <c r="D1574" s="5">
        <v>716762</v>
      </c>
      <c r="E1574" s="33">
        <v>10</v>
      </c>
      <c r="F1574" s="60">
        <v>1500</v>
      </c>
      <c r="G1574" s="60">
        <f>+OtherClients[[#This Row],[Boxes / Pieces]]*OtherClients[[#This Row],[Unit Quantity]]</f>
        <v>15000</v>
      </c>
      <c r="H1574" s="60">
        <v>275</v>
      </c>
      <c r="I1574" s="60" t="s">
        <v>278</v>
      </c>
      <c r="J1574" s="104"/>
      <c r="K1574" s="33" t="s">
        <v>278</v>
      </c>
      <c r="L1574" s="111"/>
      <c r="M1574" s="33" t="s">
        <v>278</v>
      </c>
      <c r="N1574" s="111"/>
      <c r="O1574" s="33" t="s">
        <v>278</v>
      </c>
      <c r="P1574" s="111"/>
      <c r="Q1574" s="33" t="s">
        <v>587</v>
      </c>
      <c r="R1574" s="111"/>
      <c r="S1574" s="33" t="s">
        <v>278</v>
      </c>
      <c r="T1574" s="111"/>
      <c r="U1574" s="33" t="s">
        <v>278</v>
      </c>
      <c r="V1574" s="111"/>
      <c r="W1574" s="59" t="s">
        <v>633</v>
      </c>
      <c r="X1574" s="33" t="str">
        <f>+VLOOKUP(OtherClients[[#This Row],[Part]],PartControl!$A$2:$E$564,5,FALSE)</f>
        <v>infasco</v>
      </c>
      <c r="Y1574" s="108">
        <f>IF(OtherClients[[#This Row],[Re-certified or New]]&lt;&gt;"Re-certified",IF(OtherClients[[#This Row],[Client]]="infasco",VLOOKUP(OtherClients[[#This Row],[Part]],PartControl!$A$2:$E$564,2,FALSE),OtherClients[[#This Row],[Total Quantity]]*VLOOKUP(OtherClients[[#This Row],[Part]],PartControl!$A$2:$E$564,2,FALSE)),0)</f>
        <v>0</v>
      </c>
      <c r="Z1574" s="108">
        <f>IF(OtherClients[[#This Row],[Re-certified or New]]&lt;&gt;"Re-certified",IF(OtherClients[[#This Row],[Client]]="infasco",VLOOKUP(OtherClients[[#This Row],[Part]],PartControl!$A$2:$E$564,2,FALSE),OtherClients[[#This Row],[Total Quantity]]*VLOOKUP(OtherClients[[#This Row],[Part]],PartControl!$A$2:$E$564,2,FALSE)),0)</f>
        <v>0</v>
      </c>
    </row>
    <row r="1575" spans="1:26" ht="25.15" hidden="1" customHeight="1" x14ac:dyDescent="0.25">
      <c r="A1575" s="112">
        <v>46258.689768518518</v>
      </c>
      <c r="B1575" s="5" t="s">
        <v>242</v>
      </c>
      <c r="C1575" s="5">
        <v>11549170</v>
      </c>
      <c r="D1575" s="5">
        <v>716220</v>
      </c>
      <c r="E1575" s="33">
        <f>19-6</f>
        <v>13</v>
      </c>
      <c r="F1575" s="60">
        <v>400</v>
      </c>
      <c r="G1575" s="60">
        <f>+OtherClients[[#This Row],[Boxes / Pieces]]*OtherClients[[#This Row],[Unit Quantity]]</f>
        <v>5200</v>
      </c>
      <c r="H1575" s="60">
        <v>275</v>
      </c>
      <c r="I1575" s="60" t="s">
        <v>278</v>
      </c>
      <c r="J1575" s="104"/>
      <c r="K1575" s="33" t="s">
        <v>278</v>
      </c>
      <c r="L1575" s="111"/>
      <c r="M1575" s="33" t="s">
        <v>278</v>
      </c>
      <c r="N1575" s="111"/>
      <c r="O1575" s="33" t="s">
        <v>278</v>
      </c>
      <c r="P1575" s="111"/>
      <c r="Q1575" s="33" t="s">
        <v>587</v>
      </c>
      <c r="R1575" s="111"/>
      <c r="S1575" s="33" t="s">
        <v>278</v>
      </c>
      <c r="T1575" s="111"/>
      <c r="U1575" s="33" t="s">
        <v>278</v>
      </c>
      <c r="V1575" s="111"/>
      <c r="W1575" s="59" t="s">
        <v>548</v>
      </c>
      <c r="X1575" s="33" t="str">
        <f>+VLOOKUP(OtherClients[[#This Row],[Part]],PartControl!$A$2:$E$564,5,FALSE)</f>
        <v>INFASCO</v>
      </c>
      <c r="Y1575" s="108">
        <f>IF(OtherClients[[#This Row],[Re-certified or New]]&lt;&gt;"Re-certified",IF(OtherClients[[#This Row],[Client]]="infasco",VLOOKUP(OtherClients[[#This Row],[Part]],PartControl!$A$2:$E$564,2,FALSE),OtherClients[[#This Row],[Total Quantity]]*VLOOKUP(OtherClients[[#This Row],[Part]],PartControl!$A$2:$E$564,2,FALSE)),0)</f>
        <v>106.94</v>
      </c>
      <c r="Z1575" s="108">
        <f>IF(OtherClients[[#This Row],[Re-certified or New]]&lt;&gt;"Re-certified",IF(OtherClients[[#This Row],[Client]]="infasco",VLOOKUP(OtherClients[[#This Row],[Part]],PartControl!$A$2:$E$564,2,FALSE),OtherClients[[#This Row],[Total Quantity]]*VLOOKUP(OtherClients[[#This Row],[Part]],PartControl!$A$2:$E$564,2,FALSE)),0)</f>
        <v>106.94</v>
      </c>
    </row>
    <row r="1576" spans="1:26" ht="25.15" hidden="1" customHeight="1" x14ac:dyDescent="0.25">
      <c r="A1576" s="112">
        <v>46258.689768518518</v>
      </c>
      <c r="B1576" s="5" t="s">
        <v>242</v>
      </c>
      <c r="C1576" s="5">
        <v>11549170</v>
      </c>
      <c r="D1576" s="5">
        <v>716223</v>
      </c>
      <c r="E1576" s="33">
        <v>32</v>
      </c>
      <c r="F1576" s="60">
        <v>400</v>
      </c>
      <c r="G1576" s="60">
        <f>+OtherClients[[#This Row],[Boxes / Pieces]]*OtherClients[[#This Row],[Unit Quantity]]</f>
        <v>12800</v>
      </c>
      <c r="H1576" s="60">
        <v>275</v>
      </c>
      <c r="I1576" s="60" t="s">
        <v>278</v>
      </c>
      <c r="J1576" s="104"/>
      <c r="K1576" s="33" t="s">
        <v>278</v>
      </c>
      <c r="L1576" s="111"/>
      <c r="M1576" s="33" t="s">
        <v>278</v>
      </c>
      <c r="N1576" s="111"/>
      <c r="O1576" s="33" t="s">
        <v>278</v>
      </c>
      <c r="P1576" s="111"/>
      <c r="Q1576" s="33" t="s">
        <v>587</v>
      </c>
      <c r="R1576" s="111"/>
      <c r="S1576" s="33" t="s">
        <v>278</v>
      </c>
      <c r="T1576" s="111"/>
      <c r="U1576" s="33" t="s">
        <v>278</v>
      </c>
      <c r="V1576" s="111"/>
      <c r="W1576" s="59" t="s">
        <v>548</v>
      </c>
      <c r="X1576" s="33" t="str">
        <f>+VLOOKUP(OtherClients[[#This Row],[Part]],PartControl!$A$2:$E$564,5,FALSE)</f>
        <v>INFASCO</v>
      </c>
      <c r="Y1576" s="108">
        <f>IF(OtherClients[[#This Row],[Re-certified or New]]&lt;&gt;"Re-certified",IF(OtherClients[[#This Row],[Client]]="infasco",VLOOKUP(OtherClients[[#This Row],[Part]],PartControl!$A$2:$E$564,2,FALSE),OtherClients[[#This Row],[Total Quantity]]*VLOOKUP(OtherClients[[#This Row],[Part]],PartControl!$A$2:$E$564,2,FALSE)),0)</f>
        <v>106.94</v>
      </c>
      <c r="Z1576" s="108">
        <f>IF(OtherClients[[#This Row],[Re-certified or New]]&lt;&gt;"Re-certified",IF(OtherClients[[#This Row],[Client]]="infasco",VLOOKUP(OtherClients[[#This Row],[Part]],PartControl!$A$2:$E$564,2,FALSE),OtherClients[[#This Row],[Total Quantity]]*VLOOKUP(OtherClients[[#This Row],[Part]],PartControl!$A$2:$E$564,2,FALSE)),0)</f>
        <v>106.94</v>
      </c>
    </row>
    <row r="1577" spans="1:26" ht="25.15" hidden="1" customHeight="1" x14ac:dyDescent="0.25">
      <c r="A1577" s="112">
        <v>46258.689768518518</v>
      </c>
      <c r="B1577" s="5" t="s">
        <v>242</v>
      </c>
      <c r="C1577" s="5" t="s">
        <v>888</v>
      </c>
      <c r="D1577" s="5">
        <v>716773</v>
      </c>
      <c r="E1577" s="33">
        <v>25</v>
      </c>
      <c r="F1577" s="60">
        <v>75</v>
      </c>
      <c r="G1577" s="60">
        <f>+OtherClients[[#This Row],[Boxes / Pieces]]*OtherClients[[#This Row],[Unit Quantity]]</f>
        <v>1875</v>
      </c>
      <c r="H1577" s="60">
        <v>275</v>
      </c>
      <c r="I1577" s="60" t="s">
        <v>278</v>
      </c>
      <c r="J1577" s="104"/>
      <c r="K1577" s="33" t="s">
        <v>278</v>
      </c>
      <c r="L1577" s="111"/>
      <c r="M1577" s="33" t="s">
        <v>278</v>
      </c>
      <c r="N1577" s="111"/>
      <c r="O1577" s="33" t="s">
        <v>278</v>
      </c>
      <c r="P1577" s="111"/>
      <c r="Q1577" s="33" t="s">
        <v>587</v>
      </c>
      <c r="R1577" s="111"/>
      <c r="S1577" s="33" t="s">
        <v>278</v>
      </c>
      <c r="T1577" s="111"/>
      <c r="U1577" s="33" t="s">
        <v>278</v>
      </c>
      <c r="V1577" s="111"/>
      <c r="W1577" s="59" t="s">
        <v>633</v>
      </c>
      <c r="X1577" s="33" t="str">
        <f>+VLOOKUP(OtherClients[[#This Row],[Part]],PartControl!$A$2:$E$564,5,FALSE)</f>
        <v>infasco</v>
      </c>
      <c r="Y1577" s="108">
        <f>IF(OtherClients[[#This Row],[Re-certified or New]]&lt;&gt;"Re-certified",IF(OtherClients[[#This Row],[Client]]="infasco",VLOOKUP(OtherClients[[#This Row],[Part]],PartControl!$A$2:$E$564,2,FALSE),OtherClients[[#This Row],[Total Quantity]]*VLOOKUP(OtherClients[[#This Row],[Part]],PartControl!$A$2:$E$564,2,FALSE)),0)</f>
        <v>0</v>
      </c>
      <c r="Z1577" s="108">
        <f>IF(OtherClients[[#This Row],[Re-certified or New]]&lt;&gt;"Re-certified",IF(OtherClients[[#This Row],[Client]]="infasco",VLOOKUP(OtherClients[[#This Row],[Part]],PartControl!$A$2:$E$564,2,FALSE),OtherClients[[#This Row],[Total Quantity]]*VLOOKUP(OtherClients[[#This Row],[Part]],PartControl!$A$2:$E$564,2,FALSE)),0)</f>
        <v>0</v>
      </c>
    </row>
    <row r="1578" spans="1:26" ht="25.15" hidden="1" customHeight="1" x14ac:dyDescent="0.25">
      <c r="A1578" s="112">
        <v>46258.689768518518</v>
      </c>
      <c r="B1578" s="5" t="s">
        <v>232</v>
      </c>
      <c r="C1578" s="5">
        <v>11546437</v>
      </c>
      <c r="D1578" s="5">
        <v>716760</v>
      </c>
      <c r="E1578" s="33">
        <f>36+36-9</f>
        <v>63</v>
      </c>
      <c r="F1578" s="60">
        <v>1500</v>
      </c>
      <c r="G1578" s="60">
        <f>+OtherClients[[#This Row],[Boxes / Pieces]]*OtherClients[[#This Row],[Unit Quantity]]</f>
        <v>94500</v>
      </c>
      <c r="H1578" s="60">
        <v>275</v>
      </c>
      <c r="I1578" s="60" t="s">
        <v>278</v>
      </c>
      <c r="J1578" s="104"/>
      <c r="K1578" s="33" t="s">
        <v>278</v>
      </c>
      <c r="L1578" s="111"/>
      <c r="M1578" s="33" t="s">
        <v>278</v>
      </c>
      <c r="N1578" s="111"/>
      <c r="O1578" s="33" t="s">
        <v>278</v>
      </c>
      <c r="P1578" s="111"/>
      <c r="Q1578" s="33" t="s">
        <v>587</v>
      </c>
      <c r="R1578" s="111"/>
      <c r="S1578" s="33" t="s">
        <v>278</v>
      </c>
      <c r="T1578" s="111"/>
      <c r="U1578" s="33" t="s">
        <v>278</v>
      </c>
      <c r="V1578" s="111"/>
      <c r="W1578" s="59" t="s">
        <v>548</v>
      </c>
      <c r="X1578" s="33" t="str">
        <f>+VLOOKUP(OtherClients[[#This Row],[Part]],PartControl!$A$2:$E$564,5,FALSE)</f>
        <v>infasco</v>
      </c>
      <c r="Y1578" s="108">
        <f>IF(OtherClients[[#This Row],[Re-certified or New]]&lt;&gt;"Re-certified",IF(OtherClients[[#This Row],[Client]]="infasco",VLOOKUP(OtherClients[[#This Row],[Part]],PartControl!$A$2:$E$564,2,FALSE),OtherClients[[#This Row],[Total Quantity]]*VLOOKUP(OtherClients[[#This Row],[Part]],PartControl!$A$2:$E$564,2,FALSE)),0)</f>
        <v>106.94</v>
      </c>
      <c r="Z1578" s="108">
        <f>IF(OtherClients[[#This Row],[Re-certified or New]]&lt;&gt;"Re-certified",IF(OtherClients[[#This Row],[Client]]="infasco",VLOOKUP(OtherClients[[#This Row],[Part]],PartControl!$A$2:$E$564,2,FALSE),OtherClients[[#This Row],[Total Quantity]]*VLOOKUP(OtherClients[[#This Row],[Part]],PartControl!$A$2:$E$564,2,FALSE)),0)</f>
        <v>106.94</v>
      </c>
    </row>
    <row r="1579" spans="1:26" ht="25.15" hidden="1" customHeight="1" x14ac:dyDescent="0.25">
      <c r="A1579" s="112">
        <v>46258.689768518518</v>
      </c>
      <c r="B1579" s="5" t="s">
        <v>232</v>
      </c>
      <c r="C1579" s="5">
        <v>11546437</v>
      </c>
      <c r="D1579" s="5">
        <v>716757</v>
      </c>
      <c r="E1579" s="33">
        <v>12</v>
      </c>
      <c r="F1579" s="60">
        <v>1500</v>
      </c>
      <c r="G1579" s="60">
        <f>+OtherClients[[#This Row],[Boxes / Pieces]]*OtherClients[[#This Row],[Unit Quantity]]</f>
        <v>18000</v>
      </c>
      <c r="H1579" s="60">
        <v>275</v>
      </c>
      <c r="I1579" s="60" t="s">
        <v>278</v>
      </c>
      <c r="J1579" s="104"/>
      <c r="K1579" s="33" t="s">
        <v>278</v>
      </c>
      <c r="L1579" s="111"/>
      <c r="M1579" s="33" t="s">
        <v>278</v>
      </c>
      <c r="N1579" s="111"/>
      <c r="O1579" s="33" t="s">
        <v>278</v>
      </c>
      <c r="P1579" s="111"/>
      <c r="Q1579" s="33" t="s">
        <v>587</v>
      </c>
      <c r="R1579" s="111"/>
      <c r="S1579" s="33" t="s">
        <v>278</v>
      </c>
      <c r="T1579" s="111"/>
      <c r="U1579" s="33" t="s">
        <v>278</v>
      </c>
      <c r="V1579" s="111"/>
      <c r="W1579" s="59" t="s">
        <v>633</v>
      </c>
      <c r="X1579" s="33" t="str">
        <f>+VLOOKUP(OtherClients[[#This Row],[Part]],PartControl!$A$2:$E$564,5,FALSE)</f>
        <v>infasco</v>
      </c>
      <c r="Y1579" s="108">
        <f>IF(OtherClients[[#This Row],[Re-certified or New]]&lt;&gt;"Re-certified",IF(OtherClients[[#This Row],[Client]]="infasco",VLOOKUP(OtherClients[[#This Row],[Part]],PartControl!$A$2:$E$564,2,FALSE),OtherClients[[#This Row],[Total Quantity]]*VLOOKUP(OtherClients[[#This Row],[Part]],PartControl!$A$2:$E$564,2,FALSE)),0)</f>
        <v>0</v>
      </c>
      <c r="Z1579" s="108">
        <f>IF(OtherClients[[#This Row],[Re-certified or New]]&lt;&gt;"Re-certified",IF(OtherClients[[#This Row],[Client]]="infasco",VLOOKUP(OtherClients[[#This Row],[Part]],PartControl!$A$2:$E$564,2,FALSE),OtherClients[[#This Row],[Total Quantity]]*VLOOKUP(OtherClients[[#This Row],[Part]],PartControl!$A$2:$E$564,2,FALSE)),0)</f>
        <v>0</v>
      </c>
    </row>
    <row r="1580" spans="1:26" ht="25.15" hidden="1" customHeight="1" x14ac:dyDescent="0.25">
      <c r="A1580" s="112">
        <v>46258.689768518518</v>
      </c>
      <c r="B1580" s="5" t="s">
        <v>252</v>
      </c>
      <c r="C1580" s="5" t="s">
        <v>642</v>
      </c>
      <c r="D1580" s="5">
        <v>716798</v>
      </c>
      <c r="E1580" s="33">
        <v>36</v>
      </c>
      <c r="F1580" s="60">
        <v>2800</v>
      </c>
      <c r="G1580" s="60">
        <f>+OtherClients[[#This Row],[Boxes / Pieces]]*OtherClients[[#This Row],[Unit Quantity]]</f>
        <v>100800</v>
      </c>
      <c r="H1580" s="60">
        <v>275</v>
      </c>
      <c r="I1580" s="60" t="s">
        <v>278</v>
      </c>
      <c r="J1580" s="104"/>
      <c r="K1580" s="33" t="s">
        <v>278</v>
      </c>
      <c r="L1580" s="111"/>
      <c r="M1580" s="33" t="s">
        <v>278</v>
      </c>
      <c r="N1580" s="111"/>
      <c r="O1580" s="33" t="s">
        <v>278</v>
      </c>
      <c r="P1580" s="111"/>
      <c r="Q1580" s="33" t="s">
        <v>587</v>
      </c>
      <c r="R1580" s="111"/>
      <c r="S1580" s="33" t="s">
        <v>278</v>
      </c>
      <c r="T1580" s="111"/>
      <c r="U1580" s="33" t="s">
        <v>278</v>
      </c>
      <c r="V1580" s="111"/>
      <c r="W1580" s="59" t="s">
        <v>548</v>
      </c>
      <c r="X1580" s="33" t="str">
        <f>+VLOOKUP(OtherClients[[#This Row],[Part]],PartControl!$A$2:$E$564,5,FALSE)</f>
        <v>infasco</v>
      </c>
      <c r="Y1580" s="108">
        <f>IF(OtherClients[[#This Row],[Re-certified or New]]&lt;&gt;"Re-certified",IF(OtherClients[[#This Row],[Client]]="infasco",VLOOKUP(OtherClients[[#This Row],[Part]],PartControl!$A$2:$E$564,2,FALSE),OtherClients[[#This Row],[Total Quantity]]*VLOOKUP(OtherClients[[#This Row],[Part]],PartControl!$A$2:$E$564,2,FALSE)),0)</f>
        <v>106.94</v>
      </c>
      <c r="Z1580" s="108">
        <f>IF(OtherClients[[#This Row],[Re-certified or New]]&lt;&gt;"Re-certified",IF(OtherClients[[#This Row],[Client]]="infasco",VLOOKUP(OtherClients[[#This Row],[Part]],PartControl!$A$2:$E$564,2,FALSE),OtherClients[[#This Row],[Total Quantity]]*VLOOKUP(OtherClients[[#This Row],[Part]],PartControl!$A$2:$E$564,2,FALSE)),0)</f>
        <v>106.94</v>
      </c>
    </row>
    <row r="1581" spans="1:26" ht="25.15" hidden="1" customHeight="1" x14ac:dyDescent="0.25">
      <c r="A1581" s="112">
        <v>46258.689768518518</v>
      </c>
      <c r="B1581" s="5" t="s">
        <v>252</v>
      </c>
      <c r="C1581" s="5" t="s">
        <v>642</v>
      </c>
      <c r="D1581" s="5">
        <v>716795</v>
      </c>
      <c r="E1581" s="33">
        <v>4</v>
      </c>
      <c r="F1581" s="60">
        <v>2800</v>
      </c>
      <c r="G1581" s="60">
        <f>+OtherClients[[#This Row],[Boxes / Pieces]]*OtherClients[[#This Row],[Unit Quantity]]</f>
        <v>11200</v>
      </c>
      <c r="H1581" s="60">
        <v>275</v>
      </c>
      <c r="I1581" s="60" t="s">
        <v>278</v>
      </c>
      <c r="J1581" s="104"/>
      <c r="K1581" s="33" t="s">
        <v>278</v>
      </c>
      <c r="L1581" s="111"/>
      <c r="M1581" s="33" t="s">
        <v>278</v>
      </c>
      <c r="N1581" s="111"/>
      <c r="O1581" s="33" t="s">
        <v>278</v>
      </c>
      <c r="P1581" s="111"/>
      <c r="Q1581" s="33" t="s">
        <v>587</v>
      </c>
      <c r="R1581" s="111"/>
      <c r="S1581" s="33" t="s">
        <v>278</v>
      </c>
      <c r="T1581" s="111"/>
      <c r="U1581" s="33" t="s">
        <v>278</v>
      </c>
      <c r="V1581" s="111"/>
      <c r="W1581" s="59" t="s">
        <v>633</v>
      </c>
      <c r="X1581" s="33" t="str">
        <f>+VLOOKUP(OtherClients[[#This Row],[Part]],PartControl!$A$2:$E$564,5,FALSE)</f>
        <v>infasco</v>
      </c>
      <c r="Y1581" s="108">
        <f>IF(OtherClients[[#This Row],[Re-certified or New]]&lt;&gt;"Re-certified",IF(OtherClients[[#This Row],[Client]]="infasco",VLOOKUP(OtherClients[[#This Row],[Part]],PartControl!$A$2:$E$564,2,FALSE),OtherClients[[#This Row],[Total Quantity]]*VLOOKUP(OtherClients[[#This Row],[Part]],PartControl!$A$2:$E$564,2,FALSE)),0)</f>
        <v>0</v>
      </c>
      <c r="Z1581" s="108">
        <f>IF(OtherClients[[#This Row],[Re-certified or New]]&lt;&gt;"Re-certified",IF(OtherClients[[#This Row],[Client]]="infasco",VLOOKUP(OtherClients[[#This Row],[Part]],PartControl!$A$2:$E$564,2,FALSE),OtherClients[[#This Row],[Total Quantity]]*VLOOKUP(OtherClients[[#This Row],[Part]],PartControl!$A$2:$E$564,2,FALSE)),0)</f>
        <v>0</v>
      </c>
    </row>
    <row r="1582" spans="1:26" ht="25.15" hidden="1" customHeight="1" x14ac:dyDescent="0.25">
      <c r="A1582" s="112">
        <v>46258.689768518518</v>
      </c>
      <c r="B1582" s="5" t="s">
        <v>243</v>
      </c>
      <c r="C1582" s="5" t="s">
        <v>657</v>
      </c>
      <c r="D1582" s="5">
        <v>717282</v>
      </c>
      <c r="E1582" s="33">
        <v>1</v>
      </c>
      <c r="F1582" s="60">
        <v>25000</v>
      </c>
      <c r="G1582" s="60">
        <f>+OtherClients[[#This Row],[Boxes / Pieces]]*OtherClients[[#This Row],[Unit Quantity]]</f>
        <v>25000</v>
      </c>
      <c r="H1582" s="60">
        <v>292</v>
      </c>
      <c r="I1582" s="60" t="s">
        <v>278</v>
      </c>
      <c r="J1582" s="104"/>
      <c r="K1582" s="33" t="s">
        <v>278</v>
      </c>
      <c r="L1582" s="111"/>
      <c r="M1582" s="33" t="s">
        <v>278</v>
      </c>
      <c r="N1582" s="111"/>
      <c r="O1582" s="33" t="s">
        <v>278</v>
      </c>
      <c r="P1582" s="111"/>
      <c r="Q1582" s="33" t="s">
        <v>587</v>
      </c>
      <c r="R1582" s="111"/>
      <c r="S1582" s="33" t="s">
        <v>278</v>
      </c>
      <c r="T1582" s="111"/>
      <c r="U1582" s="33" t="s">
        <v>278</v>
      </c>
      <c r="V1582" s="111"/>
      <c r="W1582" s="59" t="s">
        <v>548</v>
      </c>
      <c r="X1582" s="33" t="str">
        <f>+VLOOKUP(OtherClients[[#This Row],[Part]],PartControl!$A$2:$E$564,5,FALSE)</f>
        <v>infasco</v>
      </c>
      <c r="Y1582" s="108">
        <f>IF(OtherClients[[#This Row],[Re-certified or New]]&lt;&gt;"Re-certified",IF(OtherClients[[#This Row],[Client]]="infasco",VLOOKUP(OtherClients[[#This Row],[Part]],PartControl!$A$2:$E$564,2,FALSE),OtherClients[[#This Row],[Total Quantity]]*VLOOKUP(OtherClients[[#This Row],[Part]],PartControl!$A$2:$E$564,2,FALSE)),0)</f>
        <v>129.44999999999999</v>
      </c>
      <c r="Z1582" s="108">
        <f>IF(OtherClients[[#This Row],[Re-certified or New]]&lt;&gt;"Re-certified",IF(OtherClients[[#This Row],[Client]]="infasco",VLOOKUP(OtherClients[[#This Row],[Part]],PartControl!$A$2:$E$564,2,FALSE),OtherClients[[#This Row],[Total Quantity]]*VLOOKUP(OtherClients[[#This Row],[Part]],PartControl!$A$2:$E$564,2,FALSE)),0)</f>
        <v>129.44999999999999</v>
      </c>
    </row>
    <row r="1583" spans="1:26" ht="25.15" hidden="1" customHeight="1" x14ac:dyDescent="0.25">
      <c r="A1583" s="112">
        <v>46258.689768518518</v>
      </c>
      <c r="B1583" s="5" t="s">
        <v>243</v>
      </c>
      <c r="C1583" s="5" t="s">
        <v>657</v>
      </c>
      <c r="D1583" s="5">
        <v>717283</v>
      </c>
      <c r="E1583" s="33">
        <v>1</v>
      </c>
      <c r="F1583" s="60">
        <v>71095</v>
      </c>
      <c r="G1583" s="60">
        <f>+OtherClients[[#This Row],[Boxes / Pieces]]*OtherClients[[#This Row],[Unit Quantity]]</f>
        <v>71095</v>
      </c>
      <c r="H1583" s="60">
        <v>292</v>
      </c>
      <c r="I1583" s="60" t="s">
        <v>278</v>
      </c>
      <c r="J1583" s="104"/>
      <c r="K1583" s="33" t="s">
        <v>278</v>
      </c>
      <c r="L1583" s="111"/>
      <c r="M1583" s="33" t="s">
        <v>278</v>
      </c>
      <c r="N1583" s="111"/>
      <c r="O1583" s="33" t="s">
        <v>278</v>
      </c>
      <c r="P1583" s="111"/>
      <c r="Q1583" s="33" t="s">
        <v>587</v>
      </c>
      <c r="R1583" s="111"/>
      <c r="S1583" s="33" t="s">
        <v>278</v>
      </c>
      <c r="T1583" s="111"/>
      <c r="U1583" s="33" t="s">
        <v>278</v>
      </c>
      <c r="V1583" s="111"/>
      <c r="W1583" s="59" t="s">
        <v>548</v>
      </c>
      <c r="X1583" s="33" t="str">
        <f>+VLOOKUP(OtherClients[[#This Row],[Part]],PartControl!$A$2:$E$564,5,FALSE)</f>
        <v>infasco</v>
      </c>
      <c r="Y1583" s="108">
        <f>IF(OtherClients[[#This Row],[Re-certified or New]]&lt;&gt;"Re-certified",IF(OtherClients[[#This Row],[Client]]="infasco",VLOOKUP(OtherClients[[#This Row],[Part]],PartControl!$A$2:$E$564,2,FALSE),OtherClients[[#This Row],[Total Quantity]]*VLOOKUP(OtherClients[[#This Row],[Part]],PartControl!$A$2:$E$564,2,FALSE)),0)</f>
        <v>129.44999999999999</v>
      </c>
      <c r="Z1583" s="108">
        <f>IF(OtherClients[[#This Row],[Re-certified or New]]&lt;&gt;"Re-certified",IF(OtherClients[[#This Row],[Client]]="infasco",VLOOKUP(OtherClients[[#This Row],[Part]],PartControl!$A$2:$E$564,2,FALSE),OtherClients[[#This Row],[Total Quantity]]*VLOOKUP(OtherClients[[#This Row],[Part]],PartControl!$A$2:$E$564,2,FALSE)),0)</f>
        <v>129.44999999999999</v>
      </c>
    </row>
    <row r="1584" spans="1:26" ht="25.15" hidden="1" customHeight="1" x14ac:dyDescent="0.25">
      <c r="A1584" s="112">
        <v>46258.689768518518</v>
      </c>
      <c r="B1584" s="5" t="s">
        <v>251</v>
      </c>
      <c r="C1584" s="5" t="s">
        <v>703</v>
      </c>
      <c r="D1584" s="5">
        <v>716132</v>
      </c>
      <c r="E1584" s="33">
        <f>36-25</f>
        <v>11</v>
      </c>
      <c r="F1584" s="60">
        <v>700</v>
      </c>
      <c r="G1584" s="60">
        <f>+OtherClients[[#This Row],[Boxes / Pieces]]*OtherClients[[#This Row],[Unit Quantity]]</f>
        <v>7700</v>
      </c>
      <c r="H1584" s="60">
        <v>292</v>
      </c>
      <c r="I1584" s="60" t="s">
        <v>278</v>
      </c>
      <c r="J1584" s="104"/>
      <c r="K1584" s="33" t="s">
        <v>278</v>
      </c>
      <c r="L1584" s="111"/>
      <c r="M1584" s="33" t="s">
        <v>278</v>
      </c>
      <c r="N1584" s="111"/>
      <c r="O1584" s="33" t="s">
        <v>278</v>
      </c>
      <c r="P1584" s="111"/>
      <c r="Q1584" s="33" t="s">
        <v>587</v>
      </c>
      <c r="R1584" s="111"/>
      <c r="S1584" s="33" t="s">
        <v>278</v>
      </c>
      <c r="T1584" s="111"/>
      <c r="U1584" s="33" t="s">
        <v>278</v>
      </c>
      <c r="V1584" s="111"/>
      <c r="W1584" s="59" t="s">
        <v>548</v>
      </c>
      <c r="X1584" s="33" t="str">
        <f>+VLOOKUP(OtherClients[[#This Row],[Part]],PartControl!$A$2:$E$564,5,FALSE)</f>
        <v>infasco</v>
      </c>
      <c r="Y1584" s="108">
        <f>IF(OtherClients[[#This Row],[Re-certified or New]]&lt;&gt;"Re-certified",IF(OtherClients[[#This Row],[Client]]="infasco",VLOOKUP(OtherClients[[#This Row],[Part]],PartControl!$A$2:$E$564,2,FALSE),OtherClients[[#This Row],[Total Quantity]]*VLOOKUP(OtherClients[[#This Row],[Part]],PartControl!$A$2:$E$564,2,FALSE)),0)</f>
        <v>106.94</v>
      </c>
      <c r="Z1584" s="108">
        <f>IF(OtherClients[[#This Row],[Re-certified or New]]&lt;&gt;"Re-certified",IF(OtherClients[[#This Row],[Client]]="infasco",VLOOKUP(OtherClients[[#This Row],[Part]],PartControl!$A$2:$E$564,2,FALSE),OtherClients[[#This Row],[Total Quantity]]*VLOOKUP(OtherClients[[#This Row],[Part]],PartControl!$A$2:$E$564,2,FALSE)),0)</f>
        <v>106.94</v>
      </c>
    </row>
    <row r="1585" spans="1:26" ht="25.15" hidden="1" customHeight="1" x14ac:dyDescent="0.25">
      <c r="A1585" s="112">
        <v>46258.689768518518</v>
      </c>
      <c r="B1585" s="5" t="s">
        <v>251</v>
      </c>
      <c r="C1585" s="5" t="s">
        <v>703</v>
      </c>
      <c r="D1585" s="5">
        <v>716138</v>
      </c>
      <c r="E1585" s="33">
        <v>27</v>
      </c>
      <c r="F1585" s="60">
        <v>700</v>
      </c>
      <c r="G1585" s="60">
        <f>+OtherClients[[#This Row],[Boxes / Pieces]]*OtherClients[[#This Row],[Unit Quantity]]</f>
        <v>18900</v>
      </c>
      <c r="H1585" s="60">
        <v>292</v>
      </c>
      <c r="I1585" s="60" t="s">
        <v>278</v>
      </c>
      <c r="J1585" s="104"/>
      <c r="K1585" s="33" t="s">
        <v>278</v>
      </c>
      <c r="L1585" s="111"/>
      <c r="M1585" s="33" t="s">
        <v>278</v>
      </c>
      <c r="N1585" s="111"/>
      <c r="O1585" s="33" t="s">
        <v>278</v>
      </c>
      <c r="P1585" s="111"/>
      <c r="Q1585" s="33" t="s">
        <v>587</v>
      </c>
      <c r="R1585" s="111"/>
      <c r="S1585" s="33" t="s">
        <v>278</v>
      </c>
      <c r="T1585" s="111"/>
      <c r="U1585" s="33" t="s">
        <v>278</v>
      </c>
      <c r="V1585" s="111"/>
      <c r="W1585" s="59" t="s">
        <v>633</v>
      </c>
      <c r="X1585" s="33" t="str">
        <f>+VLOOKUP(OtherClients[[#This Row],[Part]],PartControl!$A$2:$E$564,5,FALSE)</f>
        <v>infasco</v>
      </c>
      <c r="Y1585" s="108">
        <f>IF(OtherClients[[#This Row],[Re-certified or New]]&lt;&gt;"Re-certified",IF(OtherClients[[#This Row],[Client]]="infasco",VLOOKUP(OtherClients[[#This Row],[Part]],PartControl!$A$2:$E$564,2,FALSE),OtherClients[[#This Row],[Total Quantity]]*VLOOKUP(OtherClients[[#This Row],[Part]],PartControl!$A$2:$E$564,2,FALSE)),0)</f>
        <v>0</v>
      </c>
      <c r="Z1585" s="108">
        <f>IF(OtherClients[[#This Row],[Re-certified or New]]&lt;&gt;"Re-certified",IF(OtherClients[[#This Row],[Client]]="infasco",VLOOKUP(OtherClients[[#This Row],[Part]],PartControl!$A$2:$E$564,2,FALSE),OtherClients[[#This Row],[Total Quantity]]*VLOOKUP(OtherClients[[#This Row],[Part]],PartControl!$A$2:$E$564,2,FALSE)),0)</f>
        <v>0</v>
      </c>
    </row>
    <row r="1586" spans="1:26" ht="25.15" hidden="1" customHeight="1" x14ac:dyDescent="0.25">
      <c r="A1586" s="112">
        <v>46258.689768518518</v>
      </c>
      <c r="B1586" s="5" t="s">
        <v>245</v>
      </c>
      <c r="C1586" s="5" t="s">
        <v>706</v>
      </c>
      <c r="D1586" s="5">
        <v>715967</v>
      </c>
      <c r="E1586" s="33">
        <f>18-14+23</f>
        <v>27</v>
      </c>
      <c r="F1586" s="60">
        <v>1900</v>
      </c>
      <c r="G1586" s="60">
        <f>+OtherClients[[#This Row],[Boxes / Pieces]]*OtherClients[[#This Row],[Unit Quantity]]</f>
        <v>51300</v>
      </c>
      <c r="H1586" s="60">
        <v>292</v>
      </c>
      <c r="I1586" s="60" t="s">
        <v>278</v>
      </c>
      <c r="J1586" s="104"/>
      <c r="K1586" s="33" t="s">
        <v>278</v>
      </c>
      <c r="L1586" s="111"/>
      <c r="M1586" s="33" t="s">
        <v>278</v>
      </c>
      <c r="N1586" s="111"/>
      <c r="O1586" s="33" t="s">
        <v>278</v>
      </c>
      <c r="P1586" s="111"/>
      <c r="Q1586" s="33" t="s">
        <v>587</v>
      </c>
      <c r="R1586" s="111"/>
      <c r="S1586" s="33" t="s">
        <v>278</v>
      </c>
      <c r="T1586" s="111"/>
      <c r="U1586" s="33" t="s">
        <v>278</v>
      </c>
      <c r="V1586" s="111"/>
      <c r="W1586" s="59" t="s">
        <v>633</v>
      </c>
      <c r="X1586" s="33" t="str">
        <f>+VLOOKUP(OtherClients[[#This Row],[Part]],PartControl!$A$2:$E$564,5,FALSE)</f>
        <v>infasco</v>
      </c>
      <c r="Y1586" s="108">
        <f>IF(OtherClients[[#This Row],[Re-certified or New]]&lt;&gt;"Re-certified",IF(OtherClients[[#This Row],[Client]]="infasco",VLOOKUP(OtherClients[[#This Row],[Part]],PartControl!$A$2:$E$564,2,FALSE),OtherClients[[#This Row],[Total Quantity]]*VLOOKUP(OtherClients[[#This Row],[Part]],PartControl!$A$2:$E$564,2,FALSE)),0)</f>
        <v>0</v>
      </c>
      <c r="Z1586" s="108">
        <f>IF(OtherClients[[#This Row],[Re-certified or New]]&lt;&gt;"Re-certified",IF(OtherClients[[#This Row],[Client]]="infasco",VLOOKUP(OtherClients[[#This Row],[Part]],PartControl!$A$2:$E$564,2,FALSE),OtherClients[[#This Row],[Total Quantity]]*VLOOKUP(OtherClients[[#This Row],[Part]],PartControl!$A$2:$E$564,2,FALSE)),0)</f>
        <v>0</v>
      </c>
    </row>
    <row r="1587" spans="1:26" ht="25.15" hidden="1" customHeight="1" x14ac:dyDescent="0.25">
      <c r="A1587" s="112">
        <v>46258.689768518518</v>
      </c>
      <c r="B1587" s="5" t="s">
        <v>244</v>
      </c>
      <c r="C1587" s="5" t="s">
        <v>709</v>
      </c>
      <c r="D1587" s="5">
        <v>716971</v>
      </c>
      <c r="E1587" s="33">
        <f>36+5-30</f>
        <v>11</v>
      </c>
      <c r="F1587" s="60">
        <v>1800</v>
      </c>
      <c r="G1587" s="60">
        <f>+OtherClients[[#This Row],[Boxes / Pieces]]*OtherClients[[#This Row],[Unit Quantity]]</f>
        <v>19800</v>
      </c>
      <c r="H1587" s="60">
        <v>292</v>
      </c>
      <c r="I1587" s="60" t="s">
        <v>278</v>
      </c>
      <c r="J1587" s="104"/>
      <c r="K1587" s="33" t="s">
        <v>278</v>
      </c>
      <c r="L1587" s="111"/>
      <c r="M1587" s="33" t="s">
        <v>278</v>
      </c>
      <c r="N1587" s="111"/>
      <c r="O1587" s="33" t="s">
        <v>278</v>
      </c>
      <c r="P1587" s="111"/>
      <c r="Q1587" s="33" t="s">
        <v>587</v>
      </c>
      <c r="R1587" s="111"/>
      <c r="S1587" s="33" t="s">
        <v>278</v>
      </c>
      <c r="T1587" s="111"/>
      <c r="U1587" s="33" t="s">
        <v>278</v>
      </c>
      <c r="V1587" s="111"/>
      <c r="W1587" s="59" t="s">
        <v>548</v>
      </c>
      <c r="X1587" s="33" t="str">
        <f>+VLOOKUP(OtherClients[[#This Row],[Part]],PartControl!$A$2:$E$564,5,FALSE)</f>
        <v>infasco</v>
      </c>
      <c r="Y1587" s="108">
        <f>IF(OtherClients[[#This Row],[Re-certified or New]]&lt;&gt;"Re-certified",IF(OtherClients[[#This Row],[Client]]="infasco",VLOOKUP(OtherClients[[#This Row],[Part]],PartControl!$A$2:$E$564,2,FALSE),OtherClients[[#This Row],[Total Quantity]]*VLOOKUP(OtherClients[[#This Row],[Part]],PartControl!$A$2:$E$564,2,FALSE)),0)</f>
        <v>106.94</v>
      </c>
      <c r="Z1587" s="108">
        <f>IF(OtherClients[[#This Row],[Re-certified or New]]&lt;&gt;"Re-certified",IF(OtherClients[[#This Row],[Client]]="infasco",VLOOKUP(OtherClients[[#This Row],[Part]],PartControl!$A$2:$E$564,2,FALSE),OtherClients[[#This Row],[Total Quantity]]*VLOOKUP(OtherClients[[#This Row],[Part]],PartControl!$A$2:$E$564,2,FALSE)),0)</f>
        <v>106.94</v>
      </c>
    </row>
    <row r="1588" spans="1:26" ht="25.15" hidden="1" customHeight="1" x14ac:dyDescent="0.25">
      <c r="A1588" s="112">
        <v>46258.689768518518</v>
      </c>
      <c r="B1588" s="5" t="s">
        <v>624</v>
      </c>
      <c r="C1588" s="5">
        <v>11548414</v>
      </c>
      <c r="D1588" s="5">
        <v>717049</v>
      </c>
      <c r="E1588" s="33">
        <f>29-5</f>
        <v>24</v>
      </c>
      <c r="F1588" s="60">
        <v>485</v>
      </c>
      <c r="G1588" s="60">
        <f>+OtherClients[[#This Row],[Boxes / Pieces]]*OtherClients[[#This Row],[Unit Quantity]]</f>
        <v>11640</v>
      </c>
      <c r="H1588" s="60">
        <v>292</v>
      </c>
      <c r="I1588" s="60" t="s">
        <v>278</v>
      </c>
      <c r="J1588" s="104"/>
      <c r="K1588" s="33" t="s">
        <v>278</v>
      </c>
      <c r="L1588" s="111"/>
      <c r="M1588" s="33" t="s">
        <v>278</v>
      </c>
      <c r="N1588" s="111"/>
      <c r="O1588" s="33" t="s">
        <v>278</v>
      </c>
      <c r="P1588" s="111"/>
      <c r="Q1588" s="33" t="s">
        <v>587</v>
      </c>
      <c r="R1588" s="111"/>
      <c r="S1588" s="33" t="s">
        <v>278</v>
      </c>
      <c r="T1588" s="111"/>
      <c r="U1588" s="33" t="s">
        <v>278</v>
      </c>
      <c r="V1588" s="111"/>
      <c r="W1588" s="59" t="s">
        <v>548</v>
      </c>
      <c r="X1588" s="33" t="str">
        <f>+VLOOKUP(OtherClients[[#This Row],[Part]],PartControl!$A$2:$E$564,5,FALSE)</f>
        <v>INFASCO</v>
      </c>
      <c r="Y1588" s="108">
        <f>IF(OtherClients[[#This Row],[Re-certified or New]]&lt;&gt;"Re-certified",IF(OtherClients[[#This Row],[Client]]="infasco",VLOOKUP(OtherClients[[#This Row],[Part]],PartControl!$A$2:$E$564,2,FALSE),OtherClients[[#This Row],[Total Quantity]]*VLOOKUP(OtherClients[[#This Row],[Part]],PartControl!$A$2:$E$564,2,FALSE)),0)</f>
        <v>106.94</v>
      </c>
      <c r="Z1588" s="108">
        <f>IF(OtherClients[[#This Row],[Re-certified or New]]&lt;&gt;"Re-certified",IF(OtherClients[[#This Row],[Client]]="infasco",VLOOKUP(OtherClients[[#This Row],[Part]],PartControl!$A$2:$E$564,2,FALSE),OtherClients[[#This Row],[Total Quantity]]*VLOOKUP(OtherClients[[#This Row],[Part]],PartControl!$A$2:$E$564,2,FALSE)),0)</f>
        <v>106.94</v>
      </c>
    </row>
    <row r="1589" spans="1:26" ht="25.15" hidden="1" customHeight="1" x14ac:dyDescent="0.25">
      <c r="A1589" s="112">
        <v>46258.689768518518</v>
      </c>
      <c r="B1589" s="5" t="s">
        <v>624</v>
      </c>
      <c r="C1589" s="5">
        <v>11549170</v>
      </c>
      <c r="D1589" s="5">
        <v>716221</v>
      </c>
      <c r="E1589" s="33">
        <f>36+5</f>
        <v>41</v>
      </c>
      <c r="F1589" s="60">
        <v>400</v>
      </c>
      <c r="G1589" s="60">
        <f>+OtherClients[[#This Row],[Boxes / Pieces]]*OtherClients[[#This Row],[Unit Quantity]]</f>
        <v>16400</v>
      </c>
      <c r="H1589" s="60">
        <v>292</v>
      </c>
      <c r="I1589" s="60" t="s">
        <v>278</v>
      </c>
      <c r="J1589" s="104"/>
      <c r="K1589" s="33" t="s">
        <v>278</v>
      </c>
      <c r="L1589" s="111"/>
      <c r="M1589" s="33" t="s">
        <v>278</v>
      </c>
      <c r="N1589" s="111"/>
      <c r="O1589" s="33" t="s">
        <v>278</v>
      </c>
      <c r="P1589" s="111"/>
      <c r="Q1589" s="33" t="s">
        <v>587</v>
      </c>
      <c r="R1589" s="111"/>
      <c r="S1589" s="33" t="s">
        <v>278</v>
      </c>
      <c r="T1589" s="111"/>
      <c r="U1589" s="33" t="s">
        <v>278</v>
      </c>
      <c r="V1589" s="111"/>
      <c r="W1589" s="59" t="s">
        <v>548</v>
      </c>
      <c r="X1589" s="33" t="str">
        <f>+VLOOKUP(OtherClients[[#This Row],[Part]],PartControl!$A$2:$E$564,5,FALSE)</f>
        <v>INFASCO</v>
      </c>
      <c r="Y1589" s="108">
        <f>IF(OtherClients[[#This Row],[Re-certified or New]]&lt;&gt;"Re-certified",IF(OtherClients[[#This Row],[Client]]="infasco",VLOOKUP(OtherClients[[#This Row],[Part]],PartControl!$A$2:$E$564,2,FALSE),OtherClients[[#This Row],[Total Quantity]]*VLOOKUP(OtherClients[[#This Row],[Part]],PartControl!$A$2:$E$564,2,FALSE)),0)</f>
        <v>106.94</v>
      </c>
      <c r="Z1589" s="108">
        <f>IF(OtherClients[[#This Row],[Re-certified or New]]&lt;&gt;"Re-certified",IF(OtherClients[[#This Row],[Client]]="infasco",VLOOKUP(OtherClients[[#This Row],[Part]],PartControl!$A$2:$E$564,2,FALSE),OtherClients[[#This Row],[Total Quantity]]*VLOOKUP(OtherClients[[#This Row],[Part]],PartControl!$A$2:$E$564,2,FALSE)),0)</f>
        <v>106.94</v>
      </c>
    </row>
    <row r="1590" spans="1:26" ht="25.15" hidden="1" customHeight="1" x14ac:dyDescent="0.25">
      <c r="A1590" s="112">
        <v>46258.689768518518</v>
      </c>
      <c r="B1590" s="5" t="s">
        <v>624</v>
      </c>
      <c r="C1590" s="5">
        <v>11548414</v>
      </c>
      <c r="D1590" s="5">
        <v>717048</v>
      </c>
      <c r="E1590" s="33">
        <v>36</v>
      </c>
      <c r="F1590" s="60">
        <v>485</v>
      </c>
      <c r="G1590" s="60">
        <f>+OtherClients[[#This Row],[Boxes / Pieces]]*OtherClients[[#This Row],[Unit Quantity]]</f>
        <v>17460</v>
      </c>
      <c r="H1590" s="60">
        <v>292</v>
      </c>
      <c r="I1590" s="60" t="s">
        <v>278</v>
      </c>
      <c r="J1590" s="104"/>
      <c r="K1590" s="33" t="s">
        <v>278</v>
      </c>
      <c r="L1590" s="111"/>
      <c r="M1590" s="33" t="s">
        <v>278</v>
      </c>
      <c r="N1590" s="111"/>
      <c r="O1590" s="33" t="s">
        <v>278</v>
      </c>
      <c r="P1590" s="111"/>
      <c r="Q1590" s="33" t="s">
        <v>587</v>
      </c>
      <c r="R1590" s="111"/>
      <c r="S1590" s="33" t="s">
        <v>278</v>
      </c>
      <c r="T1590" s="111"/>
      <c r="U1590" s="33" t="s">
        <v>278</v>
      </c>
      <c r="V1590" s="111"/>
      <c r="W1590" s="59" t="s">
        <v>548</v>
      </c>
      <c r="X1590" s="33" t="str">
        <f>+VLOOKUP(OtherClients[[#This Row],[Part]],PartControl!$A$2:$E$564,5,FALSE)</f>
        <v>INFASCO</v>
      </c>
      <c r="Y1590" s="108">
        <f>IF(OtherClients[[#This Row],[Re-certified or New]]&lt;&gt;"Re-certified",IF(OtherClients[[#This Row],[Client]]="infasco",VLOOKUP(OtherClients[[#This Row],[Part]],PartControl!$A$2:$E$564,2,FALSE),OtherClients[[#This Row],[Total Quantity]]*VLOOKUP(OtherClients[[#This Row],[Part]],PartControl!$A$2:$E$564,2,FALSE)),0)</f>
        <v>106.94</v>
      </c>
      <c r="Z1590" s="108">
        <f>IF(OtherClients[[#This Row],[Re-certified or New]]&lt;&gt;"Re-certified",IF(OtherClients[[#This Row],[Client]]="infasco",VLOOKUP(OtherClients[[#This Row],[Part]],PartControl!$A$2:$E$564,2,FALSE),OtherClients[[#This Row],[Total Quantity]]*VLOOKUP(OtherClients[[#This Row],[Part]],PartControl!$A$2:$E$564,2,FALSE)),0)</f>
        <v>106.94</v>
      </c>
    </row>
    <row r="1591" spans="1:26" ht="25.15" hidden="1" customHeight="1" x14ac:dyDescent="0.25">
      <c r="A1591" s="112">
        <v>46258.689768518518</v>
      </c>
      <c r="B1591" s="5" t="s">
        <v>624</v>
      </c>
      <c r="C1591" s="5">
        <v>11548414</v>
      </c>
      <c r="D1591" s="5">
        <v>717055</v>
      </c>
      <c r="E1591" s="33">
        <v>15</v>
      </c>
      <c r="F1591" s="60">
        <v>485</v>
      </c>
      <c r="G1591" s="60">
        <f>+OtherClients[[#This Row],[Boxes / Pieces]]*OtherClients[[#This Row],[Unit Quantity]]</f>
        <v>7275</v>
      </c>
      <c r="H1591" s="60">
        <v>292</v>
      </c>
      <c r="I1591" s="60" t="s">
        <v>278</v>
      </c>
      <c r="J1591" s="104"/>
      <c r="K1591" s="33" t="s">
        <v>278</v>
      </c>
      <c r="L1591" s="111"/>
      <c r="M1591" s="33" t="s">
        <v>278</v>
      </c>
      <c r="N1591" s="111"/>
      <c r="O1591" s="33" t="s">
        <v>278</v>
      </c>
      <c r="P1591" s="111"/>
      <c r="Q1591" s="33" t="s">
        <v>587</v>
      </c>
      <c r="R1591" s="111"/>
      <c r="S1591" s="33" t="s">
        <v>278</v>
      </c>
      <c r="T1591" s="111"/>
      <c r="U1591" s="33" t="s">
        <v>278</v>
      </c>
      <c r="V1591" s="111"/>
      <c r="W1591" s="59" t="s">
        <v>633</v>
      </c>
      <c r="X1591" s="33" t="str">
        <f>+VLOOKUP(OtherClients[[#This Row],[Part]],PartControl!$A$2:$E$564,5,FALSE)</f>
        <v>INFASCO</v>
      </c>
      <c r="Y1591" s="108">
        <f>IF(OtherClients[[#This Row],[Re-certified or New]]&lt;&gt;"Re-certified",IF(OtherClients[[#This Row],[Client]]="infasco",VLOOKUP(OtherClients[[#This Row],[Part]],PartControl!$A$2:$E$564,2,FALSE),OtherClients[[#This Row],[Total Quantity]]*VLOOKUP(OtherClients[[#This Row],[Part]],PartControl!$A$2:$E$564,2,FALSE)),0)</f>
        <v>0</v>
      </c>
      <c r="Z1591" s="108">
        <f>IF(OtherClients[[#This Row],[Re-certified or New]]&lt;&gt;"Re-certified",IF(OtherClients[[#This Row],[Client]]="infasco",VLOOKUP(OtherClients[[#This Row],[Part]],PartControl!$A$2:$E$564,2,FALSE),OtherClients[[#This Row],[Total Quantity]]*VLOOKUP(OtherClients[[#This Row],[Part]],PartControl!$A$2:$E$564,2,FALSE)),0)</f>
        <v>0</v>
      </c>
    </row>
    <row r="1592" spans="1:26" ht="25.15" hidden="1" customHeight="1" x14ac:dyDescent="0.25">
      <c r="A1592" s="112">
        <v>46258.689768518518</v>
      </c>
      <c r="B1592" s="5" t="s">
        <v>623</v>
      </c>
      <c r="C1592" s="5" t="s">
        <v>647</v>
      </c>
      <c r="D1592" s="5">
        <v>716537</v>
      </c>
      <c r="E1592" s="33">
        <v>28</v>
      </c>
      <c r="F1592" s="60">
        <v>750</v>
      </c>
      <c r="G1592" s="60">
        <f>+OtherClients[[#This Row],[Boxes / Pieces]]*OtherClients[[#This Row],[Unit Quantity]]</f>
        <v>21000</v>
      </c>
      <c r="H1592" s="60">
        <v>292</v>
      </c>
      <c r="I1592" s="60" t="s">
        <v>278</v>
      </c>
      <c r="J1592" s="104"/>
      <c r="K1592" s="33" t="s">
        <v>278</v>
      </c>
      <c r="L1592" s="111"/>
      <c r="M1592" s="33" t="s">
        <v>278</v>
      </c>
      <c r="N1592" s="111"/>
      <c r="O1592" s="33" t="s">
        <v>278</v>
      </c>
      <c r="P1592" s="111"/>
      <c r="Q1592" s="33" t="s">
        <v>587</v>
      </c>
      <c r="R1592" s="111"/>
      <c r="S1592" s="33" t="s">
        <v>278</v>
      </c>
      <c r="T1592" s="111"/>
      <c r="U1592" s="33" t="s">
        <v>278</v>
      </c>
      <c r="V1592" s="111"/>
      <c r="W1592" s="59" t="s">
        <v>548</v>
      </c>
      <c r="X1592" s="33" t="str">
        <f>+VLOOKUP(OtherClients[[#This Row],[Part]],PartControl!$A$2:$E$564,5,FALSE)</f>
        <v>infasco</v>
      </c>
      <c r="Y1592" s="108">
        <f>IF(OtherClients[[#This Row],[Re-certified or New]]&lt;&gt;"Re-certified",IF(OtherClients[[#This Row],[Client]]="infasco",VLOOKUP(OtherClients[[#This Row],[Part]],PartControl!$A$2:$E$564,2,FALSE),OtherClients[[#This Row],[Total Quantity]]*VLOOKUP(OtherClients[[#This Row],[Part]],PartControl!$A$2:$E$564,2,FALSE)),0)</f>
        <v>106.94</v>
      </c>
      <c r="Z1592" s="108">
        <f>IF(OtherClients[[#This Row],[Re-certified or New]]&lt;&gt;"Re-certified",IF(OtherClients[[#This Row],[Client]]="infasco",VLOOKUP(OtherClients[[#This Row],[Part]],PartControl!$A$2:$E$564,2,FALSE),OtherClients[[#This Row],[Total Quantity]]*VLOOKUP(OtherClients[[#This Row],[Part]],PartControl!$A$2:$E$564,2,FALSE)),0)</f>
        <v>106.94</v>
      </c>
    </row>
    <row r="1593" spans="1:26" ht="25.15" hidden="1" customHeight="1" x14ac:dyDescent="0.25">
      <c r="A1593" s="112">
        <v>46258.689768518518</v>
      </c>
      <c r="B1593" s="5" t="s">
        <v>623</v>
      </c>
      <c r="C1593" s="5" t="s">
        <v>647</v>
      </c>
      <c r="D1593" s="5">
        <v>716546</v>
      </c>
      <c r="E1593" s="33">
        <f>8+16</f>
        <v>24</v>
      </c>
      <c r="F1593" s="60">
        <v>750</v>
      </c>
      <c r="G1593" s="60">
        <f>+OtherClients[[#This Row],[Boxes / Pieces]]*OtherClients[[#This Row],[Unit Quantity]]</f>
        <v>18000</v>
      </c>
      <c r="H1593" s="60">
        <v>292</v>
      </c>
      <c r="I1593" s="60" t="s">
        <v>278</v>
      </c>
      <c r="J1593" s="104"/>
      <c r="K1593" s="33" t="s">
        <v>278</v>
      </c>
      <c r="L1593" s="111"/>
      <c r="M1593" s="33" t="s">
        <v>278</v>
      </c>
      <c r="N1593" s="111"/>
      <c r="O1593" s="33" t="s">
        <v>278</v>
      </c>
      <c r="P1593" s="111"/>
      <c r="Q1593" s="33" t="s">
        <v>587</v>
      </c>
      <c r="R1593" s="111"/>
      <c r="S1593" s="33" t="s">
        <v>278</v>
      </c>
      <c r="T1593" s="111"/>
      <c r="U1593" s="33" t="s">
        <v>278</v>
      </c>
      <c r="V1593" s="111"/>
      <c r="W1593" s="59" t="s">
        <v>548</v>
      </c>
      <c r="X1593" s="33" t="str">
        <f>+VLOOKUP(OtherClients[[#This Row],[Part]],PartControl!$A$2:$E$564,5,FALSE)</f>
        <v>infasco</v>
      </c>
      <c r="Y1593" s="108">
        <f>IF(OtherClients[[#This Row],[Re-certified or New]]&lt;&gt;"Re-certified",IF(OtherClients[[#This Row],[Client]]="infasco",VLOOKUP(OtherClients[[#This Row],[Part]],PartControl!$A$2:$E$564,2,FALSE),OtherClients[[#This Row],[Total Quantity]]*VLOOKUP(OtherClients[[#This Row],[Part]],PartControl!$A$2:$E$564,2,FALSE)),0)</f>
        <v>106.94</v>
      </c>
      <c r="Z1593" s="108">
        <f>IF(OtherClients[[#This Row],[Re-certified or New]]&lt;&gt;"Re-certified",IF(OtherClients[[#This Row],[Client]]="infasco",VLOOKUP(OtherClients[[#This Row],[Part]],PartControl!$A$2:$E$564,2,FALSE),OtherClients[[#This Row],[Total Quantity]]*VLOOKUP(OtherClients[[#This Row],[Part]],PartControl!$A$2:$E$564,2,FALSE)),0)</f>
        <v>106.94</v>
      </c>
    </row>
    <row r="1594" spans="1:26" ht="25.15" hidden="1" customHeight="1" x14ac:dyDescent="0.25">
      <c r="A1594" s="112">
        <v>46258.689768518518</v>
      </c>
      <c r="B1594" s="5" t="s">
        <v>623</v>
      </c>
      <c r="C1594" s="5" t="s">
        <v>647</v>
      </c>
      <c r="D1594" s="5">
        <v>716545</v>
      </c>
      <c r="E1594" s="33">
        <v>10</v>
      </c>
      <c r="F1594" s="60">
        <v>750</v>
      </c>
      <c r="G1594" s="60">
        <f>+OtherClients[[#This Row],[Boxes / Pieces]]*OtherClients[[#This Row],[Unit Quantity]]</f>
        <v>7500</v>
      </c>
      <c r="H1594" s="60">
        <v>292</v>
      </c>
      <c r="I1594" s="60" t="s">
        <v>278</v>
      </c>
      <c r="J1594" s="104"/>
      <c r="K1594" s="33" t="s">
        <v>278</v>
      </c>
      <c r="L1594" s="111"/>
      <c r="M1594" s="33" t="s">
        <v>278</v>
      </c>
      <c r="N1594" s="111"/>
      <c r="O1594" s="33" t="s">
        <v>278</v>
      </c>
      <c r="P1594" s="111"/>
      <c r="Q1594" s="33" t="s">
        <v>587</v>
      </c>
      <c r="R1594" s="111"/>
      <c r="S1594" s="33" t="s">
        <v>278</v>
      </c>
      <c r="T1594" s="111"/>
      <c r="U1594" s="33" t="s">
        <v>278</v>
      </c>
      <c r="V1594" s="111"/>
      <c r="W1594" s="59" t="s">
        <v>633</v>
      </c>
      <c r="X1594" s="33" t="str">
        <f>+VLOOKUP(OtherClients[[#This Row],[Part]],PartControl!$A$2:$E$564,5,FALSE)</f>
        <v>infasco</v>
      </c>
      <c r="Y1594" s="108">
        <f>IF(OtherClients[[#This Row],[Re-certified or New]]&lt;&gt;"Re-certified",IF(OtherClients[[#This Row],[Client]]="infasco",VLOOKUP(OtherClients[[#This Row],[Part]],PartControl!$A$2:$E$564,2,FALSE),OtherClients[[#This Row],[Total Quantity]]*VLOOKUP(OtherClients[[#This Row],[Part]],PartControl!$A$2:$E$564,2,FALSE)),0)</f>
        <v>0</v>
      </c>
      <c r="Z1594" s="108">
        <f>IF(OtherClients[[#This Row],[Re-certified or New]]&lt;&gt;"Re-certified",IF(OtherClients[[#This Row],[Client]]="infasco",VLOOKUP(OtherClients[[#This Row],[Part]],PartControl!$A$2:$E$564,2,FALSE),OtherClients[[#This Row],[Total Quantity]]*VLOOKUP(OtherClients[[#This Row],[Part]],PartControl!$A$2:$E$564,2,FALSE)),0)</f>
        <v>0</v>
      </c>
    </row>
    <row r="1595" spans="1:26" ht="25.15" hidden="1" customHeight="1" x14ac:dyDescent="0.25">
      <c r="A1595" s="112">
        <v>46258.689768518518</v>
      </c>
      <c r="B1595" s="5" t="s">
        <v>250</v>
      </c>
      <c r="C1595" s="5" t="s">
        <v>645</v>
      </c>
      <c r="D1595" s="5">
        <v>716891</v>
      </c>
      <c r="E1595" s="33">
        <v>36</v>
      </c>
      <c r="F1595" s="60">
        <v>1000</v>
      </c>
      <c r="G1595" s="60">
        <f>+OtherClients[[#This Row],[Boxes / Pieces]]*OtherClients[[#This Row],[Unit Quantity]]</f>
        <v>36000</v>
      </c>
      <c r="H1595" s="60">
        <v>290</v>
      </c>
      <c r="I1595" s="60" t="s">
        <v>278</v>
      </c>
      <c r="J1595" s="104"/>
      <c r="K1595" s="33" t="s">
        <v>278</v>
      </c>
      <c r="L1595" s="111"/>
      <c r="M1595" s="33" t="s">
        <v>278</v>
      </c>
      <c r="N1595" s="111"/>
      <c r="O1595" s="33" t="s">
        <v>278</v>
      </c>
      <c r="P1595" s="111"/>
      <c r="Q1595" s="33" t="s">
        <v>587</v>
      </c>
      <c r="R1595" s="111"/>
      <c r="S1595" s="33" t="s">
        <v>278</v>
      </c>
      <c r="T1595" s="111"/>
      <c r="U1595" s="33" t="s">
        <v>278</v>
      </c>
      <c r="V1595" s="111"/>
      <c r="W1595" s="59" t="s">
        <v>548</v>
      </c>
      <c r="X1595" s="33" t="str">
        <f>+VLOOKUP(OtherClients[[#This Row],[Part]],PartControl!$A$2:$E$564,5,FALSE)</f>
        <v>infasco</v>
      </c>
      <c r="Y1595" s="108">
        <f>IF(OtherClients[[#This Row],[Re-certified or New]]&lt;&gt;"Re-certified",IF(OtherClients[[#This Row],[Client]]="infasco",VLOOKUP(OtherClients[[#This Row],[Part]],PartControl!$A$2:$E$564,2,FALSE),OtherClients[[#This Row],[Total Quantity]]*VLOOKUP(OtherClients[[#This Row],[Part]],PartControl!$A$2:$E$564,2,FALSE)),0)</f>
        <v>106.94</v>
      </c>
      <c r="Z1595" s="108">
        <f>IF(OtherClients[[#This Row],[Re-certified or New]]&lt;&gt;"Re-certified",IF(OtherClients[[#This Row],[Client]]="infasco",VLOOKUP(OtherClients[[#This Row],[Part]],PartControl!$A$2:$E$564,2,FALSE),OtherClients[[#This Row],[Total Quantity]]*VLOOKUP(OtherClients[[#This Row],[Part]],PartControl!$A$2:$E$564,2,FALSE)),0)</f>
        <v>106.94</v>
      </c>
    </row>
    <row r="1596" spans="1:26" ht="25.15" hidden="1" customHeight="1" x14ac:dyDescent="0.25">
      <c r="A1596" s="112">
        <v>46258.689768518518</v>
      </c>
      <c r="B1596" s="5" t="s">
        <v>250</v>
      </c>
      <c r="C1596" s="5" t="s">
        <v>703</v>
      </c>
      <c r="D1596" s="5">
        <v>716369</v>
      </c>
      <c r="E1596" s="33">
        <v>14</v>
      </c>
      <c r="F1596" s="60">
        <v>700</v>
      </c>
      <c r="G1596" s="60">
        <f>+OtherClients[[#This Row],[Boxes / Pieces]]*OtherClients[[#This Row],[Unit Quantity]]</f>
        <v>9800</v>
      </c>
      <c r="H1596" s="60">
        <v>290</v>
      </c>
      <c r="I1596" s="60" t="s">
        <v>278</v>
      </c>
      <c r="J1596" s="104"/>
      <c r="K1596" s="33" t="s">
        <v>278</v>
      </c>
      <c r="L1596" s="111"/>
      <c r="M1596" s="33" t="s">
        <v>278</v>
      </c>
      <c r="N1596" s="111"/>
      <c r="O1596" s="33" t="s">
        <v>278</v>
      </c>
      <c r="P1596" s="111"/>
      <c r="Q1596" s="33" t="s">
        <v>587</v>
      </c>
      <c r="R1596" s="111"/>
      <c r="S1596" s="33" t="s">
        <v>278</v>
      </c>
      <c r="T1596" s="111"/>
      <c r="U1596" s="33" t="s">
        <v>278</v>
      </c>
      <c r="V1596" s="111"/>
      <c r="W1596" s="59" t="s">
        <v>633</v>
      </c>
      <c r="X1596" s="33" t="str">
        <f>+VLOOKUP(OtherClients[[#This Row],[Part]],PartControl!$A$2:$E$564,5,FALSE)</f>
        <v>infasco</v>
      </c>
      <c r="Y1596" s="108">
        <f>IF(OtherClients[[#This Row],[Re-certified or New]]&lt;&gt;"Re-certified",IF(OtherClients[[#This Row],[Client]]="infasco",VLOOKUP(OtherClients[[#This Row],[Part]],PartControl!$A$2:$E$564,2,FALSE),OtherClients[[#This Row],[Total Quantity]]*VLOOKUP(OtherClients[[#This Row],[Part]],PartControl!$A$2:$E$564,2,FALSE)),0)</f>
        <v>0</v>
      </c>
      <c r="Z1596" s="108">
        <f>IF(OtherClients[[#This Row],[Re-certified or New]]&lt;&gt;"Re-certified",IF(OtherClients[[#This Row],[Client]]="infasco",VLOOKUP(OtherClients[[#This Row],[Part]],PartControl!$A$2:$E$564,2,FALSE),OtherClients[[#This Row],[Total Quantity]]*VLOOKUP(OtherClients[[#This Row],[Part]],PartControl!$A$2:$E$564,2,FALSE)),0)</f>
        <v>0</v>
      </c>
    </row>
    <row r="1597" spans="1:26" ht="25.15" hidden="1" customHeight="1" x14ac:dyDescent="0.25">
      <c r="A1597" s="112">
        <v>46258.689768518518</v>
      </c>
      <c r="B1597" s="5" t="s">
        <v>237</v>
      </c>
      <c r="C1597" s="5" t="s">
        <v>860</v>
      </c>
      <c r="D1597" s="5">
        <v>716469</v>
      </c>
      <c r="E1597" s="33">
        <f>36-31</f>
        <v>5</v>
      </c>
      <c r="F1597" s="60">
        <v>1250</v>
      </c>
      <c r="G1597" s="60">
        <f>+OtherClients[[#This Row],[Boxes / Pieces]]*OtherClients[[#This Row],[Unit Quantity]]</f>
        <v>6250</v>
      </c>
      <c r="H1597" s="60">
        <v>290</v>
      </c>
      <c r="I1597" s="60" t="s">
        <v>278</v>
      </c>
      <c r="J1597" s="104"/>
      <c r="K1597" s="33" t="s">
        <v>278</v>
      </c>
      <c r="L1597" s="111"/>
      <c r="M1597" s="33" t="s">
        <v>278</v>
      </c>
      <c r="N1597" s="111"/>
      <c r="O1597" s="33" t="s">
        <v>278</v>
      </c>
      <c r="P1597" s="111"/>
      <c r="Q1597" s="33" t="s">
        <v>587</v>
      </c>
      <c r="R1597" s="111"/>
      <c r="S1597" s="33" t="s">
        <v>278</v>
      </c>
      <c r="T1597" s="111"/>
      <c r="U1597" s="33" t="s">
        <v>278</v>
      </c>
      <c r="V1597" s="111"/>
      <c r="W1597" s="59" t="s">
        <v>548</v>
      </c>
      <c r="X1597" s="33" t="str">
        <f>+VLOOKUP(OtherClients[[#This Row],[Part]],PartControl!$A$2:$E$564,5,FALSE)</f>
        <v>infasco</v>
      </c>
      <c r="Y1597" s="108">
        <f>IF(OtherClients[[#This Row],[Re-certified or New]]&lt;&gt;"Re-certified",IF(OtherClients[[#This Row],[Client]]="infasco",VLOOKUP(OtherClients[[#This Row],[Part]],PartControl!$A$2:$E$564,2,FALSE),OtherClients[[#This Row],[Total Quantity]]*VLOOKUP(OtherClients[[#This Row],[Part]],PartControl!$A$2:$E$564,2,FALSE)),0)</f>
        <v>106.94</v>
      </c>
      <c r="Z1597" s="108">
        <f>IF(OtherClients[[#This Row],[Re-certified or New]]&lt;&gt;"Re-certified",IF(OtherClients[[#This Row],[Client]]="infasco",VLOOKUP(OtherClients[[#This Row],[Part]],PartControl!$A$2:$E$564,2,FALSE),OtherClients[[#This Row],[Total Quantity]]*VLOOKUP(OtherClients[[#This Row],[Part]],PartControl!$A$2:$E$564,2,FALSE)),0)</f>
        <v>106.94</v>
      </c>
    </row>
    <row r="1598" spans="1:26" ht="25.15" hidden="1" customHeight="1" x14ac:dyDescent="0.25">
      <c r="A1598" s="112">
        <v>46258.689768518518</v>
      </c>
      <c r="B1598" s="5" t="s">
        <v>237</v>
      </c>
      <c r="C1598" s="5" t="s">
        <v>860</v>
      </c>
      <c r="D1598" s="5">
        <v>716468</v>
      </c>
      <c r="E1598" s="33">
        <v>36</v>
      </c>
      <c r="F1598" s="60">
        <v>1250</v>
      </c>
      <c r="G1598" s="60">
        <f>+OtherClients[[#This Row],[Boxes / Pieces]]*OtherClients[[#This Row],[Unit Quantity]]</f>
        <v>45000</v>
      </c>
      <c r="H1598" s="60">
        <v>290</v>
      </c>
      <c r="I1598" s="60" t="s">
        <v>278</v>
      </c>
      <c r="J1598" s="104"/>
      <c r="K1598" s="33" t="s">
        <v>278</v>
      </c>
      <c r="L1598" s="111"/>
      <c r="M1598" s="33" t="s">
        <v>278</v>
      </c>
      <c r="N1598" s="111"/>
      <c r="O1598" s="33" t="s">
        <v>278</v>
      </c>
      <c r="P1598" s="111"/>
      <c r="Q1598" s="33" t="s">
        <v>587</v>
      </c>
      <c r="R1598" s="111"/>
      <c r="S1598" s="33" t="s">
        <v>278</v>
      </c>
      <c r="T1598" s="111"/>
      <c r="U1598" s="33" t="s">
        <v>278</v>
      </c>
      <c r="V1598" s="111"/>
      <c r="W1598" s="59" t="s">
        <v>548</v>
      </c>
      <c r="X1598" s="33" t="str">
        <f>+VLOOKUP(OtherClients[[#This Row],[Part]],PartControl!$A$2:$E$564,5,FALSE)</f>
        <v>infasco</v>
      </c>
      <c r="Y1598" s="108">
        <f>IF(OtherClients[[#This Row],[Re-certified or New]]&lt;&gt;"Re-certified",IF(OtherClients[[#This Row],[Client]]="infasco",VLOOKUP(OtherClients[[#This Row],[Part]],PartControl!$A$2:$E$564,2,FALSE),OtherClients[[#This Row],[Total Quantity]]*VLOOKUP(OtherClients[[#This Row],[Part]],PartControl!$A$2:$E$564,2,FALSE)),0)</f>
        <v>106.94</v>
      </c>
      <c r="Z1598" s="108">
        <f>IF(OtherClients[[#This Row],[Re-certified or New]]&lt;&gt;"Re-certified",IF(OtherClients[[#This Row],[Client]]="infasco",VLOOKUP(OtherClients[[#This Row],[Part]],PartControl!$A$2:$E$564,2,FALSE),OtherClients[[#This Row],[Total Quantity]]*VLOOKUP(OtherClients[[#This Row],[Part]],PartControl!$A$2:$E$564,2,FALSE)),0)</f>
        <v>106.94</v>
      </c>
    </row>
    <row r="1599" spans="1:26" ht="25.15" hidden="1" customHeight="1" x14ac:dyDescent="0.25">
      <c r="A1599" s="112">
        <v>46258.689768518518</v>
      </c>
      <c r="B1599" s="5" t="s">
        <v>237</v>
      </c>
      <c r="C1599" s="5" t="s">
        <v>860</v>
      </c>
      <c r="D1599" s="5">
        <v>716467</v>
      </c>
      <c r="E1599" s="33">
        <v>31</v>
      </c>
      <c r="F1599" s="60">
        <v>1250</v>
      </c>
      <c r="G1599" s="60">
        <f>+OtherClients[[#This Row],[Boxes / Pieces]]*OtherClients[[#This Row],[Unit Quantity]]</f>
        <v>38750</v>
      </c>
      <c r="H1599" s="60">
        <v>290</v>
      </c>
      <c r="I1599" s="60" t="s">
        <v>278</v>
      </c>
      <c r="J1599" s="104"/>
      <c r="K1599" s="33" t="s">
        <v>278</v>
      </c>
      <c r="L1599" s="111"/>
      <c r="M1599" s="33" t="s">
        <v>278</v>
      </c>
      <c r="N1599" s="111"/>
      <c r="O1599" s="33" t="s">
        <v>278</v>
      </c>
      <c r="P1599" s="111"/>
      <c r="Q1599" s="33" t="s">
        <v>587</v>
      </c>
      <c r="R1599" s="111"/>
      <c r="S1599" s="33" t="s">
        <v>278</v>
      </c>
      <c r="T1599" s="111"/>
      <c r="U1599" s="33" t="s">
        <v>278</v>
      </c>
      <c r="V1599" s="111"/>
      <c r="W1599" s="59" t="s">
        <v>548</v>
      </c>
      <c r="X1599" s="33" t="str">
        <f>+VLOOKUP(OtherClients[[#This Row],[Part]],PartControl!$A$2:$E$564,5,FALSE)</f>
        <v>infasco</v>
      </c>
      <c r="Y1599" s="108">
        <f>IF(OtherClients[[#This Row],[Re-certified or New]]&lt;&gt;"Re-certified",IF(OtherClients[[#This Row],[Client]]="infasco",VLOOKUP(OtherClients[[#This Row],[Part]],PartControl!$A$2:$E$564,2,FALSE),OtherClients[[#This Row],[Total Quantity]]*VLOOKUP(OtherClients[[#This Row],[Part]],PartControl!$A$2:$E$564,2,FALSE)),0)</f>
        <v>106.94</v>
      </c>
      <c r="Z1599" s="108">
        <f>IF(OtherClients[[#This Row],[Re-certified or New]]&lt;&gt;"Re-certified",IF(OtherClients[[#This Row],[Client]]="infasco",VLOOKUP(OtherClients[[#This Row],[Part]],PartControl!$A$2:$E$564,2,FALSE),OtherClients[[#This Row],[Total Quantity]]*VLOOKUP(OtherClients[[#This Row],[Part]],PartControl!$A$2:$E$564,2,FALSE)),0)</f>
        <v>106.94</v>
      </c>
    </row>
    <row r="1600" spans="1:26" ht="25.15" hidden="1" customHeight="1" x14ac:dyDescent="0.25">
      <c r="A1600" s="112">
        <v>46258.689768518518</v>
      </c>
      <c r="B1600" s="5" t="s">
        <v>237</v>
      </c>
      <c r="C1600" s="5" t="s">
        <v>860</v>
      </c>
      <c r="D1600" s="5">
        <v>716465</v>
      </c>
      <c r="E1600" s="33">
        <v>36</v>
      </c>
      <c r="F1600" s="60">
        <v>1250</v>
      </c>
      <c r="G1600" s="60">
        <f>+OtherClients[[#This Row],[Boxes / Pieces]]*OtherClients[[#This Row],[Unit Quantity]]</f>
        <v>45000</v>
      </c>
      <c r="H1600" s="60">
        <v>290</v>
      </c>
      <c r="I1600" s="60" t="s">
        <v>278</v>
      </c>
      <c r="J1600" s="104"/>
      <c r="K1600" s="33" t="s">
        <v>278</v>
      </c>
      <c r="L1600" s="111"/>
      <c r="M1600" s="33" t="s">
        <v>278</v>
      </c>
      <c r="N1600" s="111"/>
      <c r="O1600" s="33" t="s">
        <v>278</v>
      </c>
      <c r="P1600" s="111"/>
      <c r="Q1600" s="33" t="s">
        <v>587</v>
      </c>
      <c r="R1600" s="111"/>
      <c r="S1600" s="33" t="s">
        <v>278</v>
      </c>
      <c r="T1600" s="111"/>
      <c r="U1600" s="33" t="s">
        <v>278</v>
      </c>
      <c r="V1600" s="111"/>
      <c r="W1600" s="59" t="s">
        <v>548</v>
      </c>
      <c r="X1600" s="33" t="str">
        <f>+VLOOKUP(OtherClients[[#This Row],[Part]],PartControl!$A$2:$E$564,5,FALSE)</f>
        <v>infasco</v>
      </c>
      <c r="Y1600" s="108">
        <f>IF(OtherClients[[#This Row],[Re-certified or New]]&lt;&gt;"Re-certified",IF(OtherClients[[#This Row],[Client]]="infasco",VLOOKUP(OtherClients[[#This Row],[Part]],PartControl!$A$2:$E$564,2,FALSE),OtherClients[[#This Row],[Total Quantity]]*VLOOKUP(OtherClients[[#This Row],[Part]],PartControl!$A$2:$E$564,2,FALSE)),0)</f>
        <v>106.94</v>
      </c>
      <c r="Z1600" s="108">
        <f>IF(OtherClients[[#This Row],[Re-certified or New]]&lt;&gt;"Re-certified",IF(OtherClients[[#This Row],[Client]]="infasco",VLOOKUP(OtherClients[[#This Row],[Part]],PartControl!$A$2:$E$564,2,FALSE),OtherClients[[#This Row],[Total Quantity]]*VLOOKUP(OtherClients[[#This Row],[Part]],PartControl!$A$2:$E$564,2,FALSE)),0)</f>
        <v>106.94</v>
      </c>
    </row>
    <row r="1601" spans="1:26" ht="25.15" hidden="1" customHeight="1" x14ac:dyDescent="0.25">
      <c r="A1601" s="112">
        <v>46258.689768518518</v>
      </c>
      <c r="B1601" s="5" t="s">
        <v>235</v>
      </c>
      <c r="C1601" s="5" t="s">
        <v>656</v>
      </c>
      <c r="D1601" s="5">
        <v>716989</v>
      </c>
      <c r="E1601" s="33">
        <f>19-13</f>
        <v>6</v>
      </c>
      <c r="F1601" s="60">
        <v>825</v>
      </c>
      <c r="G1601" s="60">
        <f>+OtherClients[[#This Row],[Boxes / Pieces]]*OtherClients[[#This Row],[Unit Quantity]]</f>
        <v>4950</v>
      </c>
      <c r="H1601" s="60">
        <v>290</v>
      </c>
      <c r="I1601" s="60" t="s">
        <v>278</v>
      </c>
      <c r="J1601" s="104"/>
      <c r="K1601" s="33" t="s">
        <v>278</v>
      </c>
      <c r="L1601" s="111"/>
      <c r="M1601" s="33" t="s">
        <v>278</v>
      </c>
      <c r="N1601" s="111"/>
      <c r="O1601" s="33" t="s">
        <v>278</v>
      </c>
      <c r="P1601" s="111"/>
      <c r="Q1601" s="33" t="s">
        <v>587</v>
      </c>
      <c r="R1601" s="111"/>
      <c r="S1601" s="33" t="s">
        <v>278</v>
      </c>
      <c r="T1601" s="111"/>
      <c r="U1601" s="33" t="s">
        <v>278</v>
      </c>
      <c r="V1601" s="111"/>
      <c r="W1601" s="59" t="s">
        <v>548</v>
      </c>
      <c r="X1601" s="33" t="str">
        <f>+VLOOKUP(OtherClients[[#This Row],[Part]],PartControl!$A$2:$E$564,5,FALSE)</f>
        <v>infasco</v>
      </c>
      <c r="Y1601" s="108">
        <f>IF(OtherClients[[#This Row],[Re-certified or New]]&lt;&gt;"Re-certified",IF(OtherClients[[#This Row],[Client]]="infasco",VLOOKUP(OtherClients[[#This Row],[Part]],PartControl!$A$2:$E$564,2,FALSE),OtherClients[[#This Row],[Total Quantity]]*VLOOKUP(OtherClients[[#This Row],[Part]],PartControl!$A$2:$E$564,2,FALSE)),0)</f>
        <v>280.16000000000003</v>
      </c>
      <c r="Z1601" s="108">
        <f>IF(OtherClients[[#This Row],[Re-certified or New]]&lt;&gt;"Re-certified",IF(OtherClients[[#This Row],[Client]]="infasco",VLOOKUP(OtherClients[[#This Row],[Part]],PartControl!$A$2:$E$564,2,FALSE),OtherClients[[#This Row],[Total Quantity]]*VLOOKUP(OtherClients[[#This Row],[Part]],PartControl!$A$2:$E$564,2,FALSE)),0)</f>
        <v>280.16000000000003</v>
      </c>
    </row>
    <row r="1602" spans="1:26" ht="25.15" hidden="1" customHeight="1" x14ac:dyDescent="0.25">
      <c r="A1602" s="112">
        <v>46258.689768518518</v>
      </c>
      <c r="B1602" s="5" t="s">
        <v>235</v>
      </c>
      <c r="C1602" s="5" t="s">
        <v>656</v>
      </c>
      <c r="D1602" s="5">
        <v>716990</v>
      </c>
      <c r="E1602" s="33">
        <v>29</v>
      </c>
      <c r="F1602" s="60">
        <v>825</v>
      </c>
      <c r="G1602" s="60">
        <f>+OtherClients[[#This Row],[Boxes / Pieces]]*OtherClients[[#This Row],[Unit Quantity]]</f>
        <v>23925</v>
      </c>
      <c r="H1602" s="60">
        <v>290</v>
      </c>
      <c r="I1602" s="60" t="s">
        <v>278</v>
      </c>
      <c r="J1602" s="104"/>
      <c r="K1602" s="33" t="s">
        <v>278</v>
      </c>
      <c r="L1602" s="111"/>
      <c r="M1602" s="33" t="s">
        <v>278</v>
      </c>
      <c r="N1602" s="111"/>
      <c r="O1602" s="33" t="s">
        <v>278</v>
      </c>
      <c r="P1602" s="111"/>
      <c r="Q1602" s="33" t="s">
        <v>587</v>
      </c>
      <c r="R1602" s="111"/>
      <c r="S1602" s="33" t="s">
        <v>278</v>
      </c>
      <c r="T1602" s="111"/>
      <c r="U1602" s="33" t="s">
        <v>278</v>
      </c>
      <c r="V1602" s="111"/>
      <c r="W1602" s="59" t="s">
        <v>548</v>
      </c>
      <c r="X1602" s="33" t="str">
        <f>+VLOOKUP(OtherClients[[#This Row],[Part]],PartControl!$A$2:$E$564,5,FALSE)</f>
        <v>infasco</v>
      </c>
      <c r="Y1602" s="108">
        <f>IF(OtherClients[[#This Row],[Re-certified or New]]&lt;&gt;"Re-certified",IF(OtherClients[[#This Row],[Client]]="infasco",VLOOKUP(OtherClients[[#This Row],[Part]],PartControl!$A$2:$E$564,2,FALSE),OtherClients[[#This Row],[Total Quantity]]*VLOOKUP(OtherClients[[#This Row],[Part]],PartControl!$A$2:$E$564,2,FALSE)),0)</f>
        <v>280.16000000000003</v>
      </c>
      <c r="Z1602" s="108">
        <f>IF(OtherClients[[#This Row],[Re-certified or New]]&lt;&gt;"Re-certified",IF(OtherClients[[#This Row],[Client]]="infasco",VLOOKUP(OtherClients[[#This Row],[Part]],PartControl!$A$2:$E$564,2,FALSE),OtherClients[[#This Row],[Total Quantity]]*VLOOKUP(OtherClients[[#This Row],[Part]],PartControl!$A$2:$E$564,2,FALSE)),0)</f>
        <v>280.16000000000003</v>
      </c>
    </row>
    <row r="1603" spans="1:26" ht="25.15" hidden="1" customHeight="1" x14ac:dyDescent="0.25">
      <c r="A1603" s="112">
        <v>46258.689768518518</v>
      </c>
      <c r="B1603" s="5" t="s">
        <v>239</v>
      </c>
      <c r="C1603" s="5">
        <v>11548414</v>
      </c>
      <c r="D1603" s="5">
        <v>717047</v>
      </c>
      <c r="E1603" s="33">
        <v>36</v>
      </c>
      <c r="F1603" s="60">
        <v>485</v>
      </c>
      <c r="G1603" s="60">
        <f>+OtherClients[[#This Row],[Boxes / Pieces]]*OtherClients[[#This Row],[Unit Quantity]]</f>
        <v>17460</v>
      </c>
      <c r="H1603" s="60">
        <v>290</v>
      </c>
      <c r="I1603" s="60" t="s">
        <v>278</v>
      </c>
      <c r="J1603" s="104"/>
      <c r="K1603" s="33" t="s">
        <v>278</v>
      </c>
      <c r="L1603" s="111"/>
      <c r="M1603" s="33" t="s">
        <v>278</v>
      </c>
      <c r="N1603" s="111"/>
      <c r="O1603" s="33" t="s">
        <v>278</v>
      </c>
      <c r="P1603" s="111"/>
      <c r="Q1603" s="33" t="s">
        <v>587</v>
      </c>
      <c r="R1603" s="111"/>
      <c r="S1603" s="33" t="s">
        <v>278</v>
      </c>
      <c r="T1603" s="111"/>
      <c r="U1603" s="33" t="s">
        <v>278</v>
      </c>
      <c r="V1603" s="111"/>
      <c r="W1603" s="59" t="s">
        <v>548</v>
      </c>
      <c r="X1603" s="33" t="str">
        <f>+VLOOKUP(OtherClients[[#This Row],[Part]],PartControl!$A$2:$E$564,5,FALSE)</f>
        <v>INFASCO</v>
      </c>
      <c r="Y1603" s="108">
        <f>IF(OtherClients[[#This Row],[Re-certified or New]]&lt;&gt;"Re-certified",IF(OtherClients[[#This Row],[Client]]="infasco",VLOOKUP(OtherClients[[#This Row],[Part]],PartControl!$A$2:$E$564,2,FALSE),OtherClients[[#This Row],[Total Quantity]]*VLOOKUP(OtherClients[[#This Row],[Part]],PartControl!$A$2:$E$564,2,FALSE)),0)</f>
        <v>106.94</v>
      </c>
      <c r="Z1603" s="108">
        <f>IF(OtherClients[[#This Row],[Re-certified or New]]&lt;&gt;"Re-certified",IF(OtherClients[[#This Row],[Client]]="infasco",VLOOKUP(OtherClients[[#This Row],[Part]],PartControl!$A$2:$E$564,2,FALSE),OtherClients[[#This Row],[Total Quantity]]*VLOOKUP(OtherClients[[#This Row],[Part]],PartControl!$A$2:$E$564,2,FALSE)),0)</f>
        <v>106.94</v>
      </c>
    </row>
    <row r="1604" spans="1:26" ht="25.15" hidden="1" customHeight="1" x14ac:dyDescent="0.25">
      <c r="A1604" s="112">
        <v>46258.689768518518</v>
      </c>
      <c r="B1604" s="5" t="s">
        <v>239</v>
      </c>
      <c r="C1604" s="5">
        <v>11548414</v>
      </c>
      <c r="D1604" s="5">
        <v>717052</v>
      </c>
      <c r="E1604" s="33">
        <v>36</v>
      </c>
      <c r="F1604" s="60">
        <v>485</v>
      </c>
      <c r="G1604" s="60">
        <f>+OtherClients[[#This Row],[Boxes / Pieces]]*OtherClients[[#This Row],[Unit Quantity]]</f>
        <v>17460</v>
      </c>
      <c r="H1604" s="60">
        <v>290</v>
      </c>
      <c r="I1604" s="60" t="s">
        <v>278</v>
      </c>
      <c r="J1604" s="104"/>
      <c r="K1604" s="33" t="s">
        <v>278</v>
      </c>
      <c r="L1604" s="111"/>
      <c r="M1604" s="33" t="s">
        <v>278</v>
      </c>
      <c r="N1604" s="111"/>
      <c r="O1604" s="33" t="s">
        <v>278</v>
      </c>
      <c r="P1604" s="111"/>
      <c r="Q1604" s="33" t="s">
        <v>587</v>
      </c>
      <c r="R1604" s="111"/>
      <c r="S1604" s="33" t="s">
        <v>278</v>
      </c>
      <c r="T1604" s="111"/>
      <c r="U1604" s="33" t="s">
        <v>278</v>
      </c>
      <c r="V1604" s="111"/>
      <c r="W1604" s="59" t="s">
        <v>548</v>
      </c>
      <c r="X1604" s="33" t="str">
        <f>+VLOOKUP(OtherClients[[#This Row],[Part]],PartControl!$A$2:$E$564,5,FALSE)</f>
        <v>INFASCO</v>
      </c>
      <c r="Y1604" s="108">
        <f>IF(OtherClients[[#This Row],[Re-certified or New]]&lt;&gt;"Re-certified",IF(OtherClients[[#This Row],[Client]]="infasco",VLOOKUP(OtherClients[[#This Row],[Part]],PartControl!$A$2:$E$564,2,FALSE),OtherClients[[#This Row],[Total Quantity]]*VLOOKUP(OtherClients[[#This Row],[Part]],PartControl!$A$2:$E$564,2,FALSE)),0)</f>
        <v>106.94</v>
      </c>
      <c r="Z1604" s="108">
        <f>IF(OtherClients[[#This Row],[Re-certified or New]]&lt;&gt;"Re-certified",IF(OtherClients[[#This Row],[Client]]="infasco",VLOOKUP(OtherClients[[#This Row],[Part]],PartControl!$A$2:$E$564,2,FALSE),OtherClients[[#This Row],[Total Quantity]]*VLOOKUP(OtherClients[[#This Row],[Part]],PartControl!$A$2:$E$564,2,FALSE)),0)</f>
        <v>106.94</v>
      </c>
    </row>
    <row r="1605" spans="1:26" ht="25.15" hidden="1" customHeight="1" x14ac:dyDescent="0.25">
      <c r="A1605" s="112">
        <v>46258.689768518518</v>
      </c>
      <c r="B1605" s="5" t="s">
        <v>239</v>
      </c>
      <c r="C1605" s="5">
        <v>11548414</v>
      </c>
      <c r="D1605" s="5">
        <v>717051</v>
      </c>
      <c r="E1605" s="33">
        <v>36</v>
      </c>
      <c r="F1605" s="60">
        <v>485</v>
      </c>
      <c r="G1605" s="60">
        <f>+OtherClients[[#This Row],[Boxes / Pieces]]*OtherClients[[#This Row],[Unit Quantity]]</f>
        <v>17460</v>
      </c>
      <c r="H1605" s="60">
        <v>290</v>
      </c>
      <c r="I1605" s="60" t="s">
        <v>278</v>
      </c>
      <c r="J1605" s="104"/>
      <c r="K1605" s="33" t="s">
        <v>278</v>
      </c>
      <c r="L1605" s="111"/>
      <c r="M1605" s="33" t="s">
        <v>278</v>
      </c>
      <c r="N1605" s="111"/>
      <c r="O1605" s="33" t="s">
        <v>278</v>
      </c>
      <c r="P1605" s="111"/>
      <c r="Q1605" s="33" t="s">
        <v>587</v>
      </c>
      <c r="R1605" s="111"/>
      <c r="S1605" s="33" t="s">
        <v>278</v>
      </c>
      <c r="T1605" s="111"/>
      <c r="U1605" s="33" t="s">
        <v>278</v>
      </c>
      <c r="V1605" s="111"/>
      <c r="W1605" s="59" t="s">
        <v>548</v>
      </c>
      <c r="X1605" s="33" t="str">
        <f>+VLOOKUP(OtherClients[[#This Row],[Part]],PartControl!$A$2:$E$564,5,FALSE)</f>
        <v>INFASCO</v>
      </c>
      <c r="Y1605" s="108">
        <f>IF(OtherClients[[#This Row],[Re-certified or New]]&lt;&gt;"Re-certified",IF(OtherClients[[#This Row],[Client]]="infasco",VLOOKUP(OtherClients[[#This Row],[Part]],PartControl!$A$2:$E$564,2,FALSE),OtherClients[[#This Row],[Total Quantity]]*VLOOKUP(OtherClients[[#This Row],[Part]],PartControl!$A$2:$E$564,2,FALSE)),0)</f>
        <v>106.94</v>
      </c>
      <c r="Z1605" s="108">
        <f>IF(OtherClients[[#This Row],[Re-certified or New]]&lt;&gt;"Re-certified",IF(OtherClients[[#This Row],[Client]]="infasco",VLOOKUP(OtherClients[[#This Row],[Part]],PartControl!$A$2:$E$564,2,FALSE),OtherClients[[#This Row],[Total Quantity]]*VLOOKUP(OtherClients[[#This Row],[Part]],PartControl!$A$2:$E$564,2,FALSE)),0)</f>
        <v>106.94</v>
      </c>
    </row>
    <row r="1606" spans="1:26" ht="25.15" hidden="1" customHeight="1" x14ac:dyDescent="0.25">
      <c r="A1606" s="112">
        <v>46258.689768518518</v>
      </c>
      <c r="B1606" s="5" t="s">
        <v>239</v>
      </c>
      <c r="C1606" s="5">
        <v>11548414</v>
      </c>
      <c r="D1606" s="5">
        <v>717053</v>
      </c>
      <c r="E1606" s="33">
        <v>11</v>
      </c>
      <c r="F1606" s="60">
        <v>485</v>
      </c>
      <c r="G1606" s="60">
        <f>+OtherClients[[#This Row],[Boxes / Pieces]]*OtherClients[[#This Row],[Unit Quantity]]</f>
        <v>5335</v>
      </c>
      <c r="H1606" s="60">
        <v>290</v>
      </c>
      <c r="I1606" s="60" t="s">
        <v>278</v>
      </c>
      <c r="J1606" s="104"/>
      <c r="K1606" s="33" t="s">
        <v>278</v>
      </c>
      <c r="L1606" s="111"/>
      <c r="M1606" s="33" t="s">
        <v>278</v>
      </c>
      <c r="N1606" s="111"/>
      <c r="O1606" s="33" t="s">
        <v>278</v>
      </c>
      <c r="P1606" s="111"/>
      <c r="Q1606" s="33" t="s">
        <v>587</v>
      </c>
      <c r="R1606" s="111"/>
      <c r="S1606" s="33" t="s">
        <v>278</v>
      </c>
      <c r="T1606" s="111"/>
      <c r="U1606" s="33" t="s">
        <v>278</v>
      </c>
      <c r="V1606" s="111"/>
      <c r="W1606" s="59" t="s">
        <v>633</v>
      </c>
      <c r="X1606" s="33" t="str">
        <f>+VLOOKUP(OtherClients[[#This Row],[Part]],PartControl!$A$2:$E$564,5,FALSE)</f>
        <v>INFASCO</v>
      </c>
      <c r="Y1606" s="108">
        <f>IF(OtherClients[[#This Row],[Re-certified or New]]&lt;&gt;"Re-certified",IF(OtherClients[[#This Row],[Client]]="infasco",VLOOKUP(OtherClients[[#This Row],[Part]],PartControl!$A$2:$E$564,2,FALSE),OtherClients[[#This Row],[Total Quantity]]*VLOOKUP(OtherClients[[#This Row],[Part]],PartControl!$A$2:$E$564,2,FALSE)),0)</f>
        <v>0</v>
      </c>
      <c r="Z1606" s="108">
        <f>IF(OtherClients[[#This Row],[Re-certified or New]]&lt;&gt;"Re-certified",IF(OtherClients[[#This Row],[Client]]="infasco",VLOOKUP(OtherClients[[#This Row],[Part]],PartControl!$A$2:$E$564,2,FALSE),OtherClients[[#This Row],[Total Quantity]]*VLOOKUP(OtherClients[[#This Row],[Part]],PartControl!$A$2:$E$564,2,FALSE)),0)</f>
        <v>0</v>
      </c>
    </row>
    <row r="1607" spans="1:26" ht="25.15" hidden="1" customHeight="1" x14ac:dyDescent="0.25">
      <c r="A1607" s="112">
        <v>46258.689768518518</v>
      </c>
      <c r="B1607" s="5" t="s">
        <v>236</v>
      </c>
      <c r="C1607" s="5">
        <v>11546449</v>
      </c>
      <c r="D1607" s="5">
        <v>716870</v>
      </c>
      <c r="E1607" s="33">
        <f>21-14</f>
        <v>7</v>
      </c>
      <c r="F1607" s="60">
        <v>2500</v>
      </c>
      <c r="G1607" s="60">
        <f>+OtherClients[[#This Row],[Boxes / Pieces]]*OtherClients[[#This Row],[Unit Quantity]]</f>
        <v>17500</v>
      </c>
      <c r="H1607" s="60">
        <v>290</v>
      </c>
      <c r="I1607" s="60" t="s">
        <v>278</v>
      </c>
      <c r="J1607" s="104"/>
      <c r="K1607" s="33" t="s">
        <v>278</v>
      </c>
      <c r="L1607" s="111"/>
      <c r="M1607" s="33" t="s">
        <v>278</v>
      </c>
      <c r="N1607" s="111"/>
      <c r="O1607" s="33" t="s">
        <v>278</v>
      </c>
      <c r="P1607" s="111"/>
      <c r="Q1607" s="33" t="s">
        <v>587</v>
      </c>
      <c r="R1607" s="111"/>
      <c r="S1607" s="33" t="s">
        <v>278</v>
      </c>
      <c r="T1607" s="111"/>
      <c r="U1607" s="33" t="s">
        <v>278</v>
      </c>
      <c r="V1607" s="111"/>
      <c r="W1607" s="59" t="s">
        <v>548</v>
      </c>
      <c r="X1607" s="33" t="str">
        <f>+VLOOKUP(OtherClients[[#This Row],[Part]],PartControl!$A$2:$E$564,5,FALSE)</f>
        <v>INFASCO</v>
      </c>
      <c r="Y1607" s="108">
        <f>IF(OtherClients[[#This Row],[Re-certified or New]]&lt;&gt;"Re-certified",IF(OtherClients[[#This Row],[Client]]="infasco",VLOOKUP(OtherClients[[#This Row],[Part]],PartControl!$A$2:$E$564,2,FALSE),OtherClients[[#This Row],[Total Quantity]]*VLOOKUP(OtherClients[[#This Row],[Part]],PartControl!$A$2:$E$564,2,FALSE)),0)</f>
        <v>106.94</v>
      </c>
      <c r="Z1607" s="108">
        <f>IF(OtherClients[[#This Row],[Re-certified or New]]&lt;&gt;"Re-certified",IF(OtherClients[[#This Row],[Client]]="infasco",VLOOKUP(OtherClients[[#This Row],[Part]],PartControl!$A$2:$E$564,2,FALSE),OtherClients[[#This Row],[Total Quantity]]*VLOOKUP(OtherClients[[#This Row],[Part]],PartControl!$A$2:$E$564,2,FALSE)),0)</f>
        <v>106.94</v>
      </c>
    </row>
    <row r="1608" spans="1:26" ht="25.15" hidden="1" customHeight="1" x14ac:dyDescent="0.25">
      <c r="A1608" s="112">
        <v>46258.689768518518</v>
      </c>
      <c r="B1608" s="5" t="s">
        <v>236</v>
      </c>
      <c r="C1608" s="5">
        <v>11546437</v>
      </c>
      <c r="D1608" s="5">
        <v>716758</v>
      </c>
      <c r="E1608" s="33">
        <f>36+8</f>
        <v>44</v>
      </c>
      <c r="F1608" s="60">
        <v>1500</v>
      </c>
      <c r="G1608" s="60">
        <f>+OtherClients[[#This Row],[Boxes / Pieces]]*OtherClients[[#This Row],[Unit Quantity]]</f>
        <v>66000</v>
      </c>
      <c r="H1608" s="60">
        <v>290</v>
      </c>
      <c r="I1608" s="60" t="s">
        <v>278</v>
      </c>
      <c r="J1608" s="104"/>
      <c r="K1608" s="33" t="s">
        <v>278</v>
      </c>
      <c r="L1608" s="111"/>
      <c r="M1608" s="33" t="s">
        <v>278</v>
      </c>
      <c r="N1608" s="111"/>
      <c r="O1608" s="33" t="s">
        <v>278</v>
      </c>
      <c r="P1608" s="111"/>
      <c r="Q1608" s="33" t="s">
        <v>587</v>
      </c>
      <c r="R1608" s="111"/>
      <c r="S1608" s="33" t="s">
        <v>278</v>
      </c>
      <c r="T1608" s="111"/>
      <c r="U1608" s="33" t="s">
        <v>278</v>
      </c>
      <c r="V1608" s="111"/>
      <c r="W1608" s="59" t="s">
        <v>633</v>
      </c>
      <c r="X1608" s="33" t="str">
        <f>+VLOOKUP(OtherClients[[#This Row],[Part]],PartControl!$A$2:$E$564,5,FALSE)</f>
        <v>infasco</v>
      </c>
      <c r="Y1608" s="108">
        <f>IF(OtherClients[[#This Row],[Re-certified or New]]&lt;&gt;"Re-certified",IF(OtherClients[[#This Row],[Client]]="infasco",VLOOKUP(OtherClients[[#This Row],[Part]],PartControl!$A$2:$E$564,2,FALSE),OtherClients[[#This Row],[Total Quantity]]*VLOOKUP(OtherClients[[#This Row],[Part]],PartControl!$A$2:$E$564,2,FALSE)),0)</f>
        <v>0</v>
      </c>
      <c r="Z1608" s="108">
        <f>IF(OtherClients[[#This Row],[Re-certified or New]]&lt;&gt;"Re-certified",IF(OtherClients[[#This Row],[Client]]="infasco",VLOOKUP(OtherClients[[#This Row],[Part]],PartControl!$A$2:$E$564,2,FALSE),OtherClients[[#This Row],[Total Quantity]]*VLOOKUP(OtherClients[[#This Row],[Part]],PartControl!$A$2:$E$564,2,FALSE)),0)</f>
        <v>0</v>
      </c>
    </row>
    <row r="1609" spans="1:26" ht="25.15" hidden="1" customHeight="1" x14ac:dyDescent="0.25">
      <c r="A1609" s="112">
        <v>46258.689768518518</v>
      </c>
      <c r="B1609" s="5" t="s">
        <v>240</v>
      </c>
      <c r="C1609" s="5" t="s">
        <v>700</v>
      </c>
      <c r="D1609" s="5">
        <v>715948</v>
      </c>
      <c r="E1609" s="33">
        <f>36-7</f>
        <v>29</v>
      </c>
      <c r="F1609" s="60">
        <v>1000</v>
      </c>
      <c r="G1609" s="60">
        <f>+OtherClients[[#This Row],[Boxes / Pieces]]*OtherClients[[#This Row],[Unit Quantity]]</f>
        <v>29000</v>
      </c>
      <c r="H1609" s="60">
        <v>290</v>
      </c>
      <c r="I1609" s="60" t="s">
        <v>278</v>
      </c>
      <c r="J1609" s="104"/>
      <c r="K1609" s="33" t="s">
        <v>278</v>
      </c>
      <c r="L1609" s="111"/>
      <c r="M1609" s="33" t="s">
        <v>278</v>
      </c>
      <c r="N1609" s="111"/>
      <c r="O1609" s="33" t="s">
        <v>278</v>
      </c>
      <c r="P1609" s="111"/>
      <c r="Q1609" s="33" t="s">
        <v>587</v>
      </c>
      <c r="R1609" s="111"/>
      <c r="S1609" s="33" t="s">
        <v>278</v>
      </c>
      <c r="T1609" s="111"/>
      <c r="U1609" s="33" t="s">
        <v>278</v>
      </c>
      <c r="V1609" s="111"/>
      <c r="W1609" s="59" t="s">
        <v>548</v>
      </c>
      <c r="X1609" s="33" t="str">
        <f>+VLOOKUP(OtherClients[[#This Row],[Part]],PartControl!$A$2:$E$564,5,FALSE)</f>
        <v>infasco</v>
      </c>
      <c r="Y1609" s="108">
        <f>IF(OtherClients[[#This Row],[Re-certified or New]]&lt;&gt;"Re-certified",IF(OtherClients[[#This Row],[Client]]="infasco",VLOOKUP(OtherClients[[#This Row],[Part]],PartControl!$A$2:$E$564,2,FALSE),OtherClients[[#This Row],[Total Quantity]]*VLOOKUP(OtherClients[[#This Row],[Part]],PartControl!$A$2:$E$564,2,FALSE)),0)</f>
        <v>106.94</v>
      </c>
      <c r="Z1609" s="108">
        <f>IF(OtherClients[[#This Row],[Re-certified or New]]&lt;&gt;"Re-certified",IF(OtherClients[[#This Row],[Client]]="infasco",VLOOKUP(OtherClients[[#This Row],[Part]],PartControl!$A$2:$E$564,2,FALSE),OtherClients[[#This Row],[Total Quantity]]*VLOOKUP(OtherClients[[#This Row],[Part]],PartControl!$A$2:$E$564,2,FALSE)),0)</f>
        <v>106.94</v>
      </c>
    </row>
    <row r="1610" spans="1:26" ht="25.15" hidden="1" customHeight="1" x14ac:dyDescent="0.25">
      <c r="A1610" s="112">
        <v>46258.689768518518</v>
      </c>
      <c r="B1610" s="5" t="s">
        <v>240</v>
      </c>
      <c r="C1610" s="5" t="s">
        <v>700</v>
      </c>
      <c r="D1610" s="5">
        <v>715951</v>
      </c>
      <c r="E1610" s="33">
        <v>36</v>
      </c>
      <c r="F1610" s="60">
        <v>1000</v>
      </c>
      <c r="G1610" s="60">
        <f>+OtherClients[[#This Row],[Boxes / Pieces]]*OtherClients[[#This Row],[Unit Quantity]]</f>
        <v>36000</v>
      </c>
      <c r="H1610" s="60">
        <v>290</v>
      </c>
      <c r="I1610" s="60" t="s">
        <v>278</v>
      </c>
      <c r="J1610" s="104"/>
      <c r="K1610" s="33" t="s">
        <v>278</v>
      </c>
      <c r="L1610" s="111"/>
      <c r="M1610" s="33" t="s">
        <v>278</v>
      </c>
      <c r="N1610" s="111"/>
      <c r="O1610" s="33" t="s">
        <v>278</v>
      </c>
      <c r="P1610" s="111"/>
      <c r="Q1610" s="33" t="s">
        <v>587</v>
      </c>
      <c r="R1610" s="111"/>
      <c r="S1610" s="33" t="s">
        <v>278</v>
      </c>
      <c r="T1610" s="111"/>
      <c r="U1610" s="33" t="s">
        <v>278</v>
      </c>
      <c r="V1610" s="111"/>
      <c r="W1610" s="59" t="s">
        <v>548</v>
      </c>
      <c r="X1610" s="33" t="str">
        <f>+VLOOKUP(OtherClients[[#This Row],[Part]],PartControl!$A$2:$E$564,5,FALSE)</f>
        <v>infasco</v>
      </c>
      <c r="Y1610" s="108">
        <f>IF(OtherClients[[#This Row],[Re-certified or New]]&lt;&gt;"Re-certified",IF(OtherClients[[#This Row],[Client]]="infasco",VLOOKUP(OtherClients[[#This Row],[Part]],PartControl!$A$2:$E$564,2,FALSE),OtherClients[[#This Row],[Total Quantity]]*VLOOKUP(OtherClients[[#This Row],[Part]],PartControl!$A$2:$E$564,2,FALSE)),0)</f>
        <v>106.94</v>
      </c>
      <c r="Z1610" s="108">
        <f>IF(OtherClients[[#This Row],[Re-certified or New]]&lt;&gt;"Re-certified",IF(OtherClients[[#This Row],[Client]]="infasco",VLOOKUP(OtherClients[[#This Row],[Part]],PartControl!$A$2:$E$564,2,FALSE),OtherClients[[#This Row],[Total Quantity]]*VLOOKUP(OtherClients[[#This Row],[Part]],PartControl!$A$2:$E$564,2,FALSE)),0)</f>
        <v>106.94</v>
      </c>
    </row>
    <row r="1611" spans="1:26" ht="25.15" hidden="1" customHeight="1" x14ac:dyDescent="0.25">
      <c r="A1611" s="112">
        <v>46258.689768518518</v>
      </c>
      <c r="B1611" s="5" t="s">
        <v>240</v>
      </c>
      <c r="C1611" s="5" t="s">
        <v>700</v>
      </c>
      <c r="D1611" s="5">
        <v>715949</v>
      </c>
      <c r="E1611" s="33">
        <v>24</v>
      </c>
      <c r="F1611" s="60">
        <v>1000</v>
      </c>
      <c r="G1611" s="60">
        <f>+OtherClients[[#This Row],[Boxes / Pieces]]*OtherClients[[#This Row],[Unit Quantity]]</f>
        <v>24000</v>
      </c>
      <c r="H1611" s="60">
        <v>290</v>
      </c>
      <c r="I1611" s="60" t="s">
        <v>278</v>
      </c>
      <c r="J1611" s="104"/>
      <c r="K1611" s="33" t="s">
        <v>278</v>
      </c>
      <c r="L1611" s="111"/>
      <c r="M1611" s="33" t="s">
        <v>278</v>
      </c>
      <c r="N1611" s="111"/>
      <c r="O1611" s="33" t="s">
        <v>278</v>
      </c>
      <c r="P1611" s="111"/>
      <c r="Q1611" s="33" t="s">
        <v>587</v>
      </c>
      <c r="R1611" s="111"/>
      <c r="S1611" s="33" t="s">
        <v>278</v>
      </c>
      <c r="T1611" s="111"/>
      <c r="U1611" s="33" t="s">
        <v>278</v>
      </c>
      <c r="V1611" s="111"/>
      <c r="W1611" s="59" t="s">
        <v>633</v>
      </c>
      <c r="X1611" s="33" t="str">
        <f>+VLOOKUP(OtherClients[[#This Row],[Part]],PartControl!$A$2:$E$564,5,FALSE)</f>
        <v>infasco</v>
      </c>
      <c r="Y1611" s="108">
        <f>IF(OtherClients[[#This Row],[Re-certified or New]]&lt;&gt;"Re-certified",IF(OtherClients[[#This Row],[Client]]="infasco",VLOOKUP(OtherClients[[#This Row],[Part]],PartControl!$A$2:$E$564,2,FALSE),OtherClients[[#This Row],[Total Quantity]]*VLOOKUP(OtherClients[[#This Row],[Part]],PartControl!$A$2:$E$564,2,FALSE)),0)</f>
        <v>0</v>
      </c>
      <c r="Z1611" s="108">
        <f>IF(OtherClients[[#This Row],[Re-certified or New]]&lt;&gt;"Re-certified",IF(OtherClients[[#This Row],[Client]]="infasco",VLOOKUP(OtherClients[[#This Row],[Part]],PartControl!$A$2:$E$564,2,FALSE),OtherClients[[#This Row],[Total Quantity]]*VLOOKUP(OtherClients[[#This Row],[Part]],PartControl!$A$2:$E$564,2,FALSE)),0)</f>
        <v>0</v>
      </c>
    </row>
    <row r="1612" spans="1:26" ht="25.15" hidden="1" customHeight="1" x14ac:dyDescent="0.25">
      <c r="A1612" s="112">
        <v>46258.689768518518</v>
      </c>
      <c r="B1612" s="5" t="s">
        <v>635</v>
      </c>
      <c r="C1612" s="5" t="s">
        <v>706</v>
      </c>
      <c r="D1612" s="5">
        <v>715969</v>
      </c>
      <c r="E1612" s="33">
        <f>36-18</f>
        <v>18</v>
      </c>
      <c r="F1612" s="60">
        <v>1900</v>
      </c>
      <c r="G1612" s="60">
        <f>+OtherClients[[#This Row],[Boxes / Pieces]]*OtherClients[[#This Row],[Unit Quantity]]</f>
        <v>34200</v>
      </c>
      <c r="H1612" s="60">
        <v>280</v>
      </c>
      <c r="I1612" s="60" t="s">
        <v>278</v>
      </c>
      <c r="J1612" s="104"/>
      <c r="K1612" s="33" t="s">
        <v>278</v>
      </c>
      <c r="L1612" s="111"/>
      <c r="M1612" s="33" t="s">
        <v>278</v>
      </c>
      <c r="N1612" s="111"/>
      <c r="O1612" s="33" t="s">
        <v>278</v>
      </c>
      <c r="P1612" s="111"/>
      <c r="Q1612" s="33" t="s">
        <v>587</v>
      </c>
      <c r="R1612" s="111"/>
      <c r="S1612" s="33" t="s">
        <v>278</v>
      </c>
      <c r="T1612" s="111"/>
      <c r="U1612" s="33" t="s">
        <v>278</v>
      </c>
      <c r="V1612" s="111"/>
      <c r="W1612" s="59" t="s">
        <v>548</v>
      </c>
      <c r="X1612" s="33" t="str">
        <f>+VLOOKUP(OtherClients[[#This Row],[Part]],PartControl!$A$2:$E$564,5,FALSE)</f>
        <v>infasco</v>
      </c>
      <c r="Y1612" s="108">
        <f>IF(OtherClients[[#This Row],[Re-certified or New]]&lt;&gt;"Re-certified",IF(OtherClients[[#This Row],[Client]]="infasco",VLOOKUP(OtherClients[[#This Row],[Part]],PartControl!$A$2:$E$564,2,FALSE),OtherClients[[#This Row],[Total Quantity]]*VLOOKUP(OtherClients[[#This Row],[Part]],PartControl!$A$2:$E$564,2,FALSE)),0)</f>
        <v>106.94</v>
      </c>
      <c r="Z1612" s="108">
        <f>IF(OtherClients[[#This Row],[Re-certified or New]]&lt;&gt;"Re-certified",IF(OtherClients[[#This Row],[Client]]="infasco",VLOOKUP(OtherClients[[#This Row],[Part]],PartControl!$A$2:$E$564,2,FALSE),OtherClients[[#This Row],[Total Quantity]]*VLOOKUP(OtherClients[[#This Row],[Part]],PartControl!$A$2:$E$564,2,FALSE)),0)</f>
        <v>106.94</v>
      </c>
    </row>
    <row r="1613" spans="1:26" ht="25.15" hidden="1" customHeight="1" x14ac:dyDescent="0.25">
      <c r="A1613" s="112">
        <v>46258.689768518518</v>
      </c>
      <c r="B1613" s="5" t="s">
        <v>635</v>
      </c>
      <c r="C1613" s="5" t="s">
        <v>706</v>
      </c>
      <c r="D1613" s="5">
        <v>715968</v>
      </c>
      <c r="E1613" s="33">
        <v>23</v>
      </c>
      <c r="F1613" s="60">
        <v>1900</v>
      </c>
      <c r="G1613" s="60">
        <f>+OtherClients[[#This Row],[Boxes / Pieces]]*OtherClients[[#This Row],[Unit Quantity]]</f>
        <v>43700</v>
      </c>
      <c r="H1613" s="60">
        <v>280</v>
      </c>
      <c r="I1613" s="60" t="s">
        <v>278</v>
      </c>
      <c r="J1613" s="104"/>
      <c r="K1613" s="33" t="s">
        <v>278</v>
      </c>
      <c r="L1613" s="111"/>
      <c r="M1613" s="33" t="s">
        <v>278</v>
      </c>
      <c r="N1613" s="111"/>
      <c r="O1613" s="33" t="s">
        <v>278</v>
      </c>
      <c r="P1613" s="111"/>
      <c r="Q1613" s="33" t="s">
        <v>587</v>
      </c>
      <c r="R1613" s="111"/>
      <c r="S1613" s="33" t="s">
        <v>278</v>
      </c>
      <c r="T1613" s="111"/>
      <c r="U1613" s="33" t="s">
        <v>278</v>
      </c>
      <c r="V1613" s="111"/>
      <c r="W1613" s="59" t="s">
        <v>548</v>
      </c>
      <c r="X1613" s="33" t="str">
        <f>+VLOOKUP(OtherClients[[#This Row],[Part]],PartControl!$A$2:$E$564,5,FALSE)</f>
        <v>infasco</v>
      </c>
      <c r="Y1613" s="108">
        <f>IF(OtherClients[[#This Row],[Re-certified or New]]&lt;&gt;"Re-certified",IF(OtherClients[[#This Row],[Client]]="infasco",VLOOKUP(OtherClients[[#This Row],[Part]],PartControl!$A$2:$E$564,2,FALSE),OtherClients[[#This Row],[Total Quantity]]*VLOOKUP(OtherClients[[#This Row],[Part]],PartControl!$A$2:$E$564,2,FALSE)),0)</f>
        <v>106.94</v>
      </c>
      <c r="Z1613" s="108">
        <f>IF(OtherClients[[#This Row],[Re-certified or New]]&lt;&gt;"Re-certified",IF(OtherClients[[#This Row],[Client]]="infasco",VLOOKUP(OtherClients[[#This Row],[Part]],PartControl!$A$2:$E$564,2,FALSE),OtherClients[[#This Row],[Total Quantity]]*VLOOKUP(OtherClients[[#This Row],[Part]],PartControl!$A$2:$E$564,2,FALSE)),0)</f>
        <v>106.94</v>
      </c>
    </row>
    <row r="1614" spans="1:26" ht="25.15" hidden="1" customHeight="1" x14ac:dyDescent="0.25">
      <c r="A1614" s="112">
        <v>46258.689768518518</v>
      </c>
      <c r="B1614" s="5" t="s">
        <v>357</v>
      </c>
      <c r="C1614" s="5" t="s">
        <v>642</v>
      </c>
      <c r="D1614" s="5">
        <v>716790</v>
      </c>
      <c r="E1614" s="33">
        <f>36-5</f>
        <v>31</v>
      </c>
      <c r="F1614" s="60">
        <v>2800</v>
      </c>
      <c r="G1614" s="60">
        <f>+OtherClients[[#This Row],[Boxes / Pieces]]*OtherClients[[#This Row],[Unit Quantity]]</f>
        <v>86800</v>
      </c>
      <c r="H1614" s="60">
        <v>280</v>
      </c>
      <c r="I1614" s="60" t="s">
        <v>278</v>
      </c>
      <c r="J1614" s="104"/>
      <c r="K1614" s="33" t="s">
        <v>278</v>
      </c>
      <c r="L1614" s="111"/>
      <c r="M1614" s="33" t="s">
        <v>278</v>
      </c>
      <c r="N1614" s="111"/>
      <c r="O1614" s="33" t="s">
        <v>278</v>
      </c>
      <c r="P1614" s="111"/>
      <c r="Q1614" s="33" t="s">
        <v>587</v>
      </c>
      <c r="R1614" s="111"/>
      <c r="S1614" s="33" t="s">
        <v>278</v>
      </c>
      <c r="T1614" s="111"/>
      <c r="U1614" s="33" t="s">
        <v>278</v>
      </c>
      <c r="V1614" s="111"/>
      <c r="W1614" s="59" t="s">
        <v>548</v>
      </c>
      <c r="X1614" s="33" t="str">
        <f>+VLOOKUP(OtherClients[[#This Row],[Part]],PartControl!$A$2:$E$564,5,FALSE)</f>
        <v>infasco</v>
      </c>
      <c r="Y1614" s="108">
        <f>IF(OtherClients[[#This Row],[Re-certified or New]]&lt;&gt;"Re-certified",IF(OtherClients[[#This Row],[Client]]="infasco",VLOOKUP(OtherClients[[#This Row],[Part]],PartControl!$A$2:$E$564,2,FALSE),OtherClients[[#This Row],[Total Quantity]]*VLOOKUP(OtherClients[[#This Row],[Part]],PartControl!$A$2:$E$564,2,FALSE)),0)</f>
        <v>106.94</v>
      </c>
      <c r="Z1614" s="108">
        <f>IF(OtherClients[[#This Row],[Re-certified or New]]&lt;&gt;"Re-certified",IF(OtherClients[[#This Row],[Client]]="infasco",VLOOKUP(OtherClients[[#This Row],[Part]],PartControl!$A$2:$E$564,2,FALSE),OtherClients[[#This Row],[Total Quantity]]*VLOOKUP(OtherClients[[#This Row],[Part]],PartControl!$A$2:$E$564,2,FALSE)),0)</f>
        <v>106.94</v>
      </c>
    </row>
    <row r="1615" spans="1:26" ht="25.15" hidden="1" customHeight="1" x14ac:dyDescent="0.25">
      <c r="A1615" s="112">
        <v>46258.689768518518</v>
      </c>
      <c r="B1615" s="5" t="s">
        <v>357</v>
      </c>
      <c r="C1615" s="5" t="s">
        <v>642</v>
      </c>
      <c r="D1615" s="5">
        <v>716791</v>
      </c>
      <c r="E1615" s="33">
        <v>36</v>
      </c>
      <c r="F1615" s="60">
        <v>2800</v>
      </c>
      <c r="G1615" s="60">
        <f>+OtherClients[[#This Row],[Boxes / Pieces]]*OtherClients[[#This Row],[Unit Quantity]]</f>
        <v>100800</v>
      </c>
      <c r="H1615" s="60">
        <v>280</v>
      </c>
      <c r="I1615" s="60" t="s">
        <v>278</v>
      </c>
      <c r="J1615" s="104"/>
      <c r="K1615" s="33" t="s">
        <v>278</v>
      </c>
      <c r="L1615" s="111"/>
      <c r="M1615" s="33" t="s">
        <v>278</v>
      </c>
      <c r="N1615" s="111"/>
      <c r="O1615" s="33" t="s">
        <v>278</v>
      </c>
      <c r="P1615" s="111"/>
      <c r="Q1615" s="33" t="s">
        <v>587</v>
      </c>
      <c r="R1615" s="111"/>
      <c r="S1615" s="33" t="s">
        <v>278</v>
      </c>
      <c r="T1615" s="111"/>
      <c r="U1615" s="33" t="s">
        <v>278</v>
      </c>
      <c r="V1615" s="111"/>
      <c r="W1615" s="59" t="s">
        <v>548</v>
      </c>
      <c r="X1615" s="33" t="str">
        <f>+VLOOKUP(OtherClients[[#This Row],[Part]],PartControl!$A$2:$E$564,5,FALSE)</f>
        <v>infasco</v>
      </c>
      <c r="Y1615" s="108">
        <f>IF(OtherClients[[#This Row],[Re-certified or New]]&lt;&gt;"Re-certified",IF(OtherClients[[#This Row],[Client]]="infasco",VLOOKUP(OtherClients[[#This Row],[Part]],PartControl!$A$2:$E$564,2,FALSE),OtherClients[[#This Row],[Total Quantity]]*VLOOKUP(OtherClients[[#This Row],[Part]],PartControl!$A$2:$E$564,2,FALSE)),0)</f>
        <v>106.94</v>
      </c>
      <c r="Z1615" s="108">
        <f>IF(OtherClients[[#This Row],[Re-certified or New]]&lt;&gt;"Re-certified",IF(OtherClients[[#This Row],[Client]]="infasco",VLOOKUP(OtherClients[[#This Row],[Part]],PartControl!$A$2:$E$564,2,FALSE),OtherClients[[#This Row],[Total Quantity]]*VLOOKUP(OtherClients[[#This Row],[Part]],PartControl!$A$2:$E$564,2,FALSE)),0)</f>
        <v>106.94</v>
      </c>
    </row>
    <row r="1616" spans="1:26" ht="25.15" hidden="1" customHeight="1" x14ac:dyDescent="0.25">
      <c r="A1616" s="112">
        <v>46258.689768518518</v>
      </c>
      <c r="B1616" s="5" t="s">
        <v>636</v>
      </c>
      <c r="C1616" s="5" t="s">
        <v>703</v>
      </c>
      <c r="D1616" s="5">
        <v>716135</v>
      </c>
      <c r="E1616" s="33">
        <v>36</v>
      </c>
      <c r="F1616" s="60">
        <v>700</v>
      </c>
      <c r="G1616" s="60">
        <f>+OtherClients[[#This Row],[Boxes / Pieces]]*OtherClients[[#This Row],[Unit Quantity]]</f>
        <v>25200</v>
      </c>
      <c r="H1616" s="60">
        <v>280</v>
      </c>
      <c r="I1616" s="60" t="s">
        <v>278</v>
      </c>
      <c r="J1616" s="104"/>
      <c r="K1616" s="33" t="s">
        <v>278</v>
      </c>
      <c r="L1616" s="111"/>
      <c r="M1616" s="33" t="s">
        <v>278</v>
      </c>
      <c r="N1616" s="111"/>
      <c r="O1616" s="33" t="s">
        <v>278</v>
      </c>
      <c r="P1616" s="111"/>
      <c r="Q1616" s="33" t="s">
        <v>587</v>
      </c>
      <c r="R1616" s="111"/>
      <c r="S1616" s="33" t="s">
        <v>278</v>
      </c>
      <c r="T1616" s="111"/>
      <c r="U1616" s="33" t="s">
        <v>278</v>
      </c>
      <c r="V1616" s="111"/>
      <c r="W1616" s="59" t="s">
        <v>548</v>
      </c>
      <c r="X1616" s="33" t="str">
        <f>+VLOOKUP(OtherClients[[#This Row],[Part]],PartControl!$A$2:$E$564,5,FALSE)</f>
        <v>infasco</v>
      </c>
      <c r="Y1616" s="108">
        <f>IF(OtherClients[[#This Row],[Re-certified or New]]&lt;&gt;"Re-certified",IF(OtherClients[[#This Row],[Client]]="infasco",VLOOKUP(OtherClients[[#This Row],[Part]],PartControl!$A$2:$E$564,2,FALSE),OtherClients[[#This Row],[Total Quantity]]*VLOOKUP(OtherClients[[#This Row],[Part]],PartControl!$A$2:$E$564,2,FALSE)),0)</f>
        <v>106.94</v>
      </c>
      <c r="Z1616" s="108">
        <f>IF(OtherClients[[#This Row],[Re-certified or New]]&lt;&gt;"Re-certified",IF(OtherClients[[#This Row],[Client]]="infasco",VLOOKUP(OtherClients[[#This Row],[Part]],PartControl!$A$2:$E$564,2,FALSE),OtherClients[[#This Row],[Total Quantity]]*VLOOKUP(OtherClients[[#This Row],[Part]],PartControl!$A$2:$E$564,2,FALSE)),0)</f>
        <v>106.94</v>
      </c>
    </row>
    <row r="1617" spans="1:26" ht="25.15" hidden="1" customHeight="1" x14ac:dyDescent="0.25">
      <c r="A1617" s="112">
        <v>46258.689768518518</v>
      </c>
      <c r="B1617" s="5" t="s">
        <v>636</v>
      </c>
      <c r="C1617" s="5" t="s">
        <v>703</v>
      </c>
      <c r="D1617" s="5">
        <v>716370</v>
      </c>
      <c r="E1617" s="33">
        <v>7</v>
      </c>
      <c r="F1617" s="60">
        <v>700</v>
      </c>
      <c r="G1617" s="60">
        <f>+OtherClients[[#This Row],[Boxes / Pieces]]*OtherClients[[#This Row],[Unit Quantity]]</f>
        <v>4900</v>
      </c>
      <c r="H1617" s="60">
        <v>280</v>
      </c>
      <c r="I1617" s="60" t="s">
        <v>278</v>
      </c>
      <c r="J1617" s="104"/>
      <c r="K1617" s="33" t="s">
        <v>278</v>
      </c>
      <c r="L1617" s="111"/>
      <c r="M1617" s="33" t="s">
        <v>278</v>
      </c>
      <c r="N1617" s="111"/>
      <c r="O1617" s="33" t="s">
        <v>278</v>
      </c>
      <c r="P1617" s="111"/>
      <c r="Q1617" s="33" t="s">
        <v>587</v>
      </c>
      <c r="R1617" s="111"/>
      <c r="S1617" s="33" t="s">
        <v>278</v>
      </c>
      <c r="T1617" s="111"/>
      <c r="U1617" s="33" t="s">
        <v>278</v>
      </c>
      <c r="V1617" s="111"/>
      <c r="W1617" s="59" t="s">
        <v>633</v>
      </c>
      <c r="X1617" s="33" t="str">
        <f>+VLOOKUP(OtherClients[[#This Row],[Part]],PartControl!$A$2:$E$564,5,FALSE)</f>
        <v>infasco</v>
      </c>
      <c r="Y1617" s="108">
        <f>IF(OtherClients[[#This Row],[Re-certified or New]]&lt;&gt;"Re-certified",IF(OtherClients[[#This Row],[Client]]="infasco",VLOOKUP(OtherClients[[#This Row],[Part]],PartControl!$A$2:$E$564,2,FALSE),OtherClients[[#This Row],[Total Quantity]]*VLOOKUP(OtherClients[[#This Row],[Part]],PartControl!$A$2:$E$564,2,FALSE)),0)</f>
        <v>0</v>
      </c>
      <c r="Z1617" s="108">
        <f>IF(OtherClients[[#This Row],[Re-certified or New]]&lt;&gt;"Re-certified",IF(OtherClients[[#This Row],[Client]]="infasco",VLOOKUP(OtherClients[[#This Row],[Part]],PartControl!$A$2:$E$564,2,FALSE),OtherClients[[#This Row],[Total Quantity]]*VLOOKUP(OtherClients[[#This Row],[Part]],PartControl!$A$2:$E$564,2,FALSE)),0)</f>
        <v>0</v>
      </c>
    </row>
    <row r="1618" spans="1:26" ht="25.15" hidden="1" customHeight="1" x14ac:dyDescent="0.25">
      <c r="A1618" s="112">
        <v>46258.689768518518</v>
      </c>
      <c r="B1618" s="5" t="s">
        <v>637</v>
      </c>
      <c r="C1618" s="5" t="s">
        <v>642</v>
      </c>
      <c r="D1618" s="5">
        <v>716796</v>
      </c>
      <c r="E1618" s="33">
        <f>36-12</f>
        <v>24</v>
      </c>
      <c r="F1618" s="60">
        <v>2800</v>
      </c>
      <c r="G1618" s="60">
        <f>+OtherClients[[#This Row],[Boxes / Pieces]]*OtherClients[[#This Row],[Unit Quantity]]</f>
        <v>67200</v>
      </c>
      <c r="H1618" s="60">
        <v>280</v>
      </c>
      <c r="I1618" s="60" t="s">
        <v>278</v>
      </c>
      <c r="J1618" s="104"/>
      <c r="K1618" s="33" t="s">
        <v>278</v>
      </c>
      <c r="L1618" s="111"/>
      <c r="M1618" s="33" t="s">
        <v>278</v>
      </c>
      <c r="N1618" s="111"/>
      <c r="O1618" s="33" t="s">
        <v>278</v>
      </c>
      <c r="P1618" s="111"/>
      <c r="Q1618" s="33" t="s">
        <v>587</v>
      </c>
      <c r="R1618" s="111"/>
      <c r="S1618" s="33" t="s">
        <v>278</v>
      </c>
      <c r="T1618" s="111"/>
      <c r="U1618" s="33" t="s">
        <v>278</v>
      </c>
      <c r="V1618" s="111"/>
      <c r="W1618" s="59" t="s">
        <v>548</v>
      </c>
      <c r="X1618" s="33" t="str">
        <f>+VLOOKUP(OtherClients[[#This Row],[Part]],PartControl!$A$2:$E$564,5,FALSE)</f>
        <v>infasco</v>
      </c>
      <c r="Y1618" s="108">
        <f>IF(OtherClients[[#This Row],[Re-certified or New]]&lt;&gt;"Re-certified",IF(OtherClients[[#This Row],[Client]]="infasco",VLOOKUP(OtherClients[[#This Row],[Part]],PartControl!$A$2:$E$564,2,FALSE),OtherClients[[#This Row],[Total Quantity]]*VLOOKUP(OtherClients[[#This Row],[Part]],PartControl!$A$2:$E$564,2,FALSE)),0)</f>
        <v>106.94</v>
      </c>
      <c r="Z1618" s="108">
        <f>IF(OtherClients[[#This Row],[Re-certified or New]]&lt;&gt;"Re-certified",IF(OtherClients[[#This Row],[Client]]="infasco",VLOOKUP(OtherClients[[#This Row],[Part]],PartControl!$A$2:$E$564,2,FALSE),OtherClients[[#This Row],[Total Quantity]]*VLOOKUP(OtherClients[[#This Row],[Part]],PartControl!$A$2:$E$564,2,FALSE)),0)</f>
        <v>106.94</v>
      </c>
    </row>
    <row r="1619" spans="1:26" ht="25.15" hidden="1" customHeight="1" x14ac:dyDescent="0.25">
      <c r="A1619" s="112">
        <v>46258.689768518518</v>
      </c>
      <c r="B1619" s="5" t="s">
        <v>637</v>
      </c>
      <c r="C1619" s="5" t="s">
        <v>642</v>
      </c>
      <c r="D1619" s="5">
        <v>716789</v>
      </c>
      <c r="E1619" s="33">
        <v>36</v>
      </c>
      <c r="F1619" s="60">
        <v>2800</v>
      </c>
      <c r="G1619" s="60">
        <f>+OtherClients[[#This Row],[Boxes / Pieces]]*OtherClients[[#This Row],[Unit Quantity]]</f>
        <v>100800</v>
      </c>
      <c r="H1619" s="60">
        <v>280</v>
      </c>
      <c r="I1619" s="60" t="s">
        <v>278</v>
      </c>
      <c r="J1619" s="104"/>
      <c r="K1619" s="33" t="s">
        <v>278</v>
      </c>
      <c r="L1619" s="111"/>
      <c r="M1619" s="33" t="s">
        <v>278</v>
      </c>
      <c r="N1619" s="111"/>
      <c r="O1619" s="33" t="s">
        <v>278</v>
      </c>
      <c r="P1619" s="111"/>
      <c r="Q1619" s="33" t="s">
        <v>587</v>
      </c>
      <c r="R1619" s="111"/>
      <c r="S1619" s="33" t="s">
        <v>278</v>
      </c>
      <c r="T1619" s="111"/>
      <c r="U1619" s="33" t="s">
        <v>278</v>
      </c>
      <c r="V1619" s="111"/>
      <c r="W1619" s="59" t="s">
        <v>548</v>
      </c>
      <c r="X1619" s="33" t="str">
        <f>+VLOOKUP(OtherClients[[#This Row],[Part]],PartControl!$A$2:$E$564,5,FALSE)</f>
        <v>infasco</v>
      </c>
      <c r="Y1619" s="108">
        <f>IF(OtherClients[[#This Row],[Re-certified or New]]&lt;&gt;"Re-certified",IF(OtherClients[[#This Row],[Client]]="infasco",VLOOKUP(OtherClients[[#This Row],[Part]],PartControl!$A$2:$E$564,2,FALSE),OtherClients[[#This Row],[Total Quantity]]*VLOOKUP(OtherClients[[#This Row],[Part]],PartControl!$A$2:$E$564,2,FALSE)),0)</f>
        <v>106.94</v>
      </c>
      <c r="Z1619" s="108">
        <f>IF(OtherClients[[#This Row],[Re-certified or New]]&lt;&gt;"Re-certified",IF(OtherClients[[#This Row],[Client]]="infasco",VLOOKUP(OtherClients[[#This Row],[Part]],PartControl!$A$2:$E$564,2,FALSE),OtherClients[[#This Row],[Total Quantity]]*VLOOKUP(OtherClients[[#This Row],[Part]],PartControl!$A$2:$E$564,2,FALSE)),0)</f>
        <v>106.94</v>
      </c>
    </row>
    <row r="1620" spans="1:26" ht="25.15" hidden="1" customHeight="1" x14ac:dyDescent="0.25">
      <c r="A1620" s="112">
        <v>46258.689768518518</v>
      </c>
      <c r="B1620" s="5" t="s">
        <v>637</v>
      </c>
      <c r="C1620" s="5" t="s">
        <v>642</v>
      </c>
      <c r="D1620" s="5">
        <v>716794</v>
      </c>
      <c r="E1620" s="33">
        <v>20</v>
      </c>
      <c r="F1620" s="60">
        <v>2800</v>
      </c>
      <c r="G1620" s="60">
        <f>+OtherClients[[#This Row],[Boxes / Pieces]]*OtherClients[[#This Row],[Unit Quantity]]</f>
        <v>56000</v>
      </c>
      <c r="H1620" s="60">
        <v>280</v>
      </c>
      <c r="I1620" s="60" t="s">
        <v>278</v>
      </c>
      <c r="J1620" s="104"/>
      <c r="K1620" s="33" t="s">
        <v>278</v>
      </c>
      <c r="L1620" s="111"/>
      <c r="M1620" s="33" t="s">
        <v>278</v>
      </c>
      <c r="N1620" s="111"/>
      <c r="O1620" s="33" t="s">
        <v>278</v>
      </c>
      <c r="P1620" s="111"/>
      <c r="Q1620" s="33" t="s">
        <v>587</v>
      </c>
      <c r="R1620" s="111"/>
      <c r="S1620" s="33" t="s">
        <v>278</v>
      </c>
      <c r="T1620" s="111"/>
      <c r="U1620" s="33" t="s">
        <v>278</v>
      </c>
      <c r="V1620" s="111"/>
      <c r="W1620" s="59" t="s">
        <v>633</v>
      </c>
      <c r="X1620" s="33" t="str">
        <f>+VLOOKUP(OtherClients[[#This Row],[Part]],PartControl!$A$2:$E$564,5,FALSE)</f>
        <v>infasco</v>
      </c>
      <c r="Y1620" s="108">
        <f>IF(OtherClients[[#This Row],[Re-certified or New]]&lt;&gt;"Re-certified",IF(OtherClients[[#This Row],[Client]]="infasco",VLOOKUP(OtherClients[[#This Row],[Part]],PartControl!$A$2:$E$564,2,FALSE),OtherClients[[#This Row],[Total Quantity]]*VLOOKUP(OtherClients[[#This Row],[Part]],PartControl!$A$2:$E$564,2,FALSE)),0)</f>
        <v>0</v>
      </c>
      <c r="Z1620" s="108">
        <f>IF(OtherClients[[#This Row],[Re-certified or New]]&lt;&gt;"Re-certified",IF(OtherClients[[#This Row],[Client]]="infasco",VLOOKUP(OtherClients[[#This Row],[Part]],PartControl!$A$2:$E$564,2,FALSE),OtherClients[[#This Row],[Total Quantity]]*VLOOKUP(OtherClients[[#This Row],[Part]],PartControl!$A$2:$E$564,2,FALSE)),0)</f>
        <v>0</v>
      </c>
    </row>
    <row r="1621" spans="1:26" ht="25.15" hidden="1" customHeight="1" x14ac:dyDescent="0.25">
      <c r="A1621" s="112">
        <v>46258.689768518518</v>
      </c>
      <c r="B1621" s="5" t="s">
        <v>634</v>
      </c>
      <c r="C1621" s="5" t="s">
        <v>698</v>
      </c>
      <c r="D1621" s="5">
        <v>714689</v>
      </c>
      <c r="E1621" s="33">
        <f>35-13</f>
        <v>22</v>
      </c>
      <c r="F1621" s="60">
        <v>3000</v>
      </c>
      <c r="G1621" s="60">
        <f>+OtherClients[[#This Row],[Boxes / Pieces]]*OtherClients[[#This Row],[Unit Quantity]]</f>
        <v>66000</v>
      </c>
      <c r="H1621" s="60">
        <v>280</v>
      </c>
      <c r="I1621" s="60" t="s">
        <v>278</v>
      </c>
      <c r="J1621" s="104"/>
      <c r="K1621" s="33" t="s">
        <v>278</v>
      </c>
      <c r="L1621" s="111"/>
      <c r="M1621" s="33" t="s">
        <v>278</v>
      </c>
      <c r="N1621" s="111"/>
      <c r="O1621" s="33" t="s">
        <v>278</v>
      </c>
      <c r="P1621" s="111"/>
      <c r="Q1621" s="33" t="s">
        <v>587</v>
      </c>
      <c r="R1621" s="111"/>
      <c r="S1621" s="33" t="s">
        <v>278</v>
      </c>
      <c r="T1621" s="111"/>
      <c r="U1621" s="33" t="s">
        <v>278</v>
      </c>
      <c r="V1621" s="111"/>
      <c r="W1621" s="59" t="s">
        <v>633</v>
      </c>
      <c r="X1621" s="33" t="str">
        <f>+VLOOKUP(OtherClients[[#This Row],[Part]],PartControl!$A$2:$E$564,5,FALSE)</f>
        <v>infasco</v>
      </c>
      <c r="Y1621" s="108">
        <f>IF(OtherClients[[#This Row],[Re-certified or New]]&lt;&gt;"Re-certified",IF(OtherClients[[#This Row],[Client]]="infasco",VLOOKUP(OtherClients[[#This Row],[Part]],PartControl!$A$2:$E$564,2,FALSE),OtherClients[[#This Row],[Total Quantity]]*VLOOKUP(OtherClients[[#This Row],[Part]],PartControl!$A$2:$E$564,2,FALSE)),0)</f>
        <v>0</v>
      </c>
      <c r="Z1621" s="108">
        <f>IF(OtherClients[[#This Row],[Re-certified or New]]&lt;&gt;"Re-certified",IF(OtherClients[[#This Row],[Client]]="infasco",VLOOKUP(OtherClients[[#This Row],[Part]],PartControl!$A$2:$E$564,2,FALSE),OtherClients[[#This Row],[Total Quantity]]*VLOOKUP(OtherClients[[#This Row],[Part]],PartControl!$A$2:$E$564,2,FALSE)),0)</f>
        <v>0</v>
      </c>
    </row>
    <row r="1622" spans="1:26" ht="25.15" hidden="1" customHeight="1" x14ac:dyDescent="0.25">
      <c r="A1622" s="112">
        <v>46258.689768518518</v>
      </c>
      <c r="B1622" s="5" t="s">
        <v>249</v>
      </c>
      <c r="C1622" s="5">
        <v>11612078</v>
      </c>
      <c r="D1622" s="5">
        <v>709059</v>
      </c>
      <c r="E1622" s="33">
        <v>6</v>
      </c>
      <c r="F1622" s="60">
        <v>1850</v>
      </c>
      <c r="G1622" s="60">
        <f>+OtherClients[[#This Row],[Boxes / Pieces]]*OtherClients[[#This Row],[Unit Quantity]]</f>
        <v>11100</v>
      </c>
      <c r="H1622" s="60">
        <v>4</v>
      </c>
      <c r="I1622" s="60" t="s">
        <v>278</v>
      </c>
      <c r="J1622" s="104"/>
      <c r="K1622" s="33" t="s">
        <v>278</v>
      </c>
      <c r="L1622" s="111"/>
      <c r="M1622" s="33" t="s">
        <v>278</v>
      </c>
      <c r="N1622" s="111"/>
      <c r="O1622" s="33" t="s">
        <v>278</v>
      </c>
      <c r="P1622" s="111"/>
      <c r="Q1622" s="33" t="s">
        <v>587</v>
      </c>
      <c r="R1622" s="111"/>
      <c r="S1622" s="33" t="s">
        <v>278</v>
      </c>
      <c r="T1622" s="111"/>
      <c r="U1622" s="33" t="s">
        <v>278</v>
      </c>
      <c r="V1622" s="111"/>
      <c r="W1622" s="59" t="s">
        <v>548</v>
      </c>
      <c r="X1622" s="33" t="str">
        <f>+VLOOKUP(OtherClients[[#This Row],[Part]],PartControl!$A$2:$E$564,5,FALSE)</f>
        <v>infasco</v>
      </c>
      <c r="Y1622" s="108">
        <f>IF(OtherClients[[#This Row],[Re-certified or New]]&lt;&gt;"Re-certified",IF(OtherClients[[#This Row],[Client]]="infasco",VLOOKUP(OtherClients[[#This Row],[Part]],PartControl!$A$2:$E$564,2,FALSE),OtherClients[[#This Row],[Total Quantity]]*VLOOKUP(OtherClients[[#This Row],[Part]],PartControl!$A$2:$E$564,2,FALSE)),0)</f>
        <v>247.64</v>
      </c>
      <c r="Z1622" s="108">
        <f>IF(OtherClients[[#This Row],[Re-certified or New]]&lt;&gt;"Re-certified",IF(OtherClients[[#This Row],[Client]]="infasco",VLOOKUP(OtherClients[[#This Row],[Part]],PartControl!$A$2:$E$564,2,FALSE),OtherClients[[#This Row],[Total Quantity]]*VLOOKUP(OtherClients[[#This Row],[Part]],PartControl!$A$2:$E$564,2,FALSE)),0)</f>
        <v>247.64</v>
      </c>
    </row>
    <row r="1623" spans="1:26" ht="25.15" hidden="1" customHeight="1" x14ac:dyDescent="0.25">
      <c r="A1623" s="112">
        <v>46258.689768518518</v>
      </c>
      <c r="B1623" s="5" t="s">
        <v>249</v>
      </c>
      <c r="C1623" s="5">
        <v>11612078</v>
      </c>
      <c r="D1623" s="5">
        <v>705986</v>
      </c>
      <c r="E1623" s="33">
        <v>17</v>
      </c>
      <c r="F1623" s="60">
        <v>1850</v>
      </c>
      <c r="G1623" s="60">
        <f>+OtherClients[[#This Row],[Boxes / Pieces]]*OtherClients[[#This Row],[Unit Quantity]]</f>
        <v>31450</v>
      </c>
      <c r="H1623" s="60">
        <v>4</v>
      </c>
      <c r="I1623" s="60" t="s">
        <v>278</v>
      </c>
      <c r="J1623" s="104"/>
      <c r="K1623" s="33" t="s">
        <v>278</v>
      </c>
      <c r="L1623" s="111"/>
      <c r="M1623" s="33" t="s">
        <v>278</v>
      </c>
      <c r="N1623" s="111"/>
      <c r="O1623" s="33" t="s">
        <v>278</v>
      </c>
      <c r="P1623" s="111"/>
      <c r="Q1623" s="33" t="s">
        <v>587</v>
      </c>
      <c r="R1623" s="111"/>
      <c r="S1623" s="33" t="s">
        <v>278</v>
      </c>
      <c r="T1623" s="111"/>
      <c r="U1623" s="33" t="s">
        <v>278</v>
      </c>
      <c r="V1623" s="111"/>
      <c r="W1623" s="59" t="s">
        <v>633</v>
      </c>
      <c r="X1623" s="33" t="str">
        <f>+VLOOKUP(OtherClients[[#This Row],[Part]],PartControl!$A$2:$E$564,5,FALSE)</f>
        <v>infasco</v>
      </c>
      <c r="Y1623" s="108">
        <f>IF(OtherClients[[#This Row],[Re-certified or New]]&lt;&gt;"Re-certified",IF(OtherClients[[#This Row],[Client]]="infasco",VLOOKUP(OtherClients[[#This Row],[Part]],PartControl!$A$2:$E$564,2,FALSE),OtherClients[[#This Row],[Total Quantity]]*VLOOKUP(OtherClients[[#This Row],[Part]],PartControl!$A$2:$E$564,2,FALSE)),0)</f>
        <v>0</v>
      </c>
      <c r="Z1623" s="108">
        <f>IF(OtherClients[[#This Row],[Re-certified or New]]&lt;&gt;"Re-certified",IF(OtherClients[[#This Row],[Client]]="infasco",VLOOKUP(OtherClients[[#This Row],[Part]],PartControl!$A$2:$E$564,2,FALSE),OtherClients[[#This Row],[Total Quantity]]*VLOOKUP(OtherClients[[#This Row],[Part]],PartControl!$A$2:$E$564,2,FALSE)),0)</f>
        <v>0</v>
      </c>
    </row>
    <row r="1624" spans="1:26" ht="25.15" hidden="1" customHeight="1" x14ac:dyDescent="0.25">
      <c r="A1624" s="112">
        <v>46258.689768518518</v>
      </c>
      <c r="B1624" s="5" t="s">
        <v>342</v>
      </c>
      <c r="C1624" s="5">
        <v>91054</v>
      </c>
      <c r="D1624" s="5">
        <v>714018</v>
      </c>
      <c r="E1624" s="33">
        <v>15</v>
      </c>
      <c r="F1624" s="60">
        <v>1700</v>
      </c>
      <c r="G1624" s="60">
        <f>+OtherClients[[#This Row],[Boxes / Pieces]]*OtherClients[[#This Row],[Unit Quantity]]</f>
        <v>25500</v>
      </c>
      <c r="H1624" s="60" t="s">
        <v>811</v>
      </c>
      <c r="I1624" s="60" t="s">
        <v>278</v>
      </c>
      <c r="J1624" s="104"/>
      <c r="K1624" s="33" t="s">
        <v>278</v>
      </c>
      <c r="L1624" s="111"/>
      <c r="M1624" s="33" t="s">
        <v>278</v>
      </c>
      <c r="N1624" s="111"/>
      <c r="O1624" s="33" t="s">
        <v>278</v>
      </c>
      <c r="P1624" s="111"/>
      <c r="Q1624" s="33" t="s">
        <v>587</v>
      </c>
      <c r="R1624" s="111"/>
      <c r="S1624" s="33" t="s">
        <v>278</v>
      </c>
      <c r="T1624" s="111"/>
      <c r="U1624" s="33" t="s">
        <v>278</v>
      </c>
      <c r="V1624" s="111"/>
      <c r="W1624" s="59" t="s">
        <v>548</v>
      </c>
      <c r="X1624" s="33" t="str">
        <f>+VLOOKUP(OtherClients[[#This Row],[Part]],PartControl!$A$2:$E$564,5,FALSE)</f>
        <v>infasco</v>
      </c>
      <c r="Y1624" s="108">
        <f>IF(OtherClients[[#This Row],[Re-certified or New]]&lt;&gt;"Re-certified",IF(OtherClients[[#This Row],[Client]]="infasco",VLOOKUP(OtherClients[[#This Row],[Part]],PartControl!$A$2:$E$564,2,FALSE),OtherClients[[#This Row],[Total Quantity]]*VLOOKUP(OtherClients[[#This Row],[Part]],PartControl!$A$2:$E$564,2,FALSE)),0)</f>
        <v>106.94</v>
      </c>
      <c r="Z1624" s="108">
        <f>IF(OtherClients[[#This Row],[Re-certified or New]]&lt;&gt;"Re-certified",IF(OtherClients[[#This Row],[Client]]="infasco",VLOOKUP(OtherClients[[#This Row],[Part]],PartControl!$A$2:$E$564,2,FALSE),OtherClients[[#This Row],[Total Quantity]]*VLOOKUP(OtherClients[[#This Row],[Part]],PartControl!$A$2:$E$564,2,FALSE)),0)</f>
        <v>106.94</v>
      </c>
    </row>
    <row r="1625" spans="1:26" ht="25.15" hidden="1" customHeight="1" x14ac:dyDescent="0.25">
      <c r="A1625" s="112">
        <v>46258.689768518518</v>
      </c>
      <c r="B1625" s="5" t="s">
        <v>342</v>
      </c>
      <c r="C1625" s="5">
        <v>11546774</v>
      </c>
      <c r="D1625" s="5">
        <v>713586</v>
      </c>
      <c r="E1625" s="33">
        <v>21</v>
      </c>
      <c r="F1625" s="60">
        <v>450</v>
      </c>
      <c r="G1625" s="60">
        <f>+OtherClients[[#This Row],[Boxes / Pieces]]*OtherClients[[#This Row],[Unit Quantity]]</f>
        <v>9450</v>
      </c>
      <c r="H1625" s="60" t="s">
        <v>811</v>
      </c>
      <c r="I1625" s="60" t="s">
        <v>278</v>
      </c>
      <c r="J1625" s="104"/>
      <c r="K1625" s="33" t="s">
        <v>278</v>
      </c>
      <c r="L1625" s="111"/>
      <c r="M1625" s="33" t="s">
        <v>278</v>
      </c>
      <c r="N1625" s="111"/>
      <c r="O1625" s="33" t="s">
        <v>278</v>
      </c>
      <c r="P1625" s="111"/>
      <c r="Q1625" s="33" t="s">
        <v>587</v>
      </c>
      <c r="R1625" s="111"/>
      <c r="S1625" s="33" t="s">
        <v>278</v>
      </c>
      <c r="T1625" s="111"/>
      <c r="U1625" s="33" t="s">
        <v>278</v>
      </c>
      <c r="V1625" s="111"/>
      <c r="W1625" s="59" t="s">
        <v>548</v>
      </c>
      <c r="X1625" s="33" t="str">
        <f>+VLOOKUP(OtherClients[[#This Row],[Part]],PartControl!$A$2:$E$564,5,FALSE)</f>
        <v>infasco</v>
      </c>
      <c r="Y1625" s="108">
        <f>IF(OtherClients[[#This Row],[Re-certified or New]]&lt;&gt;"Re-certified",IF(OtherClients[[#This Row],[Client]]="infasco",VLOOKUP(OtherClients[[#This Row],[Part]],PartControl!$A$2:$E$564,2,FALSE),OtherClients[[#This Row],[Total Quantity]]*VLOOKUP(OtherClients[[#This Row],[Part]],PartControl!$A$2:$E$564,2,FALSE)),0)</f>
        <v>106.94</v>
      </c>
      <c r="Z1625" s="108">
        <f>IF(OtherClients[[#This Row],[Re-certified or New]]&lt;&gt;"Re-certified",IF(OtherClients[[#This Row],[Client]]="infasco",VLOOKUP(OtherClients[[#This Row],[Part]],PartControl!$A$2:$E$564,2,FALSE),OtherClients[[#This Row],[Total Quantity]]*VLOOKUP(OtherClients[[#This Row],[Part]],PartControl!$A$2:$E$564,2,FALSE)),0)</f>
        <v>106.94</v>
      </c>
    </row>
    <row r="1626" spans="1:26" ht="25.15" hidden="1" customHeight="1" x14ac:dyDescent="0.25">
      <c r="A1626" s="112">
        <v>46258.689768518518</v>
      </c>
      <c r="B1626" s="5" t="s">
        <v>342</v>
      </c>
      <c r="C1626" s="5" t="s">
        <v>823</v>
      </c>
      <c r="D1626" s="5">
        <v>716542</v>
      </c>
      <c r="E1626" s="33">
        <v>36</v>
      </c>
      <c r="F1626" s="60">
        <v>1500</v>
      </c>
      <c r="G1626" s="60">
        <f>+OtherClients[[#This Row],[Boxes / Pieces]]*OtherClients[[#This Row],[Unit Quantity]]</f>
        <v>54000</v>
      </c>
      <c r="H1626" s="60" t="s">
        <v>811</v>
      </c>
      <c r="I1626" s="60" t="s">
        <v>278</v>
      </c>
      <c r="J1626" s="104"/>
      <c r="K1626" s="33" t="s">
        <v>278</v>
      </c>
      <c r="L1626" s="111"/>
      <c r="M1626" s="33" t="s">
        <v>278</v>
      </c>
      <c r="N1626" s="111"/>
      <c r="O1626" s="33" t="s">
        <v>278</v>
      </c>
      <c r="P1626" s="111"/>
      <c r="Q1626" s="33" t="s">
        <v>587</v>
      </c>
      <c r="R1626" s="111"/>
      <c r="S1626" s="33" t="s">
        <v>278</v>
      </c>
      <c r="T1626" s="111"/>
      <c r="U1626" s="33" t="s">
        <v>278</v>
      </c>
      <c r="V1626" s="111"/>
      <c r="W1626" s="59" t="s">
        <v>548</v>
      </c>
      <c r="X1626" s="33" t="str">
        <f>+VLOOKUP(OtherClients[[#This Row],[Part]],PartControl!$A$2:$E$564,5,FALSE)</f>
        <v>infasco</v>
      </c>
      <c r="Y1626" s="108">
        <f>IF(OtherClients[[#This Row],[Re-certified or New]]&lt;&gt;"Re-certified",IF(OtherClients[[#This Row],[Client]]="infasco",VLOOKUP(OtherClients[[#This Row],[Part]],PartControl!$A$2:$E$564,2,FALSE),OtherClients[[#This Row],[Total Quantity]]*VLOOKUP(OtherClients[[#This Row],[Part]],PartControl!$A$2:$E$564,2,FALSE)),0)</f>
        <v>226.94</v>
      </c>
      <c r="Z1626" s="108">
        <f>IF(OtherClients[[#This Row],[Re-certified or New]]&lt;&gt;"Re-certified",IF(OtherClients[[#This Row],[Client]]="infasco",VLOOKUP(OtherClients[[#This Row],[Part]],PartControl!$A$2:$E$564,2,FALSE),OtherClients[[#This Row],[Total Quantity]]*VLOOKUP(OtherClients[[#This Row],[Part]],PartControl!$A$2:$E$564,2,FALSE)),0)</f>
        <v>226.94</v>
      </c>
    </row>
    <row r="1627" spans="1:26" ht="25.15" hidden="1" customHeight="1" x14ac:dyDescent="0.25">
      <c r="A1627" s="112">
        <v>46258.689768518518</v>
      </c>
      <c r="B1627" s="5" t="s">
        <v>342</v>
      </c>
      <c r="C1627" s="5" t="s">
        <v>823</v>
      </c>
      <c r="D1627" s="5">
        <v>716544</v>
      </c>
      <c r="E1627" s="33">
        <v>58</v>
      </c>
      <c r="F1627" s="60">
        <v>1500</v>
      </c>
      <c r="G1627" s="60">
        <f>+OtherClients[[#This Row],[Boxes / Pieces]]*OtherClients[[#This Row],[Unit Quantity]]</f>
        <v>87000</v>
      </c>
      <c r="H1627" s="60" t="s">
        <v>811</v>
      </c>
      <c r="I1627" s="60" t="s">
        <v>278</v>
      </c>
      <c r="J1627" s="104"/>
      <c r="K1627" s="33" t="s">
        <v>278</v>
      </c>
      <c r="L1627" s="111"/>
      <c r="M1627" s="33" t="s">
        <v>278</v>
      </c>
      <c r="N1627" s="111"/>
      <c r="O1627" s="33" t="s">
        <v>278</v>
      </c>
      <c r="P1627" s="111"/>
      <c r="Q1627" s="33" t="s">
        <v>587</v>
      </c>
      <c r="R1627" s="111"/>
      <c r="S1627" s="33" t="s">
        <v>278</v>
      </c>
      <c r="T1627" s="111"/>
      <c r="U1627" s="33" t="s">
        <v>278</v>
      </c>
      <c r="V1627" s="111"/>
      <c r="W1627" s="59" t="s">
        <v>548</v>
      </c>
      <c r="X1627" s="33" t="str">
        <f>+VLOOKUP(OtherClients[[#This Row],[Part]],PartControl!$A$2:$E$564,5,FALSE)</f>
        <v>infasco</v>
      </c>
      <c r="Y1627" s="108">
        <f>IF(OtherClients[[#This Row],[Re-certified or New]]&lt;&gt;"Re-certified",IF(OtherClients[[#This Row],[Client]]="infasco",VLOOKUP(OtherClients[[#This Row],[Part]],PartControl!$A$2:$E$564,2,FALSE),OtherClients[[#This Row],[Total Quantity]]*VLOOKUP(OtherClients[[#This Row],[Part]],PartControl!$A$2:$E$564,2,FALSE)),0)</f>
        <v>226.94</v>
      </c>
      <c r="Z1627" s="108">
        <f>IF(OtherClients[[#This Row],[Re-certified or New]]&lt;&gt;"Re-certified",IF(OtherClients[[#This Row],[Client]]="infasco",VLOOKUP(OtherClients[[#This Row],[Part]],PartControl!$A$2:$E$564,2,FALSE),OtherClients[[#This Row],[Total Quantity]]*VLOOKUP(OtherClients[[#This Row],[Part]],PartControl!$A$2:$E$564,2,FALSE)),0)</f>
        <v>226.94</v>
      </c>
    </row>
    <row r="1628" spans="1:26" ht="25.15" hidden="1" customHeight="1" x14ac:dyDescent="0.25">
      <c r="A1628" s="112">
        <v>46258.689768518518</v>
      </c>
      <c r="B1628" s="5" t="s">
        <v>342</v>
      </c>
      <c r="C1628" s="5">
        <v>11609280</v>
      </c>
      <c r="D1628" s="5">
        <v>715993</v>
      </c>
      <c r="E1628" s="33">
        <v>17</v>
      </c>
      <c r="F1628" s="60">
        <v>2000</v>
      </c>
      <c r="G1628" s="60">
        <f>+OtherClients[[#This Row],[Boxes / Pieces]]*OtherClients[[#This Row],[Unit Quantity]]</f>
        <v>34000</v>
      </c>
      <c r="H1628" s="60" t="s">
        <v>811</v>
      </c>
      <c r="I1628" s="60" t="s">
        <v>278</v>
      </c>
      <c r="J1628" s="104"/>
      <c r="K1628" s="33" t="s">
        <v>278</v>
      </c>
      <c r="L1628" s="111"/>
      <c r="M1628" s="33" t="s">
        <v>278</v>
      </c>
      <c r="N1628" s="111"/>
      <c r="O1628" s="33" t="s">
        <v>278</v>
      </c>
      <c r="P1628" s="111"/>
      <c r="Q1628" s="33" t="s">
        <v>587</v>
      </c>
      <c r="R1628" s="111"/>
      <c r="S1628" s="33" t="s">
        <v>278</v>
      </c>
      <c r="T1628" s="111"/>
      <c r="U1628" s="33" t="s">
        <v>278</v>
      </c>
      <c r="V1628" s="111"/>
      <c r="W1628" s="59" t="s">
        <v>548</v>
      </c>
      <c r="X1628" s="33" t="str">
        <f>+VLOOKUP(OtherClients[[#This Row],[Part]],PartControl!$A$2:$E$564,5,FALSE)</f>
        <v>infasco</v>
      </c>
      <c r="Y1628" s="108">
        <f>IF(OtherClients[[#This Row],[Re-certified or New]]&lt;&gt;"Re-certified",IF(OtherClients[[#This Row],[Client]]="infasco",VLOOKUP(OtherClients[[#This Row],[Part]],PartControl!$A$2:$E$564,2,FALSE),OtherClients[[#This Row],[Total Quantity]]*VLOOKUP(OtherClients[[#This Row],[Part]],PartControl!$A$2:$E$564,2,FALSE)),0)</f>
        <v>106.94</v>
      </c>
      <c r="Z1628" s="108">
        <f>IF(OtherClients[[#This Row],[Re-certified or New]]&lt;&gt;"Re-certified",IF(OtherClients[[#This Row],[Client]]="infasco",VLOOKUP(OtherClients[[#This Row],[Part]],PartControl!$A$2:$E$564,2,FALSE),OtherClients[[#This Row],[Total Quantity]]*VLOOKUP(OtherClients[[#This Row],[Part]],PartControl!$A$2:$E$564,2,FALSE)),0)</f>
        <v>106.94</v>
      </c>
    </row>
    <row r="1629" spans="1:26" ht="25.15" hidden="1" customHeight="1" x14ac:dyDescent="0.25">
      <c r="A1629" s="112">
        <v>46258.689768518518</v>
      </c>
      <c r="B1629" s="5" t="s">
        <v>342</v>
      </c>
      <c r="C1629" s="5" t="s">
        <v>812</v>
      </c>
      <c r="D1629" s="5">
        <v>715987</v>
      </c>
      <c r="E1629" s="33">
        <v>40</v>
      </c>
      <c r="F1629" s="60">
        <v>135</v>
      </c>
      <c r="G1629" s="60">
        <f>+OtherClients[[#This Row],[Boxes / Pieces]]*OtherClients[[#This Row],[Unit Quantity]]</f>
        <v>5400</v>
      </c>
      <c r="H1629" s="60" t="s">
        <v>811</v>
      </c>
      <c r="I1629" s="60" t="s">
        <v>278</v>
      </c>
      <c r="J1629" s="104"/>
      <c r="K1629" s="33" t="s">
        <v>278</v>
      </c>
      <c r="L1629" s="111"/>
      <c r="M1629" s="33" t="s">
        <v>278</v>
      </c>
      <c r="N1629" s="111"/>
      <c r="O1629" s="33" t="s">
        <v>278</v>
      </c>
      <c r="P1629" s="111"/>
      <c r="Q1629" s="33" t="s">
        <v>587</v>
      </c>
      <c r="R1629" s="111"/>
      <c r="S1629" s="33" t="s">
        <v>278</v>
      </c>
      <c r="T1629" s="111"/>
      <c r="U1629" s="33" t="s">
        <v>278</v>
      </c>
      <c r="V1629" s="111"/>
      <c r="W1629" s="59" t="s">
        <v>548</v>
      </c>
      <c r="X1629" s="33" t="str">
        <f>+VLOOKUP(OtherClients[[#This Row],[Part]],PartControl!$A$2:$E$564,5,FALSE)</f>
        <v>Infasco</v>
      </c>
      <c r="Y1629" s="108">
        <f>IF(OtherClients[[#This Row],[Re-certified or New]]&lt;&gt;"Re-certified",IF(OtherClients[[#This Row],[Client]]="infasco",VLOOKUP(OtherClients[[#This Row],[Part]],PartControl!$A$2:$E$564,2,FALSE),OtherClients[[#This Row],[Total Quantity]]*VLOOKUP(OtherClients[[#This Row],[Part]],PartControl!$A$2:$E$564,2,FALSE)),0)</f>
        <v>106.94</v>
      </c>
      <c r="Z1629" s="108">
        <f>IF(OtherClients[[#This Row],[Re-certified or New]]&lt;&gt;"Re-certified",IF(OtherClients[[#This Row],[Client]]="infasco",VLOOKUP(OtherClients[[#This Row],[Part]],PartControl!$A$2:$E$564,2,FALSE),OtherClients[[#This Row],[Total Quantity]]*VLOOKUP(OtherClients[[#This Row],[Part]],PartControl!$A$2:$E$564,2,FALSE)),0)</f>
        <v>106.94</v>
      </c>
    </row>
    <row r="1630" spans="1:26" ht="25.15" hidden="1" customHeight="1" x14ac:dyDescent="0.25">
      <c r="A1630" s="112">
        <v>46258.689768518518</v>
      </c>
      <c r="B1630" s="5" t="s">
        <v>342</v>
      </c>
      <c r="C1630" s="5">
        <v>11547059</v>
      </c>
      <c r="D1630" s="5">
        <v>716255</v>
      </c>
      <c r="E1630" s="33">
        <v>42</v>
      </c>
      <c r="F1630" s="60">
        <v>550</v>
      </c>
      <c r="G1630" s="60">
        <f>+OtherClients[[#This Row],[Boxes / Pieces]]*OtherClients[[#This Row],[Unit Quantity]]</f>
        <v>23100</v>
      </c>
      <c r="H1630" s="60" t="s">
        <v>811</v>
      </c>
      <c r="I1630" s="60" t="s">
        <v>278</v>
      </c>
      <c r="J1630" s="104"/>
      <c r="K1630" s="33" t="s">
        <v>278</v>
      </c>
      <c r="L1630" s="111"/>
      <c r="M1630" s="33" t="s">
        <v>278</v>
      </c>
      <c r="N1630" s="111"/>
      <c r="O1630" s="33" t="s">
        <v>278</v>
      </c>
      <c r="P1630" s="111"/>
      <c r="Q1630" s="33" t="s">
        <v>587</v>
      </c>
      <c r="R1630" s="111"/>
      <c r="S1630" s="33" t="s">
        <v>278</v>
      </c>
      <c r="T1630" s="111"/>
      <c r="U1630" s="33" t="s">
        <v>278</v>
      </c>
      <c r="V1630" s="111"/>
      <c r="W1630" s="59" t="s">
        <v>548</v>
      </c>
      <c r="X1630" s="33" t="str">
        <f>+VLOOKUP(OtherClients[[#This Row],[Part]],PartControl!$A$2:$E$564,5,FALSE)</f>
        <v>infasco</v>
      </c>
      <c r="Y1630" s="108">
        <f>IF(OtherClients[[#This Row],[Re-certified or New]]&lt;&gt;"Re-certified",IF(OtherClients[[#This Row],[Client]]="infasco",VLOOKUP(OtherClients[[#This Row],[Part]],PartControl!$A$2:$E$564,2,FALSE),OtherClients[[#This Row],[Total Quantity]]*VLOOKUP(OtherClients[[#This Row],[Part]],PartControl!$A$2:$E$564,2,FALSE)),0)</f>
        <v>135.07999999999998</v>
      </c>
      <c r="Z1630" s="108">
        <f>IF(OtherClients[[#This Row],[Re-certified or New]]&lt;&gt;"Re-certified",IF(OtherClients[[#This Row],[Client]]="infasco",VLOOKUP(OtherClients[[#This Row],[Part]],PartControl!$A$2:$E$564,2,FALSE),OtherClients[[#This Row],[Total Quantity]]*VLOOKUP(OtherClients[[#This Row],[Part]],PartControl!$A$2:$E$564,2,FALSE)),0)</f>
        <v>135.07999999999998</v>
      </c>
    </row>
    <row r="1631" spans="1:26" ht="25.15" hidden="1" customHeight="1" x14ac:dyDescent="0.25">
      <c r="A1631" s="112">
        <v>46258.689768518518</v>
      </c>
      <c r="B1631" s="5" t="s">
        <v>342</v>
      </c>
      <c r="C1631" s="5" t="s">
        <v>889</v>
      </c>
      <c r="D1631" s="5">
        <v>717147</v>
      </c>
      <c r="E1631" s="33">
        <v>32</v>
      </c>
      <c r="F1631" s="60">
        <v>450</v>
      </c>
      <c r="G1631" s="60">
        <f>+OtherClients[[#This Row],[Boxes / Pieces]]*OtherClients[[#This Row],[Unit Quantity]]</f>
        <v>14400</v>
      </c>
      <c r="H1631" s="60" t="s">
        <v>811</v>
      </c>
      <c r="I1631" s="60" t="s">
        <v>278</v>
      </c>
      <c r="J1631" s="104"/>
      <c r="K1631" s="33" t="s">
        <v>278</v>
      </c>
      <c r="L1631" s="111"/>
      <c r="M1631" s="33" t="s">
        <v>278</v>
      </c>
      <c r="N1631" s="111"/>
      <c r="O1631" s="33" t="s">
        <v>278</v>
      </c>
      <c r="P1631" s="111"/>
      <c r="Q1631" s="33" t="s">
        <v>587</v>
      </c>
      <c r="R1631" s="111"/>
      <c r="S1631" s="33" t="s">
        <v>278</v>
      </c>
      <c r="T1631" s="111"/>
      <c r="U1631" s="33" t="s">
        <v>278</v>
      </c>
      <c r="V1631" s="111"/>
      <c r="W1631" s="59" t="s">
        <v>548</v>
      </c>
      <c r="X1631" s="33" t="str">
        <f>+VLOOKUP(OtherClients[[#This Row],[Part]],PartControl!$A$2:$E$564,5,FALSE)</f>
        <v>Infasco</v>
      </c>
      <c r="Y1631" s="108">
        <f>IF(OtherClients[[#This Row],[Re-certified or New]]&lt;&gt;"Re-certified",IF(OtherClients[[#This Row],[Client]]="infasco",VLOOKUP(OtherClients[[#This Row],[Part]],PartControl!$A$2:$E$564,2,FALSE),OtherClients[[#This Row],[Total Quantity]]*VLOOKUP(OtherClients[[#This Row],[Part]],PartControl!$A$2:$E$564,2,FALSE)),0)</f>
        <v>106.94</v>
      </c>
      <c r="Z1631" s="108">
        <f>IF(OtherClients[[#This Row],[Re-certified or New]]&lt;&gt;"Re-certified",IF(OtherClients[[#This Row],[Client]]="infasco",VLOOKUP(OtherClients[[#This Row],[Part]],PartControl!$A$2:$E$564,2,FALSE),OtherClients[[#This Row],[Total Quantity]]*VLOOKUP(OtherClients[[#This Row],[Part]],PartControl!$A$2:$E$564,2,FALSE)),0)</f>
        <v>106.94</v>
      </c>
    </row>
    <row r="1632" spans="1:26" ht="25.15" hidden="1" customHeight="1" x14ac:dyDescent="0.25">
      <c r="A1632" s="112">
        <v>46258.689768518518</v>
      </c>
      <c r="B1632" s="5" t="s">
        <v>342</v>
      </c>
      <c r="C1632" s="5" t="s">
        <v>890</v>
      </c>
      <c r="D1632" s="5">
        <v>717183</v>
      </c>
      <c r="E1632" s="33">
        <v>2</v>
      </c>
      <c r="F1632" s="60">
        <v>145</v>
      </c>
      <c r="G1632" s="60">
        <f>+OtherClients[[#This Row],[Boxes / Pieces]]*OtherClients[[#This Row],[Unit Quantity]]</f>
        <v>290</v>
      </c>
      <c r="H1632" s="60" t="s">
        <v>811</v>
      </c>
      <c r="I1632" s="60" t="s">
        <v>278</v>
      </c>
      <c r="J1632" s="104"/>
      <c r="K1632" s="33" t="s">
        <v>278</v>
      </c>
      <c r="L1632" s="111"/>
      <c r="M1632" s="33" t="s">
        <v>278</v>
      </c>
      <c r="N1632" s="111"/>
      <c r="O1632" s="33" t="s">
        <v>278</v>
      </c>
      <c r="P1632" s="111"/>
      <c r="Q1632" s="33" t="s">
        <v>587</v>
      </c>
      <c r="R1632" s="111"/>
      <c r="S1632" s="33" t="s">
        <v>278</v>
      </c>
      <c r="T1632" s="111"/>
      <c r="U1632" s="33" t="s">
        <v>278</v>
      </c>
      <c r="V1632" s="111"/>
      <c r="W1632" s="59" t="s">
        <v>633</v>
      </c>
      <c r="X1632" s="33" t="str">
        <f>+VLOOKUP(OtherClients[[#This Row],[Part]],PartControl!$A$2:$E$564,5,FALSE)</f>
        <v>infasco</v>
      </c>
      <c r="Y1632" s="108">
        <f>IF(OtherClients[[#This Row],[Re-certified or New]]&lt;&gt;"Re-certified",IF(OtherClients[[#This Row],[Client]]="infasco",VLOOKUP(OtherClients[[#This Row],[Part]],PartControl!$A$2:$E$564,2,FALSE),OtherClients[[#This Row],[Total Quantity]]*VLOOKUP(OtherClients[[#This Row],[Part]],PartControl!$A$2:$E$564,2,FALSE)),0)</f>
        <v>0</v>
      </c>
      <c r="Z1632" s="108">
        <f>IF(OtherClients[[#This Row],[Re-certified or New]]&lt;&gt;"Re-certified",IF(OtherClients[[#This Row],[Client]]="infasco",VLOOKUP(OtherClients[[#This Row],[Part]],PartControl!$A$2:$E$564,2,FALSE),OtherClients[[#This Row],[Total Quantity]]*VLOOKUP(OtherClients[[#This Row],[Part]],PartControl!$A$2:$E$564,2,FALSE)),0)</f>
        <v>0</v>
      </c>
    </row>
    <row r="1633" spans="1:26" ht="25.15" hidden="1" customHeight="1" x14ac:dyDescent="0.25">
      <c r="A1633" s="112">
        <v>46258.689768518518</v>
      </c>
      <c r="B1633" s="5" t="s">
        <v>343</v>
      </c>
      <c r="C1633" s="5">
        <v>91054</v>
      </c>
      <c r="D1633" s="5">
        <v>714019</v>
      </c>
      <c r="E1633" s="33">
        <f>36+3-16</f>
        <v>23</v>
      </c>
      <c r="F1633" s="60">
        <v>1700</v>
      </c>
      <c r="G1633" s="60">
        <f>+OtherClients[[#This Row],[Boxes / Pieces]]*OtherClients[[#This Row],[Unit Quantity]]</f>
        <v>39100</v>
      </c>
      <c r="H1633" s="60" t="s">
        <v>757</v>
      </c>
      <c r="I1633" s="60" t="s">
        <v>278</v>
      </c>
      <c r="J1633" s="104"/>
      <c r="K1633" s="33" t="s">
        <v>278</v>
      </c>
      <c r="L1633" s="111"/>
      <c r="M1633" s="33" t="s">
        <v>278</v>
      </c>
      <c r="N1633" s="111"/>
      <c r="O1633" s="33" t="s">
        <v>278</v>
      </c>
      <c r="P1633" s="111"/>
      <c r="Q1633" s="33" t="s">
        <v>587</v>
      </c>
      <c r="R1633" s="111"/>
      <c r="S1633" s="33" t="s">
        <v>278</v>
      </c>
      <c r="T1633" s="111"/>
      <c r="U1633" s="33" t="s">
        <v>278</v>
      </c>
      <c r="V1633" s="111"/>
      <c r="W1633" s="59" t="s">
        <v>548</v>
      </c>
      <c r="X1633" s="33" t="str">
        <f>+VLOOKUP(OtherClients[[#This Row],[Part]],PartControl!$A$2:$E$564,5,FALSE)</f>
        <v>infasco</v>
      </c>
      <c r="Y1633" s="108">
        <f>IF(OtherClients[[#This Row],[Re-certified or New]]&lt;&gt;"Re-certified",IF(OtherClients[[#This Row],[Client]]="infasco",VLOOKUP(OtherClients[[#This Row],[Part]],PartControl!$A$2:$E$564,2,FALSE),OtherClients[[#This Row],[Total Quantity]]*VLOOKUP(OtherClients[[#This Row],[Part]],PartControl!$A$2:$E$564,2,FALSE)),0)</f>
        <v>106.94</v>
      </c>
      <c r="Z1633" s="108">
        <f>IF(OtherClients[[#This Row],[Re-certified or New]]&lt;&gt;"Re-certified",IF(OtherClients[[#This Row],[Client]]="infasco",VLOOKUP(OtherClients[[#This Row],[Part]],PartControl!$A$2:$E$564,2,FALSE),OtherClients[[#This Row],[Total Quantity]]*VLOOKUP(OtherClients[[#This Row],[Part]],PartControl!$A$2:$E$564,2,FALSE)),0)</f>
        <v>106.94</v>
      </c>
    </row>
    <row r="1634" spans="1:26" ht="25.15" hidden="1" customHeight="1" x14ac:dyDescent="0.25">
      <c r="A1634" s="112">
        <v>46258.689768518518</v>
      </c>
      <c r="B1634" s="5" t="s">
        <v>343</v>
      </c>
      <c r="C1634" s="5" t="s">
        <v>646</v>
      </c>
      <c r="D1634" s="5">
        <v>716547</v>
      </c>
      <c r="E1634" s="33">
        <v>24</v>
      </c>
      <c r="F1634" s="60">
        <v>290</v>
      </c>
      <c r="G1634" s="60">
        <f>+OtherClients[[#This Row],[Boxes / Pieces]]*OtherClients[[#This Row],[Unit Quantity]]</f>
        <v>6960</v>
      </c>
      <c r="H1634" s="60" t="s">
        <v>757</v>
      </c>
      <c r="I1634" s="60" t="s">
        <v>278</v>
      </c>
      <c r="J1634" s="104"/>
      <c r="K1634" s="33" t="s">
        <v>278</v>
      </c>
      <c r="L1634" s="111"/>
      <c r="M1634" s="33" t="s">
        <v>278</v>
      </c>
      <c r="N1634" s="111"/>
      <c r="O1634" s="33" t="s">
        <v>278</v>
      </c>
      <c r="P1634" s="111"/>
      <c r="Q1634" s="33" t="s">
        <v>587</v>
      </c>
      <c r="R1634" s="111"/>
      <c r="S1634" s="33" t="s">
        <v>278</v>
      </c>
      <c r="T1634" s="111"/>
      <c r="U1634" s="33" t="s">
        <v>278</v>
      </c>
      <c r="V1634" s="111"/>
      <c r="W1634" s="59" t="s">
        <v>548</v>
      </c>
      <c r="X1634" s="33" t="str">
        <f>+VLOOKUP(OtherClients[[#This Row],[Part]],PartControl!$A$2:$E$564,5,FALSE)</f>
        <v>infasco</v>
      </c>
      <c r="Y1634" s="108">
        <f>IF(OtherClients[[#This Row],[Re-certified or New]]&lt;&gt;"Re-certified",IF(OtherClients[[#This Row],[Client]]="infasco",VLOOKUP(OtherClients[[#This Row],[Part]],PartControl!$A$2:$E$564,2,FALSE),OtherClients[[#This Row],[Total Quantity]]*VLOOKUP(OtherClients[[#This Row],[Part]],PartControl!$A$2:$E$564,2,FALSE)),0)</f>
        <v>106.94</v>
      </c>
      <c r="Z1634" s="108">
        <f>IF(OtherClients[[#This Row],[Re-certified or New]]&lt;&gt;"Re-certified",IF(OtherClients[[#This Row],[Client]]="infasco",VLOOKUP(OtherClients[[#This Row],[Part]],PartControl!$A$2:$E$564,2,FALSE),OtherClients[[#This Row],[Total Quantity]]*VLOOKUP(OtherClients[[#This Row],[Part]],PartControl!$A$2:$E$564,2,FALSE)),0)</f>
        <v>106.94</v>
      </c>
    </row>
    <row r="1635" spans="1:26" ht="25.15" hidden="1" customHeight="1" x14ac:dyDescent="0.25">
      <c r="A1635" s="112">
        <v>46258.689768518518</v>
      </c>
      <c r="B1635" s="5" t="s">
        <v>343</v>
      </c>
      <c r="C1635" s="5" t="s">
        <v>649</v>
      </c>
      <c r="D1635" s="5">
        <v>716659</v>
      </c>
      <c r="E1635" s="33">
        <v>34</v>
      </c>
      <c r="F1635" s="60">
        <v>1250</v>
      </c>
      <c r="G1635" s="60">
        <f>+OtherClients[[#This Row],[Boxes / Pieces]]*OtherClients[[#This Row],[Unit Quantity]]</f>
        <v>42500</v>
      </c>
      <c r="H1635" s="60" t="s">
        <v>757</v>
      </c>
      <c r="I1635" s="60" t="s">
        <v>278</v>
      </c>
      <c r="J1635" s="104"/>
      <c r="K1635" s="33" t="s">
        <v>278</v>
      </c>
      <c r="L1635" s="111"/>
      <c r="M1635" s="33" t="s">
        <v>278</v>
      </c>
      <c r="N1635" s="111"/>
      <c r="O1635" s="33" t="s">
        <v>278</v>
      </c>
      <c r="P1635" s="111"/>
      <c r="Q1635" s="33" t="s">
        <v>587</v>
      </c>
      <c r="R1635" s="111"/>
      <c r="S1635" s="33" t="s">
        <v>278</v>
      </c>
      <c r="T1635" s="111"/>
      <c r="U1635" s="33" t="s">
        <v>278</v>
      </c>
      <c r="V1635" s="111"/>
      <c r="W1635" s="59" t="s">
        <v>548</v>
      </c>
      <c r="X1635" s="33" t="str">
        <f>+VLOOKUP(OtherClients[[#This Row],[Part]],PartControl!$A$2:$E$564,5,FALSE)</f>
        <v>infasco</v>
      </c>
      <c r="Y1635" s="108">
        <f>IF(OtherClients[[#This Row],[Re-certified or New]]&lt;&gt;"Re-certified",IF(OtherClients[[#This Row],[Client]]="infasco",VLOOKUP(OtherClients[[#This Row],[Part]],PartControl!$A$2:$E$564,2,FALSE),OtherClients[[#This Row],[Total Quantity]]*VLOOKUP(OtherClients[[#This Row],[Part]],PartControl!$A$2:$E$564,2,FALSE)),0)</f>
        <v>135.07999999999998</v>
      </c>
      <c r="Z1635" s="108">
        <f>IF(OtherClients[[#This Row],[Re-certified or New]]&lt;&gt;"Re-certified",IF(OtherClients[[#This Row],[Client]]="infasco",VLOOKUP(OtherClients[[#This Row],[Part]],PartControl!$A$2:$E$564,2,FALSE),OtherClients[[#This Row],[Total Quantity]]*VLOOKUP(OtherClients[[#This Row],[Part]],PartControl!$A$2:$E$564,2,FALSE)),0)</f>
        <v>135.07999999999998</v>
      </c>
    </row>
    <row r="1636" spans="1:26" ht="25.15" hidden="1" customHeight="1" x14ac:dyDescent="0.25">
      <c r="A1636" s="112">
        <v>46258.689768518518</v>
      </c>
      <c r="B1636" s="5" t="s">
        <v>343</v>
      </c>
      <c r="C1636" s="5" t="s">
        <v>847</v>
      </c>
      <c r="D1636" s="5">
        <v>716534</v>
      </c>
      <c r="E1636" s="33">
        <v>34</v>
      </c>
      <c r="F1636" s="60">
        <v>620</v>
      </c>
      <c r="G1636" s="60">
        <f>+OtherClients[[#This Row],[Boxes / Pieces]]*OtherClients[[#This Row],[Unit Quantity]]</f>
        <v>21080</v>
      </c>
      <c r="H1636" s="60" t="s">
        <v>757</v>
      </c>
      <c r="I1636" s="60" t="s">
        <v>278</v>
      </c>
      <c r="J1636" s="104"/>
      <c r="K1636" s="33" t="s">
        <v>278</v>
      </c>
      <c r="L1636" s="111"/>
      <c r="M1636" s="33" t="s">
        <v>278</v>
      </c>
      <c r="N1636" s="111"/>
      <c r="O1636" s="33" t="s">
        <v>278</v>
      </c>
      <c r="P1636" s="111"/>
      <c r="Q1636" s="33" t="s">
        <v>587</v>
      </c>
      <c r="R1636" s="111"/>
      <c r="S1636" s="33" t="s">
        <v>278</v>
      </c>
      <c r="T1636" s="111"/>
      <c r="U1636" s="33" t="s">
        <v>278</v>
      </c>
      <c r="V1636" s="111"/>
      <c r="W1636" s="59" t="s">
        <v>548</v>
      </c>
      <c r="X1636" s="33" t="str">
        <f>+VLOOKUP(OtherClients[[#This Row],[Part]],PartControl!$A$2:$E$564,5,FALSE)</f>
        <v>infasco</v>
      </c>
      <c r="Y1636" s="108">
        <f>IF(OtherClients[[#This Row],[Re-certified or New]]&lt;&gt;"Re-certified",IF(OtherClients[[#This Row],[Client]]="infasco",VLOOKUP(OtherClients[[#This Row],[Part]],PartControl!$A$2:$E$564,2,FALSE),OtherClients[[#This Row],[Total Quantity]]*VLOOKUP(OtherClients[[#This Row],[Part]],PartControl!$A$2:$E$564,2,FALSE)),0)</f>
        <v>135.07999999999998</v>
      </c>
      <c r="Z1636" s="108">
        <f>IF(OtherClients[[#This Row],[Re-certified or New]]&lt;&gt;"Re-certified",IF(OtherClients[[#This Row],[Client]]="infasco",VLOOKUP(OtherClients[[#This Row],[Part]],PartControl!$A$2:$E$564,2,FALSE),OtherClients[[#This Row],[Total Quantity]]*VLOOKUP(OtherClients[[#This Row],[Part]],PartControl!$A$2:$E$564,2,FALSE)),0)</f>
        <v>135.07999999999998</v>
      </c>
    </row>
    <row r="1637" spans="1:26" ht="25.15" hidden="1" customHeight="1" x14ac:dyDescent="0.25">
      <c r="A1637" s="112">
        <v>46258.689768518518</v>
      </c>
      <c r="B1637" s="5" t="s">
        <v>343</v>
      </c>
      <c r="C1637" s="5" t="s">
        <v>850</v>
      </c>
      <c r="D1637" s="5">
        <v>715953</v>
      </c>
      <c r="E1637" s="33">
        <v>29</v>
      </c>
      <c r="F1637" s="60">
        <v>300</v>
      </c>
      <c r="G1637" s="60">
        <f>+OtherClients[[#This Row],[Boxes / Pieces]]*OtherClients[[#This Row],[Unit Quantity]]</f>
        <v>8700</v>
      </c>
      <c r="H1637" s="60" t="s">
        <v>757</v>
      </c>
      <c r="I1637" s="60" t="s">
        <v>278</v>
      </c>
      <c r="J1637" s="104"/>
      <c r="K1637" s="33" t="s">
        <v>278</v>
      </c>
      <c r="L1637" s="111"/>
      <c r="M1637" s="33" t="s">
        <v>278</v>
      </c>
      <c r="N1637" s="111"/>
      <c r="O1637" s="33" t="s">
        <v>278</v>
      </c>
      <c r="P1637" s="111"/>
      <c r="Q1637" s="33" t="s">
        <v>587</v>
      </c>
      <c r="R1637" s="111"/>
      <c r="S1637" s="33" t="s">
        <v>278</v>
      </c>
      <c r="T1637" s="111"/>
      <c r="U1637" s="33" t="s">
        <v>278</v>
      </c>
      <c r="V1637" s="111"/>
      <c r="W1637" s="59" t="s">
        <v>548</v>
      </c>
      <c r="X1637" s="33" t="str">
        <f>+VLOOKUP(OtherClients[[#This Row],[Part]],PartControl!$A$2:$E$564,5,FALSE)</f>
        <v>infasco</v>
      </c>
      <c r="Y1637" s="108">
        <f>IF(OtherClients[[#This Row],[Re-certified or New]]&lt;&gt;"Re-certified",IF(OtherClients[[#This Row],[Client]]="infasco",VLOOKUP(OtherClients[[#This Row],[Part]],PartControl!$A$2:$E$564,2,FALSE),OtherClients[[#This Row],[Total Quantity]]*VLOOKUP(OtherClients[[#This Row],[Part]],PartControl!$A$2:$E$564,2,FALSE)),0)</f>
        <v>106.94</v>
      </c>
      <c r="Z1637" s="108">
        <f>IF(OtherClients[[#This Row],[Re-certified or New]]&lt;&gt;"Re-certified",IF(OtherClients[[#This Row],[Client]]="infasco",VLOOKUP(OtherClients[[#This Row],[Part]],PartControl!$A$2:$E$564,2,FALSE),OtherClients[[#This Row],[Total Quantity]]*VLOOKUP(OtherClients[[#This Row],[Part]],PartControl!$A$2:$E$564,2,FALSE)),0)</f>
        <v>106.94</v>
      </c>
    </row>
    <row r="1638" spans="1:26" ht="25.15" hidden="1" customHeight="1" x14ac:dyDescent="0.25">
      <c r="A1638" s="112">
        <v>46258.689768518518</v>
      </c>
      <c r="B1638" s="5" t="s">
        <v>343</v>
      </c>
      <c r="C1638" s="5" t="s">
        <v>847</v>
      </c>
      <c r="D1638" s="5">
        <v>716533</v>
      </c>
      <c r="E1638" s="33">
        <v>19</v>
      </c>
      <c r="F1638" s="60">
        <v>620</v>
      </c>
      <c r="G1638" s="60">
        <f>+OtherClients[[#This Row],[Boxes / Pieces]]*OtherClients[[#This Row],[Unit Quantity]]</f>
        <v>11780</v>
      </c>
      <c r="H1638" s="60" t="s">
        <v>757</v>
      </c>
      <c r="I1638" s="60" t="s">
        <v>278</v>
      </c>
      <c r="J1638" s="104"/>
      <c r="K1638" s="33" t="s">
        <v>278</v>
      </c>
      <c r="L1638" s="111"/>
      <c r="M1638" s="33" t="s">
        <v>278</v>
      </c>
      <c r="N1638" s="111"/>
      <c r="O1638" s="33" t="s">
        <v>278</v>
      </c>
      <c r="P1638" s="111"/>
      <c r="Q1638" s="33" t="s">
        <v>587</v>
      </c>
      <c r="R1638" s="111"/>
      <c r="S1638" s="33" t="s">
        <v>278</v>
      </c>
      <c r="T1638" s="111"/>
      <c r="U1638" s="33" t="s">
        <v>278</v>
      </c>
      <c r="V1638" s="111"/>
      <c r="W1638" s="59" t="s">
        <v>548</v>
      </c>
      <c r="X1638" s="33" t="str">
        <f>+VLOOKUP(OtherClients[[#This Row],[Part]],PartControl!$A$2:$E$564,5,FALSE)</f>
        <v>infasco</v>
      </c>
      <c r="Y1638" s="108">
        <f>IF(OtherClients[[#This Row],[Re-certified or New]]&lt;&gt;"Re-certified",IF(OtherClients[[#This Row],[Client]]="infasco",VLOOKUP(OtherClients[[#This Row],[Part]],PartControl!$A$2:$E$564,2,FALSE),OtherClients[[#This Row],[Total Quantity]]*VLOOKUP(OtherClients[[#This Row],[Part]],PartControl!$A$2:$E$564,2,FALSE)),0)</f>
        <v>135.07999999999998</v>
      </c>
      <c r="Z1638" s="108">
        <f>IF(OtherClients[[#This Row],[Re-certified or New]]&lt;&gt;"Re-certified",IF(OtherClients[[#This Row],[Client]]="infasco",VLOOKUP(OtherClients[[#This Row],[Part]],PartControl!$A$2:$E$564,2,FALSE),OtherClients[[#This Row],[Total Quantity]]*VLOOKUP(OtherClients[[#This Row],[Part]],PartControl!$A$2:$E$564,2,FALSE)),0)</f>
        <v>135.07999999999998</v>
      </c>
    </row>
    <row r="1639" spans="1:26" ht="25.15" hidden="1" customHeight="1" x14ac:dyDescent="0.25">
      <c r="A1639" s="112">
        <v>46258.689768518518</v>
      </c>
      <c r="B1639" s="5" t="s">
        <v>343</v>
      </c>
      <c r="C1639" s="5" t="s">
        <v>885</v>
      </c>
      <c r="D1639" s="5">
        <v>716038</v>
      </c>
      <c r="E1639" s="33">
        <v>41</v>
      </c>
      <c r="F1639" s="60">
        <v>250</v>
      </c>
      <c r="G1639" s="60">
        <f>+OtherClients[[#This Row],[Boxes / Pieces]]*OtherClients[[#This Row],[Unit Quantity]]</f>
        <v>10250</v>
      </c>
      <c r="H1639" s="60" t="s">
        <v>757</v>
      </c>
      <c r="I1639" s="60" t="s">
        <v>278</v>
      </c>
      <c r="J1639" s="104"/>
      <c r="K1639" s="33" t="s">
        <v>278</v>
      </c>
      <c r="L1639" s="111"/>
      <c r="M1639" s="33" t="s">
        <v>278</v>
      </c>
      <c r="N1639" s="111"/>
      <c r="O1639" s="33" t="s">
        <v>278</v>
      </c>
      <c r="P1639" s="111"/>
      <c r="Q1639" s="33" t="s">
        <v>587</v>
      </c>
      <c r="R1639" s="111"/>
      <c r="S1639" s="33" t="s">
        <v>278</v>
      </c>
      <c r="T1639" s="111"/>
      <c r="U1639" s="33" t="s">
        <v>278</v>
      </c>
      <c r="V1639" s="111"/>
      <c r="W1639" s="59" t="s">
        <v>548</v>
      </c>
      <c r="X1639" s="33" t="str">
        <f>+VLOOKUP(OtherClients[[#This Row],[Part]],PartControl!$A$2:$E$564,5,FALSE)</f>
        <v>infasco</v>
      </c>
      <c r="Y1639" s="108">
        <f>IF(OtherClients[[#This Row],[Re-certified or New]]&lt;&gt;"Re-certified",IF(OtherClients[[#This Row],[Client]]="infasco",VLOOKUP(OtherClients[[#This Row],[Part]],PartControl!$A$2:$E$564,2,FALSE),OtherClients[[#This Row],[Total Quantity]]*VLOOKUP(OtherClients[[#This Row],[Part]],PartControl!$A$2:$E$564,2,FALSE)),0)</f>
        <v>106.94</v>
      </c>
      <c r="Z1639" s="108">
        <f>IF(OtherClients[[#This Row],[Re-certified or New]]&lt;&gt;"Re-certified",IF(OtherClients[[#This Row],[Client]]="infasco",VLOOKUP(OtherClients[[#This Row],[Part]],PartControl!$A$2:$E$564,2,FALSE),OtherClients[[#This Row],[Total Quantity]]*VLOOKUP(OtherClients[[#This Row],[Part]],PartControl!$A$2:$E$564,2,FALSE)),0)</f>
        <v>106.94</v>
      </c>
    </row>
    <row r="1640" spans="1:26" ht="25.15" hidden="1" customHeight="1" x14ac:dyDescent="0.25">
      <c r="A1640" s="112">
        <v>46258.689768518518</v>
      </c>
      <c r="B1640" s="5" t="s">
        <v>343</v>
      </c>
      <c r="C1640" s="5">
        <v>11609280</v>
      </c>
      <c r="D1640" s="5">
        <v>716740</v>
      </c>
      <c r="E1640" s="33">
        <v>27</v>
      </c>
      <c r="F1640" s="60">
        <v>2000</v>
      </c>
      <c r="G1640" s="60">
        <f>+OtherClients[[#This Row],[Boxes / Pieces]]*OtherClients[[#This Row],[Unit Quantity]]</f>
        <v>54000</v>
      </c>
      <c r="H1640" s="60" t="s">
        <v>757</v>
      </c>
      <c r="I1640" s="60" t="s">
        <v>278</v>
      </c>
      <c r="J1640" s="104"/>
      <c r="K1640" s="33" t="s">
        <v>278</v>
      </c>
      <c r="L1640" s="111"/>
      <c r="M1640" s="33" t="s">
        <v>278</v>
      </c>
      <c r="N1640" s="111"/>
      <c r="O1640" s="33" t="s">
        <v>278</v>
      </c>
      <c r="P1640" s="111"/>
      <c r="Q1640" s="33" t="s">
        <v>587</v>
      </c>
      <c r="R1640" s="111"/>
      <c r="S1640" s="33" t="s">
        <v>278</v>
      </c>
      <c r="T1640" s="111"/>
      <c r="U1640" s="33" t="s">
        <v>278</v>
      </c>
      <c r="V1640" s="111"/>
      <c r="W1640" s="59" t="s">
        <v>548</v>
      </c>
      <c r="X1640" s="33" t="str">
        <f>+VLOOKUP(OtherClients[[#This Row],[Part]],PartControl!$A$2:$E$564,5,FALSE)</f>
        <v>infasco</v>
      </c>
      <c r="Y1640" s="108">
        <f>IF(OtherClients[[#This Row],[Re-certified or New]]&lt;&gt;"Re-certified",IF(OtherClients[[#This Row],[Client]]="infasco",VLOOKUP(OtherClients[[#This Row],[Part]],PartControl!$A$2:$E$564,2,FALSE),OtherClients[[#This Row],[Total Quantity]]*VLOOKUP(OtherClients[[#This Row],[Part]],PartControl!$A$2:$E$564,2,FALSE)),0)</f>
        <v>106.94</v>
      </c>
      <c r="Z1640" s="108">
        <f>IF(OtherClients[[#This Row],[Re-certified or New]]&lt;&gt;"Re-certified",IF(OtherClients[[#This Row],[Client]]="infasco",VLOOKUP(OtherClients[[#This Row],[Part]],PartControl!$A$2:$E$564,2,FALSE),OtherClients[[#This Row],[Total Quantity]]*VLOOKUP(OtherClients[[#This Row],[Part]],PartControl!$A$2:$E$564,2,FALSE)),0)</f>
        <v>106.94</v>
      </c>
    </row>
    <row r="1641" spans="1:26" ht="25.15" hidden="1" customHeight="1" x14ac:dyDescent="0.25">
      <c r="A1641" s="112">
        <v>46258.689768518518</v>
      </c>
      <c r="B1641" s="5" t="s">
        <v>343</v>
      </c>
      <c r="C1641" s="5" t="s">
        <v>750</v>
      </c>
      <c r="D1641" s="5">
        <v>717541</v>
      </c>
      <c r="E1641" s="33">
        <v>24</v>
      </c>
      <c r="F1641" s="60">
        <v>1300</v>
      </c>
      <c r="G1641" s="60">
        <f>+OtherClients[[#This Row],[Boxes / Pieces]]*OtherClients[[#This Row],[Unit Quantity]]</f>
        <v>31200</v>
      </c>
      <c r="H1641" s="60" t="s">
        <v>757</v>
      </c>
      <c r="I1641" s="60" t="s">
        <v>278</v>
      </c>
      <c r="J1641" s="104"/>
      <c r="K1641" s="33" t="s">
        <v>278</v>
      </c>
      <c r="L1641" s="111"/>
      <c r="M1641" s="33" t="s">
        <v>278</v>
      </c>
      <c r="N1641" s="111"/>
      <c r="O1641" s="33" t="s">
        <v>278</v>
      </c>
      <c r="P1641" s="111"/>
      <c r="Q1641" s="33" t="s">
        <v>587</v>
      </c>
      <c r="R1641" s="111"/>
      <c r="S1641" s="33" t="s">
        <v>278</v>
      </c>
      <c r="T1641" s="111"/>
      <c r="U1641" s="33" t="s">
        <v>278</v>
      </c>
      <c r="V1641" s="111"/>
      <c r="W1641" s="59" t="s">
        <v>548</v>
      </c>
      <c r="X1641" s="33" t="str">
        <f>+VLOOKUP(OtherClients[[#This Row],[Part]],PartControl!$A$2:$E$564,5,FALSE)</f>
        <v>infasco</v>
      </c>
      <c r="Y1641" s="108">
        <f>IF(OtherClients[[#This Row],[Re-certified or New]]&lt;&gt;"Re-certified",IF(OtherClients[[#This Row],[Client]]="infasco",VLOOKUP(OtherClients[[#This Row],[Part]],PartControl!$A$2:$E$564,2,FALSE),OtherClients[[#This Row],[Total Quantity]]*VLOOKUP(OtherClients[[#This Row],[Part]],PartControl!$A$2:$E$564,2,FALSE)),0)</f>
        <v>129.44999999999999</v>
      </c>
      <c r="Z1641" s="108">
        <f>IF(OtherClients[[#This Row],[Re-certified or New]]&lt;&gt;"Re-certified",IF(OtherClients[[#This Row],[Client]]="infasco",VLOOKUP(OtherClients[[#This Row],[Part]],PartControl!$A$2:$E$564,2,FALSE),OtherClients[[#This Row],[Total Quantity]]*VLOOKUP(OtherClients[[#This Row],[Part]],PartControl!$A$2:$E$564,2,FALSE)),0)</f>
        <v>129.44999999999999</v>
      </c>
    </row>
    <row r="1642" spans="1:26" ht="25.15" hidden="1" customHeight="1" x14ac:dyDescent="0.25">
      <c r="A1642" s="112">
        <v>46258.689768518518</v>
      </c>
      <c r="B1642" s="5" t="s">
        <v>343</v>
      </c>
      <c r="C1642" s="5" t="s">
        <v>750</v>
      </c>
      <c r="D1642" s="5">
        <v>717542</v>
      </c>
      <c r="E1642" s="33">
        <v>19</v>
      </c>
      <c r="F1642" s="60">
        <v>1300</v>
      </c>
      <c r="G1642" s="60">
        <f>+OtherClients[[#This Row],[Boxes / Pieces]]*OtherClients[[#This Row],[Unit Quantity]]</f>
        <v>24700</v>
      </c>
      <c r="H1642" s="60" t="s">
        <v>757</v>
      </c>
      <c r="I1642" s="60" t="s">
        <v>278</v>
      </c>
      <c r="J1642" s="104"/>
      <c r="K1642" s="33" t="s">
        <v>278</v>
      </c>
      <c r="L1642" s="111"/>
      <c r="M1642" s="33" t="s">
        <v>278</v>
      </c>
      <c r="N1642" s="111"/>
      <c r="O1642" s="33" t="s">
        <v>278</v>
      </c>
      <c r="P1642" s="111"/>
      <c r="Q1642" s="33" t="s">
        <v>587</v>
      </c>
      <c r="R1642" s="111"/>
      <c r="S1642" s="33" t="s">
        <v>278</v>
      </c>
      <c r="T1642" s="111"/>
      <c r="U1642" s="33" t="s">
        <v>278</v>
      </c>
      <c r="V1642" s="111"/>
      <c r="W1642" s="59" t="s">
        <v>548</v>
      </c>
      <c r="X1642" s="33" t="str">
        <f>+VLOOKUP(OtherClients[[#This Row],[Part]],PartControl!$A$2:$E$564,5,FALSE)</f>
        <v>infasco</v>
      </c>
      <c r="Y1642" s="108">
        <f>IF(OtherClients[[#This Row],[Re-certified or New]]&lt;&gt;"Re-certified",IF(OtherClients[[#This Row],[Client]]="infasco",VLOOKUP(OtherClients[[#This Row],[Part]],PartControl!$A$2:$E$564,2,FALSE),OtherClients[[#This Row],[Total Quantity]]*VLOOKUP(OtherClients[[#This Row],[Part]],PartControl!$A$2:$E$564,2,FALSE)),0)</f>
        <v>129.44999999999999</v>
      </c>
      <c r="Z1642" s="108">
        <f>IF(OtherClients[[#This Row],[Re-certified or New]]&lt;&gt;"Re-certified",IF(OtherClients[[#This Row],[Client]]="infasco",VLOOKUP(OtherClients[[#This Row],[Part]],PartControl!$A$2:$E$564,2,FALSE),OtherClients[[#This Row],[Total Quantity]]*VLOOKUP(OtherClients[[#This Row],[Part]],PartControl!$A$2:$E$564,2,FALSE)),0)</f>
        <v>129.44999999999999</v>
      </c>
    </row>
    <row r="1643" spans="1:26" ht="25.15" hidden="1" customHeight="1" x14ac:dyDescent="0.25">
      <c r="A1643" s="112">
        <v>46258.689768518518</v>
      </c>
      <c r="B1643" s="5" t="s">
        <v>344</v>
      </c>
      <c r="C1643" s="5">
        <v>91054</v>
      </c>
      <c r="D1643" s="5">
        <v>714020</v>
      </c>
      <c r="E1643" s="33">
        <f>36+9-18</f>
        <v>27</v>
      </c>
      <c r="F1643" s="60">
        <v>1700</v>
      </c>
      <c r="G1643" s="60">
        <f>+OtherClients[[#This Row],[Boxes / Pieces]]*OtherClients[[#This Row],[Unit Quantity]]</f>
        <v>45900</v>
      </c>
      <c r="H1643" s="60" t="s">
        <v>816</v>
      </c>
      <c r="I1643" s="60" t="s">
        <v>278</v>
      </c>
      <c r="J1643" s="104"/>
      <c r="K1643" s="33" t="s">
        <v>278</v>
      </c>
      <c r="L1643" s="111"/>
      <c r="M1643" s="33" t="s">
        <v>278</v>
      </c>
      <c r="N1643" s="111"/>
      <c r="O1643" s="33" t="s">
        <v>278</v>
      </c>
      <c r="P1643" s="111"/>
      <c r="Q1643" s="33" t="s">
        <v>587</v>
      </c>
      <c r="R1643" s="111"/>
      <c r="S1643" s="33" t="s">
        <v>278</v>
      </c>
      <c r="T1643" s="111"/>
      <c r="U1643" s="33" t="s">
        <v>278</v>
      </c>
      <c r="V1643" s="111"/>
      <c r="W1643" s="59" t="s">
        <v>548</v>
      </c>
      <c r="X1643" s="33" t="str">
        <f>+VLOOKUP(OtherClients[[#This Row],[Part]],PartControl!$A$2:$E$564,5,FALSE)</f>
        <v>infasco</v>
      </c>
      <c r="Y1643" s="108">
        <f>IF(OtherClients[[#This Row],[Re-certified or New]]&lt;&gt;"Re-certified",IF(OtherClients[[#This Row],[Client]]="infasco",VLOOKUP(OtherClients[[#This Row],[Part]],PartControl!$A$2:$E$564,2,FALSE),OtherClients[[#This Row],[Total Quantity]]*VLOOKUP(OtherClients[[#This Row],[Part]],PartControl!$A$2:$E$564,2,FALSE)),0)</f>
        <v>106.94</v>
      </c>
      <c r="Z1643" s="108">
        <f>IF(OtherClients[[#This Row],[Re-certified or New]]&lt;&gt;"Re-certified",IF(OtherClients[[#This Row],[Client]]="infasco",VLOOKUP(OtherClients[[#This Row],[Part]],PartControl!$A$2:$E$564,2,FALSE),OtherClients[[#This Row],[Total Quantity]]*VLOOKUP(OtherClients[[#This Row],[Part]],PartControl!$A$2:$E$564,2,FALSE)),0)</f>
        <v>106.94</v>
      </c>
    </row>
    <row r="1644" spans="1:26" ht="25.15" hidden="1" customHeight="1" x14ac:dyDescent="0.25">
      <c r="A1644" s="112">
        <v>46258.689768518518</v>
      </c>
      <c r="B1644" s="5" t="s">
        <v>344</v>
      </c>
      <c r="C1644" s="5" t="s">
        <v>670</v>
      </c>
      <c r="D1644" s="5">
        <v>716578</v>
      </c>
      <c r="E1644" s="33">
        <v>22</v>
      </c>
      <c r="F1644" s="60">
        <v>520</v>
      </c>
      <c r="G1644" s="60">
        <f>+OtherClients[[#This Row],[Boxes / Pieces]]*OtherClients[[#This Row],[Unit Quantity]]</f>
        <v>11440</v>
      </c>
      <c r="H1644" s="60" t="s">
        <v>816</v>
      </c>
      <c r="I1644" s="60" t="s">
        <v>278</v>
      </c>
      <c r="J1644" s="104"/>
      <c r="K1644" s="33" t="s">
        <v>278</v>
      </c>
      <c r="L1644" s="111"/>
      <c r="M1644" s="33" t="s">
        <v>278</v>
      </c>
      <c r="N1644" s="111"/>
      <c r="O1644" s="33" t="s">
        <v>278</v>
      </c>
      <c r="P1644" s="111"/>
      <c r="Q1644" s="33" t="s">
        <v>587</v>
      </c>
      <c r="R1644" s="111"/>
      <c r="S1644" s="33" t="s">
        <v>278</v>
      </c>
      <c r="T1644" s="111"/>
      <c r="U1644" s="33" t="s">
        <v>278</v>
      </c>
      <c r="V1644" s="111"/>
      <c r="W1644" s="59" t="s">
        <v>548</v>
      </c>
      <c r="X1644" s="33" t="str">
        <f>+VLOOKUP(OtherClients[[#This Row],[Part]],PartControl!$A$2:$E$564,5,FALSE)</f>
        <v>infasco</v>
      </c>
      <c r="Y1644" s="108">
        <f>IF(OtherClients[[#This Row],[Re-certified or New]]&lt;&gt;"Re-certified",IF(OtherClients[[#This Row],[Client]]="infasco",VLOOKUP(OtherClients[[#This Row],[Part]],PartControl!$A$2:$E$564,2,FALSE),OtherClients[[#This Row],[Total Quantity]]*VLOOKUP(OtherClients[[#This Row],[Part]],PartControl!$A$2:$E$564,2,FALSE)),0)</f>
        <v>135.07999999999998</v>
      </c>
      <c r="Z1644" s="108">
        <f>IF(OtherClients[[#This Row],[Re-certified or New]]&lt;&gt;"Re-certified",IF(OtherClients[[#This Row],[Client]]="infasco",VLOOKUP(OtherClients[[#This Row],[Part]],PartControl!$A$2:$E$564,2,FALSE),OtherClients[[#This Row],[Total Quantity]]*VLOOKUP(OtherClients[[#This Row],[Part]],PartControl!$A$2:$E$564,2,FALSE)),0)</f>
        <v>135.07999999999998</v>
      </c>
    </row>
    <row r="1645" spans="1:26" ht="25.15" hidden="1" customHeight="1" x14ac:dyDescent="0.25">
      <c r="A1645" s="112">
        <v>46258.689768518518</v>
      </c>
      <c r="B1645" s="5" t="s">
        <v>344</v>
      </c>
      <c r="C1645" s="5" t="s">
        <v>823</v>
      </c>
      <c r="D1645" s="5">
        <v>716543</v>
      </c>
      <c r="E1645" s="33">
        <f>36+7</f>
        <v>43</v>
      </c>
      <c r="F1645" s="60">
        <v>1500</v>
      </c>
      <c r="G1645" s="60">
        <f>+OtherClients[[#This Row],[Boxes / Pieces]]*OtherClients[[#This Row],[Unit Quantity]]</f>
        <v>64500</v>
      </c>
      <c r="H1645" s="60" t="s">
        <v>816</v>
      </c>
      <c r="I1645" s="60" t="s">
        <v>278</v>
      </c>
      <c r="J1645" s="104"/>
      <c r="K1645" s="33" t="s">
        <v>278</v>
      </c>
      <c r="L1645" s="111"/>
      <c r="M1645" s="33" t="s">
        <v>278</v>
      </c>
      <c r="N1645" s="111"/>
      <c r="O1645" s="33" t="s">
        <v>278</v>
      </c>
      <c r="P1645" s="111"/>
      <c r="Q1645" s="33" t="s">
        <v>587</v>
      </c>
      <c r="R1645" s="111"/>
      <c r="S1645" s="33" t="s">
        <v>278</v>
      </c>
      <c r="T1645" s="111"/>
      <c r="U1645" s="33" t="s">
        <v>278</v>
      </c>
      <c r="V1645" s="111"/>
      <c r="W1645" s="59" t="s">
        <v>548</v>
      </c>
      <c r="X1645" s="33" t="str">
        <f>+VLOOKUP(OtherClients[[#This Row],[Part]],PartControl!$A$2:$E$564,5,FALSE)</f>
        <v>infasco</v>
      </c>
      <c r="Y1645" s="108">
        <f>IF(OtherClients[[#This Row],[Re-certified or New]]&lt;&gt;"Re-certified",IF(OtherClients[[#This Row],[Client]]="infasco",VLOOKUP(OtherClients[[#This Row],[Part]],PartControl!$A$2:$E$564,2,FALSE),OtherClients[[#This Row],[Total Quantity]]*VLOOKUP(OtherClients[[#This Row],[Part]],PartControl!$A$2:$E$564,2,FALSE)),0)</f>
        <v>226.94</v>
      </c>
      <c r="Z1645" s="108">
        <f>IF(OtherClients[[#This Row],[Re-certified or New]]&lt;&gt;"Re-certified",IF(OtherClients[[#This Row],[Client]]="infasco",VLOOKUP(OtherClients[[#This Row],[Part]],PartControl!$A$2:$E$564,2,FALSE),OtherClients[[#This Row],[Total Quantity]]*VLOOKUP(OtherClients[[#This Row],[Part]],PartControl!$A$2:$E$564,2,FALSE)),0)</f>
        <v>226.94</v>
      </c>
    </row>
    <row r="1646" spans="1:26" ht="25.15" hidden="1" customHeight="1" x14ac:dyDescent="0.25">
      <c r="A1646" s="112">
        <v>46258.689768518518</v>
      </c>
      <c r="B1646" s="5" t="s">
        <v>344</v>
      </c>
      <c r="C1646" s="5">
        <v>11609280</v>
      </c>
      <c r="D1646" s="5">
        <v>716739</v>
      </c>
      <c r="E1646" s="33">
        <v>22</v>
      </c>
      <c r="F1646" s="60">
        <v>2000</v>
      </c>
      <c r="G1646" s="60">
        <f>+OtherClients[[#This Row],[Boxes / Pieces]]*OtherClients[[#This Row],[Unit Quantity]]</f>
        <v>44000</v>
      </c>
      <c r="H1646" s="60" t="s">
        <v>816</v>
      </c>
      <c r="I1646" s="60" t="s">
        <v>278</v>
      </c>
      <c r="J1646" s="104"/>
      <c r="K1646" s="33" t="s">
        <v>278</v>
      </c>
      <c r="L1646" s="111"/>
      <c r="M1646" s="33" t="s">
        <v>278</v>
      </c>
      <c r="N1646" s="111"/>
      <c r="O1646" s="33" t="s">
        <v>278</v>
      </c>
      <c r="P1646" s="111"/>
      <c r="Q1646" s="33" t="s">
        <v>587</v>
      </c>
      <c r="R1646" s="111"/>
      <c r="S1646" s="33" t="s">
        <v>278</v>
      </c>
      <c r="T1646" s="111"/>
      <c r="U1646" s="33" t="s">
        <v>278</v>
      </c>
      <c r="V1646" s="111"/>
      <c r="W1646" s="59" t="s">
        <v>548</v>
      </c>
      <c r="X1646" s="33" t="str">
        <f>+VLOOKUP(OtherClients[[#This Row],[Part]],PartControl!$A$2:$E$564,5,FALSE)</f>
        <v>infasco</v>
      </c>
      <c r="Y1646" s="108">
        <f>IF(OtherClients[[#This Row],[Re-certified or New]]&lt;&gt;"Re-certified",IF(OtherClients[[#This Row],[Client]]="infasco",VLOOKUP(OtherClients[[#This Row],[Part]],PartControl!$A$2:$E$564,2,FALSE),OtherClients[[#This Row],[Total Quantity]]*VLOOKUP(OtherClients[[#This Row],[Part]],PartControl!$A$2:$E$564,2,FALSE)),0)</f>
        <v>106.94</v>
      </c>
      <c r="Z1646" s="108">
        <f>IF(OtherClients[[#This Row],[Re-certified or New]]&lt;&gt;"Re-certified",IF(OtherClients[[#This Row],[Client]]="infasco",VLOOKUP(OtherClients[[#This Row],[Part]],PartControl!$A$2:$E$564,2,FALSE),OtherClients[[#This Row],[Total Quantity]]*VLOOKUP(OtherClients[[#This Row],[Part]],PartControl!$A$2:$E$564,2,FALSE)),0)</f>
        <v>106.94</v>
      </c>
    </row>
    <row r="1647" spans="1:26" ht="25.15" hidden="1" customHeight="1" x14ac:dyDescent="0.25">
      <c r="A1647" s="112">
        <v>46258.689768518518</v>
      </c>
      <c r="B1647" s="5" t="s">
        <v>344</v>
      </c>
      <c r="C1647" s="5" t="s">
        <v>812</v>
      </c>
      <c r="D1647" s="5">
        <v>715986</v>
      </c>
      <c r="E1647" s="33">
        <v>33</v>
      </c>
      <c r="F1647" s="60">
        <v>135</v>
      </c>
      <c r="G1647" s="60">
        <f>+OtherClients[[#This Row],[Boxes / Pieces]]*OtherClients[[#This Row],[Unit Quantity]]</f>
        <v>4455</v>
      </c>
      <c r="H1647" s="60" t="s">
        <v>816</v>
      </c>
      <c r="I1647" s="60" t="s">
        <v>278</v>
      </c>
      <c r="J1647" s="104"/>
      <c r="K1647" s="33" t="s">
        <v>278</v>
      </c>
      <c r="L1647" s="111"/>
      <c r="M1647" s="33" t="s">
        <v>278</v>
      </c>
      <c r="N1647" s="111"/>
      <c r="O1647" s="33" t="s">
        <v>278</v>
      </c>
      <c r="P1647" s="111"/>
      <c r="Q1647" s="33" t="s">
        <v>587</v>
      </c>
      <c r="R1647" s="111"/>
      <c r="S1647" s="33" t="s">
        <v>278</v>
      </c>
      <c r="T1647" s="111"/>
      <c r="U1647" s="33" t="s">
        <v>278</v>
      </c>
      <c r="V1647" s="111"/>
      <c r="W1647" s="59" t="s">
        <v>548</v>
      </c>
      <c r="X1647" s="33" t="str">
        <f>+VLOOKUP(OtherClients[[#This Row],[Part]],PartControl!$A$2:$E$564,5,FALSE)</f>
        <v>Infasco</v>
      </c>
      <c r="Y1647" s="108">
        <f>IF(OtherClients[[#This Row],[Re-certified or New]]&lt;&gt;"Re-certified",IF(OtherClients[[#This Row],[Client]]="infasco",VLOOKUP(OtherClients[[#This Row],[Part]],PartControl!$A$2:$E$564,2,FALSE),OtherClients[[#This Row],[Total Quantity]]*VLOOKUP(OtherClients[[#This Row],[Part]],PartControl!$A$2:$E$564,2,FALSE)),0)</f>
        <v>106.94</v>
      </c>
      <c r="Z1647" s="108">
        <f>IF(OtherClients[[#This Row],[Re-certified or New]]&lt;&gt;"Re-certified",IF(OtherClients[[#This Row],[Client]]="infasco",VLOOKUP(OtherClients[[#This Row],[Part]],PartControl!$A$2:$E$564,2,FALSE),OtherClients[[#This Row],[Total Quantity]]*VLOOKUP(OtherClients[[#This Row],[Part]],PartControl!$A$2:$E$564,2,FALSE)),0)</f>
        <v>106.94</v>
      </c>
    </row>
    <row r="1648" spans="1:26" ht="25.15" hidden="1" customHeight="1" x14ac:dyDescent="0.25">
      <c r="A1648" s="112">
        <v>46258.689768518518</v>
      </c>
      <c r="B1648" s="5" t="s">
        <v>344</v>
      </c>
      <c r="C1648" s="5" t="s">
        <v>848</v>
      </c>
      <c r="D1648" s="5">
        <v>717112</v>
      </c>
      <c r="E1648" s="33">
        <v>31</v>
      </c>
      <c r="F1648" s="60">
        <v>3200</v>
      </c>
      <c r="G1648" s="60">
        <f>+OtherClients[[#This Row],[Boxes / Pieces]]*OtherClients[[#This Row],[Unit Quantity]]</f>
        <v>99200</v>
      </c>
      <c r="H1648" s="60" t="s">
        <v>816</v>
      </c>
      <c r="I1648" s="60" t="s">
        <v>278</v>
      </c>
      <c r="J1648" s="104"/>
      <c r="K1648" s="33" t="s">
        <v>278</v>
      </c>
      <c r="L1648" s="111"/>
      <c r="M1648" s="33" t="s">
        <v>278</v>
      </c>
      <c r="N1648" s="111"/>
      <c r="O1648" s="33" t="s">
        <v>278</v>
      </c>
      <c r="P1648" s="111"/>
      <c r="Q1648" s="33" t="s">
        <v>587</v>
      </c>
      <c r="R1648" s="111"/>
      <c r="S1648" s="33" t="s">
        <v>278</v>
      </c>
      <c r="T1648" s="111"/>
      <c r="U1648" s="33" t="s">
        <v>278</v>
      </c>
      <c r="V1648" s="111"/>
      <c r="W1648" s="59" t="s">
        <v>548</v>
      </c>
      <c r="X1648" s="33" t="str">
        <f>+VLOOKUP(OtherClients[[#This Row],[Part]],PartControl!$A$2:$E$564,5,FALSE)</f>
        <v>infasco</v>
      </c>
      <c r="Y1648" s="108">
        <f>IF(OtherClients[[#This Row],[Re-certified or New]]&lt;&gt;"Re-certified",IF(OtherClients[[#This Row],[Client]]="infasco",VLOOKUP(OtherClients[[#This Row],[Part]],PartControl!$A$2:$E$564,2,FALSE),OtherClients[[#This Row],[Total Quantity]]*VLOOKUP(OtherClients[[#This Row],[Part]],PartControl!$A$2:$E$564,2,FALSE)),0)</f>
        <v>106.94</v>
      </c>
      <c r="Z1648" s="108">
        <f>IF(OtherClients[[#This Row],[Re-certified or New]]&lt;&gt;"Re-certified",IF(OtherClients[[#This Row],[Client]]="infasco",VLOOKUP(OtherClients[[#This Row],[Part]],PartControl!$A$2:$E$564,2,FALSE),OtherClients[[#This Row],[Total Quantity]]*VLOOKUP(OtherClients[[#This Row],[Part]],PartControl!$A$2:$E$564,2,FALSE)),0)</f>
        <v>106.94</v>
      </c>
    </row>
    <row r="1649" spans="1:26" ht="25.15" hidden="1" customHeight="1" x14ac:dyDescent="0.25">
      <c r="A1649" s="112">
        <v>46258.689768518518</v>
      </c>
      <c r="B1649" s="5" t="s">
        <v>344</v>
      </c>
      <c r="C1649" s="5" t="s">
        <v>812</v>
      </c>
      <c r="D1649" s="5">
        <v>715985</v>
      </c>
      <c r="E1649" s="33">
        <v>36</v>
      </c>
      <c r="F1649" s="60">
        <v>135</v>
      </c>
      <c r="G1649" s="60">
        <f>+OtherClients[[#This Row],[Boxes / Pieces]]*OtherClients[[#This Row],[Unit Quantity]]</f>
        <v>4860</v>
      </c>
      <c r="H1649" s="60" t="s">
        <v>816</v>
      </c>
      <c r="I1649" s="60" t="s">
        <v>278</v>
      </c>
      <c r="J1649" s="104"/>
      <c r="K1649" s="33" t="s">
        <v>278</v>
      </c>
      <c r="L1649" s="111"/>
      <c r="M1649" s="33" t="s">
        <v>278</v>
      </c>
      <c r="N1649" s="111"/>
      <c r="O1649" s="33" t="s">
        <v>278</v>
      </c>
      <c r="P1649" s="111"/>
      <c r="Q1649" s="33" t="s">
        <v>587</v>
      </c>
      <c r="R1649" s="111"/>
      <c r="S1649" s="33" t="s">
        <v>278</v>
      </c>
      <c r="T1649" s="111"/>
      <c r="U1649" s="33" t="s">
        <v>278</v>
      </c>
      <c r="V1649" s="111"/>
      <c r="W1649" s="59" t="s">
        <v>548</v>
      </c>
      <c r="X1649" s="33" t="str">
        <f>+VLOOKUP(OtherClients[[#This Row],[Part]],PartControl!$A$2:$E$564,5,FALSE)</f>
        <v>Infasco</v>
      </c>
      <c r="Y1649" s="108">
        <f>IF(OtherClients[[#This Row],[Re-certified or New]]&lt;&gt;"Re-certified",IF(OtherClients[[#This Row],[Client]]="infasco",VLOOKUP(OtherClients[[#This Row],[Part]],PartControl!$A$2:$E$564,2,FALSE),OtherClients[[#This Row],[Total Quantity]]*VLOOKUP(OtherClients[[#This Row],[Part]],PartControl!$A$2:$E$564,2,FALSE)),0)</f>
        <v>106.94</v>
      </c>
      <c r="Z1649" s="108">
        <f>IF(OtherClients[[#This Row],[Re-certified or New]]&lt;&gt;"Re-certified",IF(OtherClients[[#This Row],[Client]]="infasco",VLOOKUP(OtherClients[[#This Row],[Part]],PartControl!$A$2:$E$564,2,FALSE),OtherClients[[#This Row],[Total Quantity]]*VLOOKUP(OtherClients[[#This Row],[Part]],PartControl!$A$2:$E$564,2,FALSE)),0)</f>
        <v>106.94</v>
      </c>
    </row>
    <row r="1650" spans="1:26" ht="25.15" hidden="1" customHeight="1" x14ac:dyDescent="0.25">
      <c r="A1650" s="112">
        <v>46258.689768518518</v>
      </c>
      <c r="B1650" s="5" t="s">
        <v>344</v>
      </c>
      <c r="C1650" s="5" t="s">
        <v>889</v>
      </c>
      <c r="D1650" s="5">
        <v>717149</v>
      </c>
      <c r="E1650" s="33">
        <v>18</v>
      </c>
      <c r="F1650" s="60">
        <v>450</v>
      </c>
      <c r="G1650" s="60">
        <f>+OtherClients[[#This Row],[Boxes / Pieces]]*OtherClients[[#This Row],[Unit Quantity]]</f>
        <v>8100</v>
      </c>
      <c r="H1650" s="60" t="s">
        <v>816</v>
      </c>
      <c r="I1650" s="60" t="s">
        <v>278</v>
      </c>
      <c r="J1650" s="104"/>
      <c r="K1650" s="33" t="s">
        <v>278</v>
      </c>
      <c r="L1650" s="111"/>
      <c r="M1650" s="33" t="s">
        <v>278</v>
      </c>
      <c r="N1650" s="111"/>
      <c r="O1650" s="33" t="s">
        <v>278</v>
      </c>
      <c r="P1650" s="111"/>
      <c r="Q1650" s="33" t="s">
        <v>587</v>
      </c>
      <c r="R1650" s="111"/>
      <c r="S1650" s="33" t="s">
        <v>278</v>
      </c>
      <c r="T1650" s="111"/>
      <c r="U1650" s="33" t="s">
        <v>278</v>
      </c>
      <c r="V1650" s="111"/>
      <c r="W1650" s="59" t="s">
        <v>633</v>
      </c>
      <c r="X1650" s="33" t="str">
        <f>+VLOOKUP(OtherClients[[#This Row],[Part]],PartControl!$A$2:$E$564,5,FALSE)</f>
        <v>Infasco</v>
      </c>
      <c r="Y1650" s="108">
        <f>IF(OtherClients[[#This Row],[Re-certified or New]]&lt;&gt;"Re-certified",IF(OtherClients[[#This Row],[Client]]="infasco",VLOOKUP(OtherClients[[#This Row],[Part]],PartControl!$A$2:$E$564,2,FALSE),OtherClients[[#This Row],[Total Quantity]]*VLOOKUP(OtherClients[[#This Row],[Part]],PartControl!$A$2:$E$564,2,FALSE)),0)</f>
        <v>0</v>
      </c>
      <c r="Z1650" s="108">
        <f>IF(OtherClients[[#This Row],[Re-certified or New]]&lt;&gt;"Re-certified",IF(OtherClients[[#This Row],[Client]]="infasco",VLOOKUP(OtherClients[[#This Row],[Part]],PartControl!$A$2:$E$564,2,FALSE),OtherClients[[#This Row],[Total Quantity]]*VLOOKUP(OtherClients[[#This Row],[Part]],PartControl!$A$2:$E$564,2,FALSE)),0)</f>
        <v>0</v>
      </c>
    </row>
    <row r="1651" spans="1:26" ht="25.15" hidden="1" customHeight="1" x14ac:dyDescent="0.25">
      <c r="A1651" s="112">
        <v>46258.689768518518</v>
      </c>
      <c r="B1651" s="5" t="s">
        <v>345</v>
      </c>
      <c r="C1651" s="5" t="s">
        <v>646</v>
      </c>
      <c r="D1651" s="5">
        <v>716548</v>
      </c>
      <c r="E1651" s="33">
        <v>23</v>
      </c>
      <c r="F1651" s="60">
        <v>290</v>
      </c>
      <c r="G1651" s="60">
        <f>+OtherClients[[#This Row],[Boxes / Pieces]]*OtherClients[[#This Row],[Unit Quantity]]</f>
        <v>6670</v>
      </c>
      <c r="H1651" s="60" t="s">
        <v>849</v>
      </c>
      <c r="I1651" s="60" t="s">
        <v>278</v>
      </c>
      <c r="J1651" s="104"/>
      <c r="K1651" s="33" t="s">
        <v>278</v>
      </c>
      <c r="L1651" s="111"/>
      <c r="M1651" s="33" t="s">
        <v>278</v>
      </c>
      <c r="N1651" s="111"/>
      <c r="O1651" s="33" t="s">
        <v>278</v>
      </c>
      <c r="P1651" s="111"/>
      <c r="Q1651" s="33" t="s">
        <v>587</v>
      </c>
      <c r="R1651" s="111"/>
      <c r="S1651" s="33" t="s">
        <v>278</v>
      </c>
      <c r="T1651" s="111"/>
      <c r="U1651" s="33" t="s">
        <v>278</v>
      </c>
      <c r="V1651" s="111"/>
      <c r="W1651" s="59" t="s">
        <v>548</v>
      </c>
      <c r="X1651" s="33" t="str">
        <f>+VLOOKUP(OtherClients[[#This Row],[Part]],PartControl!$A$2:$E$564,5,FALSE)</f>
        <v>infasco</v>
      </c>
      <c r="Y1651" s="108">
        <f>IF(OtherClients[[#This Row],[Re-certified or New]]&lt;&gt;"Re-certified",IF(OtherClients[[#This Row],[Client]]="infasco",VLOOKUP(OtherClients[[#This Row],[Part]],PartControl!$A$2:$E$564,2,FALSE),OtherClients[[#This Row],[Total Quantity]]*VLOOKUP(OtherClients[[#This Row],[Part]],PartControl!$A$2:$E$564,2,FALSE)),0)</f>
        <v>106.94</v>
      </c>
      <c r="Z1651" s="108">
        <f>IF(OtherClients[[#This Row],[Re-certified or New]]&lt;&gt;"Re-certified",IF(OtherClients[[#This Row],[Client]]="infasco",VLOOKUP(OtherClients[[#This Row],[Part]],PartControl!$A$2:$E$564,2,FALSE),OtherClients[[#This Row],[Total Quantity]]*VLOOKUP(OtherClients[[#This Row],[Part]],PartControl!$A$2:$E$564,2,FALSE)),0)</f>
        <v>106.94</v>
      </c>
    </row>
    <row r="1652" spans="1:26" ht="25.15" hidden="1" customHeight="1" x14ac:dyDescent="0.25">
      <c r="A1652" s="112">
        <v>46258.689768518518</v>
      </c>
      <c r="B1652" s="5" t="s">
        <v>345</v>
      </c>
      <c r="C1652" s="5" t="s">
        <v>780</v>
      </c>
      <c r="D1652" s="5">
        <v>716530</v>
      </c>
      <c r="E1652" s="33">
        <v>34</v>
      </c>
      <c r="F1652" s="60">
        <v>820</v>
      </c>
      <c r="G1652" s="60">
        <f>+OtherClients[[#This Row],[Boxes / Pieces]]*OtherClients[[#This Row],[Unit Quantity]]</f>
        <v>27880</v>
      </c>
      <c r="H1652" s="60" t="s">
        <v>849</v>
      </c>
      <c r="I1652" s="60" t="s">
        <v>278</v>
      </c>
      <c r="J1652" s="104"/>
      <c r="K1652" s="33" t="s">
        <v>278</v>
      </c>
      <c r="L1652" s="111"/>
      <c r="M1652" s="33" t="s">
        <v>278</v>
      </c>
      <c r="N1652" s="111"/>
      <c r="O1652" s="33" t="s">
        <v>278</v>
      </c>
      <c r="P1652" s="111"/>
      <c r="Q1652" s="33" t="s">
        <v>587</v>
      </c>
      <c r="R1652" s="111"/>
      <c r="S1652" s="33" t="s">
        <v>278</v>
      </c>
      <c r="T1652" s="111"/>
      <c r="U1652" s="33" t="s">
        <v>278</v>
      </c>
      <c r="V1652" s="111"/>
      <c r="W1652" s="59" t="s">
        <v>548</v>
      </c>
      <c r="X1652" s="33" t="str">
        <f>+VLOOKUP(OtherClients[[#This Row],[Part]],PartControl!$A$2:$E$564,5,FALSE)</f>
        <v>infasco</v>
      </c>
      <c r="Y1652" s="108">
        <f>IF(OtherClients[[#This Row],[Re-certified or New]]&lt;&gt;"Re-certified",IF(OtherClients[[#This Row],[Client]]="infasco",VLOOKUP(OtherClients[[#This Row],[Part]],PartControl!$A$2:$E$564,2,FALSE),OtherClients[[#This Row],[Total Quantity]]*VLOOKUP(OtherClients[[#This Row],[Part]],PartControl!$A$2:$E$564,2,FALSE)),0)</f>
        <v>106.94</v>
      </c>
      <c r="Z1652" s="108">
        <f>IF(OtherClients[[#This Row],[Re-certified or New]]&lt;&gt;"Re-certified",IF(OtherClients[[#This Row],[Client]]="infasco",VLOOKUP(OtherClients[[#This Row],[Part]],PartControl!$A$2:$E$564,2,FALSE),OtherClients[[#This Row],[Total Quantity]]*VLOOKUP(OtherClients[[#This Row],[Part]],PartControl!$A$2:$E$564,2,FALSE)),0)</f>
        <v>106.94</v>
      </c>
    </row>
    <row r="1653" spans="1:26" ht="25.15" hidden="1" customHeight="1" x14ac:dyDescent="0.25">
      <c r="A1653" s="112">
        <v>46258.689768518518</v>
      </c>
      <c r="B1653" s="5" t="s">
        <v>345</v>
      </c>
      <c r="C1653" s="5" t="s">
        <v>649</v>
      </c>
      <c r="D1653" s="5">
        <v>716660</v>
      </c>
      <c r="E1653" s="33">
        <v>32</v>
      </c>
      <c r="F1653" s="60">
        <v>1250</v>
      </c>
      <c r="G1653" s="60">
        <f>+OtherClients[[#This Row],[Boxes / Pieces]]*OtherClients[[#This Row],[Unit Quantity]]</f>
        <v>40000</v>
      </c>
      <c r="H1653" s="60" t="s">
        <v>849</v>
      </c>
      <c r="I1653" s="60" t="s">
        <v>278</v>
      </c>
      <c r="J1653" s="104"/>
      <c r="K1653" s="33" t="s">
        <v>278</v>
      </c>
      <c r="L1653" s="111"/>
      <c r="M1653" s="33" t="s">
        <v>278</v>
      </c>
      <c r="N1653" s="111"/>
      <c r="O1653" s="33" t="s">
        <v>278</v>
      </c>
      <c r="P1653" s="111"/>
      <c r="Q1653" s="33" t="s">
        <v>587</v>
      </c>
      <c r="R1653" s="111"/>
      <c r="S1653" s="33" t="s">
        <v>278</v>
      </c>
      <c r="T1653" s="111"/>
      <c r="U1653" s="33" t="s">
        <v>278</v>
      </c>
      <c r="V1653" s="111"/>
      <c r="W1653" s="59" t="s">
        <v>548</v>
      </c>
      <c r="X1653" s="33" t="str">
        <f>+VLOOKUP(OtherClients[[#This Row],[Part]],PartControl!$A$2:$E$564,5,FALSE)</f>
        <v>infasco</v>
      </c>
      <c r="Y1653" s="108">
        <f>IF(OtherClients[[#This Row],[Re-certified or New]]&lt;&gt;"Re-certified",IF(OtherClients[[#This Row],[Client]]="infasco",VLOOKUP(OtherClients[[#This Row],[Part]],PartControl!$A$2:$E$564,2,FALSE),OtherClients[[#This Row],[Total Quantity]]*VLOOKUP(OtherClients[[#This Row],[Part]],PartControl!$A$2:$E$564,2,FALSE)),0)</f>
        <v>135.07999999999998</v>
      </c>
      <c r="Z1653" s="108">
        <f>IF(OtherClients[[#This Row],[Re-certified or New]]&lt;&gt;"Re-certified",IF(OtherClients[[#This Row],[Client]]="infasco",VLOOKUP(OtherClients[[#This Row],[Part]],PartControl!$A$2:$E$564,2,FALSE),OtherClients[[#This Row],[Total Quantity]]*VLOOKUP(OtherClients[[#This Row],[Part]],PartControl!$A$2:$E$564,2,FALSE)),0)</f>
        <v>135.07999999999998</v>
      </c>
    </row>
    <row r="1654" spans="1:26" ht="25.15" hidden="1" customHeight="1" x14ac:dyDescent="0.25">
      <c r="A1654" s="112">
        <v>46258.689768518518</v>
      </c>
      <c r="B1654" s="5" t="s">
        <v>345</v>
      </c>
      <c r="C1654" s="5" t="s">
        <v>767</v>
      </c>
      <c r="D1654" s="5">
        <v>716579</v>
      </c>
      <c r="E1654" s="33">
        <v>33</v>
      </c>
      <c r="F1654" s="60">
        <v>600</v>
      </c>
      <c r="G1654" s="60">
        <f>+OtherClients[[#This Row],[Boxes / Pieces]]*OtherClients[[#This Row],[Unit Quantity]]</f>
        <v>19800</v>
      </c>
      <c r="H1654" s="60" t="s">
        <v>849</v>
      </c>
      <c r="I1654" s="60" t="s">
        <v>278</v>
      </c>
      <c r="J1654" s="104"/>
      <c r="K1654" s="33" t="s">
        <v>278</v>
      </c>
      <c r="L1654" s="111"/>
      <c r="M1654" s="33" t="s">
        <v>278</v>
      </c>
      <c r="N1654" s="111"/>
      <c r="O1654" s="33" t="s">
        <v>278</v>
      </c>
      <c r="P1654" s="111"/>
      <c r="Q1654" s="33" t="s">
        <v>587</v>
      </c>
      <c r="R1654" s="111"/>
      <c r="S1654" s="33" t="s">
        <v>278</v>
      </c>
      <c r="T1654" s="111"/>
      <c r="U1654" s="33" t="s">
        <v>278</v>
      </c>
      <c r="V1654" s="111"/>
      <c r="W1654" s="59" t="s">
        <v>548</v>
      </c>
      <c r="X1654" s="33" t="str">
        <f>+VLOOKUP(OtherClients[[#This Row],[Part]],PartControl!$A$2:$E$564,5,FALSE)</f>
        <v>infasco</v>
      </c>
      <c r="Y1654" s="108">
        <f>IF(OtherClients[[#This Row],[Re-certified or New]]&lt;&gt;"Re-certified",IF(OtherClients[[#This Row],[Client]]="infasco",VLOOKUP(OtherClients[[#This Row],[Part]],PartControl!$A$2:$E$564,2,FALSE),OtherClients[[#This Row],[Total Quantity]]*VLOOKUP(OtherClients[[#This Row],[Part]],PartControl!$A$2:$E$564,2,FALSE)),0)</f>
        <v>106.94</v>
      </c>
      <c r="Z1654" s="108">
        <f>IF(OtherClients[[#This Row],[Re-certified or New]]&lt;&gt;"Re-certified",IF(OtherClients[[#This Row],[Client]]="infasco",VLOOKUP(OtherClients[[#This Row],[Part]],PartControl!$A$2:$E$564,2,FALSE),OtherClients[[#This Row],[Total Quantity]]*VLOOKUP(OtherClients[[#This Row],[Part]],PartControl!$A$2:$E$564,2,FALSE)),0)</f>
        <v>106.94</v>
      </c>
    </row>
    <row r="1655" spans="1:26" ht="25.15" hidden="1" customHeight="1" x14ac:dyDescent="0.25">
      <c r="A1655" s="112">
        <v>46258.689768518518</v>
      </c>
      <c r="B1655" s="5" t="s">
        <v>345</v>
      </c>
      <c r="C1655" s="5" t="s">
        <v>670</v>
      </c>
      <c r="D1655" s="5">
        <v>716577</v>
      </c>
      <c r="E1655" s="33">
        <v>25</v>
      </c>
      <c r="F1655" s="60">
        <v>520</v>
      </c>
      <c r="G1655" s="60">
        <f>+OtherClients[[#This Row],[Boxes / Pieces]]*OtherClients[[#This Row],[Unit Quantity]]</f>
        <v>13000</v>
      </c>
      <c r="H1655" s="60" t="s">
        <v>849</v>
      </c>
      <c r="I1655" s="60" t="s">
        <v>278</v>
      </c>
      <c r="J1655" s="104"/>
      <c r="K1655" s="33" t="s">
        <v>278</v>
      </c>
      <c r="L1655" s="111"/>
      <c r="M1655" s="33" t="s">
        <v>278</v>
      </c>
      <c r="N1655" s="111"/>
      <c r="O1655" s="33" t="s">
        <v>278</v>
      </c>
      <c r="P1655" s="111"/>
      <c r="Q1655" s="33" t="s">
        <v>587</v>
      </c>
      <c r="R1655" s="111"/>
      <c r="S1655" s="33" t="s">
        <v>278</v>
      </c>
      <c r="T1655" s="111"/>
      <c r="U1655" s="33" t="s">
        <v>278</v>
      </c>
      <c r="V1655" s="111"/>
      <c r="W1655" s="59" t="s">
        <v>548</v>
      </c>
      <c r="X1655" s="33" t="str">
        <f>+VLOOKUP(OtherClients[[#This Row],[Part]],PartControl!$A$2:$E$564,5,FALSE)</f>
        <v>infasco</v>
      </c>
      <c r="Y1655" s="108">
        <f>IF(OtherClients[[#This Row],[Re-certified or New]]&lt;&gt;"Re-certified",IF(OtherClients[[#This Row],[Client]]="infasco",VLOOKUP(OtherClients[[#This Row],[Part]],PartControl!$A$2:$E$564,2,FALSE),OtherClients[[#This Row],[Total Quantity]]*VLOOKUP(OtherClients[[#This Row],[Part]],PartControl!$A$2:$E$564,2,FALSE)),0)</f>
        <v>135.07999999999998</v>
      </c>
      <c r="Z1655" s="108">
        <f>IF(OtherClients[[#This Row],[Re-certified or New]]&lt;&gt;"Re-certified",IF(OtherClients[[#This Row],[Client]]="infasco",VLOOKUP(OtherClients[[#This Row],[Part]],PartControl!$A$2:$E$564,2,FALSE),OtherClients[[#This Row],[Total Quantity]]*VLOOKUP(OtherClients[[#This Row],[Part]],PartControl!$A$2:$E$564,2,FALSE)),0)</f>
        <v>135.07999999999998</v>
      </c>
    </row>
    <row r="1656" spans="1:26" ht="25.15" hidden="1" customHeight="1" x14ac:dyDescent="0.25">
      <c r="A1656" s="112">
        <v>46258.689768518518</v>
      </c>
      <c r="B1656" s="5" t="s">
        <v>345</v>
      </c>
      <c r="C1656" s="5" t="s">
        <v>885</v>
      </c>
      <c r="D1656" s="5">
        <v>716040</v>
      </c>
      <c r="E1656" s="33">
        <v>38</v>
      </c>
      <c r="F1656" s="60">
        <v>250</v>
      </c>
      <c r="G1656" s="60">
        <f>+OtherClients[[#This Row],[Boxes / Pieces]]*OtherClients[[#This Row],[Unit Quantity]]</f>
        <v>9500</v>
      </c>
      <c r="H1656" s="60" t="s">
        <v>849</v>
      </c>
      <c r="I1656" s="60" t="s">
        <v>278</v>
      </c>
      <c r="J1656" s="104"/>
      <c r="K1656" s="33" t="s">
        <v>278</v>
      </c>
      <c r="L1656" s="111"/>
      <c r="M1656" s="33" t="s">
        <v>278</v>
      </c>
      <c r="N1656" s="111"/>
      <c r="O1656" s="33" t="s">
        <v>278</v>
      </c>
      <c r="P1656" s="111"/>
      <c r="Q1656" s="33" t="s">
        <v>587</v>
      </c>
      <c r="R1656" s="111"/>
      <c r="S1656" s="33" t="s">
        <v>278</v>
      </c>
      <c r="T1656" s="111"/>
      <c r="U1656" s="33" t="s">
        <v>278</v>
      </c>
      <c r="V1656" s="111"/>
      <c r="W1656" s="59" t="s">
        <v>548</v>
      </c>
      <c r="X1656" s="33" t="str">
        <f>+VLOOKUP(OtherClients[[#This Row],[Part]],PartControl!$A$2:$E$564,5,FALSE)</f>
        <v>infasco</v>
      </c>
      <c r="Y1656" s="108">
        <f>IF(OtherClients[[#This Row],[Re-certified or New]]&lt;&gt;"Re-certified",IF(OtherClients[[#This Row],[Client]]="infasco",VLOOKUP(OtherClients[[#This Row],[Part]],PartControl!$A$2:$E$564,2,FALSE),OtherClients[[#This Row],[Total Quantity]]*VLOOKUP(OtherClients[[#This Row],[Part]],PartControl!$A$2:$E$564,2,FALSE)),0)</f>
        <v>106.94</v>
      </c>
      <c r="Z1656" s="108">
        <f>IF(OtherClients[[#This Row],[Re-certified or New]]&lt;&gt;"Re-certified",IF(OtherClients[[#This Row],[Client]]="infasco",VLOOKUP(OtherClients[[#This Row],[Part]],PartControl!$A$2:$E$564,2,FALSE),OtherClients[[#This Row],[Total Quantity]]*VLOOKUP(OtherClients[[#This Row],[Part]],PartControl!$A$2:$E$564,2,FALSE)),0)</f>
        <v>106.94</v>
      </c>
    </row>
    <row r="1657" spans="1:26" ht="25.15" hidden="1" customHeight="1" x14ac:dyDescent="0.25">
      <c r="A1657" s="112">
        <v>46258.689768518518</v>
      </c>
      <c r="B1657" s="5" t="s">
        <v>345</v>
      </c>
      <c r="C1657" s="5" t="s">
        <v>885</v>
      </c>
      <c r="D1657" s="5">
        <v>716030</v>
      </c>
      <c r="E1657" s="33">
        <v>38</v>
      </c>
      <c r="F1657" s="60">
        <v>250</v>
      </c>
      <c r="G1657" s="60">
        <f>+OtherClients[[#This Row],[Boxes / Pieces]]*OtherClients[[#This Row],[Unit Quantity]]</f>
        <v>9500</v>
      </c>
      <c r="H1657" s="60" t="s">
        <v>849</v>
      </c>
      <c r="I1657" s="60" t="s">
        <v>278</v>
      </c>
      <c r="J1657" s="104"/>
      <c r="K1657" s="33" t="s">
        <v>278</v>
      </c>
      <c r="L1657" s="111"/>
      <c r="M1657" s="33" t="s">
        <v>278</v>
      </c>
      <c r="N1657" s="111"/>
      <c r="O1657" s="33" t="s">
        <v>278</v>
      </c>
      <c r="P1657" s="111"/>
      <c r="Q1657" s="33" t="s">
        <v>587</v>
      </c>
      <c r="R1657" s="111"/>
      <c r="S1657" s="33" t="s">
        <v>278</v>
      </c>
      <c r="T1657" s="111"/>
      <c r="U1657" s="33" t="s">
        <v>278</v>
      </c>
      <c r="V1657" s="111"/>
      <c r="W1657" s="59" t="s">
        <v>548</v>
      </c>
      <c r="X1657" s="33" t="str">
        <f>+VLOOKUP(OtherClients[[#This Row],[Part]],PartControl!$A$2:$E$564,5,FALSE)</f>
        <v>infasco</v>
      </c>
      <c r="Y1657" s="108">
        <f>IF(OtherClients[[#This Row],[Re-certified or New]]&lt;&gt;"Re-certified",IF(OtherClients[[#This Row],[Client]]="infasco",VLOOKUP(OtherClients[[#This Row],[Part]],PartControl!$A$2:$E$564,2,FALSE),OtherClients[[#This Row],[Total Quantity]]*VLOOKUP(OtherClients[[#This Row],[Part]],PartControl!$A$2:$E$564,2,FALSE)),0)</f>
        <v>106.94</v>
      </c>
      <c r="Z1657" s="108">
        <f>IF(OtherClients[[#This Row],[Re-certified or New]]&lt;&gt;"Re-certified",IF(OtherClients[[#This Row],[Client]]="infasco",VLOOKUP(OtherClients[[#This Row],[Part]],PartControl!$A$2:$E$564,2,FALSE),OtherClients[[#This Row],[Total Quantity]]*VLOOKUP(OtherClients[[#This Row],[Part]],PartControl!$A$2:$E$564,2,FALSE)),0)</f>
        <v>106.94</v>
      </c>
    </row>
    <row r="1658" spans="1:26" ht="25.15" hidden="1" customHeight="1" x14ac:dyDescent="0.25">
      <c r="A1658" s="112">
        <v>46258.689768518518</v>
      </c>
      <c r="B1658" s="5" t="s">
        <v>345</v>
      </c>
      <c r="C1658" s="5">
        <v>11609280</v>
      </c>
      <c r="D1658" s="5">
        <v>715992</v>
      </c>
      <c r="E1658" s="33">
        <v>33</v>
      </c>
      <c r="F1658" s="60">
        <v>2000</v>
      </c>
      <c r="G1658" s="60">
        <f>+OtherClients[[#This Row],[Boxes / Pieces]]*OtherClients[[#This Row],[Unit Quantity]]</f>
        <v>66000</v>
      </c>
      <c r="H1658" s="60" t="s">
        <v>849</v>
      </c>
      <c r="I1658" s="60" t="s">
        <v>278</v>
      </c>
      <c r="J1658" s="104"/>
      <c r="K1658" s="33" t="s">
        <v>278</v>
      </c>
      <c r="L1658" s="111"/>
      <c r="M1658" s="33" t="s">
        <v>278</v>
      </c>
      <c r="N1658" s="111"/>
      <c r="O1658" s="33" t="s">
        <v>278</v>
      </c>
      <c r="P1658" s="111"/>
      <c r="Q1658" s="33" t="s">
        <v>587</v>
      </c>
      <c r="R1658" s="111"/>
      <c r="S1658" s="33" t="s">
        <v>278</v>
      </c>
      <c r="T1658" s="111"/>
      <c r="U1658" s="33" t="s">
        <v>278</v>
      </c>
      <c r="V1658" s="111"/>
      <c r="W1658" s="59" t="s">
        <v>548</v>
      </c>
      <c r="X1658" s="33" t="str">
        <f>+VLOOKUP(OtherClients[[#This Row],[Part]],PartControl!$A$2:$E$564,5,FALSE)</f>
        <v>infasco</v>
      </c>
      <c r="Y1658" s="108">
        <f>IF(OtherClients[[#This Row],[Re-certified or New]]&lt;&gt;"Re-certified",IF(OtherClients[[#This Row],[Client]]="infasco",VLOOKUP(OtherClients[[#This Row],[Part]],PartControl!$A$2:$E$564,2,FALSE),OtherClients[[#This Row],[Total Quantity]]*VLOOKUP(OtherClients[[#This Row],[Part]],PartControl!$A$2:$E$564,2,FALSE)),0)</f>
        <v>106.94</v>
      </c>
      <c r="Z1658" s="108">
        <f>IF(OtherClients[[#This Row],[Re-certified or New]]&lt;&gt;"Re-certified",IF(OtherClients[[#This Row],[Client]]="infasco",VLOOKUP(OtherClients[[#This Row],[Part]],PartControl!$A$2:$E$564,2,FALSE),OtherClients[[#This Row],[Total Quantity]]*VLOOKUP(OtherClients[[#This Row],[Part]],PartControl!$A$2:$E$564,2,FALSE)),0)</f>
        <v>106.94</v>
      </c>
    </row>
    <row r="1659" spans="1:26" ht="25.15" hidden="1" customHeight="1" x14ac:dyDescent="0.25">
      <c r="A1659" s="112">
        <v>46258.689768518518</v>
      </c>
      <c r="B1659" s="5" t="s">
        <v>345</v>
      </c>
      <c r="C1659" s="5" t="s">
        <v>767</v>
      </c>
      <c r="D1659" s="5">
        <v>716580</v>
      </c>
      <c r="E1659" s="33">
        <v>41</v>
      </c>
      <c r="F1659" s="60">
        <v>600</v>
      </c>
      <c r="G1659" s="60">
        <f>+OtherClients[[#This Row],[Boxes / Pieces]]*OtherClients[[#This Row],[Unit Quantity]]</f>
        <v>24600</v>
      </c>
      <c r="H1659" s="60" t="s">
        <v>849</v>
      </c>
      <c r="I1659" s="60" t="s">
        <v>278</v>
      </c>
      <c r="J1659" s="104"/>
      <c r="K1659" s="33" t="s">
        <v>278</v>
      </c>
      <c r="L1659" s="111"/>
      <c r="M1659" s="33" t="s">
        <v>278</v>
      </c>
      <c r="N1659" s="111"/>
      <c r="O1659" s="33" t="s">
        <v>278</v>
      </c>
      <c r="P1659" s="111"/>
      <c r="Q1659" s="33" t="s">
        <v>587</v>
      </c>
      <c r="R1659" s="111"/>
      <c r="S1659" s="33" t="s">
        <v>278</v>
      </c>
      <c r="T1659" s="111"/>
      <c r="U1659" s="33" t="s">
        <v>278</v>
      </c>
      <c r="V1659" s="111"/>
      <c r="W1659" s="59" t="s">
        <v>548</v>
      </c>
      <c r="X1659" s="33" t="str">
        <f>+VLOOKUP(OtherClients[[#This Row],[Part]],PartControl!$A$2:$E$564,5,FALSE)</f>
        <v>infasco</v>
      </c>
      <c r="Y1659" s="108">
        <f>IF(OtherClients[[#This Row],[Re-certified or New]]&lt;&gt;"Re-certified",IF(OtherClients[[#This Row],[Client]]="infasco",VLOOKUP(OtherClients[[#This Row],[Part]],PartControl!$A$2:$E$564,2,FALSE),OtherClients[[#This Row],[Total Quantity]]*VLOOKUP(OtherClients[[#This Row],[Part]],PartControl!$A$2:$E$564,2,FALSE)),0)</f>
        <v>106.94</v>
      </c>
      <c r="Z1659" s="108">
        <f>IF(OtherClients[[#This Row],[Re-certified or New]]&lt;&gt;"Re-certified",IF(OtherClients[[#This Row],[Client]]="infasco",VLOOKUP(OtherClients[[#This Row],[Part]],PartControl!$A$2:$E$564,2,FALSE),OtherClients[[#This Row],[Total Quantity]]*VLOOKUP(OtherClients[[#This Row],[Part]],PartControl!$A$2:$E$564,2,FALSE)),0)</f>
        <v>106.94</v>
      </c>
    </row>
    <row r="1660" spans="1:26" ht="25.15" hidden="1" customHeight="1" x14ac:dyDescent="0.25">
      <c r="A1660" s="112">
        <v>46258.689768518518</v>
      </c>
      <c r="B1660" s="5" t="s">
        <v>345</v>
      </c>
      <c r="C1660" s="5">
        <v>11547059</v>
      </c>
      <c r="D1660" s="5">
        <v>716254</v>
      </c>
      <c r="E1660" s="33">
        <v>48</v>
      </c>
      <c r="F1660" s="60">
        <v>550</v>
      </c>
      <c r="G1660" s="60">
        <f>+OtherClients[[#This Row],[Boxes / Pieces]]*OtherClients[[#This Row],[Unit Quantity]]</f>
        <v>26400</v>
      </c>
      <c r="H1660" s="60" t="s">
        <v>849</v>
      </c>
      <c r="I1660" s="60" t="s">
        <v>278</v>
      </c>
      <c r="J1660" s="104"/>
      <c r="K1660" s="33" t="s">
        <v>278</v>
      </c>
      <c r="L1660" s="111"/>
      <c r="M1660" s="33" t="s">
        <v>278</v>
      </c>
      <c r="N1660" s="111"/>
      <c r="O1660" s="33" t="s">
        <v>278</v>
      </c>
      <c r="P1660" s="111"/>
      <c r="Q1660" s="33" t="s">
        <v>587</v>
      </c>
      <c r="R1660" s="111"/>
      <c r="S1660" s="33" t="s">
        <v>278</v>
      </c>
      <c r="T1660" s="111"/>
      <c r="U1660" s="33" t="s">
        <v>278</v>
      </c>
      <c r="V1660" s="111"/>
      <c r="W1660" s="59" t="s">
        <v>548</v>
      </c>
      <c r="X1660" s="33" t="str">
        <f>+VLOOKUP(OtherClients[[#This Row],[Part]],PartControl!$A$2:$E$564,5,FALSE)</f>
        <v>infasco</v>
      </c>
      <c r="Y1660" s="108">
        <f>IF(OtherClients[[#This Row],[Re-certified or New]]&lt;&gt;"Re-certified",IF(OtherClients[[#This Row],[Client]]="infasco",VLOOKUP(OtherClients[[#This Row],[Part]],PartControl!$A$2:$E$564,2,FALSE),OtherClients[[#This Row],[Total Quantity]]*VLOOKUP(OtherClients[[#This Row],[Part]],PartControl!$A$2:$E$564,2,FALSE)),0)</f>
        <v>135.07999999999998</v>
      </c>
      <c r="Z1660" s="108">
        <f>IF(OtherClients[[#This Row],[Re-certified or New]]&lt;&gt;"Re-certified",IF(OtherClients[[#This Row],[Client]]="infasco",VLOOKUP(OtherClients[[#This Row],[Part]],PartControl!$A$2:$E$564,2,FALSE),OtherClients[[#This Row],[Total Quantity]]*VLOOKUP(OtherClients[[#This Row],[Part]],PartControl!$A$2:$E$564,2,FALSE)),0)</f>
        <v>135.07999999999998</v>
      </c>
    </row>
    <row r="1661" spans="1:26" ht="25.15" hidden="1" customHeight="1" x14ac:dyDescent="0.25">
      <c r="A1661" s="112">
        <v>46258.689768518518</v>
      </c>
      <c r="B1661" s="5" t="s">
        <v>346</v>
      </c>
      <c r="C1661" s="5">
        <v>91054</v>
      </c>
      <c r="D1661" s="5">
        <v>714021</v>
      </c>
      <c r="E1661" s="33">
        <f>24-16</f>
        <v>8</v>
      </c>
      <c r="F1661" s="60">
        <v>1700</v>
      </c>
      <c r="G1661" s="60">
        <f>+OtherClients[[#This Row],[Boxes / Pieces]]*OtherClients[[#This Row],[Unit Quantity]]</f>
        <v>13600</v>
      </c>
      <c r="H1661" s="60">
        <v>11</v>
      </c>
      <c r="I1661" s="60" t="s">
        <v>278</v>
      </c>
      <c r="J1661" s="104"/>
      <c r="K1661" s="33" t="s">
        <v>278</v>
      </c>
      <c r="L1661" s="111"/>
      <c r="M1661" s="33" t="s">
        <v>278</v>
      </c>
      <c r="N1661" s="111"/>
      <c r="O1661" s="33" t="s">
        <v>278</v>
      </c>
      <c r="P1661" s="111"/>
      <c r="Q1661" s="33" t="s">
        <v>587</v>
      </c>
      <c r="R1661" s="111"/>
      <c r="S1661" s="33" t="s">
        <v>278</v>
      </c>
      <c r="T1661" s="111"/>
      <c r="U1661" s="33" t="s">
        <v>278</v>
      </c>
      <c r="V1661" s="111"/>
      <c r="W1661" s="59" t="s">
        <v>548</v>
      </c>
      <c r="X1661" s="33" t="str">
        <f>+VLOOKUP(OtherClients[[#This Row],[Part]],PartControl!$A$2:$E$564,5,FALSE)</f>
        <v>infasco</v>
      </c>
      <c r="Y1661" s="108">
        <f>IF(OtherClients[[#This Row],[Re-certified or New]]&lt;&gt;"Re-certified",IF(OtherClients[[#This Row],[Client]]="infasco",VLOOKUP(OtherClients[[#This Row],[Part]],PartControl!$A$2:$E$564,2,FALSE),OtherClients[[#This Row],[Total Quantity]]*VLOOKUP(OtherClients[[#This Row],[Part]],PartControl!$A$2:$E$564,2,FALSE)),0)</f>
        <v>106.94</v>
      </c>
      <c r="Z1661" s="108">
        <f>IF(OtherClients[[#This Row],[Re-certified or New]]&lt;&gt;"Re-certified",IF(OtherClients[[#This Row],[Client]]="infasco",VLOOKUP(OtherClients[[#This Row],[Part]],PartControl!$A$2:$E$564,2,FALSE),OtherClients[[#This Row],[Total Quantity]]*VLOOKUP(OtherClients[[#This Row],[Part]],PartControl!$A$2:$E$564,2,FALSE)),0)</f>
        <v>106.94</v>
      </c>
    </row>
    <row r="1662" spans="1:26" ht="25.15" hidden="1" customHeight="1" x14ac:dyDescent="0.25">
      <c r="A1662" s="112">
        <v>46258.689768518518</v>
      </c>
      <c r="B1662" s="5" t="s">
        <v>346</v>
      </c>
      <c r="C1662" s="5">
        <v>90280051</v>
      </c>
      <c r="D1662" s="5">
        <v>716540</v>
      </c>
      <c r="E1662" s="33">
        <v>24</v>
      </c>
      <c r="F1662" s="60">
        <v>4000</v>
      </c>
      <c r="G1662" s="60">
        <f>+OtherClients[[#This Row],[Boxes / Pieces]]*OtherClients[[#This Row],[Unit Quantity]]</f>
        <v>96000</v>
      </c>
      <c r="H1662" s="60">
        <v>11</v>
      </c>
      <c r="I1662" s="60" t="s">
        <v>278</v>
      </c>
      <c r="J1662" s="104"/>
      <c r="K1662" s="33" t="s">
        <v>278</v>
      </c>
      <c r="L1662" s="111"/>
      <c r="M1662" s="33" t="s">
        <v>278</v>
      </c>
      <c r="N1662" s="111"/>
      <c r="O1662" s="33" t="s">
        <v>278</v>
      </c>
      <c r="P1662" s="111"/>
      <c r="Q1662" s="33" t="s">
        <v>587</v>
      </c>
      <c r="R1662" s="111"/>
      <c r="S1662" s="33" t="s">
        <v>278</v>
      </c>
      <c r="T1662" s="111"/>
      <c r="U1662" s="33" t="s">
        <v>278</v>
      </c>
      <c r="V1662" s="111"/>
      <c r="W1662" s="59" t="s">
        <v>548</v>
      </c>
      <c r="X1662" s="33" t="str">
        <f>+VLOOKUP(OtherClients[[#This Row],[Part]],PartControl!$A$2:$E$564,5,FALSE)</f>
        <v>infasco</v>
      </c>
      <c r="Y1662" s="108">
        <f>IF(OtherClients[[#This Row],[Re-certified or New]]&lt;&gt;"Re-certified",IF(OtherClients[[#This Row],[Client]]="infasco",VLOOKUP(OtherClients[[#This Row],[Part]],PartControl!$A$2:$E$564,2,FALSE),OtherClients[[#This Row],[Total Quantity]]*VLOOKUP(OtherClients[[#This Row],[Part]],PartControl!$A$2:$E$564,2,FALSE)),0)</f>
        <v>106.94</v>
      </c>
      <c r="Z1662" s="108">
        <f>IF(OtherClients[[#This Row],[Re-certified or New]]&lt;&gt;"Re-certified",IF(OtherClients[[#This Row],[Client]]="infasco",VLOOKUP(OtherClients[[#This Row],[Part]],PartControl!$A$2:$E$564,2,FALSE),OtherClients[[#This Row],[Total Quantity]]*VLOOKUP(OtherClients[[#This Row],[Part]],PartControl!$A$2:$E$564,2,FALSE)),0)</f>
        <v>106.94</v>
      </c>
    </row>
    <row r="1663" spans="1:26" ht="25.15" hidden="1" customHeight="1" x14ac:dyDescent="0.25">
      <c r="A1663" s="112">
        <v>46258.689768518518</v>
      </c>
      <c r="B1663" s="5" t="s">
        <v>346</v>
      </c>
      <c r="C1663" s="5" t="s">
        <v>823</v>
      </c>
      <c r="D1663" s="5">
        <v>716541</v>
      </c>
      <c r="E1663" s="33">
        <v>33</v>
      </c>
      <c r="F1663" s="60">
        <v>1500</v>
      </c>
      <c r="G1663" s="60">
        <f>+OtherClients[[#This Row],[Boxes / Pieces]]*OtherClients[[#This Row],[Unit Quantity]]</f>
        <v>49500</v>
      </c>
      <c r="H1663" s="60">
        <v>11</v>
      </c>
      <c r="I1663" s="60" t="s">
        <v>278</v>
      </c>
      <c r="J1663" s="104"/>
      <c r="K1663" s="33" t="s">
        <v>278</v>
      </c>
      <c r="L1663" s="111"/>
      <c r="M1663" s="33" t="s">
        <v>278</v>
      </c>
      <c r="N1663" s="111"/>
      <c r="O1663" s="33" t="s">
        <v>278</v>
      </c>
      <c r="P1663" s="111"/>
      <c r="Q1663" s="33" t="s">
        <v>587</v>
      </c>
      <c r="R1663" s="111"/>
      <c r="S1663" s="33" t="s">
        <v>278</v>
      </c>
      <c r="T1663" s="111"/>
      <c r="U1663" s="33" t="s">
        <v>278</v>
      </c>
      <c r="V1663" s="111"/>
      <c r="W1663" s="59" t="s">
        <v>548</v>
      </c>
      <c r="X1663" s="33" t="str">
        <f>+VLOOKUP(OtherClients[[#This Row],[Part]],PartControl!$A$2:$E$564,5,FALSE)</f>
        <v>infasco</v>
      </c>
      <c r="Y1663" s="108">
        <f>IF(OtherClients[[#This Row],[Re-certified or New]]&lt;&gt;"Re-certified",IF(OtherClients[[#This Row],[Client]]="infasco",VLOOKUP(OtherClients[[#This Row],[Part]],PartControl!$A$2:$E$564,2,FALSE),OtherClients[[#This Row],[Total Quantity]]*VLOOKUP(OtherClients[[#This Row],[Part]],PartControl!$A$2:$E$564,2,FALSE)),0)</f>
        <v>226.94</v>
      </c>
      <c r="Z1663" s="108">
        <f>IF(OtherClients[[#This Row],[Re-certified or New]]&lt;&gt;"Re-certified",IF(OtherClients[[#This Row],[Client]]="infasco",VLOOKUP(OtherClients[[#This Row],[Part]],PartControl!$A$2:$E$564,2,FALSE),OtherClients[[#This Row],[Total Quantity]]*VLOOKUP(OtherClients[[#This Row],[Part]],PartControl!$A$2:$E$564,2,FALSE)),0)</f>
        <v>226.94</v>
      </c>
    </row>
    <row r="1664" spans="1:26" ht="25.15" hidden="1" customHeight="1" x14ac:dyDescent="0.25">
      <c r="A1664" s="112">
        <v>46258.689768518518</v>
      </c>
      <c r="B1664" s="5" t="s">
        <v>346</v>
      </c>
      <c r="C1664" s="5" t="s">
        <v>850</v>
      </c>
      <c r="D1664" s="5">
        <v>715952</v>
      </c>
      <c r="E1664" s="33">
        <v>37</v>
      </c>
      <c r="F1664" s="60">
        <v>300</v>
      </c>
      <c r="G1664" s="60">
        <f>+OtherClients[[#This Row],[Boxes / Pieces]]*OtherClients[[#This Row],[Unit Quantity]]</f>
        <v>11100</v>
      </c>
      <c r="H1664" s="60">
        <v>11</v>
      </c>
      <c r="I1664" s="60" t="s">
        <v>278</v>
      </c>
      <c r="J1664" s="104"/>
      <c r="K1664" s="33" t="s">
        <v>278</v>
      </c>
      <c r="L1664" s="111"/>
      <c r="M1664" s="33" t="s">
        <v>278</v>
      </c>
      <c r="N1664" s="111"/>
      <c r="O1664" s="33" t="s">
        <v>278</v>
      </c>
      <c r="P1664" s="111"/>
      <c r="Q1664" s="33" t="s">
        <v>587</v>
      </c>
      <c r="R1664" s="111"/>
      <c r="S1664" s="33" t="s">
        <v>278</v>
      </c>
      <c r="T1664" s="111"/>
      <c r="U1664" s="33" t="s">
        <v>278</v>
      </c>
      <c r="V1664" s="111"/>
      <c r="W1664" s="59" t="s">
        <v>548</v>
      </c>
      <c r="X1664" s="33" t="str">
        <f>+VLOOKUP(OtherClients[[#This Row],[Part]],PartControl!$A$2:$E$564,5,FALSE)</f>
        <v>infasco</v>
      </c>
      <c r="Y1664" s="108">
        <f>IF(OtherClients[[#This Row],[Re-certified or New]]&lt;&gt;"Re-certified",IF(OtherClients[[#This Row],[Client]]="infasco",VLOOKUP(OtherClients[[#This Row],[Part]],PartControl!$A$2:$E$564,2,FALSE),OtherClients[[#This Row],[Total Quantity]]*VLOOKUP(OtherClients[[#This Row],[Part]],PartControl!$A$2:$E$564,2,FALSE)),0)</f>
        <v>106.94</v>
      </c>
      <c r="Z1664" s="108">
        <f>IF(OtherClients[[#This Row],[Re-certified or New]]&lt;&gt;"Re-certified",IF(OtherClients[[#This Row],[Client]]="infasco",VLOOKUP(OtherClients[[#This Row],[Part]],PartControl!$A$2:$E$564,2,FALSE),OtherClients[[#This Row],[Total Quantity]]*VLOOKUP(OtherClients[[#This Row],[Part]],PartControl!$A$2:$E$564,2,FALSE)),0)</f>
        <v>106.94</v>
      </c>
    </row>
    <row r="1665" spans="1:26" ht="25.15" hidden="1" customHeight="1" x14ac:dyDescent="0.25">
      <c r="A1665" s="112">
        <v>46258.689768518518</v>
      </c>
      <c r="B1665" s="5" t="s">
        <v>346</v>
      </c>
      <c r="C1665" s="5" t="s">
        <v>649</v>
      </c>
      <c r="D1665" s="5">
        <v>716657</v>
      </c>
      <c r="E1665" s="33">
        <v>37</v>
      </c>
      <c r="F1665" s="60">
        <v>1250</v>
      </c>
      <c r="G1665" s="60">
        <f>+OtherClients[[#This Row],[Boxes / Pieces]]*OtherClients[[#This Row],[Unit Quantity]]</f>
        <v>46250</v>
      </c>
      <c r="H1665" s="60">
        <v>11</v>
      </c>
      <c r="I1665" s="60" t="s">
        <v>278</v>
      </c>
      <c r="J1665" s="104"/>
      <c r="K1665" s="33" t="s">
        <v>278</v>
      </c>
      <c r="L1665" s="111"/>
      <c r="M1665" s="33" t="s">
        <v>278</v>
      </c>
      <c r="N1665" s="111"/>
      <c r="O1665" s="33" t="s">
        <v>278</v>
      </c>
      <c r="P1665" s="111"/>
      <c r="Q1665" s="33" t="s">
        <v>587</v>
      </c>
      <c r="R1665" s="111"/>
      <c r="S1665" s="33" t="s">
        <v>278</v>
      </c>
      <c r="T1665" s="111"/>
      <c r="U1665" s="33" t="s">
        <v>278</v>
      </c>
      <c r="V1665" s="111"/>
      <c r="W1665" s="59" t="s">
        <v>548</v>
      </c>
      <c r="X1665" s="33" t="str">
        <f>+VLOOKUP(OtherClients[[#This Row],[Part]],PartControl!$A$2:$E$564,5,FALSE)</f>
        <v>infasco</v>
      </c>
      <c r="Y1665" s="108">
        <f>IF(OtherClients[[#This Row],[Re-certified or New]]&lt;&gt;"Re-certified",IF(OtherClients[[#This Row],[Client]]="infasco",VLOOKUP(OtherClients[[#This Row],[Part]],PartControl!$A$2:$E$564,2,FALSE),OtherClients[[#This Row],[Total Quantity]]*VLOOKUP(OtherClients[[#This Row],[Part]],PartControl!$A$2:$E$564,2,FALSE)),0)</f>
        <v>135.07999999999998</v>
      </c>
      <c r="Z1665" s="108">
        <f>IF(OtherClients[[#This Row],[Re-certified or New]]&lt;&gt;"Re-certified",IF(OtherClients[[#This Row],[Client]]="infasco",VLOOKUP(OtherClients[[#This Row],[Part]],PartControl!$A$2:$E$564,2,FALSE),OtherClients[[#This Row],[Total Quantity]]*VLOOKUP(OtherClients[[#This Row],[Part]],PartControl!$A$2:$E$564,2,FALSE)),0)</f>
        <v>135.07999999999998</v>
      </c>
    </row>
    <row r="1666" spans="1:26" ht="25.15" hidden="1" customHeight="1" x14ac:dyDescent="0.25">
      <c r="A1666" s="112">
        <v>46258.689768518518</v>
      </c>
      <c r="B1666" s="5" t="s">
        <v>346</v>
      </c>
      <c r="C1666" s="5" t="s">
        <v>889</v>
      </c>
      <c r="D1666" s="5">
        <v>717145</v>
      </c>
      <c r="E1666" s="33">
        <v>14</v>
      </c>
      <c r="F1666" s="60">
        <v>450</v>
      </c>
      <c r="G1666" s="60">
        <f>+OtherClients[[#This Row],[Boxes / Pieces]]*OtherClients[[#This Row],[Unit Quantity]]</f>
        <v>6300</v>
      </c>
      <c r="H1666" s="60">
        <v>11</v>
      </c>
      <c r="I1666" s="60" t="s">
        <v>278</v>
      </c>
      <c r="J1666" s="104"/>
      <c r="K1666" s="33" t="s">
        <v>278</v>
      </c>
      <c r="L1666" s="111"/>
      <c r="M1666" s="33" t="s">
        <v>278</v>
      </c>
      <c r="N1666" s="111"/>
      <c r="O1666" s="33" t="s">
        <v>278</v>
      </c>
      <c r="P1666" s="111"/>
      <c r="Q1666" s="33" t="s">
        <v>587</v>
      </c>
      <c r="R1666" s="111"/>
      <c r="S1666" s="33" t="s">
        <v>278</v>
      </c>
      <c r="T1666" s="111"/>
      <c r="U1666" s="33" t="s">
        <v>278</v>
      </c>
      <c r="V1666" s="111"/>
      <c r="W1666" s="59" t="s">
        <v>633</v>
      </c>
      <c r="X1666" s="33" t="str">
        <f>+VLOOKUP(OtherClients[[#This Row],[Part]],PartControl!$A$2:$E$564,5,FALSE)</f>
        <v>Infasco</v>
      </c>
      <c r="Y1666" s="108">
        <f>IF(OtherClients[[#This Row],[Re-certified or New]]&lt;&gt;"Re-certified",IF(OtherClients[[#This Row],[Client]]="infasco",VLOOKUP(OtherClients[[#This Row],[Part]],PartControl!$A$2:$E$564,2,FALSE),OtherClients[[#This Row],[Total Quantity]]*VLOOKUP(OtherClients[[#This Row],[Part]],PartControl!$A$2:$E$564,2,FALSE)),0)</f>
        <v>0</v>
      </c>
      <c r="Z1666" s="108">
        <f>IF(OtherClients[[#This Row],[Re-certified or New]]&lt;&gt;"Re-certified",IF(OtherClients[[#This Row],[Client]]="infasco",VLOOKUP(OtherClients[[#This Row],[Part]],PartControl!$A$2:$E$564,2,FALSE),OtherClients[[#This Row],[Total Quantity]]*VLOOKUP(OtherClients[[#This Row],[Part]],PartControl!$A$2:$E$564,2,FALSE)),0)</f>
        <v>0</v>
      </c>
    </row>
    <row r="1667" spans="1:26" ht="25.15" hidden="1" customHeight="1" x14ac:dyDescent="0.25">
      <c r="A1667" s="112">
        <v>46258.689768518518</v>
      </c>
      <c r="B1667" s="5" t="s">
        <v>246</v>
      </c>
      <c r="C1667" s="5" t="s">
        <v>685</v>
      </c>
      <c r="D1667" s="5">
        <v>717442</v>
      </c>
      <c r="E1667" s="33">
        <f>24-10</f>
        <v>14</v>
      </c>
      <c r="F1667" s="60">
        <v>2500</v>
      </c>
      <c r="G1667" s="60">
        <f>+OtherClients[[#This Row],[Boxes / Pieces]]*OtherClients[[#This Row],[Unit Quantity]]</f>
        <v>35000</v>
      </c>
      <c r="H1667" s="60">
        <v>272</v>
      </c>
      <c r="I1667" s="60" t="s">
        <v>278</v>
      </c>
      <c r="J1667" s="104"/>
      <c r="K1667" s="33" t="s">
        <v>278</v>
      </c>
      <c r="L1667" s="111"/>
      <c r="M1667" s="33" t="s">
        <v>278</v>
      </c>
      <c r="N1667" s="111"/>
      <c r="O1667" s="33" t="s">
        <v>278</v>
      </c>
      <c r="P1667" s="111"/>
      <c r="Q1667" s="33" t="s">
        <v>587</v>
      </c>
      <c r="R1667" s="111"/>
      <c r="S1667" s="33" t="s">
        <v>278</v>
      </c>
      <c r="T1667" s="111"/>
      <c r="U1667" s="33" t="s">
        <v>278</v>
      </c>
      <c r="V1667" s="111"/>
      <c r="W1667" s="59" t="s">
        <v>548</v>
      </c>
      <c r="X1667" s="33" t="str">
        <f>+VLOOKUP(OtherClients[[#This Row],[Part]],PartControl!$A$2:$E$564,5,FALSE)</f>
        <v>infasco</v>
      </c>
      <c r="Y1667" s="108">
        <f>IF(OtherClients[[#This Row],[Re-certified or New]]&lt;&gt;"Re-certified",IF(OtherClients[[#This Row],[Client]]="infasco",VLOOKUP(OtherClients[[#This Row],[Part]],PartControl!$A$2:$E$564,2,FALSE),OtherClients[[#This Row],[Total Quantity]]*VLOOKUP(OtherClients[[#This Row],[Part]],PartControl!$A$2:$E$564,2,FALSE)),0)</f>
        <v>106.94</v>
      </c>
      <c r="Z1667" s="108">
        <f>IF(OtherClients[[#This Row],[Re-certified or New]]&lt;&gt;"Re-certified",IF(OtherClients[[#This Row],[Client]]="infasco",VLOOKUP(OtherClients[[#This Row],[Part]],PartControl!$A$2:$E$564,2,FALSE),OtherClients[[#This Row],[Total Quantity]]*VLOOKUP(OtherClients[[#This Row],[Part]],PartControl!$A$2:$E$564,2,FALSE)),0)</f>
        <v>106.94</v>
      </c>
    </row>
    <row r="1668" spans="1:26" ht="25.15" hidden="1" customHeight="1" x14ac:dyDescent="0.25">
      <c r="A1668" s="112">
        <v>46258.689768518518</v>
      </c>
      <c r="B1668" s="5" t="s">
        <v>246</v>
      </c>
      <c r="C1668" s="5" t="s">
        <v>732</v>
      </c>
      <c r="D1668" s="5">
        <v>710824</v>
      </c>
      <c r="E1668" s="33">
        <v>4</v>
      </c>
      <c r="F1668" s="60">
        <v>1000</v>
      </c>
      <c r="G1668" s="60">
        <f>+OtherClients[[#This Row],[Boxes / Pieces]]*OtherClients[[#This Row],[Unit Quantity]]</f>
        <v>4000</v>
      </c>
      <c r="H1668" s="60">
        <v>272</v>
      </c>
      <c r="I1668" s="60" t="s">
        <v>278</v>
      </c>
      <c r="J1668" s="104"/>
      <c r="K1668" s="33" t="s">
        <v>278</v>
      </c>
      <c r="L1668" s="111"/>
      <c r="M1668" s="33" t="s">
        <v>278</v>
      </c>
      <c r="N1668" s="111"/>
      <c r="O1668" s="33" t="s">
        <v>278</v>
      </c>
      <c r="P1668" s="111"/>
      <c r="Q1668" s="33" t="s">
        <v>587</v>
      </c>
      <c r="R1668" s="111"/>
      <c r="S1668" s="33" t="s">
        <v>278</v>
      </c>
      <c r="T1668" s="111"/>
      <c r="U1668" s="33" t="s">
        <v>278</v>
      </c>
      <c r="V1668" s="111"/>
      <c r="W1668" s="59" t="s">
        <v>633</v>
      </c>
      <c r="X1668" s="33" t="str">
        <f>+VLOOKUP(OtherClients[[#This Row],[Part]],PartControl!$A$2:$E$564,5,FALSE)</f>
        <v>infasco</v>
      </c>
      <c r="Y1668" s="108">
        <f>IF(OtherClients[[#This Row],[Re-certified or New]]&lt;&gt;"Re-certified",IF(OtherClients[[#This Row],[Client]]="infasco",VLOOKUP(OtherClients[[#This Row],[Part]],PartControl!$A$2:$E$564,2,FALSE),OtherClients[[#This Row],[Total Quantity]]*VLOOKUP(OtherClients[[#This Row],[Part]],PartControl!$A$2:$E$564,2,FALSE)),0)</f>
        <v>0</v>
      </c>
      <c r="Z1668" s="108">
        <f>IF(OtherClients[[#This Row],[Re-certified or New]]&lt;&gt;"Re-certified",IF(OtherClients[[#This Row],[Client]]="infasco",VLOOKUP(OtherClients[[#This Row],[Part]],PartControl!$A$2:$E$564,2,FALSE),OtherClients[[#This Row],[Total Quantity]]*VLOOKUP(OtherClients[[#This Row],[Part]],PartControl!$A$2:$E$564,2,FALSE)),0)</f>
        <v>0</v>
      </c>
    </row>
    <row r="1669" spans="1:26" ht="25.15" hidden="1" customHeight="1" x14ac:dyDescent="0.25">
      <c r="A1669" s="112">
        <v>46259.689768518518</v>
      </c>
      <c r="B1669" s="5" t="s">
        <v>233</v>
      </c>
      <c r="C1669" s="5" t="s">
        <v>644</v>
      </c>
      <c r="D1669" s="5">
        <v>716862</v>
      </c>
      <c r="E1669" s="33">
        <v>36</v>
      </c>
      <c r="F1669" s="60">
        <v>2200</v>
      </c>
      <c r="G1669" s="60">
        <v>79200</v>
      </c>
      <c r="H1669" s="60">
        <v>275</v>
      </c>
      <c r="I1669" s="60" t="s">
        <v>278</v>
      </c>
      <c r="J1669" s="104"/>
      <c r="K1669" s="33" t="s">
        <v>278</v>
      </c>
      <c r="L1669" s="111"/>
      <c r="M1669" s="33" t="s">
        <v>278</v>
      </c>
      <c r="N1669" s="111"/>
      <c r="O1669" s="33" t="s">
        <v>278</v>
      </c>
      <c r="P1669" s="111"/>
      <c r="Q1669" s="33" t="s">
        <v>587</v>
      </c>
      <c r="R1669" s="111"/>
      <c r="S1669" s="33" t="s">
        <v>278</v>
      </c>
      <c r="T1669" s="111"/>
      <c r="U1669" s="33" t="s">
        <v>278</v>
      </c>
      <c r="V1669" s="111"/>
      <c r="W1669" s="59" t="s">
        <v>548</v>
      </c>
      <c r="X1669" s="33" t="str">
        <f>+VLOOKUP(OtherClients[[#This Row],[Part]],PartControl!$A$2:$E$564,5,FALSE)</f>
        <v>infasco</v>
      </c>
      <c r="Y1669" s="111">
        <v>106.94</v>
      </c>
      <c r="Z1669" s="108">
        <f>IF(OtherClients[[#This Row],[Re-certified or New]]&lt;&gt;"Re-certified",IF(OtherClients[[#This Row],[Client]]="infasco",VLOOKUP(OtherClients[[#This Row],[Part]],PartControl!$A$2:$E$564,2,FALSE),OtherClients[[#This Row],[Total Quantity]]*VLOOKUP(OtherClients[[#This Row],[Part]],PartControl!$A$2:$E$564,2,FALSE)),0)</f>
        <v>106.94</v>
      </c>
    </row>
    <row r="1670" spans="1:26" ht="25.15" hidden="1" customHeight="1" x14ac:dyDescent="0.25">
      <c r="A1670" s="112">
        <v>46259.689768518518</v>
      </c>
      <c r="B1670" s="5" t="s">
        <v>233</v>
      </c>
      <c r="C1670" s="5" t="s">
        <v>644</v>
      </c>
      <c r="D1670" s="5">
        <v>716863</v>
      </c>
      <c r="E1670" s="33">
        <v>10</v>
      </c>
      <c r="F1670" s="60">
        <v>2200</v>
      </c>
      <c r="G1670" s="60">
        <f>+OtherClients[[#This Row],[Boxes / Pieces]]*OtherClients[[#This Row],[Unit Quantity]]</f>
        <v>22000</v>
      </c>
      <c r="H1670" s="60">
        <v>275</v>
      </c>
      <c r="I1670" s="60" t="s">
        <v>278</v>
      </c>
      <c r="J1670" s="104"/>
      <c r="K1670" s="33" t="s">
        <v>278</v>
      </c>
      <c r="L1670" s="111"/>
      <c r="M1670" s="33" t="s">
        <v>278</v>
      </c>
      <c r="N1670" s="111"/>
      <c r="O1670" s="33" t="s">
        <v>278</v>
      </c>
      <c r="P1670" s="111"/>
      <c r="Q1670" s="33" t="s">
        <v>587</v>
      </c>
      <c r="R1670" s="111"/>
      <c r="S1670" s="33" t="s">
        <v>278</v>
      </c>
      <c r="T1670" s="111"/>
      <c r="U1670" s="33" t="s">
        <v>278</v>
      </c>
      <c r="V1670" s="111"/>
      <c r="W1670" s="59" t="s">
        <v>633</v>
      </c>
      <c r="X1670" s="33" t="str">
        <f>+VLOOKUP(OtherClients[[#This Row],[Part]],PartControl!$A$2:$E$564,5,FALSE)</f>
        <v>infasco</v>
      </c>
      <c r="Y1670" s="108">
        <f>IF(OtherClients[[#This Row],[Re-certified or New]]&lt;&gt;"Re-certified",IF(OtherClients[[#This Row],[Client]]="infasco",VLOOKUP(OtherClients[[#This Row],[Part]],PartControl!$A$2:$E$564,2,FALSE),OtherClients[[#This Row],[Total Quantity]]*VLOOKUP(OtherClients[[#This Row],[Part]],PartControl!$A$2:$E$564,2,FALSE)),0)</f>
        <v>0</v>
      </c>
      <c r="Z1670" s="108">
        <f>IF(OtherClients[[#This Row],[Re-certified or New]]&lt;&gt;"Re-certified",IF(OtherClients[[#This Row],[Client]]="infasco",VLOOKUP(OtherClients[[#This Row],[Part]],PartControl!$A$2:$E$564,2,FALSE),OtherClients[[#This Row],[Total Quantity]]*VLOOKUP(OtherClients[[#This Row],[Part]],PartControl!$A$2:$E$564,2,FALSE)),0)</f>
        <v>0</v>
      </c>
    </row>
    <row r="1671" spans="1:26" ht="25.15" hidden="1" customHeight="1" x14ac:dyDescent="0.25">
      <c r="A1671" s="112">
        <v>46259.689768518518</v>
      </c>
      <c r="B1671" s="5" t="s">
        <v>238</v>
      </c>
      <c r="C1671" s="5">
        <v>11546462</v>
      </c>
      <c r="D1671" s="5">
        <v>717081</v>
      </c>
      <c r="E1671" s="33">
        <f>36-16</f>
        <v>20</v>
      </c>
      <c r="F1671" s="60">
        <v>650</v>
      </c>
      <c r="G1671" s="60">
        <f>+OtherClients[[#This Row],[Boxes / Pieces]]*OtherClients[[#This Row],[Unit Quantity]]</f>
        <v>13000</v>
      </c>
      <c r="H1671" s="60">
        <v>275</v>
      </c>
      <c r="I1671" s="60" t="s">
        <v>278</v>
      </c>
      <c r="J1671" s="104"/>
      <c r="K1671" s="33" t="s">
        <v>278</v>
      </c>
      <c r="L1671" s="111"/>
      <c r="M1671" s="33" t="s">
        <v>278</v>
      </c>
      <c r="N1671" s="111"/>
      <c r="O1671" s="33" t="s">
        <v>278</v>
      </c>
      <c r="P1671" s="111"/>
      <c r="Q1671" s="33" t="s">
        <v>587</v>
      </c>
      <c r="R1671" s="111"/>
      <c r="S1671" s="33" t="s">
        <v>278</v>
      </c>
      <c r="T1671" s="111"/>
      <c r="U1671" s="33" t="s">
        <v>278</v>
      </c>
      <c r="V1671" s="111"/>
      <c r="W1671" s="59" t="s">
        <v>548</v>
      </c>
      <c r="X1671" s="33" t="str">
        <f>+VLOOKUP(OtherClients[[#This Row],[Part]],PartControl!$A$2:$E$564,5,FALSE)</f>
        <v>INFASCO</v>
      </c>
      <c r="Y1671" s="108">
        <f>IF(OtherClients[[#This Row],[Re-certified or New]]&lt;&gt;"Re-certified",IF(OtherClients[[#This Row],[Client]]="infasco",VLOOKUP(OtherClients[[#This Row],[Part]],PartControl!$A$2:$E$564,2,FALSE),OtherClients[[#This Row],[Total Quantity]]*VLOOKUP(OtherClients[[#This Row],[Part]],PartControl!$A$2:$E$564,2,FALSE)),0)</f>
        <v>106.94</v>
      </c>
      <c r="Z1671" s="108">
        <f>IF(OtherClients[[#This Row],[Re-certified or New]]&lt;&gt;"Re-certified",IF(OtherClients[[#This Row],[Client]]="infasco",VLOOKUP(OtherClients[[#This Row],[Part]],PartControl!$A$2:$E$564,2,FALSE),OtherClients[[#This Row],[Total Quantity]]*VLOOKUP(OtherClients[[#This Row],[Part]],PartControl!$A$2:$E$564,2,FALSE)),0)</f>
        <v>106.94</v>
      </c>
    </row>
    <row r="1672" spans="1:26" ht="25.15" hidden="1" customHeight="1" x14ac:dyDescent="0.25">
      <c r="A1672" s="112">
        <v>46259.689768518518</v>
      </c>
      <c r="B1672" s="5" t="s">
        <v>238</v>
      </c>
      <c r="C1672" s="5">
        <v>11546462</v>
      </c>
      <c r="D1672" s="5">
        <v>717079</v>
      </c>
      <c r="E1672" s="33">
        <v>30</v>
      </c>
      <c r="F1672" s="60">
        <v>650</v>
      </c>
      <c r="G1672" s="60">
        <f>+OtherClients[[#This Row],[Boxes / Pieces]]*OtherClients[[#This Row],[Unit Quantity]]</f>
        <v>19500</v>
      </c>
      <c r="H1672" s="60">
        <v>275</v>
      </c>
      <c r="I1672" s="60" t="s">
        <v>278</v>
      </c>
      <c r="J1672" s="104"/>
      <c r="K1672" s="33" t="s">
        <v>278</v>
      </c>
      <c r="L1672" s="111"/>
      <c r="M1672" s="33" t="s">
        <v>278</v>
      </c>
      <c r="N1672" s="111"/>
      <c r="O1672" s="33" t="s">
        <v>278</v>
      </c>
      <c r="P1672" s="111"/>
      <c r="Q1672" s="33" t="s">
        <v>587</v>
      </c>
      <c r="R1672" s="111"/>
      <c r="S1672" s="33" t="s">
        <v>278</v>
      </c>
      <c r="T1672" s="111"/>
      <c r="U1672" s="33" t="s">
        <v>278</v>
      </c>
      <c r="V1672" s="111"/>
      <c r="W1672" s="59" t="s">
        <v>548</v>
      </c>
      <c r="X1672" s="33" t="str">
        <f>+VLOOKUP(OtherClients[[#This Row],[Part]],PartControl!$A$2:$E$564,5,FALSE)</f>
        <v>INFASCO</v>
      </c>
      <c r="Y1672" s="108">
        <f>IF(OtherClients[[#This Row],[Re-certified or New]]&lt;&gt;"Re-certified",IF(OtherClients[[#This Row],[Client]]="infasco",VLOOKUP(OtherClients[[#This Row],[Part]],PartControl!$A$2:$E$564,2,FALSE),OtherClients[[#This Row],[Total Quantity]]*VLOOKUP(OtherClients[[#This Row],[Part]],PartControl!$A$2:$E$564,2,FALSE)),0)</f>
        <v>106.94</v>
      </c>
      <c r="Z1672" s="108">
        <f>IF(OtherClients[[#This Row],[Re-certified or New]]&lt;&gt;"Re-certified",IF(OtherClients[[#This Row],[Client]]="infasco",VLOOKUP(OtherClients[[#This Row],[Part]],PartControl!$A$2:$E$564,2,FALSE),OtherClients[[#This Row],[Total Quantity]]*VLOOKUP(OtherClients[[#This Row],[Part]],PartControl!$A$2:$E$564,2,FALSE)),0)</f>
        <v>106.94</v>
      </c>
    </row>
    <row r="1673" spans="1:26" ht="25.15" hidden="1" customHeight="1" x14ac:dyDescent="0.25">
      <c r="A1673" s="112">
        <v>46259.689768518518</v>
      </c>
      <c r="B1673" s="5" t="s">
        <v>238</v>
      </c>
      <c r="C1673" s="5">
        <v>11546463</v>
      </c>
      <c r="D1673" s="5">
        <v>717061</v>
      </c>
      <c r="E1673" s="33">
        <v>20</v>
      </c>
      <c r="F1673" s="60">
        <v>450</v>
      </c>
      <c r="G1673" s="60">
        <f>+OtherClients[[#This Row],[Boxes / Pieces]]*OtherClients[[#This Row],[Unit Quantity]]</f>
        <v>9000</v>
      </c>
      <c r="H1673" s="60">
        <v>275</v>
      </c>
      <c r="I1673" s="60" t="s">
        <v>278</v>
      </c>
      <c r="J1673" s="104"/>
      <c r="K1673" s="33" t="s">
        <v>278</v>
      </c>
      <c r="L1673" s="111"/>
      <c r="M1673" s="33" t="s">
        <v>278</v>
      </c>
      <c r="N1673" s="111"/>
      <c r="O1673" s="33" t="s">
        <v>278</v>
      </c>
      <c r="P1673" s="111"/>
      <c r="Q1673" s="33" t="s">
        <v>587</v>
      </c>
      <c r="R1673" s="111"/>
      <c r="S1673" s="33" t="s">
        <v>278</v>
      </c>
      <c r="T1673" s="111"/>
      <c r="U1673" s="33" t="s">
        <v>278</v>
      </c>
      <c r="V1673" s="111"/>
      <c r="W1673" s="59" t="s">
        <v>633</v>
      </c>
      <c r="X1673" s="33" t="str">
        <f>+VLOOKUP(OtherClients[[#This Row],[Part]],PartControl!$A$2:$E$564,5,FALSE)</f>
        <v>infasco</v>
      </c>
      <c r="Y1673" s="108">
        <f>IF(OtherClients[[#This Row],[Re-certified or New]]&lt;&gt;"Re-certified",IF(OtherClients[[#This Row],[Client]]="infasco",VLOOKUP(OtherClients[[#This Row],[Part]],PartControl!$A$2:$E$564,2,FALSE),OtherClients[[#This Row],[Total Quantity]]*VLOOKUP(OtherClients[[#This Row],[Part]],PartControl!$A$2:$E$564,2,FALSE)),0)</f>
        <v>0</v>
      </c>
      <c r="Z1673" s="108">
        <f>IF(OtherClients[[#This Row],[Re-certified or New]]&lt;&gt;"Re-certified",IF(OtherClients[[#This Row],[Client]]="infasco",VLOOKUP(OtherClients[[#This Row],[Part]],PartControl!$A$2:$E$564,2,FALSE),OtherClients[[#This Row],[Total Quantity]]*VLOOKUP(OtherClients[[#This Row],[Part]],PartControl!$A$2:$E$564,2,FALSE)),0)</f>
        <v>0</v>
      </c>
    </row>
    <row r="1674" spans="1:26" ht="25.15" hidden="1" customHeight="1" x14ac:dyDescent="0.25">
      <c r="A1674" s="112">
        <v>46259.689768518518</v>
      </c>
      <c r="B1674" s="5" t="s">
        <v>242</v>
      </c>
      <c r="C1674" s="5" t="s">
        <v>888</v>
      </c>
      <c r="D1674" s="5">
        <v>716773</v>
      </c>
      <c r="E1674" s="33">
        <f>36-25</f>
        <v>11</v>
      </c>
      <c r="F1674" s="60">
        <v>750</v>
      </c>
      <c r="G1674" s="60">
        <f>+OtherClients[[#This Row],[Boxes / Pieces]]*OtherClients[[#This Row],[Unit Quantity]]</f>
        <v>8250</v>
      </c>
      <c r="H1674" s="60">
        <v>275</v>
      </c>
      <c r="I1674" s="60" t="s">
        <v>278</v>
      </c>
      <c r="J1674" s="104"/>
      <c r="K1674" s="33" t="s">
        <v>278</v>
      </c>
      <c r="L1674" s="111"/>
      <c r="M1674" s="33" t="s">
        <v>278</v>
      </c>
      <c r="N1674" s="111"/>
      <c r="O1674" s="33" t="s">
        <v>278</v>
      </c>
      <c r="P1674" s="111"/>
      <c r="Q1674" s="33" t="s">
        <v>587</v>
      </c>
      <c r="R1674" s="111"/>
      <c r="S1674" s="33" t="s">
        <v>278</v>
      </c>
      <c r="T1674" s="111"/>
      <c r="U1674" s="33" t="s">
        <v>278</v>
      </c>
      <c r="V1674" s="111"/>
      <c r="W1674" s="59" t="s">
        <v>548</v>
      </c>
      <c r="X1674" s="33" t="str">
        <f>+VLOOKUP(OtherClients[[#This Row],[Part]],PartControl!$A$2:$E$564,5,FALSE)</f>
        <v>infasco</v>
      </c>
      <c r="Y1674" s="108">
        <f>IF(OtherClients[[#This Row],[Re-certified or New]]&lt;&gt;"Re-certified",IF(OtherClients[[#This Row],[Client]]="infasco",VLOOKUP(OtherClients[[#This Row],[Part]],PartControl!$A$2:$E$564,2,FALSE),OtherClients[[#This Row],[Total Quantity]]*VLOOKUP(OtherClients[[#This Row],[Part]],PartControl!$A$2:$E$564,2,FALSE)),0)</f>
        <v>106.94</v>
      </c>
      <c r="Z1674" s="108">
        <f>IF(OtherClients[[#This Row],[Re-certified or New]]&lt;&gt;"Re-certified",IF(OtherClients[[#This Row],[Client]]="infasco",VLOOKUP(OtherClients[[#This Row],[Part]],PartControl!$A$2:$E$564,2,FALSE),OtherClients[[#This Row],[Total Quantity]]*VLOOKUP(OtherClients[[#This Row],[Part]],PartControl!$A$2:$E$564,2,FALSE)),0)</f>
        <v>106.94</v>
      </c>
    </row>
    <row r="1675" spans="1:26" ht="25.15" hidden="1" customHeight="1" x14ac:dyDescent="0.25">
      <c r="A1675" s="112">
        <v>46259.689768518518</v>
      </c>
      <c r="B1675" s="5" t="s">
        <v>242</v>
      </c>
      <c r="C1675" s="5" t="s">
        <v>888</v>
      </c>
      <c r="D1675" s="5">
        <v>716774</v>
      </c>
      <c r="E1675" s="33">
        <v>23</v>
      </c>
      <c r="F1675" s="60">
        <v>750</v>
      </c>
      <c r="G1675" s="60">
        <f>+OtherClients[[#This Row],[Boxes / Pieces]]*OtherClients[[#This Row],[Unit Quantity]]</f>
        <v>17250</v>
      </c>
      <c r="H1675" s="60">
        <v>275</v>
      </c>
      <c r="I1675" s="60" t="s">
        <v>278</v>
      </c>
      <c r="J1675" s="104"/>
      <c r="K1675" s="33" t="s">
        <v>278</v>
      </c>
      <c r="L1675" s="111"/>
      <c r="M1675" s="33" t="s">
        <v>278</v>
      </c>
      <c r="N1675" s="111"/>
      <c r="O1675" s="33" t="s">
        <v>278</v>
      </c>
      <c r="P1675" s="111"/>
      <c r="Q1675" s="33" t="s">
        <v>587</v>
      </c>
      <c r="R1675" s="111"/>
      <c r="S1675" s="33" t="s">
        <v>278</v>
      </c>
      <c r="T1675" s="111"/>
      <c r="U1675" s="33" t="s">
        <v>278</v>
      </c>
      <c r="V1675" s="111"/>
      <c r="W1675" s="59" t="s">
        <v>548</v>
      </c>
      <c r="X1675" s="33" t="str">
        <f>+VLOOKUP(OtherClients[[#This Row],[Part]],PartControl!$A$2:$E$564,5,FALSE)</f>
        <v>infasco</v>
      </c>
      <c r="Y1675" s="108">
        <f>IF(OtherClients[[#This Row],[Re-certified or New]]&lt;&gt;"Re-certified",IF(OtherClients[[#This Row],[Client]]="infasco",VLOOKUP(OtherClients[[#This Row],[Part]],PartControl!$A$2:$E$564,2,FALSE),OtherClients[[#This Row],[Total Quantity]]*VLOOKUP(OtherClients[[#This Row],[Part]],PartControl!$A$2:$E$564,2,FALSE)),0)</f>
        <v>106.94</v>
      </c>
      <c r="Z1675" s="108">
        <f>IF(OtherClients[[#This Row],[Re-certified or New]]&lt;&gt;"Re-certified",IF(OtherClients[[#This Row],[Client]]="infasco",VLOOKUP(OtherClients[[#This Row],[Part]],PartControl!$A$2:$E$564,2,FALSE),OtherClients[[#This Row],[Total Quantity]]*VLOOKUP(OtherClients[[#This Row],[Part]],PartControl!$A$2:$E$564,2,FALSE)),0)</f>
        <v>106.94</v>
      </c>
    </row>
    <row r="1676" spans="1:26" ht="25.15" hidden="1" customHeight="1" x14ac:dyDescent="0.25">
      <c r="A1676" s="112">
        <v>46259.689768518518</v>
      </c>
      <c r="B1676" s="5" t="s">
        <v>242</v>
      </c>
      <c r="C1676" s="5">
        <v>11546463</v>
      </c>
      <c r="D1676" s="5">
        <v>717064</v>
      </c>
      <c r="E1676" s="33">
        <v>20</v>
      </c>
      <c r="F1676" s="60">
        <v>450</v>
      </c>
      <c r="G1676" s="60">
        <f>+OtherClients[[#This Row],[Boxes / Pieces]]*OtherClients[[#This Row],[Unit Quantity]]</f>
        <v>9000</v>
      </c>
      <c r="H1676" s="60">
        <v>275</v>
      </c>
      <c r="I1676" s="60" t="s">
        <v>278</v>
      </c>
      <c r="J1676" s="104"/>
      <c r="K1676" s="33" t="s">
        <v>278</v>
      </c>
      <c r="L1676" s="111"/>
      <c r="M1676" s="33" t="s">
        <v>278</v>
      </c>
      <c r="N1676" s="111"/>
      <c r="O1676" s="33" t="s">
        <v>278</v>
      </c>
      <c r="P1676" s="111"/>
      <c r="Q1676" s="33" t="s">
        <v>587</v>
      </c>
      <c r="R1676" s="111"/>
      <c r="S1676" s="33" t="s">
        <v>278</v>
      </c>
      <c r="T1676" s="111"/>
      <c r="U1676" s="33" t="s">
        <v>278</v>
      </c>
      <c r="V1676" s="111"/>
      <c r="W1676" s="59" t="s">
        <v>633</v>
      </c>
      <c r="X1676" s="33" t="str">
        <f>+VLOOKUP(OtherClients[[#This Row],[Part]],PartControl!$A$2:$E$564,5,FALSE)</f>
        <v>infasco</v>
      </c>
      <c r="Y1676" s="108">
        <f>IF(OtherClients[[#This Row],[Re-certified or New]]&lt;&gt;"Re-certified",IF(OtherClients[[#This Row],[Client]]="infasco",VLOOKUP(OtherClients[[#This Row],[Part]],PartControl!$A$2:$E$564,2,FALSE),OtherClients[[#This Row],[Total Quantity]]*VLOOKUP(OtherClients[[#This Row],[Part]],PartControl!$A$2:$E$564,2,FALSE)),0)</f>
        <v>0</v>
      </c>
      <c r="Z1676" s="108">
        <f>IF(OtherClients[[#This Row],[Re-certified or New]]&lt;&gt;"Re-certified",IF(OtherClients[[#This Row],[Client]]="infasco",VLOOKUP(OtherClients[[#This Row],[Part]],PartControl!$A$2:$E$564,2,FALSE),OtherClients[[#This Row],[Total Quantity]]*VLOOKUP(OtherClients[[#This Row],[Part]],PartControl!$A$2:$E$564,2,FALSE)),0)</f>
        <v>0</v>
      </c>
    </row>
    <row r="1677" spans="1:26" ht="25.15" hidden="1" customHeight="1" x14ac:dyDescent="0.25">
      <c r="A1677" s="112">
        <v>46259.689768518518</v>
      </c>
      <c r="B1677" s="5" t="s">
        <v>232</v>
      </c>
      <c r="C1677" s="5">
        <v>11546437</v>
      </c>
      <c r="D1677" s="5">
        <v>716757</v>
      </c>
      <c r="E1677" s="33">
        <f>36+18-12</f>
        <v>42</v>
      </c>
      <c r="F1677" s="60">
        <v>1500</v>
      </c>
      <c r="G1677" s="60">
        <f>+OtherClients[[#This Row],[Boxes / Pieces]]*OtherClients[[#This Row],[Unit Quantity]]</f>
        <v>63000</v>
      </c>
      <c r="H1677" s="60">
        <v>275</v>
      </c>
      <c r="I1677" s="60" t="s">
        <v>278</v>
      </c>
      <c r="J1677" s="104"/>
      <c r="K1677" s="33" t="s">
        <v>278</v>
      </c>
      <c r="L1677" s="111"/>
      <c r="M1677" s="33" t="s">
        <v>278</v>
      </c>
      <c r="N1677" s="111"/>
      <c r="O1677" s="33" t="s">
        <v>278</v>
      </c>
      <c r="P1677" s="111"/>
      <c r="Q1677" s="33" t="s">
        <v>587</v>
      </c>
      <c r="R1677" s="111"/>
      <c r="S1677" s="33" t="s">
        <v>278</v>
      </c>
      <c r="T1677" s="111"/>
      <c r="U1677" s="33" t="s">
        <v>278</v>
      </c>
      <c r="V1677" s="111"/>
      <c r="W1677" s="59" t="s">
        <v>548</v>
      </c>
      <c r="X1677" s="33" t="str">
        <f>+VLOOKUP(OtherClients[[#This Row],[Part]],PartControl!$A$2:$E$564,5,FALSE)</f>
        <v>infasco</v>
      </c>
      <c r="Y1677" s="108">
        <f>IF(OtherClients[[#This Row],[Re-certified or New]]&lt;&gt;"Re-certified",IF(OtherClients[[#This Row],[Client]]="infasco",VLOOKUP(OtherClients[[#This Row],[Part]],PartControl!$A$2:$E$564,2,FALSE),OtherClients[[#This Row],[Total Quantity]]*VLOOKUP(OtherClients[[#This Row],[Part]],PartControl!$A$2:$E$564,2,FALSE)),0)</f>
        <v>106.94</v>
      </c>
      <c r="Z1677" s="108">
        <f>IF(OtherClients[[#This Row],[Re-certified or New]]&lt;&gt;"Re-certified",IF(OtherClients[[#This Row],[Client]]="infasco",VLOOKUP(OtherClients[[#This Row],[Part]],PartControl!$A$2:$E$564,2,FALSE),OtherClients[[#This Row],[Total Quantity]]*VLOOKUP(OtherClients[[#This Row],[Part]],PartControl!$A$2:$E$564,2,FALSE)),0)</f>
        <v>106.94</v>
      </c>
    </row>
    <row r="1678" spans="1:26" ht="25.15" hidden="1" customHeight="1" x14ac:dyDescent="0.25">
      <c r="A1678" s="112">
        <v>46259.689768518518</v>
      </c>
      <c r="B1678" s="5" t="s">
        <v>232</v>
      </c>
      <c r="C1678" s="5">
        <v>11546437</v>
      </c>
      <c r="D1678" s="5">
        <v>716764</v>
      </c>
      <c r="E1678" s="33">
        <v>18</v>
      </c>
      <c r="F1678" s="60">
        <v>1500</v>
      </c>
      <c r="G1678" s="60">
        <f>+OtherClients[[#This Row],[Boxes / Pieces]]*OtherClients[[#This Row],[Unit Quantity]]</f>
        <v>27000</v>
      </c>
      <c r="H1678" s="60">
        <v>275</v>
      </c>
      <c r="I1678" s="60" t="s">
        <v>278</v>
      </c>
      <c r="J1678" s="104"/>
      <c r="K1678" s="33" t="s">
        <v>278</v>
      </c>
      <c r="L1678" s="111"/>
      <c r="M1678" s="33" t="s">
        <v>278</v>
      </c>
      <c r="N1678" s="111"/>
      <c r="O1678" s="33" t="s">
        <v>278</v>
      </c>
      <c r="P1678" s="111"/>
      <c r="Q1678" s="33" t="s">
        <v>587</v>
      </c>
      <c r="R1678" s="111"/>
      <c r="S1678" s="33" t="s">
        <v>278</v>
      </c>
      <c r="T1678" s="111"/>
      <c r="U1678" s="33" t="s">
        <v>278</v>
      </c>
      <c r="V1678" s="111"/>
      <c r="W1678" s="59" t="s">
        <v>633</v>
      </c>
      <c r="X1678" s="33" t="str">
        <f>+VLOOKUP(OtherClients[[#This Row],[Part]],PartControl!$A$2:$E$564,5,FALSE)</f>
        <v>infasco</v>
      </c>
      <c r="Y1678" s="108">
        <f>IF(OtherClients[[#This Row],[Re-certified or New]]&lt;&gt;"Re-certified",IF(OtherClients[[#This Row],[Client]]="infasco",VLOOKUP(OtherClients[[#This Row],[Part]],PartControl!$A$2:$E$564,2,FALSE),OtherClients[[#This Row],[Total Quantity]]*VLOOKUP(OtherClients[[#This Row],[Part]],PartControl!$A$2:$E$564,2,FALSE)),0)</f>
        <v>0</v>
      </c>
      <c r="Z1678" s="108">
        <f>IF(OtherClients[[#This Row],[Re-certified or New]]&lt;&gt;"Re-certified",IF(OtherClients[[#This Row],[Client]]="infasco",VLOOKUP(OtherClients[[#This Row],[Part]],PartControl!$A$2:$E$564,2,FALSE),OtherClients[[#This Row],[Total Quantity]]*VLOOKUP(OtherClients[[#This Row],[Part]],PartControl!$A$2:$E$564,2,FALSE)),0)</f>
        <v>0</v>
      </c>
    </row>
    <row r="1679" spans="1:26" ht="25.15" hidden="1" customHeight="1" x14ac:dyDescent="0.25">
      <c r="A1679" s="112">
        <v>46259.689768518518</v>
      </c>
      <c r="B1679" s="5" t="s">
        <v>252</v>
      </c>
      <c r="C1679" s="5" t="s">
        <v>642</v>
      </c>
      <c r="D1679" s="5">
        <v>716795</v>
      </c>
      <c r="E1679" s="33">
        <f>36-4</f>
        <v>32</v>
      </c>
      <c r="F1679" s="60">
        <v>2800</v>
      </c>
      <c r="G1679" s="60">
        <f>+OtherClients[[#This Row],[Boxes / Pieces]]*OtherClients[[#This Row],[Unit Quantity]]</f>
        <v>89600</v>
      </c>
      <c r="H1679" s="60">
        <v>275</v>
      </c>
      <c r="I1679" s="60" t="s">
        <v>278</v>
      </c>
      <c r="J1679" s="104"/>
      <c r="K1679" s="33" t="s">
        <v>278</v>
      </c>
      <c r="L1679" s="111"/>
      <c r="M1679" s="33" t="s">
        <v>278</v>
      </c>
      <c r="N1679" s="111"/>
      <c r="O1679" s="33" t="s">
        <v>278</v>
      </c>
      <c r="P1679" s="111"/>
      <c r="Q1679" s="33" t="s">
        <v>587</v>
      </c>
      <c r="R1679" s="111"/>
      <c r="S1679" s="33" t="s">
        <v>278</v>
      </c>
      <c r="T1679" s="111"/>
      <c r="U1679" s="33" t="s">
        <v>278</v>
      </c>
      <c r="V1679" s="111"/>
      <c r="W1679" s="59" t="s">
        <v>548</v>
      </c>
      <c r="X1679" s="33" t="str">
        <f>+VLOOKUP(OtherClients[[#This Row],[Part]],PartControl!$A$2:$E$564,5,FALSE)</f>
        <v>infasco</v>
      </c>
      <c r="Y1679" s="108">
        <f>IF(OtherClients[[#This Row],[Re-certified or New]]&lt;&gt;"Re-certified",IF(OtherClients[[#This Row],[Client]]="infasco",VLOOKUP(OtherClients[[#This Row],[Part]],PartControl!$A$2:$E$564,2,FALSE),OtherClients[[#This Row],[Total Quantity]]*VLOOKUP(OtherClients[[#This Row],[Part]],PartControl!$A$2:$E$564,2,FALSE)),0)</f>
        <v>106.94</v>
      </c>
      <c r="Z1679" s="108">
        <f>IF(OtherClients[[#This Row],[Re-certified or New]]&lt;&gt;"Re-certified",IF(OtherClients[[#This Row],[Client]]="infasco",VLOOKUP(OtherClients[[#This Row],[Part]],PartControl!$A$2:$E$564,2,FALSE),OtherClients[[#This Row],[Total Quantity]]*VLOOKUP(OtherClients[[#This Row],[Part]],PartControl!$A$2:$E$564,2,FALSE)),0)</f>
        <v>106.94</v>
      </c>
    </row>
    <row r="1680" spans="1:26" ht="25.15" hidden="1" customHeight="1" x14ac:dyDescent="0.25">
      <c r="A1680" s="112">
        <v>46259.689768518518</v>
      </c>
      <c r="B1680" s="5" t="s">
        <v>234</v>
      </c>
      <c r="C1680" s="5">
        <v>11546437</v>
      </c>
      <c r="D1680" s="5">
        <v>716762</v>
      </c>
      <c r="E1680" s="33">
        <f>36+18-10</f>
        <v>44</v>
      </c>
      <c r="F1680" s="60">
        <v>1500</v>
      </c>
      <c r="G1680" s="60">
        <f>+OtherClients[[#This Row],[Boxes / Pieces]]*OtherClients[[#This Row],[Unit Quantity]]</f>
        <v>66000</v>
      </c>
      <c r="H1680" s="60">
        <v>275</v>
      </c>
      <c r="I1680" s="60" t="s">
        <v>278</v>
      </c>
      <c r="J1680" s="104"/>
      <c r="K1680" s="33" t="s">
        <v>278</v>
      </c>
      <c r="L1680" s="111"/>
      <c r="M1680" s="33" t="s">
        <v>278</v>
      </c>
      <c r="N1680" s="111"/>
      <c r="O1680" s="33" t="s">
        <v>278</v>
      </c>
      <c r="P1680" s="111"/>
      <c r="Q1680" s="33" t="s">
        <v>587</v>
      </c>
      <c r="R1680" s="111"/>
      <c r="S1680" s="33" t="s">
        <v>278</v>
      </c>
      <c r="T1680" s="111"/>
      <c r="U1680" s="33" t="s">
        <v>278</v>
      </c>
      <c r="V1680" s="111"/>
      <c r="W1680" s="59" t="s">
        <v>548</v>
      </c>
      <c r="X1680" s="33" t="str">
        <f>+VLOOKUP(OtherClients[[#This Row],[Part]],PartControl!$A$2:$E$564,5,FALSE)</f>
        <v>infasco</v>
      </c>
      <c r="Y1680" s="108">
        <f>IF(OtherClients[[#This Row],[Re-certified or New]]&lt;&gt;"Re-certified",IF(OtherClients[[#This Row],[Client]]="infasco",VLOOKUP(OtherClients[[#This Row],[Part]],PartControl!$A$2:$E$564,2,FALSE),OtherClients[[#This Row],[Total Quantity]]*VLOOKUP(OtherClients[[#This Row],[Part]],PartControl!$A$2:$E$564,2,FALSE)),0)</f>
        <v>106.94</v>
      </c>
      <c r="Z1680" s="108">
        <f>IF(OtherClients[[#This Row],[Re-certified or New]]&lt;&gt;"Re-certified",IF(OtherClients[[#This Row],[Client]]="infasco",VLOOKUP(OtherClients[[#This Row],[Part]],PartControl!$A$2:$E$564,2,FALSE),OtherClients[[#This Row],[Total Quantity]]*VLOOKUP(OtherClients[[#This Row],[Part]],PartControl!$A$2:$E$564,2,FALSE)),0)</f>
        <v>106.94</v>
      </c>
    </row>
    <row r="1681" spans="1:26" ht="25.15" hidden="1" customHeight="1" x14ac:dyDescent="0.25">
      <c r="A1681" s="112">
        <v>46259.689768518518</v>
      </c>
      <c r="B1681" s="5" t="s">
        <v>234</v>
      </c>
      <c r="C1681" s="5">
        <v>11546437</v>
      </c>
      <c r="D1681" s="5">
        <v>716765</v>
      </c>
      <c r="E1681" s="33">
        <v>18</v>
      </c>
      <c r="F1681" s="60">
        <v>1500</v>
      </c>
      <c r="G1681" s="60">
        <f>+OtherClients[[#This Row],[Boxes / Pieces]]*OtherClients[[#This Row],[Unit Quantity]]</f>
        <v>27000</v>
      </c>
      <c r="H1681" s="60">
        <v>275</v>
      </c>
      <c r="I1681" s="60" t="s">
        <v>278</v>
      </c>
      <c r="J1681" s="104"/>
      <c r="K1681" s="33" t="s">
        <v>278</v>
      </c>
      <c r="L1681" s="111"/>
      <c r="M1681" s="33" t="s">
        <v>278</v>
      </c>
      <c r="N1681" s="111"/>
      <c r="O1681" s="33" t="s">
        <v>278</v>
      </c>
      <c r="P1681" s="111"/>
      <c r="Q1681" s="33" t="s">
        <v>587</v>
      </c>
      <c r="R1681" s="111"/>
      <c r="S1681" s="33" t="s">
        <v>278</v>
      </c>
      <c r="T1681" s="111"/>
      <c r="U1681" s="33" t="s">
        <v>278</v>
      </c>
      <c r="V1681" s="111"/>
      <c r="W1681" s="59" t="s">
        <v>633</v>
      </c>
      <c r="X1681" s="33" t="str">
        <f>+VLOOKUP(OtherClients[[#This Row],[Part]],PartControl!$A$2:$E$564,5,FALSE)</f>
        <v>infasco</v>
      </c>
      <c r="Y1681" s="108">
        <f>IF(OtherClients[[#This Row],[Re-certified or New]]&lt;&gt;"Re-certified",IF(OtherClients[[#This Row],[Client]]="infasco",VLOOKUP(OtherClients[[#This Row],[Part]],PartControl!$A$2:$E$564,2,FALSE),OtherClients[[#This Row],[Total Quantity]]*VLOOKUP(OtherClients[[#This Row],[Part]],PartControl!$A$2:$E$564,2,FALSE)),0)</f>
        <v>0</v>
      </c>
      <c r="Z1681" s="108">
        <f>IF(OtherClients[[#This Row],[Re-certified or New]]&lt;&gt;"Re-certified",IF(OtherClients[[#This Row],[Client]]="infasco",VLOOKUP(OtherClients[[#This Row],[Part]],PartControl!$A$2:$E$564,2,FALSE),OtherClients[[#This Row],[Total Quantity]]*VLOOKUP(OtherClients[[#This Row],[Part]],PartControl!$A$2:$E$564,2,FALSE)),0)</f>
        <v>0</v>
      </c>
    </row>
    <row r="1682" spans="1:26" ht="25.15" hidden="1" customHeight="1" x14ac:dyDescent="0.25">
      <c r="A1682" s="112">
        <v>46259.689768518518</v>
      </c>
      <c r="B1682" s="5" t="s">
        <v>623</v>
      </c>
      <c r="C1682" s="5" t="s">
        <v>647</v>
      </c>
      <c r="D1682" s="5">
        <v>716545</v>
      </c>
      <c r="E1682" s="33">
        <v>29</v>
      </c>
      <c r="F1682" s="60">
        <v>750</v>
      </c>
      <c r="G1682" s="60">
        <f>+OtherClients[[#This Row],[Boxes / Pieces]]*OtherClients[[#This Row],[Unit Quantity]]</f>
        <v>21750</v>
      </c>
      <c r="H1682" s="60">
        <v>4</v>
      </c>
      <c r="I1682" s="60" t="s">
        <v>278</v>
      </c>
      <c r="J1682" s="104"/>
      <c r="K1682" s="33" t="s">
        <v>278</v>
      </c>
      <c r="L1682" s="111"/>
      <c r="M1682" s="33" t="s">
        <v>278</v>
      </c>
      <c r="N1682" s="111"/>
      <c r="O1682" s="33" t="s">
        <v>278</v>
      </c>
      <c r="P1682" s="111"/>
      <c r="Q1682" s="33" t="s">
        <v>587</v>
      </c>
      <c r="R1682" s="111"/>
      <c r="S1682" s="33" t="s">
        <v>278</v>
      </c>
      <c r="T1682" s="111"/>
      <c r="U1682" s="33" t="s">
        <v>278</v>
      </c>
      <c r="V1682" s="111"/>
      <c r="W1682" s="59" t="s">
        <v>548</v>
      </c>
      <c r="X1682" s="33" t="str">
        <f>+VLOOKUP(OtherClients[[#This Row],[Part]],PartControl!$A$2:$E$564,5,FALSE)</f>
        <v>infasco</v>
      </c>
      <c r="Y1682" s="108">
        <f>IF(OtherClients[[#This Row],[Re-certified or New]]&lt;&gt;"Re-certified",IF(OtherClients[[#This Row],[Client]]="infasco",VLOOKUP(OtherClients[[#This Row],[Part]],PartControl!$A$2:$E$564,2,FALSE),OtherClients[[#This Row],[Total Quantity]]*VLOOKUP(OtherClients[[#This Row],[Part]],PartControl!$A$2:$E$564,2,FALSE)),0)</f>
        <v>106.94</v>
      </c>
      <c r="Z1682" s="108">
        <f>IF(OtherClients[[#This Row],[Re-certified or New]]&lt;&gt;"Re-certified",IF(OtherClients[[#This Row],[Client]]="infasco",VLOOKUP(OtherClients[[#This Row],[Part]],PartControl!$A$2:$E$564,2,FALSE),OtherClients[[#This Row],[Total Quantity]]*VLOOKUP(OtherClients[[#This Row],[Part]],PartControl!$A$2:$E$564,2,FALSE)),0)</f>
        <v>106.94</v>
      </c>
    </row>
    <row r="1683" spans="1:26" ht="25.15" hidden="1" customHeight="1" x14ac:dyDescent="0.25">
      <c r="A1683" s="112">
        <v>46259.689768518518</v>
      </c>
      <c r="B1683" s="5" t="s">
        <v>623</v>
      </c>
      <c r="C1683" s="5" t="s">
        <v>647</v>
      </c>
      <c r="D1683" s="5">
        <v>716538</v>
      </c>
      <c r="E1683" s="33">
        <v>22</v>
      </c>
      <c r="F1683" s="60">
        <v>750</v>
      </c>
      <c r="G1683" s="60">
        <f>+OtherClients[[#This Row],[Boxes / Pieces]]*OtherClients[[#This Row],[Unit Quantity]]</f>
        <v>16500</v>
      </c>
      <c r="H1683" s="60">
        <v>4</v>
      </c>
      <c r="I1683" s="60" t="s">
        <v>278</v>
      </c>
      <c r="J1683" s="104"/>
      <c r="K1683" s="33" t="s">
        <v>278</v>
      </c>
      <c r="L1683" s="111"/>
      <c r="M1683" s="33" t="s">
        <v>278</v>
      </c>
      <c r="N1683" s="111"/>
      <c r="O1683" s="33" t="s">
        <v>278</v>
      </c>
      <c r="P1683" s="111"/>
      <c r="Q1683" s="33" t="s">
        <v>587</v>
      </c>
      <c r="R1683" s="111"/>
      <c r="S1683" s="33" t="s">
        <v>278</v>
      </c>
      <c r="T1683" s="111"/>
      <c r="U1683" s="33" t="s">
        <v>278</v>
      </c>
      <c r="V1683" s="111"/>
      <c r="W1683" s="59" t="s">
        <v>548</v>
      </c>
      <c r="X1683" s="33" t="str">
        <f>+VLOOKUP(OtherClients[[#This Row],[Part]],PartControl!$A$2:$E$564,5,FALSE)</f>
        <v>infasco</v>
      </c>
      <c r="Y1683" s="108">
        <f>IF(OtherClients[[#This Row],[Re-certified or New]]&lt;&gt;"Re-certified",IF(OtherClients[[#This Row],[Client]]="infasco",VLOOKUP(OtherClients[[#This Row],[Part]],PartControl!$A$2:$E$564,2,FALSE),OtherClients[[#This Row],[Total Quantity]]*VLOOKUP(OtherClients[[#This Row],[Part]],PartControl!$A$2:$E$564,2,FALSE)),0)</f>
        <v>106.94</v>
      </c>
      <c r="Z1683" s="108">
        <f>IF(OtherClients[[#This Row],[Re-certified or New]]&lt;&gt;"Re-certified",IF(OtherClients[[#This Row],[Client]]="infasco",VLOOKUP(OtherClients[[#This Row],[Part]],PartControl!$A$2:$E$564,2,FALSE),OtherClients[[#This Row],[Total Quantity]]*VLOOKUP(OtherClients[[#This Row],[Part]],PartControl!$A$2:$E$564,2,FALSE)),0)</f>
        <v>106.94</v>
      </c>
    </row>
    <row r="1684" spans="1:26" ht="25.15" hidden="1" customHeight="1" x14ac:dyDescent="0.25">
      <c r="A1684" s="112">
        <v>46259.689768518518</v>
      </c>
      <c r="B1684" s="5" t="s">
        <v>623</v>
      </c>
      <c r="C1684" s="5" t="s">
        <v>647</v>
      </c>
      <c r="D1684" s="5">
        <v>716012</v>
      </c>
      <c r="E1684" s="33">
        <v>6</v>
      </c>
      <c r="F1684" s="60">
        <v>750</v>
      </c>
      <c r="G1684" s="60">
        <f>+OtherClients[[#This Row],[Boxes / Pieces]]*OtherClients[[#This Row],[Unit Quantity]]</f>
        <v>4500</v>
      </c>
      <c r="H1684" s="60">
        <v>4</v>
      </c>
      <c r="I1684" s="60" t="s">
        <v>278</v>
      </c>
      <c r="J1684" s="104"/>
      <c r="K1684" s="33" t="s">
        <v>278</v>
      </c>
      <c r="L1684" s="111"/>
      <c r="M1684" s="33" t="s">
        <v>278</v>
      </c>
      <c r="N1684" s="111"/>
      <c r="O1684" s="33" t="s">
        <v>278</v>
      </c>
      <c r="P1684" s="111"/>
      <c r="Q1684" s="33" t="s">
        <v>587</v>
      </c>
      <c r="R1684" s="111"/>
      <c r="S1684" s="33" t="s">
        <v>278</v>
      </c>
      <c r="T1684" s="111"/>
      <c r="U1684" s="33" t="s">
        <v>278</v>
      </c>
      <c r="V1684" s="111"/>
      <c r="W1684" s="59" t="s">
        <v>633</v>
      </c>
      <c r="X1684" s="33" t="str">
        <f>+VLOOKUP(OtherClients[[#This Row],[Part]],PartControl!$A$2:$E$564,5,FALSE)</f>
        <v>infasco</v>
      </c>
      <c r="Y1684" s="108">
        <f>IF(OtherClients[[#This Row],[Re-certified or New]]&lt;&gt;"Re-certified",IF(OtherClients[[#This Row],[Client]]="infasco",VLOOKUP(OtherClients[[#This Row],[Part]],PartControl!$A$2:$E$564,2,FALSE),OtherClients[[#This Row],[Total Quantity]]*VLOOKUP(OtherClients[[#This Row],[Part]],PartControl!$A$2:$E$564,2,FALSE)),0)</f>
        <v>0</v>
      </c>
      <c r="Z1684" s="108">
        <f>IF(OtherClients[[#This Row],[Re-certified or New]]&lt;&gt;"Re-certified",IF(OtherClients[[#This Row],[Client]]="infasco",VLOOKUP(OtherClients[[#This Row],[Part]],PartControl!$A$2:$E$564,2,FALSE),OtherClients[[#This Row],[Total Quantity]]*VLOOKUP(OtherClients[[#This Row],[Part]],PartControl!$A$2:$E$564,2,FALSE)),0)</f>
        <v>0</v>
      </c>
    </row>
    <row r="1685" spans="1:26" ht="25.15" hidden="1" customHeight="1" x14ac:dyDescent="0.25">
      <c r="A1685" s="112">
        <v>46259.689768518518</v>
      </c>
      <c r="B1685" s="5" t="s">
        <v>243</v>
      </c>
      <c r="C1685" s="5" t="s">
        <v>844</v>
      </c>
      <c r="D1685" s="5">
        <v>716536</v>
      </c>
      <c r="E1685" s="33">
        <v>25</v>
      </c>
      <c r="F1685" s="60">
        <v>4800</v>
      </c>
      <c r="G1685" s="60">
        <f>+OtherClients[[#This Row],[Boxes / Pieces]]*OtherClients[[#This Row],[Unit Quantity]]</f>
        <v>120000</v>
      </c>
      <c r="H1685" s="60">
        <v>4</v>
      </c>
      <c r="I1685" s="60" t="s">
        <v>278</v>
      </c>
      <c r="J1685" s="104"/>
      <c r="K1685" s="33" t="s">
        <v>278</v>
      </c>
      <c r="L1685" s="111"/>
      <c r="M1685" s="33" t="s">
        <v>278</v>
      </c>
      <c r="N1685" s="111"/>
      <c r="O1685" s="33" t="s">
        <v>278</v>
      </c>
      <c r="P1685" s="111"/>
      <c r="Q1685" s="33" t="s">
        <v>587</v>
      </c>
      <c r="R1685" s="111"/>
      <c r="S1685" s="33" t="s">
        <v>278</v>
      </c>
      <c r="T1685" s="111"/>
      <c r="U1685" s="33" t="s">
        <v>278</v>
      </c>
      <c r="V1685" s="111"/>
      <c r="W1685" s="59" t="s">
        <v>548</v>
      </c>
      <c r="X1685" s="33" t="str">
        <f>+VLOOKUP(OtherClients[[#This Row],[Part]],PartControl!$A$2:$E$564,5,FALSE)</f>
        <v>infasco</v>
      </c>
      <c r="Y1685" s="108">
        <f>IF(OtherClients[[#This Row],[Re-certified or New]]&lt;&gt;"Re-certified",IF(OtherClients[[#This Row],[Client]]="infasco",VLOOKUP(OtherClients[[#This Row],[Part]],PartControl!$A$2:$E$564,2,FALSE),OtherClients[[#This Row],[Total Quantity]]*VLOOKUP(OtherClients[[#This Row],[Part]],PartControl!$A$2:$E$564,2,FALSE)),0)</f>
        <v>106.94</v>
      </c>
      <c r="Z1685" s="108">
        <f>IF(OtherClients[[#This Row],[Re-certified or New]]&lt;&gt;"Re-certified",IF(OtherClients[[#This Row],[Client]]="infasco",VLOOKUP(OtherClients[[#This Row],[Part]],PartControl!$A$2:$E$564,2,FALSE),OtherClients[[#This Row],[Total Quantity]]*VLOOKUP(OtherClients[[#This Row],[Part]],PartControl!$A$2:$E$564,2,FALSE)),0)</f>
        <v>106.94</v>
      </c>
    </row>
    <row r="1686" spans="1:26" ht="25.15" hidden="1" customHeight="1" x14ac:dyDescent="0.25">
      <c r="A1686" s="112">
        <v>46259.689768518518</v>
      </c>
      <c r="B1686" s="5" t="s">
        <v>243</v>
      </c>
      <c r="C1686" s="5" t="s">
        <v>844</v>
      </c>
      <c r="D1686" s="5">
        <v>716535</v>
      </c>
      <c r="E1686" s="33">
        <v>11</v>
      </c>
      <c r="F1686" s="60">
        <v>4800</v>
      </c>
      <c r="G1686" s="60">
        <f>+OtherClients[[#This Row],[Boxes / Pieces]]*OtherClients[[#This Row],[Unit Quantity]]</f>
        <v>52800</v>
      </c>
      <c r="H1686" s="60">
        <v>4</v>
      </c>
      <c r="I1686" s="60" t="s">
        <v>278</v>
      </c>
      <c r="J1686" s="104"/>
      <c r="K1686" s="33" t="s">
        <v>278</v>
      </c>
      <c r="L1686" s="111"/>
      <c r="M1686" s="33" t="s">
        <v>278</v>
      </c>
      <c r="N1686" s="111"/>
      <c r="O1686" s="33" t="s">
        <v>278</v>
      </c>
      <c r="P1686" s="111"/>
      <c r="Q1686" s="33" t="s">
        <v>587</v>
      </c>
      <c r="R1686" s="111"/>
      <c r="S1686" s="33" t="s">
        <v>278</v>
      </c>
      <c r="T1686" s="111"/>
      <c r="U1686" s="33" t="s">
        <v>278</v>
      </c>
      <c r="V1686" s="111"/>
      <c r="W1686" s="59" t="s">
        <v>633</v>
      </c>
      <c r="X1686" s="33" t="str">
        <f>+VLOOKUP(OtherClients[[#This Row],[Part]],PartControl!$A$2:$E$564,5,FALSE)</f>
        <v>infasco</v>
      </c>
      <c r="Y1686" s="108">
        <f>IF(OtherClients[[#This Row],[Re-certified or New]]&lt;&gt;"Re-certified",IF(OtherClients[[#This Row],[Client]]="infasco",VLOOKUP(OtherClients[[#This Row],[Part]],PartControl!$A$2:$E$564,2,FALSE),OtherClients[[#This Row],[Total Quantity]]*VLOOKUP(OtherClients[[#This Row],[Part]],PartControl!$A$2:$E$564,2,FALSE)),0)</f>
        <v>0</v>
      </c>
      <c r="Z1686" s="108">
        <f>IF(OtherClients[[#This Row],[Re-certified or New]]&lt;&gt;"Re-certified",IF(OtherClients[[#This Row],[Client]]="infasco",VLOOKUP(OtherClients[[#This Row],[Part]],PartControl!$A$2:$E$564,2,FALSE),OtherClients[[#This Row],[Total Quantity]]*VLOOKUP(OtherClients[[#This Row],[Part]],PartControl!$A$2:$E$564,2,FALSE)),0)</f>
        <v>0</v>
      </c>
    </row>
    <row r="1687" spans="1:26" ht="25.15" hidden="1" customHeight="1" x14ac:dyDescent="0.25">
      <c r="A1687" s="112">
        <v>46259.689768518518</v>
      </c>
      <c r="B1687" s="5" t="s">
        <v>244</v>
      </c>
      <c r="C1687" s="5" t="s">
        <v>644</v>
      </c>
      <c r="D1687" s="5">
        <v>716860</v>
      </c>
      <c r="E1687" s="33">
        <v>18</v>
      </c>
      <c r="F1687" s="60">
        <v>2200</v>
      </c>
      <c r="G1687" s="60">
        <f>+OtherClients[[#This Row],[Boxes / Pieces]]*OtherClients[[#This Row],[Unit Quantity]]</f>
        <v>39600</v>
      </c>
      <c r="H1687" s="60">
        <v>4</v>
      </c>
      <c r="I1687" s="60" t="s">
        <v>278</v>
      </c>
      <c r="J1687" s="104"/>
      <c r="K1687" s="33" t="s">
        <v>278</v>
      </c>
      <c r="L1687" s="111"/>
      <c r="M1687" s="33" t="s">
        <v>278</v>
      </c>
      <c r="N1687" s="111"/>
      <c r="O1687" s="33" t="s">
        <v>278</v>
      </c>
      <c r="P1687" s="111"/>
      <c r="Q1687" s="33" t="s">
        <v>587</v>
      </c>
      <c r="R1687" s="111"/>
      <c r="S1687" s="33" t="s">
        <v>278</v>
      </c>
      <c r="T1687" s="111"/>
      <c r="U1687" s="33" t="s">
        <v>278</v>
      </c>
      <c r="V1687" s="111"/>
      <c r="W1687" s="59" t="s">
        <v>633</v>
      </c>
      <c r="X1687" s="33" t="str">
        <f>+VLOOKUP(OtherClients[[#This Row],[Part]],PartControl!$A$2:$E$564,5,FALSE)</f>
        <v>infasco</v>
      </c>
      <c r="Y1687" s="108">
        <f>IF(OtherClients[[#This Row],[Re-certified or New]]&lt;&gt;"Re-certified",IF(OtherClients[[#This Row],[Client]]="infasco",VLOOKUP(OtherClients[[#This Row],[Part]],PartControl!$A$2:$E$564,2,FALSE),OtherClients[[#This Row],[Total Quantity]]*VLOOKUP(OtherClients[[#This Row],[Part]],PartControl!$A$2:$E$564,2,FALSE)),0)</f>
        <v>0</v>
      </c>
      <c r="Z1687" s="108">
        <f>IF(OtherClients[[#This Row],[Re-certified or New]]&lt;&gt;"Re-certified",IF(OtherClients[[#This Row],[Client]]="infasco",VLOOKUP(OtherClients[[#This Row],[Part]],PartControl!$A$2:$E$564,2,FALSE),OtherClients[[#This Row],[Total Quantity]]*VLOOKUP(OtherClients[[#This Row],[Part]],PartControl!$A$2:$E$564,2,FALSE)),0)</f>
        <v>0</v>
      </c>
    </row>
    <row r="1688" spans="1:26" ht="25.15" hidden="1" customHeight="1" x14ac:dyDescent="0.25">
      <c r="A1688" s="112">
        <v>46259.689768518518</v>
      </c>
      <c r="B1688" s="5" t="s">
        <v>251</v>
      </c>
      <c r="C1688" s="5" t="s">
        <v>703</v>
      </c>
      <c r="D1688" s="5">
        <v>716138</v>
      </c>
      <c r="E1688" s="33">
        <f>36-27</f>
        <v>9</v>
      </c>
      <c r="F1688" s="60">
        <v>700</v>
      </c>
      <c r="G1688" s="60">
        <f>+OtherClients[[#This Row],[Boxes / Pieces]]*OtherClients[[#This Row],[Unit Quantity]]</f>
        <v>6300</v>
      </c>
      <c r="H1688" s="60">
        <v>4</v>
      </c>
      <c r="I1688" s="60" t="s">
        <v>278</v>
      </c>
      <c r="J1688" s="104"/>
      <c r="K1688" s="33" t="s">
        <v>278</v>
      </c>
      <c r="L1688" s="111"/>
      <c r="M1688" s="33" t="s">
        <v>278</v>
      </c>
      <c r="N1688" s="111"/>
      <c r="O1688" s="33" t="s">
        <v>278</v>
      </c>
      <c r="P1688" s="111"/>
      <c r="Q1688" s="33" t="s">
        <v>587</v>
      </c>
      <c r="R1688" s="111"/>
      <c r="S1688" s="33" t="s">
        <v>278</v>
      </c>
      <c r="T1688" s="111"/>
      <c r="U1688" s="33" t="s">
        <v>278</v>
      </c>
      <c r="V1688" s="111"/>
      <c r="W1688" s="59" t="s">
        <v>548</v>
      </c>
      <c r="X1688" s="33" t="str">
        <f>+VLOOKUP(OtherClients[[#This Row],[Part]],PartControl!$A$2:$E$564,5,FALSE)</f>
        <v>infasco</v>
      </c>
      <c r="Y1688" s="108">
        <f>IF(OtherClients[[#This Row],[Re-certified or New]]&lt;&gt;"Re-certified",IF(OtherClients[[#This Row],[Client]]="infasco",VLOOKUP(OtherClients[[#This Row],[Part]],PartControl!$A$2:$E$564,2,FALSE),OtherClients[[#This Row],[Total Quantity]]*VLOOKUP(OtherClients[[#This Row],[Part]],PartControl!$A$2:$E$564,2,FALSE)),0)</f>
        <v>106.94</v>
      </c>
      <c r="Z1688" s="108">
        <f>IF(OtherClients[[#This Row],[Re-certified or New]]&lt;&gt;"Re-certified",IF(OtherClients[[#This Row],[Client]]="infasco",VLOOKUP(OtherClients[[#This Row],[Part]],PartControl!$A$2:$E$564,2,FALSE),OtherClients[[#This Row],[Total Quantity]]*VLOOKUP(OtherClients[[#This Row],[Part]],PartControl!$A$2:$E$564,2,FALSE)),0)</f>
        <v>106.94</v>
      </c>
    </row>
    <row r="1689" spans="1:26" ht="25.15" hidden="1" customHeight="1" x14ac:dyDescent="0.25">
      <c r="A1689" s="112">
        <v>46259.689768518518</v>
      </c>
      <c r="B1689" s="5" t="s">
        <v>251</v>
      </c>
      <c r="C1689" s="5" t="s">
        <v>703</v>
      </c>
      <c r="D1689" s="5">
        <v>716383</v>
      </c>
      <c r="E1689" s="33">
        <v>36</v>
      </c>
      <c r="F1689" s="60">
        <v>700</v>
      </c>
      <c r="G1689" s="60">
        <f>+OtherClients[[#This Row],[Boxes / Pieces]]*OtherClients[[#This Row],[Unit Quantity]]</f>
        <v>25200</v>
      </c>
      <c r="H1689" s="60">
        <v>4</v>
      </c>
      <c r="I1689" s="60" t="s">
        <v>278</v>
      </c>
      <c r="J1689" s="104"/>
      <c r="K1689" s="33" t="s">
        <v>278</v>
      </c>
      <c r="L1689" s="111"/>
      <c r="M1689" s="33" t="s">
        <v>278</v>
      </c>
      <c r="N1689" s="111"/>
      <c r="O1689" s="33" t="s">
        <v>278</v>
      </c>
      <c r="P1689" s="111"/>
      <c r="Q1689" s="33" t="s">
        <v>587</v>
      </c>
      <c r="R1689" s="111"/>
      <c r="S1689" s="33" t="s">
        <v>278</v>
      </c>
      <c r="T1689" s="111"/>
      <c r="U1689" s="33" t="s">
        <v>278</v>
      </c>
      <c r="V1689" s="111"/>
      <c r="W1689" s="59" t="s">
        <v>548</v>
      </c>
      <c r="X1689" s="33" t="str">
        <f>+VLOOKUP(OtherClients[[#This Row],[Part]],PartControl!$A$2:$E$564,5,FALSE)</f>
        <v>infasco</v>
      </c>
      <c r="Y1689" s="108">
        <f>IF(OtherClients[[#This Row],[Re-certified or New]]&lt;&gt;"Re-certified",IF(OtherClients[[#This Row],[Client]]="infasco",VLOOKUP(OtherClients[[#This Row],[Part]],PartControl!$A$2:$E$564,2,FALSE),OtherClients[[#This Row],[Total Quantity]]*VLOOKUP(OtherClients[[#This Row],[Part]],PartControl!$A$2:$E$564,2,FALSE)),0)</f>
        <v>106.94</v>
      </c>
      <c r="Z1689" s="108">
        <f>IF(OtherClients[[#This Row],[Re-certified or New]]&lt;&gt;"Re-certified",IF(OtherClients[[#This Row],[Client]]="infasco",VLOOKUP(OtherClients[[#This Row],[Part]],PartControl!$A$2:$E$564,2,FALSE),OtherClients[[#This Row],[Total Quantity]]*VLOOKUP(OtherClients[[#This Row],[Part]],PartControl!$A$2:$E$564,2,FALSE)),0)</f>
        <v>106.94</v>
      </c>
    </row>
    <row r="1690" spans="1:26" ht="25.15" hidden="1" customHeight="1" x14ac:dyDescent="0.25">
      <c r="A1690" s="112">
        <v>46259.689768518518</v>
      </c>
      <c r="B1690" s="5" t="s">
        <v>245</v>
      </c>
      <c r="C1690" s="5" t="s">
        <v>706</v>
      </c>
      <c r="D1690" s="5">
        <v>715967</v>
      </c>
      <c r="E1690" s="33">
        <f>25-23</f>
        <v>2</v>
      </c>
      <c r="F1690" s="60">
        <v>1900</v>
      </c>
      <c r="G1690" s="60">
        <f>+OtherClients[[#This Row],[Boxes / Pieces]]*OtherClients[[#This Row],[Unit Quantity]]</f>
        <v>3800</v>
      </c>
      <c r="H1690" s="60">
        <v>4</v>
      </c>
      <c r="I1690" s="60" t="s">
        <v>278</v>
      </c>
      <c r="J1690" s="104"/>
      <c r="K1690" s="33" t="s">
        <v>278</v>
      </c>
      <c r="L1690" s="111"/>
      <c r="M1690" s="33" t="s">
        <v>278</v>
      </c>
      <c r="N1690" s="111"/>
      <c r="O1690" s="33" t="s">
        <v>278</v>
      </c>
      <c r="P1690" s="111"/>
      <c r="Q1690" s="33" t="s">
        <v>587</v>
      </c>
      <c r="R1690" s="111"/>
      <c r="S1690" s="33" t="s">
        <v>278</v>
      </c>
      <c r="T1690" s="111"/>
      <c r="U1690" s="33" t="s">
        <v>278</v>
      </c>
      <c r="V1690" s="111"/>
      <c r="W1690" s="59" t="s">
        <v>548</v>
      </c>
      <c r="X1690" s="33" t="str">
        <f>+VLOOKUP(OtherClients[[#This Row],[Part]],PartControl!$A$2:$E$564,5,FALSE)</f>
        <v>infasco</v>
      </c>
      <c r="Y1690" s="108">
        <f>IF(OtherClients[[#This Row],[Re-certified or New]]&lt;&gt;"Re-certified",IF(OtherClients[[#This Row],[Client]]="infasco",VLOOKUP(OtherClients[[#This Row],[Part]],PartControl!$A$2:$E$564,2,FALSE),OtherClients[[#This Row],[Total Quantity]]*VLOOKUP(OtherClients[[#This Row],[Part]],PartControl!$A$2:$E$564,2,FALSE)),0)</f>
        <v>106.94</v>
      </c>
      <c r="Z1690" s="108">
        <f>IF(OtherClients[[#This Row],[Re-certified or New]]&lt;&gt;"Re-certified",IF(OtherClients[[#This Row],[Client]]="infasco",VLOOKUP(OtherClients[[#This Row],[Part]],PartControl!$A$2:$E$564,2,FALSE),OtherClients[[#This Row],[Total Quantity]]*VLOOKUP(OtherClients[[#This Row],[Part]],PartControl!$A$2:$E$564,2,FALSE)),0)</f>
        <v>106.94</v>
      </c>
    </row>
    <row r="1691" spans="1:26" ht="25.15" hidden="1" customHeight="1" x14ac:dyDescent="0.25">
      <c r="A1691" s="112">
        <v>46259.689768518518</v>
      </c>
      <c r="B1691" s="5" t="s">
        <v>245</v>
      </c>
      <c r="C1691" s="5">
        <v>11546377</v>
      </c>
      <c r="D1691" s="5">
        <v>716615</v>
      </c>
      <c r="E1691" s="33">
        <v>16</v>
      </c>
      <c r="F1691" s="60">
        <v>2150</v>
      </c>
      <c r="G1691" s="60">
        <f>+OtherClients[[#This Row],[Boxes / Pieces]]*OtherClients[[#This Row],[Unit Quantity]]</f>
        <v>34400</v>
      </c>
      <c r="H1691" s="60">
        <v>4</v>
      </c>
      <c r="I1691" s="60" t="s">
        <v>278</v>
      </c>
      <c r="J1691" s="104"/>
      <c r="K1691" s="33" t="s">
        <v>278</v>
      </c>
      <c r="L1691" s="111"/>
      <c r="M1691" s="33" t="s">
        <v>278</v>
      </c>
      <c r="N1691" s="111"/>
      <c r="O1691" s="33" t="s">
        <v>278</v>
      </c>
      <c r="P1691" s="111"/>
      <c r="Q1691" s="33" t="s">
        <v>587</v>
      </c>
      <c r="R1691" s="111"/>
      <c r="S1691" s="33" t="s">
        <v>278</v>
      </c>
      <c r="T1691" s="111"/>
      <c r="U1691" s="33" t="s">
        <v>278</v>
      </c>
      <c r="V1691" s="111"/>
      <c r="W1691" s="59" t="s">
        <v>633</v>
      </c>
      <c r="X1691" s="33" t="str">
        <f>+VLOOKUP(OtherClients[[#This Row],[Part]],PartControl!$A$2:$E$564,5,FALSE)</f>
        <v>INFASCO</v>
      </c>
      <c r="Y1691" s="108">
        <f>IF(OtherClients[[#This Row],[Re-certified or New]]&lt;&gt;"Re-certified",IF(OtherClients[[#This Row],[Client]]="infasco",VLOOKUP(OtherClients[[#This Row],[Part]],PartControl!$A$2:$E$564,2,FALSE),OtherClients[[#This Row],[Total Quantity]]*VLOOKUP(OtherClients[[#This Row],[Part]],PartControl!$A$2:$E$564,2,FALSE)),0)</f>
        <v>0</v>
      </c>
      <c r="Z1691" s="108">
        <f>IF(OtherClients[[#This Row],[Re-certified or New]]&lt;&gt;"Re-certified",IF(OtherClients[[#This Row],[Client]]="infasco",VLOOKUP(OtherClients[[#This Row],[Part]],PartControl!$A$2:$E$564,2,FALSE),OtherClients[[#This Row],[Total Quantity]]*VLOOKUP(OtherClients[[#This Row],[Part]],PartControl!$A$2:$E$564,2,FALSE)),0)</f>
        <v>0</v>
      </c>
    </row>
    <row r="1692" spans="1:26" ht="25.15" hidden="1" customHeight="1" x14ac:dyDescent="0.25">
      <c r="A1692" s="112">
        <v>46259.689768518518</v>
      </c>
      <c r="B1692" s="5" t="s">
        <v>624</v>
      </c>
      <c r="C1692" s="5">
        <v>11548414</v>
      </c>
      <c r="D1692" s="5">
        <v>717055</v>
      </c>
      <c r="E1692" s="33">
        <f>36-15</f>
        <v>21</v>
      </c>
      <c r="F1692" s="60">
        <v>485</v>
      </c>
      <c r="G1692" s="60">
        <f>+OtherClients[[#This Row],[Boxes / Pieces]]*OtherClients[[#This Row],[Unit Quantity]]</f>
        <v>10185</v>
      </c>
      <c r="H1692" s="60">
        <v>4</v>
      </c>
      <c r="I1692" s="60" t="s">
        <v>278</v>
      </c>
      <c r="J1692" s="104"/>
      <c r="K1692" s="33" t="s">
        <v>278</v>
      </c>
      <c r="L1692" s="111"/>
      <c r="M1692" s="33" t="s">
        <v>278</v>
      </c>
      <c r="N1692" s="111"/>
      <c r="O1692" s="33" t="s">
        <v>278</v>
      </c>
      <c r="P1692" s="111"/>
      <c r="Q1692" s="33" t="s">
        <v>587</v>
      </c>
      <c r="R1692" s="111"/>
      <c r="S1692" s="33" t="s">
        <v>278</v>
      </c>
      <c r="T1692" s="111"/>
      <c r="U1692" s="33" t="s">
        <v>278</v>
      </c>
      <c r="V1692" s="111"/>
      <c r="W1692" s="59" t="s">
        <v>548</v>
      </c>
      <c r="X1692" s="33" t="str">
        <f>+VLOOKUP(OtherClients[[#This Row],[Part]],PartControl!$A$2:$E$564,5,FALSE)</f>
        <v>INFASCO</v>
      </c>
      <c r="Y1692" s="108">
        <f>IF(OtherClients[[#This Row],[Re-certified or New]]&lt;&gt;"Re-certified",IF(OtherClients[[#This Row],[Client]]="infasco",VLOOKUP(OtherClients[[#This Row],[Part]],PartControl!$A$2:$E$564,2,FALSE),OtherClients[[#This Row],[Total Quantity]]*VLOOKUP(OtherClients[[#This Row],[Part]],PartControl!$A$2:$E$564,2,FALSE)),0)</f>
        <v>106.94</v>
      </c>
      <c r="Z1692" s="108">
        <f>IF(OtherClients[[#This Row],[Re-certified or New]]&lt;&gt;"Re-certified",IF(OtherClients[[#This Row],[Client]]="infasco",VLOOKUP(OtherClients[[#This Row],[Part]],PartControl!$A$2:$E$564,2,FALSE),OtherClients[[#This Row],[Total Quantity]]*VLOOKUP(OtherClients[[#This Row],[Part]],PartControl!$A$2:$E$564,2,FALSE)),0)</f>
        <v>106.94</v>
      </c>
    </row>
    <row r="1693" spans="1:26" ht="25.15" hidden="1" customHeight="1" x14ac:dyDescent="0.25">
      <c r="A1693" s="112">
        <v>46259.689768518518</v>
      </c>
      <c r="B1693" s="5" t="s">
        <v>624</v>
      </c>
      <c r="C1693" s="5">
        <v>11548414</v>
      </c>
      <c r="D1693" s="5">
        <v>717050</v>
      </c>
      <c r="E1693" s="33">
        <v>44</v>
      </c>
      <c r="F1693" s="60">
        <v>485</v>
      </c>
      <c r="G1693" s="60">
        <f>+OtherClients[[#This Row],[Boxes / Pieces]]*OtherClients[[#This Row],[Unit Quantity]]</f>
        <v>21340</v>
      </c>
      <c r="H1693" s="60">
        <v>4</v>
      </c>
      <c r="I1693" s="60" t="s">
        <v>278</v>
      </c>
      <c r="J1693" s="104"/>
      <c r="K1693" s="33" t="s">
        <v>278</v>
      </c>
      <c r="L1693" s="111"/>
      <c r="M1693" s="33" t="s">
        <v>278</v>
      </c>
      <c r="N1693" s="111"/>
      <c r="O1693" s="33" t="s">
        <v>278</v>
      </c>
      <c r="P1693" s="111"/>
      <c r="Q1693" s="33" t="s">
        <v>587</v>
      </c>
      <c r="R1693" s="111"/>
      <c r="S1693" s="33" t="s">
        <v>278</v>
      </c>
      <c r="T1693" s="111"/>
      <c r="U1693" s="33" t="s">
        <v>278</v>
      </c>
      <c r="V1693" s="111"/>
      <c r="W1693" s="59" t="s">
        <v>548</v>
      </c>
      <c r="X1693" s="33" t="str">
        <f>+VLOOKUP(OtherClients[[#This Row],[Part]],PartControl!$A$2:$E$564,5,FALSE)</f>
        <v>INFASCO</v>
      </c>
      <c r="Y1693" s="108">
        <f>IF(OtherClients[[#This Row],[Re-certified or New]]&lt;&gt;"Re-certified",IF(OtherClients[[#This Row],[Client]]="infasco",VLOOKUP(OtherClients[[#This Row],[Part]],PartControl!$A$2:$E$564,2,FALSE),OtherClients[[#This Row],[Total Quantity]]*VLOOKUP(OtherClients[[#This Row],[Part]],PartControl!$A$2:$E$564,2,FALSE)),0)</f>
        <v>106.94</v>
      </c>
      <c r="Z1693" s="108">
        <f>IF(OtherClients[[#This Row],[Re-certified or New]]&lt;&gt;"Re-certified",IF(OtherClients[[#This Row],[Client]]="infasco",VLOOKUP(OtherClients[[#This Row],[Part]],PartControl!$A$2:$E$564,2,FALSE),OtherClients[[#This Row],[Total Quantity]]*VLOOKUP(OtherClients[[#This Row],[Part]],PartControl!$A$2:$E$564,2,FALSE)),0)</f>
        <v>106.94</v>
      </c>
    </row>
    <row r="1694" spans="1:26" ht="25.15" hidden="1" customHeight="1" x14ac:dyDescent="0.25">
      <c r="A1694" s="112">
        <v>46259.689768518518</v>
      </c>
      <c r="B1694" s="5" t="s">
        <v>624</v>
      </c>
      <c r="C1694" s="5" t="s">
        <v>662</v>
      </c>
      <c r="D1694" s="5">
        <v>717755</v>
      </c>
      <c r="E1694" s="33">
        <v>36</v>
      </c>
      <c r="F1694" s="60">
        <v>580</v>
      </c>
      <c r="G1694" s="60">
        <f>+OtherClients[[#This Row],[Boxes / Pieces]]*OtherClients[[#This Row],[Unit Quantity]]</f>
        <v>20880</v>
      </c>
      <c r="H1694" s="60">
        <v>4</v>
      </c>
      <c r="I1694" s="60" t="s">
        <v>278</v>
      </c>
      <c r="J1694" s="104"/>
      <c r="K1694" s="33" t="s">
        <v>278</v>
      </c>
      <c r="L1694" s="111"/>
      <c r="M1694" s="33" t="s">
        <v>278</v>
      </c>
      <c r="N1694" s="111"/>
      <c r="O1694" s="33" t="s">
        <v>278</v>
      </c>
      <c r="P1694" s="111"/>
      <c r="Q1694" s="33" t="s">
        <v>587</v>
      </c>
      <c r="R1694" s="111"/>
      <c r="S1694" s="33" t="s">
        <v>278</v>
      </c>
      <c r="T1694" s="111"/>
      <c r="U1694" s="33" t="s">
        <v>278</v>
      </c>
      <c r="V1694" s="111"/>
      <c r="W1694" s="59" t="s">
        <v>548</v>
      </c>
      <c r="X1694" s="33" t="str">
        <f>+VLOOKUP(OtherClients[[#This Row],[Part]],PartControl!$A$2:$E$564,5,FALSE)</f>
        <v>infasco</v>
      </c>
      <c r="Y1694" s="108">
        <f>IF(OtherClients[[#This Row],[Re-certified or New]]&lt;&gt;"Re-certified",IF(OtherClients[[#This Row],[Client]]="infasco",VLOOKUP(OtherClients[[#This Row],[Part]],PartControl!$A$2:$E$564,2,FALSE),OtherClients[[#This Row],[Total Quantity]]*VLOOKUP(OtherClients[[#This Row],[Part]],PartControl!$A$2:$E$564,2,FALSE)),0)</f>
        <v>280.15999999999997</v>
      </c>
      <c r="Z1694" s="108">
        <f>IF(OtherClients[[#This Row],[Re-certified or New]]&lt;&gt;"Re-certified",IF(OtherClients[[#This Row],[Client]]="infasco",VLOOKUP(OtherClients[[#This Row],[Part]],PartControl!$A$2:$E$564,2,FALSE),OtherClients[[#This Row],[Total Quantity]]*VLOOKUP(OtherClients[[#This Row],[Part]],PartControl!$A$2:$E$564,2,FALSE)),0)</f>
        <v>280.15999999999997</v>
      </c>
    </row>
    <row r="1695" spans="1:26" ht="25.15" hidden="1" customHeight="1" x14ac:dyDescent="0.25">
      <c r="A1695" s="112">
        <v>46259.689768518518</v>
      </c>
      <c r="B1695" s="5" t="s">
        <v>624</v>
      </c>
      <c r="C1695" s="5" t="s">
        <v>662</v>
      </c>
      <c r="D1695" s="5">
        <v>717754</v>
      </c>
      <c r="E1695" s="33">
        <v>19</v>
      </c>
      <c r="F1695" s="60">
        <v>580</v>
      </c>
      <c r="G1695" s="60">
        <f>+OtherClients[[#This Row],[Boxes / Pieces]]*OtherClients[[#This Row],[Unit Quantity]]</f>
        <v>11020</v>
      </c>
      <c r="H1695" s="60">
        <v>4</v>
      </c>
      <c r="I1695" s="60" t="s">
        <v>278</v>
      </c>
      <c r="J1695" s="104"/>
      <c r="K1695" s="33" t="s">
        <v>278</v>
      </c>
      <c r="L1695" s="111"/>
      <c r="M1695" s="33" t="s">
        <v>278</v>
      </c>
      <c r="N1695" s="111"/>
      <c r="O1695" s="33" t="s">
        <v>278</v>
      </c>
      <c r="P1695" s="111"/>
      <c r="Q1695" s="33" t="s">
        <v>587</v>
      </c>
      <c r="R1695" s="111"/>
      <c r="S1695" s="33" t="s">
        <v>278</v>
      </c>
      <c r="T1695" s="111"/>
      <c r="U1695" s="33" t="s">
        <v>278</v>
      </c>
      <c r="V1695" s="111"/>
      <c r="W1695" s="59" t="s">
        <v>633</v>
      </c>
      <c r="X1695" s="33" t="str">
        <f>+VLOOKUP(OtherClients[[#This Row],[Part]],PartControl!$A$2:$E$564,5,FALSE)</f>
        <v>infasco</v>
      </c>
      <c r="Y1695" s="108">
        <f>IF(OtherClients[[#This Row],[Re-certified or New]]&lt;&gt;"Re-certified",IF(OtherClients[[#This Row],[Client]]="infasco",VLOOKUP(OtherClients[[#This Row],[Part]],PartControl!$A$2:$E$564,2,FALSE),OtherClients[[#This Row],[Total Quantity]]*VLOOKUP(OtherClients[[#This Row],[Part]],PartControl!$A$2:$E$564,2,FALSE)),0)</f>
        <v>0</v>
      </c>
      <c r="Z1695" s="108">
        <f>IF(OtherClients[[#This Row],[Re-certified or New]]&lt;&gt;"Re-certified",IF(OtherClients[[#This Row],[Client]]="infasco",VLOOKUP(OtherClients[[#This Row],[Part]],PartControl!$A$2:$E$564,2,FALSE),OtherClients[[#This Row],[Total Quantity]]*VLOOKUP(OtherClients[[#This Row],[Part]],PartControl!$A$2:$E$564,2,FALSE)),0)</f>
        <v>0</v>
      </c>
    </row>
    <row r="1696" spans="1:26" ht="25.15" hidden="1" customHeight="1" x14ac:dyDescent="0.25">
      <c r="A1696" s="112">
        <v>46259.689768518518</v>
      </c>
      <c r="B1696" s="5" t="s">
        <v>250</v>
      </c>
      <c r="C1696" s="5" t="s">
        <v>703</v>
      </c>
      <c r="D1696" s="5">
        <v>716369</v>
      </c>
      <c r="E1696" s="33">
        <f>36-14</f>
        <v>22</v>
      </c>
      <c r="F1696" s="60">
        <v>700</v>
      </c>
      <c r="G1696" s="60">
        <f>+OtherClients[[#This Row],[Boxes / Pieces]]*OtherClients[[#This Row],[Unit Quantity]]</f>
        <v>15400</v>
      </c>
      <c r="H1696" s="60">
        <v>290</v>
      </c>
      <c r="I1696" s="60" t="s">
        <v>278</v>
      </c>
      <c r="J1696" s="104"/>
      <c r="K1696" s="33" t="s">
        <v>278</v>
      </c>
      <c r="L1696" s="111"/>
      <c r="M1696" s="33" t="s">
        <v>278</v>
      </c>
      <c r="N1696" s="111"/>
      <c r="O1696" s="33" t="s">
        <v>278</v>
      </c>
      <c r="P1696" s="111"/>
      <c r="Q1696" s="33" t="s">
        <v>587</v>
      </c>
      <c r="R1696" s="111"/>
      <c r="S1696" s="33" t="s">
        <v>278</v>
      </c>
      <c r="T1696" s="111"/>
      <c r="U1696" s="33" t="s">
        <v>278</v>
      </c>
      <c r="V1696" s="111"/>
      <c r="W1696" s="59" t="s">
        <v>548</v>
      </c>
      <c r="X1696" s="33" t="str">
        <f>+VLOOKUP(OtherClients[[#This Row],[Part]],PartControl!$A$2:$E$564,5,FALSE)</f>
        <v>infasco</v>
      </c>
      <c r="Y1696" s="108">
        <f>IF(OtherClients[[#This Row],[Re-certified or New]]&lt;&gt;"Re-certified",IF(OtherClients[[#This Row],[Client]]="infasco",VLOOKUP(OtherClients[[#This Row],[Part]],PartControl!$A$2:$E$564,2,FALSE),OtherClients[[#This Row],[Total Quantity]]*VLOOKUP(OtherClients[[#This Row],[Part]],PartControl!$A$2:$E$564,2,FALSE)),0)</f>
        <v>106.94</v>
      </c>
      <c r="Z1696" s="108">
        <f>IF(OtherClients[[#This Row],[Re-certified or New]]&lt;&gt;"Re-certified",IF(OtherClients[[#This Row],[Client]]="infasco",VLOOKUP(OtherClients[[#This Row],[Part]],PartControl!$A$2:$E$564,2,FALSE),OtherClients[[#This Row],[Total Quantity]]*VLOOKUP(OtherClients[[#This Row],[Part]],PartControl!$A$2:$E$564,2,FALSE)),0)</f>
        <v>106.94</v>
      </c>
    </row>
    <row r="1697" spans="1:26" ht="25.15" hidden="1" customHeight="1" x14ac:dyDescent="0.25">
      <c r="A1697" s="112">
        <v>46259.689768518518</v>
      </c>
      <c r="B1697" s="5" t="s">
        <v>250</v>
      </c>
      <c r="C1697" s="5" t="s">
        <v>703</v>
      </c>
      <c r="D1697" s="5">
        <v>716372</v>
      </c>
      <c r="E1697" s="33">
        <v>2</v>
      </c>
      <c r="F1697" s="60">
        <v>700</v>
      </c>
      <c r="G1697" s="60">
        <f>+OtherClients[[#This Row],[Boxes / Pieces]]*OtherClients[[#This Row],[Unit Quantity]]</f>
        <v>1400</v>
      </c>
      <c r="H1697" s="60">
        <v>290</v>
      </c>
      <c r="I1697" s="60" t="s">
        <v>278</v>
      </c>
      <c r="J1697" s="104"/>
      <c r="K1697" s="33" t="s">
        <v>278</v>
      </c>
      <c r="L1697" s="111"/>
      <c r="M1697" s="33" t="s">
        <v>278</v>
      </c>
      <c r="N1697" s="111"/>
      <c r="O1697" s="33" t="s">
        <v>278</v>
      </c>
      <c r="P1697" s="111"/>
      <c r="Q1697" s="33" t="s">
        <v>587</v>
      </c>
      <c r="R1697" s="111"/>
      <c r="S1697" s="33" t="s">
        <v>278</v>
      </c>
      <c r="T1697" s="111"/>
      <c r="U1697" s="33" t="s">
        <v>278</v>
      </c>
      <c r="V1697" s="111"/>
      <c r="W1697" s="59" t="s">
        <v>633</v>
      </c>
      <c r="X1697" s="33" t="str">
        <f>+VLOOKUP(OtherClients[[#This Row],[Part]],PartControl!$A$2:$E$564,5,FALSE)</f>
        <v>infasco</v>
      </c>
      <c r="Y1697" s="108">
        <f>IF(OtherClients[[#This Row],[Re-certified or New]]&lt;&gt;"Re-certified",IF(OtherClients[[#This Row],[Client]]="infasco",VLOOKUP(OtherClients[[#This Row],[Part]],PartControl!$A$2:$E$564,2,FALSE),OtherClients[[#This Row],[Total Quantity]]*VLOOKUP(OtherClients[[#This Row],[Part]],PartControl!$A$2:$E$564,2,FALSE)),0)</f>
        <v>0</v>
      </c>
      <c r="Z1697" s="108">
        <f>IF(OtherClients[[#This Row],[Re-certified or New]]&lt;&gt;"Re-certified",IF(OtherClients[[#This Row],[Client]]="infasco",VLOOKUP(OtherClients[[#This Row],[Part]],PartControl!$A$2:$E$564,2,FALSE),OtherClients[[#This Row],[Total Quantity]]*VLOOKUP(OtherClients[[#This Row],[Part]],PartControl!$A$2:$E$564,2,FALSE)),0)</f>
        <v>0</v>
      </c>
    </row>
    <row r="1698" spans="1:26" ht="25.15" hidden="1" customHeight="1" x14ac:dyDescent="0.25">
      <c r="A1698" s="112">
        <v>46259.689768518518</v>
      </c>
      <c r="B1698" s="5" t="s">
        <v>237</v>
      </c>
      <c r="C1698" s="5" t="s">
        <v>860</v>
      </c>
      <c r="D1698" s="5">
        <v>716466</v>
      </c>
      <c r="E1698" s="33">
        <v>36</v>
      </c>
      <c r="F1698" s="60">
        <v>1250</v>
      </c>
      <c r="G1698" s="60">
        <f>+OtherClients[[#This Row],[Boxes / Pieces]]*OtherClients[[#This Row],[Unit Quantity]]</f>
        <v>45000</v>
      </c>
      <c r="H1698" s="60">
        <v>290</v>
      </c>
      <c r="I1698" s="60" t="s">
        <v>278</v>
      </c>
      <c r="J1698" s="104"/>
      <c r="K1698" s="33" t="s">
        <v>278</v>
      </c>
      <c r="L1698" s="111"/>
      <c r="M1698" s="33" t="s">
        <v>278</v>
      </c>
      <c r="N1698" s="111"/>
      <c r="O1698" s="33" t="s">
        <v>278</v>
      </c>
      <c r="P1698" s="111"/>
      <c r="Q1698" s="33" t="s">
        <v>587</v>
      </c>
      <c r="R1698" s="111"/>
      <c r="S1698" s="33" t="s">
        <v>278</v>
      </c>
      <c r="T1698" s="111"/>
      <c r="U1698" s="33" t="s">
        <v>278</v>
      </c>
      <c r="V1698" s="111"/>
      <c r="W1698" s="59" t="s">
        <v>548</v>
      </c>
      <c r="X1698" s="33" t="str">
        <f>+VLOOKUP(OtherClients[[#This Row],[Part]],PartControl!$A$2:$E$564,5,FALSE)</f>
        <v>infasco</v>
      </c>
      <c r="Y1698" s="108">
        <f>IF(OtherClients[[#This Row],[Re-certified or New]]&lt;&gt;"Re-certified",IF(OtherClients[[#This Row],[Client]]="infasco",VLOOKUP(OtherClients[[#This Row],[Part]],PartControl!$A$2:$E$564,2,FALSE),OtherClients[[#This Row],[Total Quantity]]*VLOOKUP(OtherClients[[#This Row],[Part]],PartControl!$A$2:$E$564,2,FALSE)),0)</f>
        <v>106.94</v>
      </c>
      <c r="Z1698" s="108">
        <f>IF(OtherClients[[#This Row],[Re-certified or New]]&lt;&gt;"Re-certified",IF(OtherClients[[#This Row],[Client]]="infasco",VLOOKUP(OtherClients[[#This Row],[Part]],PartControl!$A$2:$E$564,2,FALSE),OtherClients[[#This Row],[Total Quantity]]*VLOOKUP(OtherClients[[#This Row],[Part]],PartControl!$A$2:$E$564,2,FALSE)),0)</f>
        <v>106.94</v>
      </c>
    </row>
    <row r="1699" spans="1:26" ht="25.15" hidden="1" customHeight="1" x14ac:dyDescent="0.25">
      <c r="A1699" s="112">
        <v>46259.689768518518</v>
      </c>
      <c r="B1699" s="5" t="s">
        <v>237</v>
      </c>
      <c r="C1699" s="5" t="s">
        <v>662</v>
      </c>
      <c r="D1699" s="5">
        <v>717753</v>
      </c>
      <c r="E1699" s="33">
        <v>36</v>
      </c>
      <c r="F1699" s="60">
        <v>580</v>
      </c>
      <c r="G1699" s="60">
        <f>+OtherClients[[#This Row],[Boxes / Pieces]]*OtherClients[[#This Row],[Unit Quantity]]</f>
        <v>20880</v>
      </c>
      <c r="H1699" s="60">
        <v>290</v>
      </c>
      <c r="I1699" s="60" t="s">
        <v>278</v>
      </c>
      <c r="J1699" s="104"/>
      <c r="K1699" s="33" t="s">
        <v>278</v>
      </c>
      <c r="L1699" s="111"/>
      <c r="M1699" s="33" t="s">
        <v>278</v>
      </c>
      <c r="N1699" s="111"/>
      <c r="O1699" s="33" t="s">
        <v>278</v>
      </c>
      <c r="P1699" s="111"/>
      <c r="Q1699" s="33" t="s">
        <v>587</v>
      </c>
      <c r="R1699" s="111"/>
      <c r="S1699" s="33" t="s">
        <v>278</v>
      </c>
      <c r="T1699" s="111"/>
      <c r="U1699" s="33" t="s">
        <v>278</v>
      </c>
      <c r="V1699" s="111"/>
      <c r="W1699" s="59" t="s">
        <v>548</v>
      </c>
      <c r="X1699" s="33" t="str">
        <f>+VLOOKUP(OtherClients[[#This Row],[Part]],PartControl!$A$2:$E$564,5,FALSE)</f>
        <v>infasco</v>
      </c>
      <c r="Y1699" s="108">
        <f>IF(OtherClients[[#This Row],[Re-certified or New]]&lt;&gt;"Re-certified",IF(OtherClients[[#This Row],[Client]]="infasco",VLOOKUP(OtherClients[[#This Row],[Part]],PartControl!$A$2:$E$564,2,FALSE),OtherClients[[#This Row],[Total Quantity]]*VLOOKUP(OtherClients[[#This Row],[Part]],PartControl!$A$2:$E$564,2,FALSE)),0)</f>
        <v>280.15999999999997</v>
      </c>
      <c r="Z1699" s="108">
        <f>IF(OtherClients[[#This Row],[Re-certified or New]]&lt;&gt;"Re-certified",IF(OtherClients[[#This Row],[Client]]="infasco",VLOOKUP(OtherClients[[#This Row],[Part]],PartControl!$A$2:$E$564,2,FALSE),OtherClients[[#This Row],[Total Quantity]]*VLOOKUP(OtherClients[[#This Row],[Part]],PartControl!$A$2:$E$564,2,FALSE)),0)</f>
        <v>280.15999999999997</v>
      </c>
    </row>
    <row r="1700" spans="1:26" ht="25.15" hidden="1" customHeight="1" x14ac:dyDescent="0.25">
      <c r="A1700" s="112">
        <v>46259.689768518518</v>
      </c>
      <c r="B1700" s="5" t="s">
        <v>237</v>
      </c>
      <c r="C1700" s="5" t="s">
        <v>662</v>
      </c>
      <c r="D1700" s="5">
        <v>717752</v>
      </c>
      <c r="E1700" s="33">
        <v>10</v>
      </c>
      <c r="F1700" s="60">
        <v>580</v>
      </c>
      <c r="G1700" s="60">
        <f>+OtherClients[[#This Row],[Boxes / Pieces]]*OtherClients[[#This Row],[Unit Quantity]]</f>
        <v>5800</v>
      </c>
      <c r="H1700" s="60">
        <v>290</v>
      </c>
      <c r="I1700" s="60" t="s">
        <v>278</v>
      </c>
      <c r="J1700" s="104"/>
      <c r="K1700" s="33" t="s">
        <v>278</v>
      </c>
      <c r="L1700" s="111"/>
      <c r="M1700" s="33" t="s">
        <v>278</v>
      </c>
      <c r="N1700" s="111"/>
      <c r="O1700" s="33" t="s">
        <v>278</v>
      </c>
      <c r="P1700" s="111"/>
      <c r="Q1700" s="33" t="s">
        <v>587</v>
      </c>
      <c r="R1700" s="111"/>
      <c r="S1700" s="33" t="s">
        <v>278</v>
      </c>
      <c r="T1700" s="111"/>
      <c r="U1700" s="33" t="s">
        <v>278</v>
      </c>
      <c r="V1700" s="111"/>
      <c r="W1700" s="59" t="s">
        <v>633</v>
      </c>
      <c r="X1700" s="33" t="str">
        <f>+VLOOKUP(OtherClients[[#This Row],[Part]],PartControl!$A$2:$E$564,5,FALSE)</f>
        <v>infasco</v>
      </c>
      <c r="Y1700" s="108">
        <f>IF(OtherClients[[#This Row],[Re-certified or New]]&lt;&gt;"Re-certified",IF(OtherClients[[#This Row],[Client]]="infasco",VLOOKUP(OtherClients[[#This Row],[Part]],PartControl!$A$2:$E$564,2,FALSE),OtherClients[[#This Row],[Total Quantity]]*VLOOKUP(OtherClients[[#This Row],[Part]],PartControl!$A$2:$E$564,2,FALSE)),0)</f>
        <v>0</v>
      </c>
      <c r="Z1700" s="108">
        <f>IF(OtherClients[[#This Row],[Re-certified or New]]&lt;&gt;"Re-certified",IF(OtherClients[[#This Row],[Client]]="infasco",VLOOKUP(OtherClients[[#This Row],[Part]],PartControl!$A$2:$E$564,2,FALSE),OtherClients[[#This Row],[Total Quantity]]*VLOOKUP(OtherClients[[#This Row],[Part]],PartControl!$A$2:$E$564,2,FALSE)),0)</f>
        <v>0</v>
      </c>
    </row>
    <row r="1701" spans="1:26" ht="25.15" hidden="1" customHeight="1" x14ac:dyDescent="0.25">
      <c r="A1701" s="112">
        <v>46259.689768518518</v>
      </c>
      <c r="B1701" s="5" t="s">
        <v>240</v>
      </c>
      <c r="C1701" s="5" t="s">
        <v>700</v>
      </c>
      <c r="D1701" s="5">
        <v>715949</v>
      </c>
      <c r="E1701" s="33">
        <f>36-24</f>
        <v>12</v>
      </c>
      <c r="F1701" s="60">
        <v>1000</v>
      </c>
      <c r="G1701" s="60">
        <f>+OtherClients[[#This Row],[Boxes / Pieces]]*OtherClients[[#This Row],[Unit Quantity]]</f>
        <v>12000</v>
      </c>
      <c r="H1701" s="60">
        <v>290</v>
      </c>
      <c r="I1701" s="60" t="s">
        <v>278</v>
      </c>
      <c r="J1701" s="104"/>
      <c r="K1701" s="33" t="s">
        <v>278</v>
      </c>
      <c r="L1701" s="111"/>
      <c r="M1701" s="33" t="s">
        <v>278</v>
      </c>
      <c r="N1701" s="111"/>
      <c r="O1701" s="33" t="s">
        <v>278</v>
      </c>
      <c r="P1701" s="111"/>
      <c r="Q1701" s="33" t="s">
        <v>587</v>
      </c>
      <c r="R1701" s="111"/>
      <c r="S1701" s="33" t="s">
        <v>278</v>
      </c>
      <c r="T1701" s="111"/>
      <c r="U1701" s="33" t="s">
        <v>278</v>
      </c>
      <c r="V1701" s="111"/>
      <c r="W1701" s="59" t="s">
        <v>548</v>
      </c>
      <c r="X1701" s="33" t="str">
        <f>+VLOOKUP(OtherClients[[#This Row],[Part]],PartControl!$A$2:$E$564,5,FALSE)</f>
        <v>infasco</v>
      </c>
      <c r="Y1701" s="108">
        <f>IF(OtherClients[[#This Row],[Re-certified or New]]&lt;&gt;"Re-certified",IF(OtherClients[[#This Row],[Client]]="infasco",VLOOKUP(OtherClients[[#This Row],[Part]],PartControl!$A$2:$E$564,2,FALSE),OtherClients[[#This Row],[Total Quantity]]*VLOOKUP(OtherClients[[#This Row],[Part]],PartControl!$A$2:$E$564,2,FALSE)),0)</f>
        <v>106.94</v>
      </c>
      <c r="Z1701" s="108">
        <f>IF(OtherClients[[#This Row],[Re-certified or New]]&lt;&gt;"Re-certified",IF(OtherClients[[#This Row],[Client]]="infasco",VLOOKUP(OtherClients[[#This Row],[Part]],PartControl!$A$2:$E$564,2,FALSE),OtherClients[[#This Row],[Total Quantity]]*VLOOKUP(OtherClients[[#This Row],[Part]],PartControl!$A$2:$E$564,2,FALSE)),0)</f>
        <v>106.94</v>
      </c>
    </row>
    <row r="1702" spans="1:26" ht="25.15" hidden="1" customHeight="1" x14ac:dyDescent="0.25">
      <c r="A1702" s="112">
        <v>46259.689768518518</v>
      </c>
      <c r="B1702" s="5" t="s">
        <v>240</v>
      </c>
      <c r="C1702" s="5" t="s">
        <v>645</v>
      </c>
      <c r="D1702" s="5">
        <v>716890</v>
      </c>
      <c r="E1702" s="33">
        <v>36</v>
      </c>
      <c r="F1702" s="60">
        <v>1000</v>
      </c>
      <c r="G1702" s="60">
        <f>+OtherClients[[#This Row],[Boxes / Pieces]]*OtherClients[[#This Row],[Unit Quantity]]</f>
        <v>36000</v>
      </c>
      <c r="H1702" s="60">
        <v>290</v>
      </c>
      <c r="I1702" s="60" t="s">
        <v>278</v>
      </c>
      <c r="J1702" s="104"/>
      <c r="K1702" s="33" t="s">
        <v>278</v>
      </c>
      <c r="L1702" s="111"/>
      <c r="M1702" s="33" t="s">
        <v>278</v>
      </c>
      <c r="N1702" s="111"/>
      <c r="O1702" s="33" t="s">
        <v>278</v>
      </c>
      <c r="P1702" s="111"/>
      <c r="Q1702" s="33" t="s">
        <v>587</v>
      </c>
      <c r="R1702" s="111"/>
      <c r="S1702" s="33" t="s">
        <v>278</v>
      </c>
      <c r="T1702" s="111"/>
      <c r="U1702" s="33" t="s">
        <v>278</v>
      </c>
      <c r="V1702" s="111"/>
      <c r="W1702" s="59" t="s">
        <v>548</v>
      </c>
      <c r="X1702" s="33" t="str">
        <f>+VLOOKUP(OtherClients[[#This Row],[Part]],PartControl!$A$2:$E$564,5,FALSE)</f>
        <v>infasco</v>
      </c>
      <c r="Y1702" s="108">
        <f>IF(OtherClients[[#This Row],[Re-certified or New]]&lt;&gt;"Re-certified",IF(OtherClients[[#This Row],[Client]]="infasco",VLOOKUP(OtherClients[[#This Row],[Part]],PartControl!$A$2:$E$564,2,FALSE),OtherClients[[#This Row],[Total Quantity]]*VLOOKUP(OtherClients[[#This Row],[Part]],PartControl!$A$2:$E$564,2,FALSE)),0)</f>
        <v>106.94</v>
      </c>
      <c r="Z1702" s="108">
        <f>IF(OtherClients[[#This Row],[Re-certified or New]]&lt;&gt;"Re-certified",IF(OtherClients[[#This Row],[Client]]="infasco",VLOOKUP(OtherClients[[#This Row],[Part]],PartControl!$A$2:$E$564,2,FALSE),OtherClients[[#This Row],[Total Quantity]]*VLOOKUP(OtherClients[[#This Row],[Part]],PartControl!$A$2:$E$564,2,FALSE)),0)</f>
        <v>106.94</v>
      </c>
    </row>
    <row r="1703" spans="1:26" ht="25.15" hidden="1" customHeight="1" x14ac:dyDescent="0.25">
      <c r="A1703" s="112">
        <v>46259.689768518518</v>
      </c>
      <c r="B1703" s="5" t="s">
        <v>240</v>
      </c>
      <c r="C1703" s="5" t="s">
        <v>645</v>
      </c>
      <c r="D1703" s="5">
        <v>716887</v>
      </c>
      <c r="E1703" s="33">
        <v>36</v>
      </c>
      <c r="F1703" s="60">
        <v>1000</v>
      </c>
      <c r="G1703" s="60">
        <f>+OtherClients[[#This Row],[Boxes / Pieces]]*OtherClients[[#This Row],[Unit Quantity]]</f>
        <v>36000</v>
      </c>
      <c r="H1703" s="60">
        <v>290</v>
      </c>
      <c r="I1703" s="60" t="s">
        <v>278</v>
      </c>
      <c r="J1703" s="104"/>
      <c r="K1703" s="33" t="s">
        <v>278</v>
      </c>
      <c r="L1703" s="111"/>
      <c r="M1703" s="33" t="s">
        <v>278</v>
      </c>
      <c r="N1703" s="111"/>
      <c r="O1703" s="33" t="s">
        <v>278</v>
      </c>
      <c r="P1703" s="111"/>
      <c r="Q1703" s="33" t="s">
        <v>587</v>
      </c>
      <c r="R1703" s="111"/>
      <c r="S1703" s="33" t="s">
        <v>278</v>
      </c>
      <c r="T1703" s="111"/>
      <c r="U1703" s="33" t="s">
        <v>278</v>
      </c>
      <c r="V1703" s="111"/>
      <c r="W1703" s="59" t="s">
        <v>548</v>
      </c>
      <c r="X1703" s="33" t="str">
        <f>+VLOOKUP(OtherClients[[#This Row],[Part]],PartControl!$A$2:$E$564,5,FALSE)</f>
        <v>infasco</v>
      </c>
      <c r="Y1703" s="108">
        <f>IF(OtherClients[[#This Row],[Re-certified or New]]&lt;&gt;"Re-certified",IF(OtherClients[[#This Row],[Client]]="infasco",VLOOKUP(OtherClients[[#This Row],[Part]],PartControl!$A$2:$E$564,2,FALSE),OtherClients[[#This Row],[Total Quantity]]*VLOOKUP(OtherClients[[#This Row],[Part]],PartControl!$A$2:$E$564,2,FALSE)),0)</f>
        <v>106.94</v>
      </c>
      <c r="Z1703" s="108">
        <f>IF(OtherClients[[#This Row],[Re-certified or New]]&lt;&gt;"Re-certified",IF(OtherClients[[#This Row],[Client]]="infasco",VLOOKUP(OtherClients[[#This Row],[Part]],PartControl!$A$2:$E$564,2,FALSE),OtherClients[[#This Row],[Total Quantity]]*VLOOKUP(OtherClients[[#This Row],[Part]],PartControl!$A$2:$E$564,2,FALSE)),0)</f>
        <v>106.94</v>
      </c>
    </row>
    <row r="1704" spans="1:26" ht="25.15" hidden="1" customHeight="1" x14ac:dyDescent="0.25">
      <c r="A1704" s="112">
        <v>46259.689768518518</v>
      </c>
      <c r="B1704" s="5" t="s">
        <v>240</v>
      </c>
      <c r="C1704" s="5" t="s">
        <v>645</v>
      </c>
      <c r="D1704" s="5">
        <v>716897</v>
      </c>
      <c r="E1704" s="33">
        <v>15</v>
      </c>
      <c r="F1704" s="60">
        <v>1000</v>
      </c>
      <c r="G1704" s="60">
        <f>+OtherClients[[#This Row],[Boxes / Pieces]]*OtherClients[[#This Row],[Unit Quantity]]</f>
        <v>15000</v>
      </c>
      <c r="H1704" s="60">
        <v>290</v>
      </c>
      <c r="I1704" s="60" t="s">
        <v>278</v>
      </c>
      <c r="J1704" s="104"/>
      <c r="K1704" s="33" t="s">
        <v>278</v>
      </c>
      <c r="L1704" s="111"/>
      <c r="M1704" s="33" t="s">
        <v>278</v>
      </c>
      <c r="N1704" s="111"/>
      <c r="O1704" s="33" t="s">
        <v>278</v>
      </c>
      <c r="P1704" s="111"/>
      <c r="Q1704" s="33" t="s">
        <v>587</v>
      </c>
      <c r="R1704" s="111"/>
      <c r="S1704" s="33" t="s">
        <v>278</v>
      </c>
      <c r="T1704" s="111"/>
      <c r="U1704" s="33" t="s">
        <v>278</v>
      </c>
      <c r="V1704" s="111"/>
      <c r="W1704" s="59" t="s">
        <v>633</v>
      </c>
      <c r="X1704" s="33" t="str">
        <f>+VLOOKUP(OtherClients[[#This Row],[Part]],PartControl!$A$2:$E$564,5,FALSE)</f>
        <v>infasco</v>
      </c>
      <c r="Y1704" s="108">
        <f>IF(OtherClients[[#This Row],[Re-certified or New]]&lt;&gt;"Re-certified",IF(OtherClients[[#This Row],[Client]]="infasco",VLOOKUP(OtherClients[[#This Row],[Part]],PartControl!$A$2:$E$564,2,FALSE),OtherClients[[#This Row],[Total Quantity]]*VLOOKUP(OtherClients[[#This Row],[Part]],PartControl!$A$2:$E$564,2,FALSE)),0)</f>
        <v>0</v>
      </c>
      <c r="Z1704" s="108">
        <f>IF(OtherClients[[#This Row],[Re-certified or New]]&lt;&gt;"Re-certified",IF(OtherClients[[#This Row],[Client]]="infasco",VLOOKUP(OtherClients[[#This Row],[Part]],PartControl!$A$2:$E$564,2,FALSE),OtherClients[[#This Row],[Total Quantity]]*VLOOKUP(OtherClients[[#This Row],[Part]],PartControl!$A$2:$E$564,2,FALSE)),0)</f>
        <v>0</v>
      </c>
    </row>
    <row r="1705" spans="1:26" ht="25.15" hidden="1" customHeight="1" x14ac:dyDescent="0.25">
      <c r="A1705" s="112">
        <v>46259.689768518518</v>
      </c>
      <c r="B1705" s="5" t="s">
        <v>235</v>
      </c>
      <c r="C1705" s="5" t="s">
        <v>656</v>
      </c>
      <c r="D1705" s="5">
        <v>716992</v>
      </c>
      <c r="E1705" s="33">
        <v>19</v>
      </c>
      <c r="F1705" s="60">
        <v>825</v>
      </c>
      <c r="G1705" s="60">
        <f>+OtherClients[[#This Row],[Boxes / Pieces]]*OtherClients[[#This Row],[Unit Quantity]]</f>
        <v>15675</v>
      </c>
      <c r="H1705" s="60">
        <v>290</v>
      </c>
      <c r="I1705" s="60" t="s">
        <v>278</v>
      </c>
      <c r="J1705" s="104"/>
      <c r="K1705" s="33" t="s">
        <v>278</v>
      </c>
      <c r="L1705" s="111"/>
      <c r="M1705" s="33" t="s">
        <v>278</v>
      </c>
      <c r="N1705" s="111"/>
      <c r="O1705" s="33" t="s">
        <v>278</v>
      </c>
      <c r="P1705" s="111"/>
      <c r="Q1705" s="33" t="s">
        <v>587</v>
      </c>
      <c r="R1705" s="111"/>
      <c r="S1705" s="33" t="s">
        <v>278</v>
      </c>
      <c r="T1705" s="111"/>
      <c r="U1705" s="33" t="s">
        <v>278</v>
      </c>
      <c r="V1705" s="111"/>
      <c r="W1705" s="59" t="s">
        <v>548</v>
      </c>
      <c r="X1705" s="33" t="str">
        <f>+VLOOKUP(OtherClients[[#This Row],[Part]],PartControl!$A$2:$E$564,5,FALSE)</f>
        <v>infasco</v>
      </c>
      <c r="Y1705" s="108">
        <f>IF(OtherClients[[#This Row],[Re-certified or New]]&lt;&gt;"Re-certified",IF(OtherClients[[#This Row],[Client]]="infasco",VLOOKUP(OtherClients[[#This Row],[Part]],PartControl!$A$2:$E$564,2,FALSE),OtherClients[[#This Row],[Total Quantity]]*VLOOKUP(OtherClients[[#This Row],[Part]],PartControl!$A$2:$E$564,2,FALSE)),0)</f>
        <v>280.16000000000003</v>
      </c>
      <c r="Z1705" s="108">
        <f>IF(OtherClients[[#This Row],[Re-certified or New]]&lt;&gt;"Re-certified",IF(OtherClients[[#This Row],[Client]]="infasco",VLOOKUP(OtherClients[[#This Row],[Part]],PartControl!$A$2:$E$564,2,FALSE),OtherClients[[#This Row],[Total Quantity]]*VLOOKUP(OtherClients[[#This Row],[Part]],PartControl!$A$2:$E$564,2,FALSE)),0)</f>
        <v>280.16000000000003</v>
      </c>
    </row>
    <row r="1706" spans="1:26" ht="25.15" hidden="1" customHeight="1" x14ac:dyDescent="0.25">
      <c r="A1706" s="112">
        <v>46259.689768518518</v>
      </c>
      <c r="B1706" s="5" t="s">
        <v>235</v>
      </c>
      <c r="C1706" s="5" t="s">
        <v>656</v>
      </c>
      <c r="D1706" s="5">
        <v>716991</v>
      </c>
      <c r="E1706" s="33">
        <v>8</v>
      </c>
      <c r="F1706" s="60">
        <v>825</v>
      </c>
      <c r="G1706" s="60">
        <f>+OtherClients[[#This Row],[Boxes / Pieces]]*OtherClients[[#This Row],[Unit Quantity]]</f>
        <v>6600</v>
      </c>
      <c r="H1706" s="60">
        <v>290</v>
      </c>
      <c r="I1706" s="60" t="s">
        <v>278</v>
      </c>
      <c r="J1706" s="104"/>
      <c r="K1706" s="33" t="s">
        <v>278</v>
      </c>
      <c r="L1706" s="111"/>
      <c r="M1706" s="33" t="s">
        <v>278</v>
      </c>
      <c r="N1706" s="111"/>
      <c r="O1706" s="33" t="s">
        <v>278</v>
      </c>
      <c r="P1706" s="111"/>
      <c r="Q1706" s="33" t="s">
        <v>587</v>
      </c>
      <c r="R1706" s="111"/>
      <c r="S1706" s="33" t="s">
        <v>278</v>
      </c>
      <c r="T1706" s="111"/>
      <c r="U1706" s="33" t="s">
        <v>278</v>
      </c>
      <c r="V1706" s="111"/>
      <c r="W1706" s="59" t="s">
        <v>633</v>
      </c>
      <c r="X1706" s="33" t="str">
        <f>+VLOOKUP(OtherClients[[#This Row],[Part]],PartControl!$A$2:$E$564,5,FALSE)</f>
        <v>infasco</v>
      </c>
      <c r="Y1706" s="108">
        <f>IF(OtherClients[[#This Row],[Re-certified or New]]&lt;&gt;"Re-certified",IF(OtherClients[[#This Row],[Client]]="infasco",VLOOKUP(OtherClients[[#This Row],[Part]],PartControl!$A$2:$E$564,2,FALSE),OtherClients[[#This Row],[Total Quantity]]*VLOOKUP(OtherClients[[#This Row],[Part]],PartControl!$A$2:$E$564,2,FALSE)),0)</f>
        <v>0</v>
      </c>
      <c r="Z1706" s="108">
        <f>IF(OtherClients[[#This Row],[Re-certified or New]]&lt;&gt;"Re-certified",IF(OtherClients[[#This Row],[Client]]="infasco",VLOOKUP(OtherClients[[#This Row],[Part]],PartControl!$A$2:$E$564,2,FALSE),OtherClients[[#This Row],[Total Quantity]]*VLOOKUP(OtherClients[[#This Row],[Part]],PartControl!$A$2:$E$564,2,FALSE)),0)</f>
        <v>0</v>
      </c>
    </row>
    <row r="1707" spans="1:26" ht="25.15" hidden="1" customHeight="1" x14ac:dyDescent="0.25">
      <c r="A1707" s="112">
        <v>46259.689768518518</v>
      </c>
      <c r="B1707" s="5" t="s">
        <v>236</v>
      </c>
      <c r="C1707" s="5">
        <v>11546437</v>
      </c>
      <c r="D1707" s="5">
        <v>716758</v>
      </c>
      <c r="E1707" s="33">
        <f>21-8</f>
        <v>13</v>
      </c>
      <c r="F1707" s="60">
        <v>1500</v>
      </c>
      <c r="G1707" s="60">
        <f>+OtherClients[[#This Row],[Boxes / Pieces]]*OtherClients[[#This Row],[Unit Quantity]]</f>
        <v>19500</v>
      </c>
      <c r="H1707" s="60">
        <v>290</v>
      </c>
      <c r="I1707" s="60" t="s">
        <v>278</v>
      </c>
      <c r="J1707" s="104"/>
      <c r="K1707" s="33" t="s">
        <v>278</v>
      </c>
      <c r="L1707" s="111"/>
      <c r="M1707" s="33" t="s">
        <v>278</v>
      </c>
      <c r="N1707" s="111"/>
      <c r="O1707" s="33" t="s">
        <v>278</v>
      </c>
      <c r="P1707" s="111"/>
      <c r="Q1707" s="33" t="s">
        <v>587</v>
      </c>
      <c r="R1707" s="111"/>
      <c r="S1707" s="33" t="s">
        <v>278</v>
      </c>
      <c r="T1707" s="111"/>
      <c r="U1707" s="33" t="s">
        <v>278</v>
      </c>
      <c r="V1707" s="111"/>
      <c r="W1707" s="59" t="s">
        <v>548</v>
      </c>
      <c r="X1707" s="33" t="str">
        <f>+VLOOKUP(OtherClients[[#This Row],[Part]],PartControl!$A$2:$E$564,5,FALSE)</f>
        <v>infasco</v>
      </c>
      <c r="Y1707" s="108">
        <f>IF(OtherClients[[#This Row],[Re-certified or New]]&lt;&gt;"Re-certified",IF(OtherClients[[#This Row],[Client]]="infasco",VLOOKUP(OtherClients[[#This Row],[Part]],PartControl!$A$2:$E$564,2,FALSE),OtherClients[[#This Row],[Total Quantity]]*VLOOKUP(OtherClients[[#This Row],[Part]],PartControl!$A$2:$E$564,2,FALSE)),0)</f>
        <v>106.94</v>
      </c>
      <c r="Z1707" s="108">
        <f>IF(OtherClients[[#This Row],[Re-certified or New]]&lt;&gt;"Re-certified",IF(OtherClients[[#This Row],[Client]]="infasco",VLOOKUP(OtherClients[[#This Row],[Part]],PartControl!$A$2:$E$564,2,FALSE),OtherClients[[#This Row],[Total Quantity]]*VLOOKUP(OtherClients[[#This Row],[Part]],PartControl!$A$2:$E$564,2,FALSE)),0)</f>
        <v>106.94</v>
      </c>
    </row>
    <row r="1708" spans="1:26" ht="25.15" hidden="1" customHeight="1" x14ac:dyDescent="0.25">
      <c r="A1708" s="112">
        <v>46259.689768518518</v>
      </c>
      <c r="B1708" s="5" t="s">
        <v>236</v>
      </c>
      <c r="C1708" s="5">
        <v>11546437</v>
      </c>
      <c r="D1708" s="5">
        <v>716763</v>
      </c>
      <c r="E1708" s="33">
        <v>29</v>
      </c>
      <c r="F1708" s="60">
        <v>1500</v>
      </c>
      <c r="G1708" s="60">
        <f>+OtherClients[[#This Row],[Boxes / Pieces]]*OtherClients[[#This Row],[Unit Quantity]]</f>
        <v>43500</v>
      </c>
      <c r="H1708" s="60">
        <v>290</v>
      </c>
      <c r="I1708" s="60" t="s">
        <v>278</v>
      </c>
      <c r="J1708" s="104"/>
      <c r="K1708" s="33" t="s">
        <v>278</v>
      </c>
      <c r="L1708" s="111"/>
      <c r="M1708" s="33" t="s">
        <v>278</v>
      </c>
      <c r="N1708" s="111"/>
      <c r="O1708" s="33" t="s">
        <v>278</v>
      </c>
      <c r="P1708" s="111"/>
      <c r="Q1708" s="33" t="s">
        <v>587</v>
      </c>
      <c r="R1708" s="111"/>
      <c r="S1708" s="33" t="s">
        <v>278</v>
      </c>
      <c r="T1708" s="111"/>
      <c r="U1708" s="33" t="s">
        <v>278</v>
      </c>
      <c r="V1708" s="111"/>
      <c r="W1708" s="59" t="s">
        <v>633</v>
      </c>
      <c r="X1708" s="33" t="str">
        <f>+VLOOKUP(OtherClients[[#This Row],[Part]],PartControl!$A$2:$E$564,5,FALSE)</f>
        <v>infasco</v>
      </c>
      <c r="Y1708" s="108">
        <f>IF(OtherClients[[#This Row],[Re-certified or New]]&lt;&gt;"Re-certified",IF(OtherClients[[#This Row],[Client]]="infasco",VLOOKUP(OtherClients[[#This Row],[Part]],PartControl!$A$2:$E$564,2,FALSE),OtherClients[[#This Row],[Total Quantity]]*VLOOKUP(OtherClients[[#This Row],[Part]],PartControl!$A$2:$E$564,2,FALSE)),0)</f>
        <v>0</v>
      </c>
      <c r="Z1708" s="108">
        <f>IF(OtherClients[[#This Row],[Re-certified or New]]&lt;&gt;"Re-certified",IF(OtherClients[[#This Row],[Client]]="infasco",VLOOKUP(OtherClients[[#This Row],[Part]],PartControl!$A$2:$E$564,2,FALSE),OtherClients[[#This Row],[Total Quantity]]*VLOOKUP(OtherClients[[#This Row],[Part]],PartControl!$A$2:$E$564,2,FALSE)),0)</f>
        <v>0</v>
      </c>
    </row>
    <row r="1709" spans="1:26" ht="25.15" hidden="1" customHeight="1" x14ac:dyDescent="0.25">
      <c r="A1709" s="112">
        <v>46259.689768518518</v>
      </c>
      <c r="B1709" s="5" t="s">
        <v>239</v>
      </c>
      <c r="C1709" s="5">
        <v>11548414</v>
      </c>
      <c r="D1709" s="5">
        <v>717053</v>
      </c>
      <c r="E1709" s="33">
        <f>36-11</f>
        <v>25</v>
      </c>
      <c r="F1709" s="60">
        <v>485</v>
      </c>
      <c r="G1709" s="60">
        <f>+OtherClients[[#This Row],[Boxes / Pieces]]*OtherClients[[#This Row],[Unit Quantity]]</f>
        <v>12125</v>
      </c>
      <c r="H1709" s="60">
        <v>290</v>
      </c>
      <c r="I1709" s="60" t="s">
        <v>278</v>
      </c>
      <c r="J1709" s="104"/>
      <c r="K1709" s="33" t="s">
        <v>278</v>
      </c>
      <c r="L1709" s="111"/>
      <c r="M1709" s="33" t="s">
        <v>278</v>
      </c>
      <c r="N1709" s="111"/>
      <c r="O1709" s="33" t="s">
        <v>278</v>
      </c>
      <c r="P1709" s="111"/>
      <c r="Q1709" s="33" t="s">
        <v>587</v>
      </c>
      <c r="R1709" s="111"/>
      <c r="S1709" s="33" t="s">
        <v>278</v>
      </c>
      <c r="T1709" s="111"/>
      <c r="U1709" s="33" t="s">
        <v>278</v>
      </c>
      <c r="V1709" s="111"/>
      <c r="W1709" s="59" t="s">
        <v>548</v>
      </c>
      <c r="X1709" s="33" t="str">
        <f>+VLOOKUP(OtherClients[[#This Row],[Part]],PartControl!$A$2:$E$564,5,FALSE)</f>
        <v>INFASCO</v>
      </c>
      <c r="Y1709" s="108">
        <f>IF(OtherClients[[#This Row],[Re-certified or New]]&lt;&gt;"Re-certified",IF(OtherClients[[#This Row],[Client]]="infasco",VLOOKUP(OtherClients[[#This Row],[Part]],PartControl!$A$2:$E$564,2,FALSE),OtherClients[[#This Row],[Total Quantity]]*VLOOKUP(OtherClients[[#This Row],[Part]],PartControl!$A$2:$E$564,2,FALSE)),0)</f>
        <v>106.94</v>
      </c>
      <c r="Z1709" s="108">
        <f>IF(OtherClients[[#This Row],[Re-certified or New]]&lt;&gt;"Re-certified",IF(OtherClients[[#This Row],[Client]]="infasco",VLOOKUP(OtherClients[[#This Row],[Part]],PartControl!$A$2:$E$564,2,FALSE),OtherClients[[#This Row],[Total Quantity]]*VLOOKUP(OtherClients[[#This Row],[Part]],PartControl!$A$2:$E$564,2,FALSE)),0)</f>
        <v>106.94</v>
      </c>
    </row>
    <row r="1710" spans="1:26" ht="25.15" hidden="1" customHeight="1" x14ac:dyDescent="0.25">
      <c r="A1710" s="112">
        <v>46259.689768518518</v>
      </c>
      <c r="B1710" s="5" t="s">
        <v>239</v>
      </c>
      <c r="C1710" s="5">
        <v>11548414</v>
      </c>
      <c r="D1710" s="5">
        <v>717054</v>
      </c>
      <c r="E1710" s="33">
        <v>36</v>
      </c>
      <c r="F1710" s="60">
        <v>485</v>
      </c>
      <c r="G1710" s="60">
        <f>+OtherClients[[#This Row],[Boxes / Pieces]]*OtherClients[[#This Row],[Unit Quantity]]</f>
        <v>17460</v>
      </c>
      <c r="H1710" s="60">
        <v>290</v>
      </c>
      <c r="I1710" s="60" t="s">
        <v>278</v>
      </c>
      <c r="J1710" s="104"/>
      <c r="K1710" s="33" t="s">
        <v>278</v>
      </c>
      <c r="L1710" s="111"/>
      <c r="M1710" s="33" t="s">
        <v>278</v>
      </c>
      <c r="N1710" s="111"/>
      <c r="O1710" s="33" t="s">
        <v>278</v>
      </c>
      <c r="P1710" s="111"/>
      <c r="Q1710" s="33" t="s">
        <v>587</v>
      </c>
      <c r="R1710" s="111"/>
      <c r="S1710" s="33" t="s">
        <v>278</v>
      </c>
      <c r="T1710" s="111"/>
      <c r="U1710" s="33" t="s">
        <v>278</v>
      </c>
      <c r="V1710" s="111"/>
      <c r="W1710" s="59" t="s">
        <v>548</v>
      </c>
      <c r="X1710" s="33" t="str">
        <f>+VLOOKUP(OtherClients[[#This Row],[Part]],PartControl!$A$2:$E$564,5,FALSE)</f>
        <v>INFASCO</v>
      </c>
      <c r="Y1710" s="108">
        <f>IF(OtherClients[[#This Row],[Re-certified or New]]&lt;&gt;"Re-certified",IF(OtherClients[[#This Row],[Client]]="infasco",VLOOKUP(OtherClients[[#This Row],[Part]],PartControl!$A$2:$E$564,2,FALSE),OtherClients[[#This Row],[Total Quantity]]*VLOOKUP(OtherClients[[#This Row],[Part]],PartControl!$A$2:$E$564,2,FALSE)),0)</f>
        <v>106.94</v>
      </c>
      <c r="Z1710" s="108">
        <f>IF(OtherClients[[#This Row],[Re-certified or New]]&lt;&gt;"Re-certified",IF(OtherClients[[#This Row],[Client]]="infasco",VLOOKUP(OtherClients[[#This Row],[Part]],PartControl!$A$2:$E$564,2,FALSE),OtherClients[[#This Row],[Total Quantity]]*VLOOKUP(OtherClients[[#This Row],[Part]],PartControl!$A$2:$E$564,2,FALSE)),0)</f>
        <v>106.94</v>
      </c>
    </row>
    <row r="1711" spans="1:26" ht="25.15" hidden="1" customHeight="1" x14ac:dyDescent="0.25">
      <c r="A1711" s="112">
        <v>46259.689768518518</v>
      </c>
      <c r="B1711" s="5" t="s">
        <v>239</v>
      </c>
      <c r="C1711" s="5">
        <v>11548414</v>
      </c>
      <c r="D1711" s="5">
        <v>717056</v>
      </c>
      <c r="E1711" s="33">
        <v>3</v>
      </c>
      <c r="F1711" s="60">
        <v>485</v>
      </c>
      <c r="G1711" s="60">
        <f>+OtherClients[[#This Row],[Boxes / Pieces]]*OtherClients[[#This Row],[Unit Quantity]]</f>
        <v>1455</v>
      </c>
      <c r="H1711" s="60">
        <v>290</v>
      </c>
      <c r="I1711" s="60" t="s">
        <v>278</v>
      </c>
      <c r="J1711" s="104"/>
      <c r="K1711" s="33" t="s">
        <v>278</v>
      </c>
      <c r="L1711" s="111"/>
      <c r="M1711" s="33" t="s">
        <v>278</v>
      </c>
      <c r="N1711" s="111"/>
      <c r="O1711" s="33" t="s">
        <v>278</v>
      </c>
      <c r="P1711" s="111"/>
      <c r="Q1711" s="33" t="s">
        <v>587</v>
      </c>
      <c r="R1711" s="111"/>
      <c r="S1711" s="33" t="s">
        <v>278</v>
      </c>
      <c r="T1711" s="111"/>
      <c r="U1711" s="33" t="s">
        <v>278</v>
      </c>
      <c r="V1711" s="111"/>
      <c r="W1711" s="59" t="s">
        <v>548</v>
      </c>
      <c r="X1711" s="33" t="str">
        <f>+VLOOKUP(OtherClients[[#This Row],[Part]],PartControl!$A$2:$E$564,5,FALSE)</f>
        <v>INFASCO</v>
      </c>
      <c r="Y1711" s="108">
        <f>IF(OtherClients[[#This Row],[Re-certified or New]]&lt;&gt;"Re-certified",IF(OtherClients[[#This Row],[Client]]="infasco",VLOOKUP(OtherClients[[#This Row],[Part]],PartControl!$A$2:$E$564,2,FALSE),OtherClients[[#This Row],[Total Quantity]]*VLOOKUP(OtherClients[[#This Row],[Part]],PartControl!$A$2:$E$564,2,FALSE)),0)</f>
        <v>106.94</v>
      </c>
      <c r="Z1711" s="108">
        <f>IF(OtherClients[[#This Row],[Re-certified or New]]&lt;&gt;"Re-certified",IF(OtherClients[[#This Row],[Client]]="infasco",VLOOKUP(OtherClients[[#This Row],[Part]],PartControl!$A$2:$E$564,2,FALSE),OtherClients[[#This Row],[Total Quantity]]*VLOOKUP(OtherClients[[#This Row],[Part]],PartControl!$A$2:$E$564,2,FALSE)),0)</f>
        <v>106.94</v>
      </c>
    </row>
    <row r="1712" spans="1:26" ht="25.15" hidden="1" customHeight="1" x14ac:dyDescent="0.25">
      <c r="A1712" s="112">
        <v>46259.689768518518</v>
      </c>
      <c r="B1712" s="5" t="s">
        <v>239</v>
      </c>
      <c r="C1712" s="5" t="s">
        <v>645</v>
      </c>
      <c r="D1712" s="5">
        <v>716889</v>
      </c>
      <c r="E1712" s="33">
        <v>36</v>
      </c>
      <c r="F1712" s="60">
        <v>1000</v>
      </c>
      <c r="G1712" s="60">
        <f>+OtherClients[[#This Row],[Boxes / Pieces]]*OtherClients[[#This Row],[Unit Quantity]]</f>
        <v>36000</v>
      </c>
      <c r="H1712" s="60">
        <v>290</v>
      </c>
      <c r="I1712" s="60" t="s">
        <v>278</v>
      </c>
      <c r="J1712" s="104"/>
      <c r="K1712" s="33" t="s">
        <v>278</v>
      </c>
      <c r="L1712" s="111"/>
      <c r="M1712" s="33" t="s">
        <v>278</v>
      </c>
      <c r="N1712" s="111"/>
      <c r="O1712" s="33" t="s">
        <v>278</v>
      </c>
      <c r="P1712" s="111"/>
      <c r="Q1712" s="33" t="s">
        <v>587</v>
      </c>
      <c r="R1712" s="111"/>
      <c r="S1712" s="33" t="s">
        <v>278</v>
      </c>
      <c r="T1712" s="111"/>
      <c r="U1712" s="33" t="s">
        <v>278</v>
      </c>
      <c r="V1712" s="111"/>
      <c r="W1712" s="59" t="s">
        <v>548</v>
      </c>
      <c r="X1712" s="33" t="str">
        <f>+VLOOKUP(OtherClients[[#This Row],[Part]],PartControl!$A$2:$E$564,5,FALSE)</f>
        <v>infasco</v>
      </c>
      <c r="Y1712" s="108">
        <f>IF(OtherClients[[#This Row],[Re-certified or New]]&lt;&gt;"Re-certified",IF(OtherClients[[#This Row],[Client]]="infasco",VLOOKUP(OtherClients[[#This Row],[Part]],PartControl!$A$2:$E$564,2,FALSE),OtherClients[[#This Row],[Total Quantity]]*VLOOKUP(OtherClients[[#This Row],[Part]],PartControl!$A$2:$E$564,2,FALSE)),0)</f>
        <v>106.94</v>
      </c>
      <c r="Z1712" s="108">
        <f>IF(OtherClients[[#This Row],[Re-certified or New]]&lt;&gt;"Re-certified",IF(OtherClients[[#This Row],[Client]]="infasco",VLOOKUP(OtherClients[[#This Row],[Part]],PartControl!$A$2:$E$564,2,FALSE),OtherClients[[#This Row],[Total Quantity]]*VLOOKUP(OtherClients[[#This Row],[Part]],PartControl!$A$2:$E$564,2,FALSE)),0)</f>
        <v>106.94</v>
      </c>
    </row>
    <row r="1713" spans="1:26" ht="25.15" hidden="1" customHeight="1" x14ac:dyDescent="0.25">
      <c r="A1713" s="112">
        <v>46259.689768518518</v>
      </c>
      <c r="B1713" s="5" t="s">
        <v>636</v>
      </c>
      <c r="C1713" s="5" t="s">
        <v>703</v>
      </c>
      <c r="D1713" s="5">
        <v>716370</v>
      </c>
      <c r="E1713" s="33">
        <f>36-7</f>
        <v>29</v>
      </c>
      <c r="F1713" s="60">
        <v>700</v>
      </c>
      <c r="G1713" s="60">
        <f>+OtherClients[[#This Row],[Boxes / Pieces]]*OtherClients[[#This Row],[Unit Quantity]]</f>
        <v>20300</v>
      </c>
      <c r="H1713" s="60">
        <v>280</v>
      </c>
      <c r="I1713" s="60" t="s">
        <v>278</v>
      </c>
      <c r="J1713" s="104"/>
      <c r="K1713" s="33" t="s">
        <v>278</v>
      </c>
      <c r="L1713" s="111"/>
      <c r="M1713" s="33" t="s">
        <v>278</v>
      </c>
      <c r="N1713" s="111"/>
      <c r="O1713" s="33" t="s">
        <v>278</v>
      </c>
      <c r="P1713" s="111"/>
      <c r="Q1713" s="33" t="s">
        <v>587</v>
      </c>
      <c r="R1713" s="111"/>
      <c r="S1713" s="33" t="s">
        <v>278</v>
      </c>
      <c r="T1713" s="111"/>
      <c r="U1713" s="33" t="s">
        <v>278</v>
      </c>
      <c r="V1713" s="111"/>
      <c r="W1713" s="59" t="s">
        <v>548</v>
      </c>
      <c r="X1713" s="33" t="str">
        <f>+VLOOKUP(OtherClients[[#This Row],[Part]],PartControl!$A$2:$E$564,5,FALSE)</f>
        <v>infasco</v>
      </c>
      <c r="Y1713" s="108">
        <f>IF(OtherClients[[#This Row],[Re-certified or New]]&lt;&gt;"Re-certified",IF(OtherClients[[#This Row],[Client]]="infasco",VLOOKUP(OtherClients[[#This Row],[Part]],PartControl!$A$2:$E$564,2,FALSE),OtherClients[[#This Row],[Total Quantity]]*VLOOKUP(OtherClients[[#This Row],[Part]],PartControl!$A$2:$E$564,2,FALSE)),0)</f>
        <v>106.94</v>
      </c>
      <c r="Z1713" s="108">
        <f>IF(OtherClients[[#This Row],[Re-certified or New]]&lt;&gt;"Re-certified",IF(OtherClients[[#This Row],[Client]]="infasco",VLOOKUP(OtherClients[[#This Row],[Part]],PartControl!$A$2:$E$564,2,FALSE),OtherClients[[#This Row],[Total Quantity]]*VLOOKUP(OtherClients[[#This Row],[Part]],PartControl!$A$2:$E$564,2,FALSE)),0)</f>
        <v>106.94</v>
      </c>
    </row>
    <row r="1714" spans="1:26" ht="25.15" hidden="1" customHeight="1" x14ac:dyDescent="0.25">
      <c r="A1714" s="112">
        <v>46259.689768518518</v>
      </c>
      <c r="B1714" s="5" t="s">
        <v>636</v>
      </c>
      <c r="C1714" s="5" t="s">
        <v>703</v>
      </c>
      <c r="D1714" s="5">
        <v>716371</v>
      </c>
      <c r="E1714" s="33">
        <v>7</v>
      </c>
      <c r="F1714" s="60">
        <v>700</v>
      </c>
      <c r="G1714" s="60">
        <f>+OtherClients[[#This Row],[Boxes / Pieces]]*OtherClients[[#This Row],[Unit Quantity]]</f>
        <v>4900</v>
      </c>
      <c r="H1714" s="60">
        <v>280</v>
      </c>
      <c r="I1714" s="60" t="s">
        <v>278</v>
      </c>
      <c r="J1714" s="104"/>
      <c r="K1714" s="33" t="s">
        <v>278</v>
      </c>
      <c r="L1714" s="111"/>
      <c r="M1714" s="33" t="s">
        <v>278</v>
      </c>
      <c r="N1714" s="111"/>
      <c r="O1714" s="33" t="s">
        <v>278</v>
      </c>
      <c r="P1714" s="111"/>
      <c r="Q1714" s="33" t="s">
        <v>587</v>
      </c>
      <c r="R1714" s="111"/>
      <c r="S1714" s="33" t="s">
        <v>278</v>
      </c>
      <c r="T1714" s="111"/>
      <c r="U1714" s="33" t="s">
        <v>278</v>
      </c>
      <c r="V1714" s="111"/>
      <c r="W1714" s="59" t="s">
        <v>633</v>
      </c>
      <c r="X1714" s="33" t="str">
        <f>+VLOOKUP(OtherClients[[#This Row],[Part]],PartControl!$A$2:$E$564,5,FALSE)</f>
        <v>infasco</v>
      </c>
      <c r="Y1714" s="108">
        <f>IF(OtherClients[[#This Row],[Re-certified or New]]&lt;&gt;"Re-certified",IF(OtherClients[[#This Row],[Client]]="infasco",VLOOKUP(OtherClients[[#This Row],[Part]],PartControl!$A$2:$E$564,2,FALSE),OtherClients[[#This Row],[Total Quantity]]*VLOOKUP(OtherClients[[#This Row],[Part]],PartControl!$A$2:$E$564,2,FALSE)),0)</f>
        <v>0</v>
      </c>
      <c r="Z1714" s="108">
        <f>IF(OtherClients[[#This Row],[Re-certified or New]]&lt;&gt;"Re-certified",IF(OtherClients[[#This Row],[Client]]="infasco",VLOOKUP(OtherClients[[#This Row],[Part]],PartControl!$A$2:$E$564,2,FALSE),OtherClients[[#This Row],[Total Quantity]]*VLOOKUP(OtherClients[[#This Row],[Part]],PartControl!$A$2:$E$564,2,FALSE)),0)</f>
        <v>0</v>
      </c>
    </row>
    <row r="1715" spans="1:26" ht="25.15" hidden="1" customHeight="1" x14ac:dyDescent="0.25">
      <c r="A1715" s="112">
        <v>46259.689768518518</v>
      </c>
      <c r="B1715" s="5" t="s">
        <v>637</v>
      </c>
      <c r="C1715" s="5" t="s">
        <v>642</v>
      </c>
      <c r="D1715" s="5">
        <v>716794</v>
      </c>
      <c r="E1715" s="33">
        <f>36-20</f>
        <v>16</v>
      </c>
      <c r="F1715" s="60">
        <v>2800</v>
      </c>
      <c r="G1715" s="60">
        <f>+OtherClients[[#This Row],[Boxes / Pieces]]*OtherClients[[#This Row],[Unit Quantity]]</f>
        <v>44800</v>
      </c>
      <c r="H1715" s="60">
        <v>280</v>
      </c>
      <c r="I1715" s="60" t="s">
        <v>278</v>
      </c>
      <c r="J1715" s="104"/>
      <c r="K1715" s="33" t="s">
        <v>278</v>
      </c>
      <c r="L1715" s="111"/>
      <c r="M1715" s="33" t="s">
        <v>278</v>
      </c>
      <c r="N1715" s="111"/>
      <c r="O1715" s="33" t="s">
        <v>278</v>
      </c>
      <c r="P1715" s="111"/>
      <c r="Q1715" s="33" t="s">
        <v>587</v>
      </c>
      <c r="R1715" s="111"/>
      <c r="S1715" s="33" t="s">
        <v>278</v>
      </c>
      <c r="T1715" s="111"/>
      <c r="U1715" s="33" t="s">
        <v>278</v>
      </c>
      <c r="V1715" s="111"/>
      <c r="W1715" s="59" t="s">
        <v>548</v>
      </c>
      <c r="X1715" s="33" t="str">
        <f>+VLOOKUP(OtherClients[[#This Row],[Part]],PartControl!$A$2:$E$564,5,FALSE)</f>
        <v>infasco</v>
      </c>
      <c r="Y1715" s="108">
        <f>IF(OtherClients[[#This Row],[Re-certified or New]]&lt;&gt;"Re-certified",IF(OtherClients[[#This Row],[Client]]="infasco",VLOOKUP(OtherClients[[#This Row],[Part]],PartControl!$A$2:$E$564,2,FALSE),OtherClients[[#This Row],[Total Quantity]]*VLOOKUP(OtherClients[[#This Row],[Part]],PartControl!$A$2:$E$564,2,FALSE)),0)</f>
        <v>106.94</v>
      </c>
      <c r="Z1715" s="108">
        <f>IF(OtherClients[[#This Row],[Re-certified or New]]&lt;&gt;"Re-certified",IF(OtherClients[[#This Row],[Client]]="infasco",VLOOKUP(OtherClients[[#This Row],[Part]],PartControl!$A$2:$E$564,2,FALSE),OtherClients[[#This Row],[Total Quantity]]*VLOOKUP(OtherClients[[#This Row],[Part]],PartControl!$A$2:$E$564,2,FALSE)),0)</f>
        <v>106.94</v>
      </c>
    </row>
    <row r="1716" spans="1:26" ht="25.15" hidden="1" customHeight="1" x14ac:dyDescent="0.25">
      <c r="A1716" s="112">
        <v>46259.689768518518</v>
      </c>
      <c r="B1716" s="5" t="s">
        <v>637</v>
      </c>
      <c r="C1716" s="5" t="s">
        <v>642</v>
      </c>
      <c r="D1716" s="5">
        <v>716792</v>
      </c>
      <c r="E1716" s="33">
        <v>42</v>
      </c>
      <c r="F1716" s="60">
        <v>2800</v>
      </c>
      <c r="G1716" s="60">
        <f>+OtherClients[[#This Row],[Boxes / Pieces]]*OtherClients[[#This Row],[Unit Quantity]]</f>
        <v>117600</v>
      </c>
      <c r="H1716" s="60">
        <v>280</v>
      </c>
      <c r="I1716" s="60" t="s">
        <v>278</v>
      </c>
      <c r="J1716" s="104"/>
      <c r="K1716" s="33" t="s">
        <v>278</v>
      </c>
      <c r="L1716" s="111"/>
      <c r="M1716" s="33" t="s">
        <v>278</v>
      </c>
      <c r="N1716" s="111"/>
      <c r="O1716" s="33" t="s">
        <v>278</v>
      </c>
      <c r="P1716" s="111"/>
      <c r="Q1716" s="33" t="s">
        <v>587</v>
      </c>
      <c r="R1716" s="111"/>
      <c r="S1716" s="33" t="s">
        <v>278</v>
      </c>
      <c r="T1716" s="111"/>
      <c r="U1716" s="33" t="s">
        <v>278</v>
      </c>
      <c r="V1716" s="111"/>
      <c r="W1716" s="59" t="s">
        <v>548</v>
      </c>
      <c r="X1716" s="33" t="str">
        <f>+VLOOKUP(OtherClients[[#This Row],[Part]],PartControl!$A$2:$E$564,5,FALSE)</f>
        <v>infasco</v>
      </c>
      <c r="Y1716" s="108">
        <f>IF(OtherClients[[#This Row],[Re-certified or New]]&lt;&gt;"Re-certified",IF(OtherClients[[#This Row],[Client]]="infasco",VLOOKUP(OtherClients[[#This Row],[Part]],PartControl!$A$2:$E$564,2,FALSE),OtherClients[[#This Row],[Total Quantity]]*VLOOKUP(OtherClients[[#This Row],[Part]],PartControl!$A$2:$E$564,2,FALSE)),0)</f>
        <v>106.94</v>
      </c>
      <c r="Z1716" s="108">
        <f>IF(OtherClients[[#This Row],[Re-certified or New]]&lt;&gt;"Re-certified",IF(OtherClients[[#This Row],[Client]]="infasco",VLOOKUP(OtherClients[[#This Row],[Part]],PartControl!$A$2:$E$564,2,FALSE),OtherClients[[#This Row],[Total Quantity]]*VLOOKUP(OtherClients[[#This Row],[Part]],PartControl!$A$2:$E$564,2,FALSE)),0)</f>
        <v>106.94</v>
      </c>
    </row>
    <row r="1717" spans="1:26" ht="25.15" hidden="1" customHeight="1" x14ac:dyDescent="0.25">
      <c r="A1717" s="112">
        <v>46259.689768518518</v>
      </c>
      <c r="B1717" s="5" t="s">
        <v>637</v>
      </c>
      <c r="C1717" s="5">
        <v>11546456</v>
      </c>
      <c r="D1717" s="5">
        <v>717077</v>
      </c>
      <c r="E1717" s="33">
        <v>24</v>
      </c>
      <c r="F1717" s="60">
        <v>2700</v>
      </c>
      <c r="G1717" s="60">
        <f>+OtherClients[[#This Row],[Boxes / Pieces]]*OtherClients[[#This Row],[Unit Quantity]]</f>
        <v>64800</v>
      </c>
      <c r="H1717" s="60">
        <v>280</v>
      </c>
      <c r="I1717" s="60" t="s">
        <v>278</v>
      </c>
      <c r="J1717" s="104"/>
      <c r="K1717" s="33" t="s">
        <v>278</v>
      </c>
      <c r="L1717" s="111"/>
      <c r="M1717" s="33" t="s">
        <v>278</v>
      </c>
      <c r="N1717" s="111"/>
      <c r="O1717" s="33" t="s">
        <v>278</v>
      </c>
      <c r="P1717" s="111"/>
      <c r="Q1717" s="33" t="s">
        <v>587</v>
      </c>
      <c r="R1717" s="111"/>
      <c r="S1717" s="33" t="s">
        <v>278</v>
      </c>
      <c r="T1717" s="111"/>
      <c r="U1717" s="33" t="s">
        <v>278</v>
      </c>
      <c r="V1717" s="111"/>
      <c r="W1717" s="59" t="s">
        <v>633</v>
      </c>
      <c r="X1717" s="33" t="str">
        <f>+VLOOKUP(OtherClients[[#This Row],[Part]],PartControl!$A$2:$E$564,5,FALSE)</f>
        <v>INFASCO</v>
      </c>
      <c r="Y1717" s="108">
        <f>IF(OtherClients[[#This Row],[Re-certified or New]]&lt;&gt;"Re-certified",IF(OtherClients[[#This Row],[Client]]="infasco",VLOOKUP(OtherClients[[#This Row],[Part]],PartControl!$A$2:$E$564,2,FALSE),OtherClients[[#This Row],[Total Quantity]]*VLOOKUP(OtherClients[[#This Row],[Part]],PartControl!$A$2:$E$564,2,FALSE)),0)</f>
        <v>0</v>
      </c>
      <c r="Z1717" s="108">
        <f>IF(OtherClients[[#This Row],[Re-certified or New]]&lt;&gt;"Re-certified",IF(OtherClients[[#This Row],[Client]]="infasco",VLOOKUP(OtherClients[[#This Row],[Part]],PartControl!$A$2:$E$564,2,FALSE),OtherClients[[#This Row],[Total Quantity]]*VLOOKUP(OtherClients[[#This Row],[Part]],PartControl!$A$2:$E$564,2,FALSE)),0)</f>
        <v>0</v>
      </c>
    </row>
    <row r="1718" spans="1:26" ht="25.15" hidden="1" customHeight="1" x14ac:dyDescent="0.25">
      <c r="A1718" s="112">
        <v>46259.689768518518</v>
      </c>
      <c r="B1718" s="5" t="s">
        <v>357</v>
      </c>
      <c r="C1718" s="5" t="s">
        <v>642</v>
      </c>
      <c r="D1718" s="5">
        <v>716793</v>
      </c>
      <c r="E1718" s="33">
        <v>36</v>
      </c>
      <c r="F1718" s="60">
        <v>2800</v>
      </c>
      <c r="G1718" s="60">
        <f>+OtherClients[[#This Row],[Boxes / Pieces]]*OtherClients[[#This Row],[Unit Quantity]]</f>
        <v>100800</v>
      </c>
      <c r="H1718" s="60">
        <v>280</v>
      </c>
      <c r="I1718" s="60" t="s">
        <v>278</v>
      </c>
      <c r="J1718" s="104"/>
      <c r="K1718" s="33" t="s">
        <v>278</v>
      </c>
      <c r="L1718" s="111"/>
      <c r="M1718" s="33" t="s">
        <v>278</v>
      </c>
      <c r="N1718" s="111"/>
      <c r="O1718" s="33" t="s">
        <v>278</v>
      </c>
      <c r="P1718" s="111"/>
      <c r="Q1718" s="33" t="s">
        <v>587</v>
      </c>
      <c r="R1718" s="111"/>
      <c r="S1718" s="33" t="s">
        <v>278</v>
      </c>
      <c r="T1718" s="111"/>
      <c r="U1718" s="33" t="s">
        <v>278</v>
      </c>
      <c r="V1718" s="111"/>
      <c r="W1718" s="59" t="s">
        <v>548</v>
      </c>
      <c r="X1718" s="33" t="str">
        <f>+VLOOKUP(OtherClients[[#This Row],[Part]],PartControl!$A$2:$E$564,5,FALSE)</f>
        <v>infasco</v>
      </c>
      <c r="Y1718" s="108">
        <f>IF(OtherClients[[#This Row],[Re-certified or New]]&lt;&gt;"Re-certified",IF(OtherClients[[#This Row],[Client]]="infasco",VLOOKUP(OtherClients[[#This Row],[Part]],PartControl!$A$2:$E$564,2,FALSE),OtherClients[[#This Row],[Total Quantity]]*VLOOKUP(OtherClients[[#This Row],[Part]],PartControl!$A$2:$E$564,2,FALSE)),0)</f>
        <v>106.94</v>
      </c>
      <c r="Z1718" s="108">
        <f>IF(OtherClients[[#This Row],[Re-certified or New]]&lt;&gt;"Re-certified",IF(OtherClients[[#This Row],[Client]]="infasco",VLOOKUP(OtherClients[[#This Row],[Part]],PartControl!$A$2:$E$564,2,FALSE),OtherClients[[#This Row],[Total Quantity]]*VLOOKUP(OtherClients[[#This Row],[Part]],PartControl!$A$2:$E$564,2,FALSE)),0)</f>
        <v>106.94</v>
      </c>
    </row>
    <row r="1719" spans="1:26" ht="25.15" hidden="1" customHeight="1" x14ac:dyDescent="0.25">
      <c r="A1719" s="112">
        <v>46259.689768518518</v>
      </c>
      <c r="B1719" s="5" t="s">
        <v>357</v>
      </c>
      <c r="C1719" s="5">
        <v>11546456</v>
      </c>
      <c r="D1719" s="5">
        <v>717078</v>
      </c>
      <c r="E1719" s="33">
        <v>20</v>
      </c>
      <c r="F1719" s="60">
        <v>2700</v>
      </c>
      <c r="G1719" s="60">
        <f>+OtherClients[[#This Row],[Boxes / Pieces]]*OtherClients[[#This Row],[Unit Quantity]]</f>
        <v>54000</v>
      </c>
      <c r="H1719" s="60">
        <v>280</v>
      </c>
      <c r="I1719" s="60" t="s">
        <v>278</v>
      </c>
      <c r="J1719" s="104"/>
      <c r="K1719" s="33" t="s">
        <v>278</v>
      </c>
      <c r="L1719" s="111"/>
      <c r="M1719" s="33" t="s">
        <v>278</v>
      </c>
      <c r="N1719" s="111"/>
      <c r="O1719" s="33" t="s">
        <v>278</v>
      </c>
      <c r="P1719" s="111"/>
      <c r="Q1719" s="33" t="s">
        <v>587</v>
      </c>
      <c r="R1719" s="111"/>
      <c r="S1719" s="33" t="s">
        <v>278</v>
      </c>
      <c r="T1719" s="111"/>
      <c r="U1719" s="33" t="s">
        <v>278</v>
      </c>
      <c r="V1719" s="111"/>
      <c r="W1719" s="59" t="s">
        <v>633</v>
      </c>
      <c r="X1719" s="33" t="str">
        <f>+VLOOKUP(OtherClients[[#This Row],[Part]],PartControl!$A$2:$E$564,5,FALSE)</f>
        <v>INFASCO</v>
      </c>
      <c r="Y1719" s="108">
        <f>IF(OtherClients[[#This Row],[Re-certified or New]]&lt;&gt;"Re-certified",IF(OtherClients[[#This Row],[Client]]="infasco",VLOOKUP(OtherClients[[#This Row],[Part]],PartControl!$A$2:$E$564,2,FALSE),OtherClients[[#This Row],[Total Quantity]]*VLOOKUP(OtherClients[[#This Row],[Part]],PartControl!$A$2:$E$564,2,FALSE)),0)</f>
        <v>0</v>
      </c>
      <c r="Z1719" s="108">
        <f>IF(OtherClients[[#This Row],[Re-certified or New]]&lt;&gt;"Re-certified",IF(OtherClients[[#This Row],[Client]]="infasco",VLOOKUP(OtherClients[[#This Row],[Part]],PartControl!$A$2:$E$564,2,FALSE),OtherClients[[#This Row],[Total Quantity]]*VLOOKUP(OtherClients[[#This Row],[Part]],PartControl!$A$2:$E$564,2,FALSE)),0)</f>
        <v>0</v>
      </c>
    </row>
    <row r="1720" spans="1:26" ht="25.15" hidden="1" customHeight="1" x14ac:dyDescent="0.25">
      <c r="A1720" s="112">
        <v>46259.689768518518</v>
      </c>
      <c r="B1720" s="5" t="s">
        <v>635</v>
      </c>
      <c r="C1720" s="5" t="s">
        <v>706</v>
      </c>
      <c r="D1720" s="5">
        <v>715966</v>
      </c>
      <c r="E1720" s="33">
        <v>40</v>
      </c>
      <c r="F1720" s="60">
        <v>1900</v>
      </c>
      <c r="G1720" s="60">
        <f>+OtherClients[[#This Row],[Boxes / Pieces]]*OtherClients[[#This Row],[Unit Quantity]]</f>
        <v>76000</v>
      </c>
      <c r="H1720" s="60">
        <v>280</v>
      </c>
      <c r="I1720" s="60" t="s">
        <v>278</v>
      </c>
      <c r="J1720" s="104"/>
      <c r="K1720" s="33" t="s">
        <v>278</v>
      </c>
      <c r="L1720" s="111"/>
      <c r="M1720" s="33" t="s">
        <v>278</v>
      </c>
      <c r="N1720" s="111"/>
      <c r="O1720" s="33" t="s">
        <v>278</v>
      </c>
      <c r="P1720" s="111"/>
      <c r="Q1720" s="33" t="s">
        <v>587</v>
      </c>
      <c r="R1720" s="111"/>
      <c r="S1720" s="33" t="s">
        <v>278</v>
      </c>
      <c r="T1720" s="111"/>
      <c r="U1720" s="33" t="s">
        <v>278</v>
      </c>
      <c r="V1720" s="111"/>
      <c r="W1720" s="59" t="s">
        <v>548</v>
      </c>
      <c r="X1720" s="33" t="str">
        <f>+VLOOKUP(OtherClients[[#This Row],[Part]],PartControl!$A$2:$E$564,5,FALSE)</f>
        <v>infasco</v>
      </c>
      <c r="Y1720" s="108">
        <f>IF(OtherClients[[#This Row],[Re-certified or New]]&lt;&gt;"Re-certified",IF(OtherClients[[#This Row],[Client]]="infasco",VLOOKUP(OtherClients[[#This Row],[Part]],PartControl!$A$2:$E$564,2,FALSE),OtherClients[[#This Row],[Total Quantity]]*VLOOKUP(OtherClients[[#This Row],[Part]],PartControl!$A$2:$E$564,2,FALSE)),0)</f>
        <v>106.94</v>
      </c>
      <c r="Z1720" s="108">
        <f>IF(OtherClients[[#This Row],[Re-certified or New]]&lt;&gt;"Re-certified",IF(OtherClients[[#This Row],[Client]]="infasco",VLOOKUP(OtherClients[[#This Row],[Part]],PartControl!$A$2:$E$564,2,FALSE),OtherClients[[#This Row],[Total Quantity]]*VLOOKUP(OtherClients[[#This Row],[Part]],PartControl!$A$2:$E$564,2,FALSE)),0)</f>
        <v>106.94</v>
      </c>
    </row>
    <row r="1721" spans="1:26" ht="25.15" hidden="1" customHeight="1" x14ac:dyDescent="0.25">
      <c r="A1721" s="112">
        <v>46259.689768518518</v>
      </c>
      <c r="B1721" s="5" t="s">
        <v>634</v>
      </c>
      <c r="C1721" s="5" t="s">
        <v>698</v>
      </c>
      <c r="D1721" s="5">
        <v>714689</v>
      </c>
      <c r="E1721" s="33">
        <f>44-22</f>
        <v>22</v>
      </c>
      <c r="F1721" s="60">
        <v>3000</v>
      </c>
      <c r="G1721" s="60">
        <f>+OtherClients[[#This Row],[Boxes / Pieces]]*OtherClients[[#This Row],[Unit Quantity]]</f>
        <v>66000</v>
      </c>
      <c r="H1721" s="60">
        <v>280</v>
      </c>
      <c r="I1721" s="60" t="s">
        <v>278</v>
      </c>
      <c r="J1721" s="104"/>
      <c r="K1721" s="33" t="s">
        <v>278</v>
      </c>
      <c r="L1721" s="111"/>
      <c r="M1721" s="33" t="s">
        <v>278</v>
      </c>
      <c r="N1721" s="111"/>
      <c r="O1721" s="33" t="s">
        <v>278</v>
      </c>
      <c r="P1721" s="111"/>
      <c r="Q1721" s="33" t="s">
        <v>587</v>
      </c>
      <c r="R1721" s="111"/>
      <c r="S1721" s="33" t="s">
        <v>278</v>
      </c>
      <c r="T1721" s="111"/>
      <c r="U1721" s="33" t="s">
        <v>278</v>
      </c>
      <c r="V1721" s="111"/>
      <c r="W1721" s="59" t="s">
        <v>548</v>
      </c>
      <c r="X1721" s="33" t="str">
        <f>+VLOOKUP(OtherClients[[#This Row],[Part]],PartControl!$A$2:$E$564,5,FALSE)</f>
        <v>infasco</v>
      </c>
      <c r="Y1721" s="108">
        <f>IF(OtherClients[[#This Row],[Re-certified or New]]&lt;&gt;"Re-certified",IF(OtherClients[[#This Row],[Client]]="infasco",VLOOKUP(OtherClients[[#This Row],[Part]],PartControl!$A$2:$E$564,2,FALSE),OtherClients[[#This Row],[Total Quantity]]*VLOOKUP(OtherClients[[#This Row],[Part]],PartControl!$A$2:$E$564,2,FALSE)),0)</f>
        <v>106.94</v>
      </c>
      <c r="Z1721" s="108">
        <f>IF(OtherClients[[#This Row],[Re-certified or New]]&lt;&gt;"Re-certified",IF(OtherClients[[#This Row],[Client]]="infasco",VLOOKUP(OtherClients[[#This Row],[Part]],PartControl!$A$2:$E$564,2,FALSE),OtherClients[[#This Row],[Total Quantity]]*VLOOKUP(OtherClients[[#This Row],[Part]],PartControl!$A$2:$E$564,2,FALSE)),0)</f>
        <v>106.94</v>
      </c>
    </row>
    <row r="1722" spans="1:26" ht="25.15" hidden="1" customHeight="1" x14ac:dyDescent="0.25">
      <c r="A1722" s="112">
        <v>46259.689768518518</v>
      </c>
      <c r="B1722" s="5" t="s">
        <v>634</v>
      </c>
      <c r="C1722" s="5" t="s">
        <v>848</v>
      </c>
      <c r="D1722" s="5">
        <v>717111</v>
      </c>
      <c r="E1722" s="33">
        <v>5</v>
      </c>
      <c r="F1722" s="60">
        <v>3200</v>
      </c>
      <c r="G1722" s="60">
        <f>+OtherClients[[#This Row],[Boxes / Pieces]]*OtherClients[[#This Row],[Unit Quantity]]</f>
        <v>16000</v>
      </c>
      <c r="H1722" s="60">
        <v>280</v>
      </c>
      <c r="I1722" s="60" t="s">
        <v>278</v>
      </c>
      <c r="J1722" s="104"/>
      <c r="K1722" s="33" t="s">
        <v>278</v>
      </c>
      <c r="L1722" s="111"/>
      <c r="M1722" s="33" t="s">
        <v>278</v>
      </c>
      <c r="N1722" s="111"/>
      <c r="O1722" s="33" t="s">
        <v>278</v>
      </c>
      <c r="P1722" s="111"/>
      <c r="Q1722" s="33" t="s">
        <v>587</v>
      </c>
      <c r="R1722" s="111"/>
      <c r="S1722" s="33" t="s">
        <v>278</v>
      </c>
      <c r="T1722" s="111"/>
      <c r="U1722" s="33" t="s">
        <v>278</v>
      </c>
      <c r="V1722" s="111"/>
      <c r="W1722" s="59" t="s">
        <v>633</v>
      </c>
      <c r="X1722" s="33" t="str">
        <f>+VLOOKUP(OtherClients[[#This Row],[Part]],PartControl!$A$2:$E$564,5,FALSE)</f>
        <v>infasco</v>
      </c>
      <c r="Y1722" s="108">
        <f>IF(OtherClients[[#This Row],[Re-certified or New]]&lt;&gt;"Re-certified",IF(OtherClients[[#This Row],[Client]]="infasco",VLOOKUP(OtherClients[[#This Row],[Part]],PartControl!$A$2:$E$564,2,FALSE),OtherClients[[#This Row],[Total Quantity]]*VLOOKUP(OtherClients[[#This Row],[Part]],PartControl!$A$2:$E$564,2,FALSE)),0)</f>
        <v>0</v>
      </c>
      <c r="Z1722" s="108">
        <f>IF(OtherClients[[#This Row],[Re-certified or New]]&lt;&gt;"Re-certified",IF(OtherClients[[#This Row],[Client]]="infasco",VLOOKUP(OtherClients[[#This Row],[Part]],PartControl!$A$2:$E$564,2,FALSE),OtherClients[[#This Row],[Total Quantity]]*VLOOKUP(OtherClients[[#This Row],[Part]],PartControl!$A$2:$E$564,2,FALSE)),0)</f>
        <v>0</v>
      </c>
    </row>
    <row r="1723" spans="1:26" ht="25.15" hidden="1" customHeight="1" x14ac:dyDescent="0.25">
      <c r="A1723" s="112">
        <v>46259.689768518518</v>
      </c>
      <c r="B1723" s="5" t="s">
        <v>246</v>
      </c>
      <c r="C1723" s="5" t="s">
        <v>732</v>
      </c>
      <c r="D1723" s="5">
        <v>710824</v>
      </c>
      <c r="E1723" s="33">
        <v>32</v>
      </c>
      <c r="F1723" s="60">
        <v>1000</v>
      </c>
      <c r="G1723" s="60">
        <f>+OtherClients[[#This Row],[Boxes / Pieces]]*OtherClients[[#This Row],[Unit Quantity]]</f>
        <v>32000</v>
      </c>
      <c r="H1723" s="60">
        <v>272</v>
      </c>
      <c r="I1723" s="60" t="s">
        <v>278</v>
      </c>
      <c r="J1723" s="104"/>
      <c r="K1723" s="33" t="s">
        <v>278</v>
      </c>
      <c r="L1723" s="111"/>
      <c r="M1723" s="33" t="s">
        <v>278</v>
      </c>
      <c r="N1723" s="111"/>
      <c r="O1723" s="33" t="s">
        <v>278</v>
      </c>
      <c r="P1723" s="111"/>
      <c r="Q1723" s="33" t="s">
        <v>587</v>
      </c>
      <c r="R1723" s="111"/>
      <c r="S1723" s="33" t="s">
        <v>278</v>
      </c>
      <c r="T1723" s="111"/>
      <c r="U1723" s="33" t="s">
        <v>278</v>
      </c>
      <c r="V1723" s="111"/>
      <c r="W1723" s="59" t="s">
        <v>548</v>
      </c>
      <c r="X1723" s="33" t="str">
        <f>+VLOOKUP(OtherClients[[#This Row],[Part]],PartControl!$A$2:$E$564,5,FALSE)</f>
        <v>infasco</v>
      </c>
      <c r="Y1723" s="108">
        <f>IF(OtherClients[[#This Row],[Re-certified or New]]&lt;&gt;"Re-certified",IF(OtherClients[[#This Row],[Client]]="infasco",VLOOKUP(OtherClients[[#This Row],[Part]],PartControl!$A$2:$E$564,2,FALSE),OtherClients[[#This Row],[Total Quantity]]*VLOOKUP(OtherClients[[#This Row],[Part]],PartControl!$A$2:$E$564,2,FALSE)),0)</f>
        <v>213.88</v>
      </c>
      <c r="Z1723" s="108">
        <f>IF(OtherClients[[#This Row],[Re-certified or New]]&lt;&gt;"Re-certified",IF(OtherClients[[#This Row],[Client]]="infasco",VLOOKUP(OtherClients[[#This Row],[Part]],PartControl!$A$2:$E$564,2,FALSE),OtherClients[[#This Row],[Total Quantity]]*VLOOKUP(OtherClients[[#This Row],[Part]],PartControl!$A$2:$E$564,2,FALSE)),0)</f>
        <v>213.88</v>
      </c>
    </row>
    <row r="1724" spans="1:26" ht="25.15" hidden="1" customHeight="1" x14ac:dyDescent="0.25">
      <c r="A1724" s="112">
        <v>46259.689768518518</v>
      </c>
      <c r="B1724" s="5" t="s">
        <v>246</v>
      </c>
      <c r="C1724" s="5" t="s">
        <v>732</v>
      </c>
      <c r="D1724" s="5">
        <v>710690</v>
      </c>
      <c r="E1724" s="33">
        <v>25</v>
      </c>
      <c r="F1724" s="60">
        <v>1000</v>
      </c>
      <c r="G1724" s="60">
        <f>+OtherClients[[#This Row],[Boxes / Pieces]]*OtherClients[[#This Row],[Unit Quantity]]</f>
        <v>25000</v>
      </c>
      <c r="H1724" s="60">
        <v>272</v>
      </c>
      <c r="I1724" s="60" t="s">
        <v>278</v>
      </c>
      <c r="J1724" s="104"/>
      <c r="K1724" s="33" t="s">
        <v>278</v>
      </c>
      <c r="L1724" s="111"/>
      <c r="M1724" s="33" t="s">
        <v>278</v>
      </c>
      <c r="N1724" s="111"/>
      <c r="O1724" s="33" t="s">
        <v>278</v>
      </c>
      <c r="P1724" s="111"/>
      <c r="Q1724" s="33" t="s">
        <v>587</v>
      </c>
      <c r="R1724" s="111"/>
      <c r="S1724" s="33" t="s">
        <v>278</v>
      </c>
      <c r="T1724" s="111"/>
      <c r="U1724" s="33" t="s">
        <v>278</v>
      </c>
      <c r="V1724" s="111"/>
      <c r="W1724" s="59" t="s">
        <v>633</v>
      </c>
      <c r="X1724" s="33" t="str">
        <f>+VLOOKUP(OtherClients[[#This Row],[Part]],PartControl!$A$2:$E$564,5,FALSE)</f>
        <v>infasco</v>
      </c>
      <c r="Y1724" s="108">
        <f>IF(OtherClients[[#This Row],[Re-certified or New]]&lt;&gt;"Re-certified",IF(OtherClients[[#This Row],[Client]]="infasco",VLOOKUP(OtherClients[[#This Row],[Part]],PartControl!$A$2:$E$564,2,FALSE),OtherClients[[#This Row],[Total Quantity]]*VLOOKUP(OtherClients[[#This Row],[Part]],PartControl!$A$2:$E$564,2,FALSE)),0)</f>
        <v>0</v>
      </c>
      <c r="Z1724" s="108">
        <f>IF(OtherClients[[#This Row],[Re-certified or New]]&lt;&gt;"Re-certified",IF(OtherClients[[#This Row],[Client]]="infasco",VLOOKUP(OtherClients[[#This Row],[Part]],PartControl!$A$2:$E$564,2,FALSE),OtherClients[[#This Row],[Total Quantity]]*VLOOKUP(OtherClients[[#This Row],[Part]],PartControl!$A$2:$E$564,2,FALSE)),0)</f>
        <v>0</v>
      </c>
    </row>
    <row r="1725" spans="1:26" ht="25.15" hidden="1" customHeight="1" x14ac:dyDescent="0.25">
      <c r="A1725" s="112">
        <v>46259.689768518518</v>
      </c>
      <c r="B1725" s="5" t="s">
        <v>342</v>
      </c>
      <c r="C1725" s="5" t="s">
        <v>890</v>
      </c>
      <c r="D1725" s="5">
        <v>717183</v>
      </c>
      <c r="E1725" s="33">
        <f>6-2</f>
        <v>4</v>
      </c>
      <c r="F1725" s="60">
        <v>145</v>
      </c>
      <c r="G1725" s="60">
        <f>+OtherClients[[#This Row],[Boxes / Pieces]]*OtherClients[[#This Row],[Unit Quantity]]</f>
        <v>580</v>
      </c>
      <c r="H1725" s="60">
        <v>157</v>
      </c>
      <c r="I1725" s="60" t="s">
        <v>278</v>
      </c>
      <c r="J1725" s="104"/>
      <c r="K1725" s="33" t="s">
        <v>278</v>
      </c>
      <c r="L1725" s="111"/>
      <c r="M1725" s="33" t="s">
        <v>278</v>
      </c>
      <c r="N1725" s="111"/>
      <c r="O1725" s="33" t="s">
        <v>278</v>
      </c>
      <c r="P1725" s="111"/>
      <c r="Q1725" s="33" t="s">
        <v>587</v>
      </c>
      <c r="R1725" s="111"/>
      <c r="S1725" s="33" t="s">
        <v>278</v>
      </c>
      <c r="T1725" s="111"/>
      <c r="U1725" s="33" t="s">
        <v>278</v>
      </c>
      <c r="V1725" s="111"/>
      <c r="W1725" s="59" t="s">
        <v>548</v>
      </c>
      <c r="X1725" s="33" t="str">
        <f>+VLOOKUP(OtherClients[[#This Row],[Part]],PartControl!$A$2:$E$564,5,FALSE)</f>
        <v>infasco</v>
      </c>
      <c r="Y1725" s="108">
        <f>IF(OtherClients[[#This Row],[Re-certified or New]]&lt;&gt;"Re-certified",IF(OtherClients[[#This Row],[Client]]="infasco",VLOOKUP(OtherClients[[#This Row],[Part]],PartControl!$A$2:$E$564,2,FALSE),OtherClients[[#This Row],[Total Quantity]]*VLOOKUP(OtherClients[[#This Row],[Part]],PartControl!$A$2:$E$564,2,FALSE)),0)</f>
        <v>106.94</v>
      </c>
      <c r="Z1725" s="108">
        <f>IF(OtherClients[[#This Row],[Re-certified or New]]&lt;&gt;"Re-certified",IF(OtherClients[[#This Row],[Client]]="infasco",VLOOKUP(OtherClients[[#This Row],[Part]],PartControl!$A$2:$E$564,2,FALSE),OtherClients[[#This Row],[Total Quantity]]*VLOOKUP(OtherClients[[#This Row],[Part]],PartControl!$A$2:$E$564,2,FALSE)),0)</f>
        <v>106.94</v>
      </c>
    </row>
    <row r="1726" spans="1:26" ht="25.15" hidden="1" customHeight="1" x14ac:dyDescent="0.25">
      <c r="A1726" s="112">
        <v>46259.689768518518</v>
      </c>
      <c r="B1726" s="5" t="s">
        <v>342</v>
      </c>
      <c r="C1726" s="5" t="s">
        <v>695</v>
      </c>
      <c r="D1726" s="5">
        <v>716239</v>
      </c>
      <c r="E1726" s="33">
        <v>38</v>
      </c>
      <c r="F1726" s="60">
        <v>600</v>
      </c>
      <c r="G1726" s="60">
        <f>+OtherClients[[#This Row],[Boxes / Pieces]]*OtherClients[[#This Row],[Unit Quantity]]</f>
        <v>22800</v>
      </c>
      <c r="H1726" s="60">
        <v>157</v>
      </c>
      <c r="I1726" s="60" t="s">
        <v>278</v>
      </c>
      <c r="J1726" s="104"/>
      <c r="K1726" s="33" t="s">
        <v>278</v>
      </c>
      <c r="L1726" s="111"/>
      <c r="M1726" s="33" t="s">
        <v>278</v>
      </c>
      <c r="N1726" s="111"/>
      <c r="O1726" s="33" t="s">
        <v>278</v>
      </c>
      <c r="P1726" s="111"/>
      <c r="Q1726" s="33" t="s">
        <v>587</v>
      </c>
      <c r="R1726" s="111"/>
      <c r="S1726" s="33" t="s">
        <v>278</v>
      </c>
      <c r="T1726" s="111"/>
      <c r="U1726" s="33" t="s">
        <v>278</v>
      </c>
      <c r="V1726" s="111"/>
      <c r="W1726" s="59" t="s">
        <v>548</v>
      </c>
      <c r="X1726" s="33" t="str">
        <f>+VLOOKUP(OtherClients[[#This Row],[Part]],PartControl!$A$2:$E$564,5,FALSE)</f>
        <v>infasco</v>
      </c>
      <c r="Y1726" s="108">
        <f>IF(OtherClients[[#This Row],[Re-certified or New]]&lt;&gt;"Re-certified",IF(OtherClients[[#This Row],[Client]]="infasco",VLOOKUP(OtherClients[[#This Row],[Part]],PartControl!$A$2:$E$564,2,FALSE),OtherClients[[#This Row],[Total Quantity]]*VLOOKUP(OtherClients[[#This Row],[Part]],PartControl!$A$2:$E$564,2,FALSE)),0)</f>
        <v>106.94</v>
      </c>
      <c r="Z1726" s="108">
        <f>IF(OtherClients[[#This Row],[Re-certified or New]]&lt;&gt;"Re-certified",IF(OtherClients[[#This Row],[Client]]="infasco",VLOOKUP(OtherClients[[#This Row],[Part]],PartControl!$A$2:$E$564,2,FALSE),OtherClients[[#This Row],[Total Quantity]]*VLOOKUP(OtherClients[[#This Row],[Part]],PartControl!$A$2:$E$564,2,FALSE)),0)</f>
        <v>106.94</v>
      </c>
    </row>
    <row r="1727" spans="1:26" ht="25.15" hidden="1" customHeight="1" x14ac:dyDescent="0.25">
      <c r="A1727" s="112">
        <v>46259.689768518518</v>
      </c>
      <c r="B1727" s="5" t="s">
        <v>342</v>
      </c>
      <c r="C1727" s="5" t="s">
        <v>643</v>
      </c>
      <c r="D1727" s="5">
        <v>714578</v>
      </c>
      <c r="E1727" s="33">
        <v>32</v>
      </c>
      <c r="F1727" s="60">
        <v>700</v>
      </c>
      <c r="G1727" s="60">
        <f>+OtherClients[[#This Row],[Boxes / Pieces]]*OtherClients[[#This Row],[Unit Quantity]]</f>
        <v>22400</v>
      </c>
      <c r="H1727" s="60">
        <v>157</v>
      </c>
      <c r="I1727" s="60" t="s">
        <v>278</v>
      </c>
      <c r="J1727" s="104"/>
      <c r="K1727" s="33" t="s">
        <v>278</v>
      </c>
      <c r="L1727" s="111"/>
      <c r="M1727" s="33" t="s">
        <v>278</v>
      </c>
      <c r="N1727" s="111"/>
      <c r="O1727" s="33" t="s">
        <v>278</v>
      </c>
      <c r="P1727" s="111"/>
      <c r="Q1727" s="33" t="s">
        <v>587</v>
      </c>
      <c r="R1727" s="111"/>
      <c r="S1727" s="33" t="s">
        <v>278</v>
      </c>
      <c r="T1727" s="111"/>
      <c r="U1727" s="33" t="s">
        <v>278</v>
      </c>
      <c r="V1727" s="111"/>
      <c r="W1727" s="59" t="s">
        <v>548</v>
      </c>
      <c r="X1727" s="33" t="str">
        <f>+VLOOKUP(OtherClients[[#This Row],[Part]],PartControl!$A$2:$E$564,5,FALSE)</f>
        <v>infasco</v>
      </c>
      <c r="Y1727" s="108">
        <f>IF(OtherClients[[#This Row],[Re-certified or New]]&lt;&gt;"Re-certified",IF(OtherClients[[#This Row],[Client]]="infasco",VLOOKUP(OtherClients[[#This Row],[Part]],PartControl!$A$2:$E$564,2,FALSE),OtherClients[[#This Row],[Total Quantity]]*VLOOKUP(OtherClients[[#This Row],[Part]],PartControl!$A$2:$E$564,2,FALSE)),0)</f>
        <v>135.07999999999998</v>
      </c>
      <c r="Z1727" s="108">
        <f>IF(OtherClients[[#This Row],[Re-certified or New]]&lt;&gt;"Re-certified",IF(OtherClients[[#This Row],[Client]]="infasco",VLOOKUP(OtherClients[[#This Row],[Part]],PartControl!$A$2:$E$564,2,FALSE),OtherClients[[#This Row],[Total Quantity]]*VLOOKUP(OtherClients[[#This Row],[Part]],PartControl!$A$2:$E$564,2,FALSE)),0)</f>
        <v>135.07999999999998</v>
      </c>
    </row>
    <row r="1728" spans="1:26" ht="25.15" hidden="1" customHeight="1" x14ac:dyDescent="0.25">
      <c r="A1728" s="112">
        <v>46259.689768518518</v>
      </c>
      <c r="B1728" s="5" t="s">
        <v>342</v>
      </c>
      <c r="C1728" s="5">
        <v>92468</v>
      </c>
      <c r="D1728" s="5">
        <v>716445</v>
      </c>
      <c r="E1728" s="33">
        <v>29</v>
      </c>
      <c r="F1728" s="60">
        <v>1000</v>
      </c>
      <c r="G1728" s="60">
        <f>+OtherClients[[#This Row],[Boxes / Pieces]]*OtherClients[[#This Row],[Unit Quantity]]</f>
        <v>29000</v>
      </c>
      <c r="H1728" s="60">
        <v>157</v>
      </c>
      <c r="I1728" s="60" t="s">
        <v>278</v>
      </c>
      <c r="J1728" s="104"/>
      <c r="K1728" s="33" t="s">
        <v>278</v>
      </c>
      <c r="L1728" s="111"/>
      <c r="M1728" s="33" t="s">
        <v>278</v>
      </c>
      <c r="N1728" s="111"/>
      <c r="O1728" s="33" t="s">
        <v>278</v>
      </c>
      <c r="P1728" s="111"/>
      <c r="Q1728" s="33" t="s">
        <v>587</v>
      </c>
      <c r="R1728" s="111"/>
      <c r="S1728" s="33" t="s">
        <v>278</v>
      </c>
      <c r="T1728" s="111"/>
      <c r="U1728" s="33" t="s">
        <v>278</v>
      </c>
      <c r="V1728" s="111"/>
      <c r="W1728" s="59" t="s">
        <v>548</v>
      </c>
      <c r="X1728" s="33" t="str">
        <f>+VLOOKUP(OtherClients[[#This Row],[Part]],PartControl!$A$2:$E$564,5,FALSE)</f>
        <v>INFASCO</v>
      </c>
      <c r="Y1728" s="108">
        <f>IF(OtherClients[[#This Row],[Re-certified or New]]&lt;&gt;"Re-certified",IF(OtherClients[[#This Row],[Client]]="infasco",VLOOKUP(OtherClients[[#This Row],[Part]],PartControl!$A$2:$E$564,2,FALSE),OtherClients[[#This Row],[Total Quantity]]*VLOOKUP(OtherClients[[#This Row],[Part]],PartControl!$A$2:$E$564,2,FALSE)),0)</f>
        <v>135.07999999999998</v>
      </c>
      <c r="Z1728" s="108">
        <f>IF(OtherClients[[#This Row],[Re-certified or New]]&lt;&gt;"Re-certified",IF(OtherClients[[#This Row],[Client]]="infasco",VLOOKUP(OtherClients[[#This Row],[Part]],PartControl!$A$2:$E$564,2,FALSE),OtherClients[[#This Row],[Total Quantity]]*VLOOKUP(OtherClients[[#This Row],[Part]],PartControl!$A$2:$E$564,2,FALSE)),0)</f>
        <v>135.07999999999998</v>
      </c>
    </row>
    <row r="1729" spans="1:26" ht="25.15" hidden="1" customHeight="1" x14ac:dyDescent="0.25">
      <c r="A1729" s="112">
        <v>46259.689768518518</v>
      </c>
      <c r="B1729" s="5" t="s">
        <v>342</v>
      </c>
      <c r="C1729" s="5" t="s">
        <v>643</v>
      </c>
      <c r="D1729" s="5">
        <v>714576</v>
      </c>
      <c r="E1729" s="33">
        <v>17</v>
      </c>
      <c r="F1729" s="60">
        <v>700</v>
      </c>
      <c r="G1729" s="60">
        <f>+OtherClients[[#This Row],[Boxes / Pieces]]*OtherClients[[#This Row],[Unit Quantity]]</f>
        <v>11900</v>
      </c>
      <c r="H1729" s="60">
        <v>157</v>
      </c>
      <c r="I1729" s="60" t="s">
        <v>278</v>
      </c>
      <c r="J1729" s="104"/>
      <c r="K1729" s="33" t="s">
        <v>278</v>
      </c>
      <c r="L1729" s="111"/>
      <c r="M1729" s="33" t="s">
        <v>278</v>
      </c>
      <c r="N1729" s="111"/>
      <c r="O1729" s="33" t="s">
        <v>278</v>
      </c>
      <c r="P1729" s="111"/>
      <c r="Q1729" s="33" t="s">
        <v>587</v>
      </c>
      <c r="R1729" s="111"/>
      <c r="S1729" s="33" t="s">
        <v>278</v>
      </c>
      <c r="T1729" s="111"/>
      <c r="U1729" s="33" t="s">
        <v>278</v>
      </c>
      <c r="V1729" s="111"/>
      <c r="W1729" s="59" t="s">
        <v>548</v>
      </c>
      <c r="X1729" s="33" t="str">
        <f>+VLOOKUP(OtherClients[[#This Row],[Part]],PartControl!$A$2:$E$564,5,FALSE)</f>
        <v>infasco</v>
      </c>
      <c r="Y1729" s="108">
        <f>IF(OtherClients[[#This Row],[Re-certified or New]]&lt;&gt;"Re-certified",IF(OtherClients[[#This Row],[Client]]="infasco",VLOOKUP(OtherClients[[#This Row],[Part]],PartControl!$A$2:$E$564,2,FALSE),OtherClients[[#This Row],[Total Quantity]]*VLOOKUP(OtherClients[[#This Row],[Part]],PartControl!$A$2:$E$564,2,FALSE)),0)</f>
        <v>135.07999999999998</v>
      </c>
      <c r="Z1729" s="108">
        <f>IF(OtherClients[[#This Row],[Re-certified or New]]&lt;&gt;"Re-certified",IF(OtherClients[[#This Row],[Client]]="infasco",VLOOKUP(OtherClients[[#This Row],[Part]],PartControl!$A$2:$E$564,2,FALSE),OtherClients[[#This Row],[Total Quantity]]*VLOOKUP(OtherClients[[#This Row],[Part]],PartControl!$A$2:$E$564,2,FALSE)),0)</f>
        <v>135.07999999999998</v>
      </c>
    </row>
    <row r="1730" spans="1:26" ht="25.15" hidden="1" customHeight="1" x14ac:dyDescent="0.25">
      <c r="A1730" s="112">
        <v>46259.689768518518</v>
      </c>
      <c r="B1730" s="5" t="s">
        <v>342</v>
      </c>
      <c r="C1730" s="5" t="s">
        <v>812</v>
      </c>
      <c r="D1730" s="5">
        <v>715988</v>
      </c>
      <c r="E1730" s="33">
        <v>38</v>
      </c>
      <c r="F1730" s="60">
        <v>135</v>
      </c>
      <c r="G1730" s="60">
        <f>+OtherClients[[#This Row],[Boxes / Pieces]]*OtherClients[[#This Row],[Unit Quantity]]</f>
        <v>5130</v>
      </c>
      <c r="H1730" s="60" t="s">
        <v>836</v>
      </c>
      <c r="I1730" s="60" t="s">
        <v>278</v>
      </c>
      <c r="J1730" s="104"/>
      <c r="K1730" s="33" t="s">
        <v>278</v>
      </c>
      <c r="L1730" s="111"/>
      <c r="M1730" s="33" t="s">
        <v>278</v>
      </c>
      <c r="N1730" s="111"/>
      <c r="O1730" s="33" t="s">
        <v>278</v>
      </c>
      <c r="P1730" s="111"/>
      <c r="Q1730" s="33" t="s">
        <v>587</v>
      </c>
      <c r="R1730" s="111"/>
      <c r="S1730" s="33" t="s">
        <v>278</v>
      </c>
      <c r="T1730" s="111"/>
      <c r="U1730" s="33" t="s">
        <v>278</v>
      </c>
      <c r="V1730" s="111"/>
      <c r="W1730" s="59" t="s">
        <v>548</v>
      </c>
      <c r="X1730" s="33" t="str">
        <f>+VLOOKUP(OtherClients[[#This Row],[Part]],PartControl!$A$2:$E$564,5,FALSE)</f>
        <v>Infasco</v>
      </c>
      <c r="Y1730" s="108">
        <f>IF(OtherClients[[#This Row],[Re-certified or New]]&lt;&gt;"Re-certified",IF(OtherClients[[#This Row],[Client]]="infasco",VLOOKUP(OtherClients[[#This Row],[Part]],PartControl!$A$2:$E$564,2,FALSE),OtherClients[[#This Row],[Total Quantity]]*VLOOKUP(OtherClients[[#This Row],[Part]],PartControl!$A$2:$E$564,2,FALSE)),0)</f>
        <v>106.94</v>
      </c>
      <c r="Z1730" s="108">
        <f>IF(OtherClients[[#This Row],[Re-certified or New]]&lt;&gt;"Re-certified",IF(OtherClients[[#This Row],[Client]]="infasco",VLOOKUP(OtherClients[[#This Row],[Part]],PartControl!$A$2:$E$564,2,FALSE),OtherClients[[#This Row],[Total Quantity]]*VLOOKUP(OtherClients[[#This Row],[Part]],PartControl!$A$2:$E$564,2,FALSE)),0)</f>
        <v>106.94</v>
      </c>
    </row>
    <row r="1731" spans="1:26" ht="25.15" hidden="1" customHeight="1" x14ac:dyDescent="0.25">
      <c r="A1731" s="112">
        <v>46259.689768518518</v>
      </c>
      <c r="B1731" s="5" t="s">
        <v>342</v>
      </c>
      <c r="C1731" s="5" t="s">
        <v>891</v>
      </c>
      <c r="D1731" s="5">
        <v>714081</v>
      </c>
      <c r="E1731" s="33">
        <v>18</v>
      </c>
      <c r="F1731" s="60">
        <v>4000</v>
      </c>
      <c r="G1731" s="60">
        <f>+OtherClients[[#This Row],[Boxes / Pieces]]*OtherClients[[#This Row],[Unit Quantity]]</f>
        <v>72000</v>
      </c>
      <c r="H1731" s="60" t="s">
        <v>836</v>
      </c>
      <c r="I1731" s="60" t="s">
        <v>278</v>
      </c>
      <c r="J1731" s="104"/>
      <c r="K1731" s="33" t="s">
        <v>278</v>
      </c>
      <c r="L1731" s="111"/>
      <c r="M1731" s="33" t="s">
        <v>278</v>
      </c>
      <c r="N1731" s="111"/>
      <c r="O1731" s="33" t="s">
        <v>278</v>
      </c>
      <c r="P1731" s="111"/>
      <c r="Q1731" s="33" t="s">
        <v>587</v>
      </c>
      <c r="R1731" s="111"/>
      <c r="S1731" s="33" t="s">
        <v>278</v>
      </c>
      <c r="T1731" s="111"/>
      <c r="U1731" s="33" t="s">
        <v>278</v>
      </c>
      <c r="V1731" s="111"/>
      <c r="W1731" s="59" t="s">
        <v>633</v>
      </c>
      <c r="X1731" s="33" t="e">
        <f>+VLOOKUP(OtherClients[[#This Row],[Part]],PartControl!$A$2:$E$564,5,FALSE)</f>
        <v>#N/A</v>
      </c>
      <c r="Y1731" s="108">
        <f>IF(OtherClients[[#This Row],[Re-certified or New]]&lt;&gt;"Re-certified",IF(OtherClients[[#This Row],[Client]]="infasco",VLOOKUP(OtherClients[[#This Row],[Part]],PartControl!$A$2:$E$564,2,FALSE),OtherClients[[#This Row],[Total Quantity]]*VLOOKUP(OtherClients[[#This Row],[Part]],PartControl!$A$2:$E$564,2,FALSE)),0)</f>
        <v>0</v>
      </c>
      <c r="Z1731" s="108">
        <f>IF(OtherClients[[#This Row],[Re-certified or New]]&lt;&gt;"Re-certified",IF(OtherClients[[#This Row],[Client]]="infasco",VLOOKUP(OtherClients[[#This Row],[Part]],PartControl!$A$2:$E$564,2,FALSE),OtherClients[[#This Row],[Total Quantity]]*VLOOKUP(OtherClients[[#This Row],[Part]],PartControl!$A$2:$E$564,2,FALSE)),0)</f>
        <v>0</v>
      </c>
    </row>
    <row r="1732" spans="1:26" ht="25.15" hidden="1" customHeight="1" x14ac:dyDescent="0.25">
      <c r="A1732" s="112">
        <v>46259.689768518518</v>
      </c>
      <c r="B1732" s="5" t="s">
        <v>343</v>
      </c>
      <c r="C1732" s="5">
        <v>92468</v>
      </c>
      <c r="D1732" s="5">
        <v>716446</v>
      </c>
      <c r="E1732" s="33">
        <v>29</v>
      </c>
      <c r="F1732" s="60">
        <v>1000</v>
      </c>
      <c r="G1732" s="60">
        <f>+OtherClients[[#This Row],[Boxes / Pieces]]*OtherClients[[#This Row],[Unit Quantity]]</f>
        <v>29000</v>
      </c>
      <c r="H1732" s="60" t="s">
        <v>757</v>
      </c>
      <c r="I1732" s="60" t="s">
        <v>278</v>
      </c>
      <c r="J1732" s="104"/>
      <c r="K1732" s="33" t="s">
        <v>278</v>
      </c>
      <c r="L1732" s="111"/>
      <c r="M1732" s="33" t="s">
        <v>278</v>
      </c>
      <c r="N1732" s="111"/>
      <c r="O1732" s="33" t="s">
        <v>278</v>
      </c>
      <c r="P1732" s="111"/>
      <c r="Q1732" s="33" t="s">
        <v>587</v>
      </c>
      <c r="R1732" s="111"/>
      <c r="S1732" s="33" t="s">
        <v>278</v>
      </c>
      <c r="T1732" s="111"/>
      <c r="U1732" s="33" t="s">
        <v>278</v>
      </c>
      <c r="V1732" s="111"/>
      <c r="W1732" s="59" t="s">
        <v>548</v>
      </c>
      <c r="X1732" s="33" t="str">
        <f>+VLOOKUP(OtherClients[[#This Row],[Part]],PartControl!$A$2:$E$564,5,FALSE)</f>
        <v>INFASCO</v>
      </c>
      <c r="Y1732" s="108">
        <f>IF(OtherClients[[#This Row],[Re-certified or New]]&lt;&gt;"Re-certified",IF(OtherClients[[#This Row],[Client]]="infasco",VLOOKUP(OtherClients[[#This Row],[Part]],PartControl!$A$2:$E$564,2,FALSE),OtherClients[[#This Row],[Total Quantity]]*VLOOKUP(OtherClients[[#This Row],[Part]],PartControl!$A$2:$E$564,2,FALSE)),0)</f>
        <v>135.07999999999998</v>
      </c>
      <c r="Z1732" s="108">
        <f>IF(OtherClients[[#This Row],[Re-certified or New]]&lt;&gt;"Re-certified",IF(OtherClients[[#This Row],[Client]]="infasco",VLOOKUP(OtherClients[[#This Row],[Part]],PartControl!$A$2:$E$564,2,FALSE),OtherClients[[#This Row],[Total Quantity]]*VLOOKUP(OtherClients[[#This Row],[Part]],PartControl!$A$2:$E$564,2,FALSE)),0)</f>
        <v>135.07999999999998</v>
      </c>
    </row>
    <row r="1733" spans="1:26" ht="25.15" hidden="1" customHeight="1" x14ac:dyDescent="0.25">
      <c r="A1733" s="112">
        <v>46259.689768518518</v>
      </c>
      <c r="B1733" s="5" t="s">
        <v>343</v>
      </c>
      <c r="C1733" s="5" t="s">
        <v>823</v>
      </c>
      <c r="D1733" s="5">
        <v>716005</v>
      </c>
      <c r="E1733" s="33">
        <v>50</v>
      </c>
      <c r="F1733" s="60">
        <v>1500</v>
      </c>
      <c r="G1733" s="60">
        <f>+OtherClients[[#This Row],[Boxes / Pieces]]*OtherClients[[#This Row],[Unit Quantity]]</f>
        <v>75000</v>
      </c>
      <c r="H1733" s="60" t="s">
        <v>757</v>
      </c>
      <c r="I1733" s="60" t="s">
        <v>278</v>
      </c>
      <c r="J1733" s="104"/>
      <c r="K1733" s="33" t="s">
        <v>278</v>
      </c>
      <c r="L1733" s="111"/>
      <c r="M1733" s="33" t="s">
        <v>278</v>
      </c>
      <c r="N1733" s="111"/>
      <c r="O1733" s="33" t="s">
        <v>278</v>
      </c>
      <c r="P1733" s="111"/>
      <c r="Q1733" s="33" t="s">
        <v>587</v>
      </c>
      <c r="R1733" s="111"/>
      <c r="S1733" s="33" t="s">
        <v>278</v>
      </c>
      <c r="T1733" s="111"/>
      <c r="U1733" s="33" t="s">
        <v>278</v>
      </c>
      <c r="V1733" s="111"/>
      <c r="W1733" s="59" t="s">
        <v>548</v>
      </c>
      <c r="X1733" s="33" t="str">
        <f>+VLOOKUP(OtherClients[[#This Row],[Part]],PartControl!$A$2:$E$564,5,FALSE)</f>
        <v>infasco</v>
      </c>
      <c r="Y1733" s="108">
        <f>IF(OtherClients[[#This Row],[Re-certified or New]]&lt;&gt;"Re-certified",IF(OtherClients[[#This Row],[Client]]="infasco",VLOOKUP(OtherClients[[#This Row],[Part]],PartControl!$A$2:$E$564,2,FALSE),OtherClients[[#This Row],[Total Quantity]]*VLOOKUP(OtherClients[[#This Row],[Part]],PartControl!$A$2:$E$564,2,FALSE)),0)</f>
        <v>226.94</v>
      </c>
      <c r="Z1733" s="108">
        <f>IF(OtherClients[[#This Row],[Re-certified or New]]&lt;&gt;"Re-certified",IF(OtherClients[[#This Row],[Client]]="infasco",VLOOKUP(OtherClients[[#This Row],[Part]],PartControl!$A$2:$E$564,2,FALSE),OtherClients[[#This Row],[Total Quantity]]*VLOOKUP(OtherClients[[#This Row],[Part]],PartControl!$A$2:$E$564,2,FALSE)),0)</f>
        <v>226.94</v>
      </c>
    </row>
    <row r="1734" spans="1:26" ht="25.15" hidden="1" customHeight="1" x14ac:dyDescent="0.25">
      <c r="A1734" s="112">
        <v>46259.689768518518</v>
      </c>
      <c r="B1734" s="5" t="s">
        <v>343</v>
      </c>
      <c r="C1734" s="5">
        <v>94012078</v>
      </c>
      <c r="D1734" s="5">
        <v>717474</v>
      </c>
      <c r="E1734" s="33">
        <v>23</v>
      </c>
      <c r="F1734" s="60">
        <v>100</v>
      </c>
      <c r="G1734" s="60">
        <f>+OtherClients[[#This Row],[Boxes / Pieces]]*OtherClients[[#This Row],[Unit Quantity]]</f>
        <v>2300</v>
      </c>
      <c r="H1734" s="60" t="s">
        <v>757</v>
      </c>
      <c r="I1734" s="60" t="s">
        <v>278</v>
      </c>
      <c r="J1734" s="104"/>
      <c r="K1734" s="33" t="s">
        <v>278</v>
      </c>
      <c r="L1734" s="111"/>
      <c r="M1734" s="33" t="s">
        <v>278</v>
      </c>
      <c r="N1734" s="111"/>
      <c r="O1734" s="33" t="s">
        <v>278</v>
      </c>
      <c r="P1734" s="111"/>
      <c r="Q1734" s="33" t="s">
        <v>587</v>
      </c>
      <c r="R1734" s="111"/>
      <c r="S1734" s="33" t="s">
        <v>278</v>
      </c>
      <c r="T1734" s="111"/>
      <c r="U1734" s="33" t="s">
        <v>278</v>
      </c>
      <c r="V1734" s="111"/>
      <c r="W1734" s="59" t="s">
        <v>548</v>
      </c>
      <c r="X1734" s="33" t="str">
        <f>+VLOOKUP(OtherClients[[#This Row],[Part]],PartControl!$A$2:$E$564,5,FALSE)</f>
        <v>infasco</v>
      </c>
      <c r="Y1734" s="108">
        <f>IF(OtherClients[[#This Row],[Re-certified or New]]&lt;&gt;"Re-certified",IF(OtherClients[[#This Row],[Client]]="infasco",VLOOKUP(OtherClients[[#This Row],[Part]],PartControl!$A$2:$E$564,2,FALSE),OtherClients[[#This Row],[Total Quantity]]*VLOOKUP(OtherClients[[#This Row],[Part]],PartControl!$A$2:$E$564,2,FALSE)),0)</f>
        <v>55.73</v>
      </c>
      <c r="Z1734" s="108">
        <f>IF(OtherClients[[#This Row],[Re-certified or New]]&lt;&gt;"Re-certified",IF(OtherClients[[#This Row],[Client]]="infasco",VLOOKUP(OtherClients[[#This Row],[Part]],PartControl!$A$2:$E$564,2,FALSE),OtherClients[[#This Row],[Total Quantity]]*VLOOKUP(OtherClients[[#This Row],[Part]],PartControl!$A$2:$E$564,2,FALSE)),0)</f>
        <v>55.73</v>
      </c>
    </row>
    <row r="1735" spans="1:26" ht="25.15" hidden="1" customHeight="1" x14ac:dyDescent="0.25">
      <c r="A1735" s="112">
        <v>46259.689768518518</v>
      </c>
      <c r="B1735" s="5" t="s">
        <v>343</v>
      </c>
      <c r="C1735" s="5" t="s">
        <v>851</v>
      </c>
      <c r="D1735" s="5">
        <v>716028</v>
      </c>
      <c r="E1735" s="33">
        <v>24</v>
      </c>
      <c r="F1735" s="60">
        <v>750</v>
      </c>
      <c r="G1735" s="60">
        <f>+OtherClients[[#This Row],[Boxes / Pieces]]*OtherClients[[#This Row],[Unit Quantity]]</f>
        <v>18000</v>
      </c>
      <c r="H1735" s="60" t="s">
        <v>757</v>
      </c>
      <c r="I1735" s="60" t="s">
        <v>278</v>
      </c>
      <c r="J1735" s="104"/>
      <c r="K1735" s="33" t="s">
        <v>278</v>
      </c>
      <c r="L1735" s="111"/>
      <c r="M1735" s="33" t="s">
        <v>278</v>
      </c>
      <c r="N1735" s="111"/>
      <c r="O1735" s="33" t="s">
        <v>278</v>
      </c>
      <c r="P1735" s="111"/>
      <c r="Q1735" s="33" t="s">
        <v>587</v>
      </c>
      <c r="R1735" s="111"/>
      <c r="S1735" s="33" t="s">
        <v>278</v>
      </c>
      <c r="T1735" s="111"/>
      <c r="U1735" s="33" t="s">
        <v>278</v>
      </c>
      <c r="V1735" s="111"/>
      <c r="W1735" s="59" t="s">
        <v>548</v>
      </c>
      <c r="X1735" s="33" t="str">
        <f>+VLOOKUP(OtherClients[[#This Row],[Part]],PartControl!$A$2:$E$564,5,FALSE)</f>
        <v>infasco</v>
      </c>
      <c r="Y1735" s="108">
        <f>IF(OtherClients[[#This Row],[Re-certified or New]]&lt;&gt;"Re-certified",IF(OtherClients[[#This Row],[Client]]="infasco",VLOOKUP(OtherClients[[#This Row],[Part]],PartControl!$A$2:$E$564,2,FALSE),OtherClients[[#This Row],[Total Quantity]]*VLOOKUP(OtherClients[[#This Row],[Part]],PartControl!$A$2:$E$564,2,FALSE)),0)</f>
        <v>135.08000000000001</v>
      </c>
      <c r="Z1735" s="108">
        <f>IF(OtherClients[[#This Row],[Re-certified or New]]&lt;&gt;"Re-certified",IF(OtherClients[[#This Row],[Client]]="infasco",VLOOKUP(OtherClients[[#This Row],[Part]],PartControl!$A$2:$E$564,2,FALSE),OtherClients[[#This Row],[Total Quantity]]*VLOOKUP(OtherClients[[#This Row],[Part]],PartControl!$A$2:$E$564,2,FALSE)),0)</f>
        <v>135.08000000000001</v>
      </c>
    </row>
    <row r="1736" spans="1:26" ht="25.15" hidden="1" customHeight="1" x14ac:dyDescent="0.25">
      <c r="A1736" s="112">
        <v>46259.689768518518</v>
      </c>
      <c r="B1736" s="5" t="s">
        <v>343</v>
      </c>
      <c r="C1736" s="5">
        <v>61273</v>
      </c>
      <c r="D1736" s="5">
        <v>716242</v>
      </c>
      <c r="E1736" s="33">
        <v>24</v>
      </c>
      <c r="F1736" s="60">
        <v>300</v>
      </c>
      <c r="G1736" s="60">
        <f>+OtherClients[[#This Row],[Boxes / Pieces]]*OtherClients[[#This Row],[Unit Quantity]]</f>
        <v>7200</v>
      </c>
      <c r="H1736" s="60" t="s">
        <v>757</v>
      </c>
      <c r="I1736" s="60" t="s">
        <v>278</v>
      </c>
      <c r="J1736" s="104"/>
      <c r="K1736" s="33" t="s">
        <v>278</v>
      </c>
      <c r="L1736" s="111"/>
      <c r="M1736" s="33" t="s">
        <v>278</v>
      </c>
      <c r="N1736" s="111"/>
      <c r="O1736" s="33" t="s">
        <v>278</v>
      </c>
      <c r="P1736" s="111"/>
      <c r="Q1736" s="33" t="s">
        <v>587</v>
      </c>
      <c r="R1736" s="111"/>
      <c r="S1736" s="33" t="s">
        <v>278</v>
      </c>
      <c r="T1736" s="111"/>
      <c r="U1736" s="33" t="s">
        <v>278</v>
      </c>
      <c r="V1736" s="111"/>
      <c r="W1736" s="59" t="s">
        <v>548</v>
      </c>
      <c r="X1736" s="33" t="str">
        <f>+VLOOKUP(OtherClients[[#This Row],[Part]],PartControl!$A$2:$E$564,5,FALSE)</f>
        <v>infasco</v>
      </c>
      <c r="Y1736" s="108">
        <f>IF(OtherClients[[#This Row],[Re-certified or New]]&lt;&gt;"Re-certified",IF(OtherClients[[#This Row],[Client]]="infasco",VLOOKUP(OtherClients[[#This Row],[Part]],PartControl!$A$2:$E$564,2,FALSE),OtherClients[[#This Row],[Total Quantity]]*VLOOKUP(OtherClients[[#This Row],[Part]],PartControl!$A$2:$E$564,2,FALSE)),0)</f>
        <v>135.07999999999998</v>
      </c>
      <c r="Z1736" s="108">
        <f>IF(OtherClients[[#This Row],[Re-certified or New]]&lt;&gt;"Re-certified",IF(OtherClients[[#This Row],[Client]]="infasco",VLOOKUP(OtherClients[[#This Row],[Part]],PartControl!$A$2:$E$564,2,FALSE),OtherClients[[#This Row],[Total Quantity]]*VLOOKUP(OtherClients[[#This Row],[Part]],PartControl!$A$2:$E$564,2,FALSE)),0)</f>
        <v>135.07999999999998</v>
      </c>
    </row>
    <row r="1737" spans="1:26" ht="25.15" hidden="1" customHeight="1" x14ac:dyDescent="0.25">
      <c r="A1737" s="112">
        <v>46259.689768518518</v>
      </c>
      <c r="B1737" s="5" t="s">
        <v>343</v>
      </c>
      <c r="C1737" s="5" t="s">
        <v>889</v>
      </c>
      <c r="D1737" s="5">
        <v>717146</v>
      </c>
      <c r="E1737" s="33">
        <v>34</v>
      </c>
      <c r="F1737" s="60">
        <v>450</v>
      </c>
      <c r="G1737" s="60">
        <f>+OtherClients[[#This Row],[Boxes / Pieces]]*OtherClients[[#This Row],[Unit Quantity]]</f>
        <v>15300</v>
      </c>
      <c r="H1737" s="60" t="s">
        <v>757</v>
      </c>
      <c r="I1737" s="60" t="s">
        <v>278</v>
      </c>
      <c r="J1737" s="104"/>
      <c r="K1737" s="33" t="s">
        <v>278</v>
      </c>
      <c r="L1737" s="111"/>
      <c r="M1737" s="33" t="s">
        <v>278</v>
      </c>
      <c r="N1737" s="111"/>
      <c r="O1737" s="33" t="s">
        <v>278</v>
      </c>
      <c r="P1737" s="111"/>
      <c r="Q1737" s="33" t="s">
        <v>587</v>
      </c>
      <c r="R1737" s="111"/>
      <c r="S1737" s="33" t="s">
        <v>278</v>
      </c>
      <c r="T1737" s="111"/>
      <c r="U1737" s="33" t="s">
        <v>278</v>
      </c>
      <c r="V1737" s="111"/>
      <c r="W1737" s="59" t="s">
        <v>548</v>
      </c>
      <c r="X1737" s="33" t="str">
        <f>+VLOOKUP(OtherClients[[#This Row],[Part]],PartControl!$A$2:$E$564,5,FALSE)</f>
        <v>Infasco</v>
      </c>
      <c r="Y1737" s="108">
        <f>IF(OtherClients[[#This Row],[Re-certified or New]]&lt;&gt;"Re-certified",IF(OtherClients[[#This Row],[Client]]="infasco",VLOOKUP(OtherClients[[#This Row],[Part]],PartControl!$A$2:$E$564,2,FALSE),OtherClients[[#This Row],[Total Quantity]]*VLOOKUP(OtherClients[[#This Row],[Part]],PartControl!$A$2:$E$564,2,FALSE)),0)</f>
        <v>106.94</v>
      </c>
      <c r="Z1737" s="108">
        <f>IF(OtherClients[[#This Row],[Re-certified or New]]&lt;&gt;"Re-certified",IF(OtherClients[[#This Row],[Client]]="infasco",VLOOKUP(OtherClients[[#This Row],[Part]],PartControl!$A$2:$E$564,2,FALSE),OtherClients[[#This Row],[Total Quantity]]*VLOOKUP(OtherClients[[#This Row],[Part]],PartControl!$A$2:$E$564,2,FALSE)),0)</f>
        <v>106.94</v>
      </c>
    </row>
    <row r="1738" spans="1:26" ht="25.15" hidden="1" customHeight="1" x14ac:dyDescent="0.25">
      <c r="A1738" s="112">
        <v>46259.689768518518</v>
      </c>
      <c r="B1738" s="5" t="s">
        <v>343</v>
      </c>
      <c r="C1738" s="5">
        <v>94012078</v>
      </c>
      <c r="D1738" s="5">
        <v>717475</v>
      </c>
      <c r="E1738" s="33">
        <v>24</v>
      </c>
      <c r="F1738" s="60">
        <v>100</v>
      </c>
      <c r="G1738" s="60">
        <f>+OtherClients[[#This Row],[Boxes / Pieces]]*OtherClients[[#This Row],[Unit Quantity]]</f>
        <v>2400</v>
      </c>
      <c r="H1738" s="60" t="s">
        <v>757</v>
      </c>
      <c r="I1738" s="60" t="s">
        <v>278</v>
      </c>
      <c r="J1738" s="104"/>
      <c r="K1738" s="33" t="s">
        <v>278</v>
      </c>
      <c r="L1738" s="111"/>
      <c r="M1738" s="33" t="s">
        <v>278</v>
      </c>
      <c r="N1738" s="111"/>
      <c r="O1738" s="33" t="s">
        <v>278</v>
      </c>
      <c r="P1738" s="111"/>
      <c r="Q1738" s="33" t="s">
        <v>587</v>
      </c>
      <c r="R1738" s="111"/>
      <c r="S1738" s="33" t="s">
        <v>278</v>
      </c>
      <c r="T1738" s="111"/>
      <c r="U1738" s="33" t="s">
        <v>278</v>
      </c>
      <c r="V1738" s="111"/>
      <c r="W1738" s="59" t="s">
        <v>548</v>
      </c>
      <c r="X1738" s="33" t="str">
        <f>+VLOOKUP(OtherClients[[#This Row],[Part]],PartControl!$A$2:$E$564,5,FALSE)</f>
        <v>infasco</v>
      </c>
      <c r="Y1738" s="108">
        <f>IF(OtherClients[[#This Row],[Re-certified or New]]&lt;&gt;"Re-certified",IF(OtherClients[[#This Row],[Client]]="infasco",VLOOKUP(OtherClients[[#This Row],[Part]],PartControl!$A$2:$E$564,2,FALSE),OtherClients[[#This Row],[Total Quantity]]*VLOOKUP(OtherClients[[#This Row],[Part]],PartControl!$A$2:$E$564,2,FALSE)),0)</f>
        <v>55.73</v>
      </c>
      <c r="Z1738" s="108">
        <f>IF(OtherClients[[#This Row],[Re-certified or New]]&lt;&gt;"Re-certified",IF(OtherClients[[#This Row],[Client]]="infasco",VLOOKUP(OtherClients[[#This Row],[Part]],PartControl!$A$2:$E$564,2,FALSE),OtherClients[[#This Row],[Total Quantity]]*VLOOKUP(OtherClients[[#This Row],[Part]],PartControl!$A$2:$E$564,2,FALSE)),0)</f>
        <v>55.73</v>
      </c>
    </row>
    <row r="1739" spans="1:26" ht="25.15" hidden="1" customHeight="1" x14ac:dyDescent="0.25">
      <c r="A1739" s="112">
        <v>46259.689768518518</v>
      </c>
      <c r="B1739" s="5" t="s">
        <v>343</v>
      </c>
      <c r="C1739" s="5" t="s">
        <v>643</v>
      </c>
      <c r="D1739" s="5">
        <v>714007</v>
      </c>
      <c r="E1739" s="33">
        <v>36</v>
      </c>
      <c r="F1739" s="60">
        <v>700</v>
      </c>
      <c r="G1739" s="60">
        <f>+OtherClients[[#This Row],[Boxes / Pieces]]*OtherClients[[#This Row],[Unit Quantity]]</f>
        <v>25200</v>
      </c>
      <c r="H1739" s="60" t="s">
        <v>757</v>
      </c>
      <c r="I1739" s="60" t="s">
        <v>278</v>
      </c>
      <c r="J1739" s="104"/>
      <c r="K1739" s="33" t="s">
        <v>278</v>
      </c>
      <c r="L1739" s="111"/>
      <c r="M1739" s="33" t="s">
        <v>278</v>
      </c>
      <c r="N1739" s="111"/>
      <c r="O1739" s="33" t="s">
        <v>278</v>
      </c>
      <c r="P1739" s="111"/>
      <c r="Q1739" s="33" t="s">
        <v>587</v>
      </c>
      <c r="R1739" s="111"/>
      <c r="S1739" s="33" t="s">
        <v>278</v>
      </c>
      <c r="T1739" s="111"/>
      <c r="U1739" s="33" t="s">
        <v>278</v>
      </c>
      <c r="V1739" s="111"/>
      <c r="W1739" s="59" t="s">
        <v>548</v>
      </c>
      <c r="X1739" s="33" t="str">
        <f>+VLOOKUP(OtherClients[[#This Row],[Part]],PartControl!$A$2:$E$564,5,FALSE)</f>
        <v>infasco</v>
      </c>
      <c r="Y1739" s="108">
        <f>IF(OtherClients[[#This Row],[Re-certified or New]]&lt;&gt;"Re-certified",IF(OtherClients[[#This Row],[Client]]="infasco",VLOOKUP(OtherClients[[#This Row],[Part]],PartControl!$A$2:$E$564,2,FALSE),OtherClients[[#This Row],[Total Quantity]]*VLOOKUP(OtherClients[[#This Row],[Part]],PartControl!$A$2:$E$564,2,FALSE)),0)</f>
        <v>135.07999999999998</v>
      </c>
      <c r="Z1739" s="108">
        <f>IF(OtherClients[[#This Row],[Re-certified or New]]&lt;&gt;"Re-certified",IF(OtherClients[[#This Row],[Client]]="infasco",VLOOKUP(OtherClients[[#This Row],[Part]],PartControl!$A$2:$E$564,2,FALSE),OtherClients[[#This Row],[Total Quantity]]*VLOOKUP(OtherClients[[#This Row],[Part]],PartControl!$A$2:$E$564,2,FALSE)),0)</f>
        <v>135.07999999999998</v>
      </c>
    </row>
    <row r="1740" spans="1:26" ht="25.15" hidden="1" customHeight="1" x14ac:dyDescent="0.25">
      <c r="A1740" s="112">
        <v>46259.689768518518</v>
      </c>
      <c r="B1740" s="5" t="s">
        <v>343</v>
      </c>
      <c r="C1740" s="5" t="s">
        <v>643</v>
      </c>
      <c r="D1740" s="5">
        <v>714575</v>
      </c>
      <c r="E1740" s="33">
        <v>39</v>
      </c>
      <c r="F1740" s="60">
        <v>700</v>
      </c>
      <c r="G1740" s="60">
        <f>+OtherClients[[#This Row],[Boxes / Pieces]]*OtherClients[[#This Row],[Unit Quantity]]</f>
        <v>27300</v>
      </c>
      <c r="H1740" s="60" t="s">
        <v>757</v>
      </c>
      <c r="I1740" s="60" t="s">
        <v>278</v>
      </c>
      <c r="J1740" s="104"/>
      <c r="K1740" s="33" t="s">
        <v>278</v>
      </c>
      <c r="L1740" s="111"/>
      <c r="M1740" s="33" t="s">
        <v>278</v>
      </c>
      <c r="N1740" s="111"/>
      <c r="O1740" s="33" t="s">
        <v>278</v>
      </c>
      <c r="P1740" s="111"/>
      <c r="Q1740" s="33" t="s">
        <v>587</v>
      </c>
      <c r="R1740" s="111"/>
      <c r="S1740" s="33" t="s">
        <v>278</v>
      </c>
      <c r="T1740" s="111"/>
      <c r="U1740" s="33" t="s">
        <v>278</v>
      </c>
      <c r="V1740" s="111"/>
      <c r="W1740" s="59" t="s">
        <v>548</v>
      </c>
      <c r="X1740" s="33" t="str">
        <f>+VLOOKUP(OtherClients[[#This Row],[Part]],PartControl!$A$2:$E$564,5,FALSE)</f>
        <v>infasco</v>
      </c>
      <c r="Y1740" s="108">
        <f>IF(OtherClients[[#This Row],[Re-certified or New]]&lt;&gt;"Re-certified",IF(OtherClients[[#This Row],[Client]]="infasco",VLOOKUP(OtherClients[[#This Row],[Part]],PartControl!$A$2:$E$564,2,FALSE),OtherClients[[#This Row],[Total Quantity]]*VLOOKUP(OtherClients[[#This Row],[Part]],PartControl!$A$2:$E$564,2,FALSE)),0)</f>
        <v>135.07999999999998</v>
      </c>
      <c r="Z1740" s="108">
        <f>IF(OtherClients[[#This Row],[Re-certified or New]]&lt;&gt;"Re-certified",IF(OtherClients[[#This Row],[Client]]="infasco",VLOOKUP(OtherClients[[#This Row],[Part]],PartControl!$A$2:$E$564,2,FALSE),OtherClients[[#This Row],[Total Quantity]]*VLOOKUP(OtherClients[[#This Row],[Part]],PartControl!$A$2:$E$564,2,FALSE)),0)</f>
        <v>135.07999999999998</v>
      </c>
    </row>
    <row r="1741" spans="1:26" ht="25.15" hidden="1" customHeight="1" x14ac:dyDescent="0.25">
      <c r="A1741" s="112">
        <v>46259.689768518518</v>
      </c>
      <c r="B1741" s="5" t="s">
        <v>343</v>
      </c>
      <c r="C1741" s="5">
        <v>11602292</v>
      </c>
      <c r="D1741" s="5">
        <v>716435</v>
      </c>
      <c r="E1741" s="33">
        <v>10</v>
      </c>
      <c r="F1741" s="60">
        <v>1000</v>
      </c>
      <c r="G1741" s="60">
        <f>+OtherClients[[#This Row],[Boxes / Pieces]]*OtherClients[[#This Row],[Unit Quantity]]</f>
        <v>10000</v>
      </c>
      <c r="H1741" s="60" t="s">
        <v>757</v>
      </c>
      <c r="I1741" s="60" t="s">
        <v>278</v>
      </c>
      <c r="J1741" s="104"/>
      <c r="K1741" s="33" t="s">
        <v>278</v>
      </c>
      <c r="L1741" s="111"/>
      <c r="M1741" s="33" t="s">
        <v>278</v>
      </c>
      <c r="N1741" s="111"/>
      <c r="O1741" s="33" t="s">
        <v>278</v>
      </c>
      <c r="P1741" s="111"/>
      <c r="Q1741" s="33" t="s">
        <v>587</v>
      </c>
      <c r="R1741" s="111"/>
      <c r="S1741" s="33" t="s">
        <v>278</v>
      </c>
      <c r="T1741" s="111"/>
      <c r="U1741" s="33" t="s">
        <v>278</v>
      </c>
      <c r="V1741" s="111"/>
      <c r="W1741" s="59" t="s">
        <v>548</v>
      </c>
      <c r="X1741" s="33" t="str">
        <f>+VLOOKUP(OtherClients[[#This Row],[Part]],PartControl!$A$2:$E$564,5,FALSE)</f>
        <v>INFASCO</v>
      </c>
      <c r="Y1741" s="108">
        <f>IF(OtherClients[[#This Row],[Re-certified or New]]&lt;&gt;"Re-certified",IF(OtherClients[[#This Row],[Client]]="infasco",VLOOKUP(OtherClients[[#This Row],[Part]],PartControl!$A$2:$E$564,2,FALSE),OtherClients[[#This Row],[Total Quantity]]*VLOOKUP(OtherClients[[#This Row],[Part]],PartControl!$A$2:$E$564,2,FALSE)),0)</f>
        <v>135.07999999999998</v>
      </c>
      <c r="Z1741" s="108">
        <f>IF(OtherClients[[#This Row],[Re-certified or New]]&lt;&gt;"Re-certified",IF(OtherClients[[#This Row],[Client]]="infasco",VLOOKUP(OtherClients[[#This Row],[Part]],PartControl!$A$2:$E$564,2,FALSE),OtherClients[[#This Row],[Total Quantity]]*VLOOKUP(OtherClients[[#This Row],[Part]],PartControl!$A$2:$E$564,2,FALSE)),0)</f>
        <v>135.07999999999998</v>
      </c>
    </row>
    <row r="1742" spans="1:26" ht="25.15" hidden="1" customHeight="1" x14ac:dyDescent="0.25">
      <c r="A1742" s="112">
        <v>46259.689768518518</v>
      </c>
      <c r="B1742" s="5" t="s">
        <v>344</v>
      </c>
      <c r="C1742" s="5" t="s">
        <v>889</v>
      </c>
      <c r="D1742" s="5">
        <v>717149</v>
      </c>
      <c r="E1742" s="33">
        <f>33-18</f>
        <v>15</v>
      </c>
      <c r="F1742" s="60">
        <v>450</v>
      </c>
      <c r="G1742" s="60">
        <f>+OtherClients[[#This Row],[Boxes / Pieces]]*OtherClients[[#This Row],[Unit Quantity]]</f>
        <v>6750</v>
      </c>
      <c r="H1742" s="60" t="s">
        <v>816</v>
      </c>
      <c r="I1742" s="60" t="s">
        <v>278</v>
      </c>
      <c r="J1742" s="104"/>
      <c r="K1742" s="33" t="s">
        <v>278</v>
      </c>
      <c r="L1742" s="111"/>
      <c r="M1742" s="33" t="s">
        <v>278</v>
      </c>
      <c r="N1742" s="111"/>
      <c r="O1742" s="33" t="s">
        <v>278</v>
      </c>
      <c r="P1742" s="111"/>
      <c r="Q1742" s="33" t="s">
        <v>587</v>
      </c>
      <c r="R1742" s="111"/>
      <c r="S1742" s="33" t="s">
        <v>278</v>
      </c>
      <c r="T1742" s="111"/>
      <c r="U1742" s="33" t="s">
        <v>278</v>
      </c>
      <c r="V1742" s="111"/>
      <c r="W1742" s="59" t="s">
        <v>548</v>
      </c>
      <c r="X1742" s="33" t="str">
        <f>+VLOOKUP(OtherClients[[#This Row],[Part]],PartControl!$A$2:$E$564,5,FALSE)</f>
        <v>Infasco</v>
      </c>
      <c r="Y1742" s="108">
        <f>IF(OtherClients[[#This Row],[Re-certified or New]]&lt;&gt;"Re-certified",IF(OtherClients[[#This Row],[Client]]="infasco",VLOOKUP(OtherClients[[#This Row],[Part]],PartControl!$A$2:$E$564,2,FALSE),OtherClients[[#This Row],[Total Quantity]]*VLOOKUP(OtherClients[[#This Row],[Part]],PartControl!$A$2:$E$564,2,FALSE)),0)</f>
        <v>106.94</v>
      </c>
      <c r="Z1742" s="108">
        <f>IF(OtherClients[[#This Row],[Re-certified or New]]&lt;&gt;"Re-certified",IF(OtherClients[[#This Row],[Client]]="infasco",VLOOKUP(OtherClients[[#This Row],[Part]],PartControl!$A$2:$E$564,2,FALSE),OtherClients[[#This Row],[Total Quantity]]*VLOOKUP(OtherClients[[#This Row],[Part]],PartControl!$A$2:$E$564,2,FALSE)),0)</f>
        <v>106.94</v>
      </c>
    </row>
    <row r="1743" spans="1:26" ht="25.15" hidden="1" customHeight="1" x14ac:dyDescent="0.25">
      <c r="A1743" s="112">
        <v>46259.689768518518</v>
      </c>
      <c r="B1743" s="5" t="s">
        <v>344</v>
      </c>
      <c r="C1743" s="5">
        <v>94012078</v>
      </c>
      <c r="D1743" s="5">
        <v>717472</v>
      </c>
      <c r="E1743" s="33">
        <v>23</v>
      </c>
      <c r="F1743" s="60">
        <v>100</v>
      </c>
      <c r="G1743" s="60">
        <f>+OtherClients[[#This Row],[Boxes / Pieces]]*OtherClients[[#This Row],[Unit Quantity]]</f>
        <v>2300</v>
      </c>
      <c r="H1743" s="60" t="s">
        <v>816</v>
      </c>
      <c r="I1743" s="60" t="s">
        <v>278</v>
      </c>
      <c r="J1743" s="104"/>
      <c r="K1743" s="33" t="s">
        <v>278</v>
      </c>
      <c r="L1743" s="111"/>
      <c r="M1743" s="33" t="s">
        <v>278</v>
      </c>
      <c r="N1743" s="111"/>
      <c r="O1743" s="33" t="s">
        <v>278</v>
      </c>
      <c r="P1743" s="111"/>
      <c r="Q1743" s="33" t="s">
        <v>587</v>
      </c>
      <c r="R1743" s="111"/>
      <c r="S1743" s="33" t="s">
        <v>278</v>
      </c>
      <c r="T1743" s="111"/>
      <c r="U1743" s="33" t="s">
        <v>278</v>
      </c>
      <c r="V1743" s="111"/>
      <c r="W1743" s="59" t="s">
        <v>548</v>
      </c>
      <c r="X1743" s="33" t="str">
        <f>+VLOOKUP(OtherClients[[#This Row],[Part]],PartControl!$A$2:$E$564,5,FALSE)</f>
        <v>infasco</v>
      </c>
      <c r="Y1743" s="108">
        <f>IF(OtherClients[[#This Row],[Re-certified or New]]&lt;&gt;"Re-certified",IF(OtherClients[[#This Row],[Client]]="infasco",VLOOKUP(OtherClients[[#This Row],[Part]],PartControl!$A$2:$E$564,2,FALSE),OtherClients[[#This Row],[Total Quantity]]*VLOOKUP(OtherClients[[#This Row],[Part]],PartControl!$A$2:$E$564,2,FALSE)),0)</f>
        <v>55.73</v>
      </c>
      <c r="Z1743" s="108">
        <f>IF(OtherClients[[#This Row],[Re-certified or New]]&lt;&gt;"Re-certified",IF(OtherClients[[#This Row],[Client]]="infasco",VLOOKUP(OtherClients[[#This Row],[Part]],PartControl!$A$2:$E$564,2,FALSE),OtherClients[[#This Row],[Total Quantity]]*VLOOKUP(OtherClients[[#This Row],[Part]],PartControl!$A$2:$E$564,2,FALSE)),0)</f>
        <v>55.73</v>
      </c>
    </row>
    <row r="1744" spans="1:26" ht="25.15" hidden="1" customHeight="1" x14ac:dyDescent="0.25">
      <c r="A1744" s="112">
        <v>46259.689768518518</v>
      </c>
      <c r="B1744" s="5" t="s">
        <v>344</v>
      </c>
      <c r="C1744" s="5" t="s">
        <v>890</v>
      </c>
      <c r="D1744" s="5">
        <v>717184</v>
      </c>
      <c r="E1744" s="33">
        <v>19</v>
      </c>
      <c r="F1744" s="60">
        <v>145</v>
      </c>
      <c r="G1744" s="60">
        <f>+OtherClients[[#This Row],[Boxes / Pieces]]*OtherClients[[#This Row],[Unit Quantity]]</f>
        <v>2755</v>
      </c>
      <c r="H1744" s="60" t="s">
        <v>816</v>
      </c>
      <c r="I1744" s="60" t="s">
        <v>278</v>
      </c>
      <c r="J1744" s="104"/>
      <c r="K1744" s="33" t="s">
        <v>278</v>
      </c>
      <c r="L1744" s="111"/>
      <c r="M1744" s="33" t="s">
        <v>278</v>
      </c>
      <c r="N1744" s="111"/>
      <c r="O1744" s="33" t="s">
        <v>278</v>
      </c>
      <c r="P1744" s="111"/>
      <c r="Q1744" s="33" t="s">
        <v>587</v>
      </c>
      <c r="R1744" s="111"/>
      <c r="S1744" s="33" t="s">
        <v>278</v>
      </c>
      <c r="T1744" s="111"/>
      <c r="U1744" s="33" t="s">
        <v>278</v>
      </c>
      <c r="V1744" s="111"/>
      <c r="W1744" s="59" t="s">
        <v>548</v>
      </c>
      <c r="X1744" s="33" t="str">
        <f>+VLOOKUP(OtherClients[[#This Row],[Part]],PartControl!$A$2:$E$564,5,FALSE)</f>
        <v>infasco</v>
      </c>
      <c r="Y1744" s="108">
        <f>IF(OtherClients[[#This Row],[Re-certified or New]]&lt;&gt;"Re-certified",IF(OtherClients[[#This Row],[Client]]="infasco",VLOOKUP(OtherClients[[#This Row],[Part]],PartControl!$A$2:$E$564,2,FALSE),OtherClients[[#This Row],[Total Quantity]]*VLOOKUP(OtherClients[[#This Row],[Part]],PartControl!$A$2:$E$564,2,FALSE)),0)</f>
        <v>106.94</v>
      </c>
      <c r="Z1744" s="108">
        <f>IF(OtherClients[[#This Row],[Re-certified or New]]&lt;&gt;"Re-certified",IF(OtherClients[[#This Row],[Client]]="infasco",VLOOKUP(OtherClients[[#This Row],[Part]],PartControl!$A$2:$E$564,2,FALSE),OtherClients[[#This Row],[Total Quantity]]*VLOOKUP(OtherClients[[#This Row],[Part]],PartControl!$A$2:$E$564,2,FALSE)),0)</f>
        <v>106.94</v>
      </c>
    </row>
    <row r="1745" spans="1:26" ht="25.15" hidden="1" customHeight="1" x14ac:dyDescent="0.25">
      <c r="A1745" s="112">
        <v>46259.689768518518</v>
      </c>
      <c r="B1745" s="5" t="s">
        <v>344</v>
      </c>
      <c r="C1745" s="5" t="s">
        <v>823</v>
      </c>
      <c r="D1745" s="5">
        <v>716004</v>
      </c>
      <c r="E1745" s="33">
        <v>30</v>
      </c>
      <c r="F1745" s="60">
        <v>1500</v>
      </c>
      <c r="G1745" s="60">
        <f>+OtherClients[[#This Row],[Boxes / Pieces]]*OtherClients[[#This Row],[Unit Quantity]]</f>
        <v>45000</v>
      </c>
      <c r="H1745" s="60" t="s">
        <v>816</v>
      </c>
      <c r="I1745" s="60" t="s">
        <v>278</v>
      </c>
      <c r="J1745" s="104"/>
      <c r="K1745" s="33" t="s">
        <v>278</v>
      </c>
      <c r="L1745" s="111"/>
      <c r="M1745" s="33" t="s">
        <v>278</v>
      </c>
      <c r="N1745" s="111"/>
      <c r="O1745" s="33" t="s">
        <v>278</v>
      </c>
      <c r="P1745" s="111"/>
      <c r="Q1745" s="33" t="s">
        <v>587</v>
      </c>
      <c r="R1745" s="111"/>
      <c r="S1745" s="33" t="s">
        <v>278</v>
      </c>
      <c r="T1745" s="111"/>
      <c r="U1745" s="33" t="s">
        <v>278</v>
      </c>
      <c r="V1745" s="111"/>
      <c r="W1745" s="59" t="s">
        <v>548</v>
      </c>
      <c r="X1745" s="33" t="str">
        <f>+VLOOKUP(OtherClients[[#This Row],[Part]],PartControl!$A$2:$E$564,5,FALSE)</f>
        <v>infasco</v>
      </c>
      <c r="Y1745" s="108">
        <f>IF(OtherClients[[#This Row],[Re-certified or New]]&lt;&gt;"Re-certified",IF(OtherClients[[#This Row],[Client]]="infasco",VLOOKUP(OtherClients[[#This Row],[Part]],PartControl!$A$2:$E$564,2,FALSE),OtherClients[[#This Row],[Total Quantity]]*VLOOKUP(OtherClients[[#This Row],[Part]],PartControl!$A$2:$E$564,2,FALSE)),0)</f>
        <v>226.94</v>
      </c>
      <c r="Z1745" s="108">
        <f>IF(OtherClients[[#This Row],[Re-certified or New]]&lt;&gt;"Re-certified",IF(OtherClients[[#This Row],[Client]]="infasco",VLOOKUP(OtherClients[[#This Row],[Part]],PartControl!$A$2:$E$564,2,FALSE),OtherClients[[#This Row],[Total Quantity]]*VLOOKUP(OtherClients[[#This Row],[Part]],PartControl!$A$2:$E$564,2,FALSE)),0)</f>
        <v>226.94</v>
      </c>
    </row>
    <row r="1746" spans="1:26" ht="25.15" hidden="1" customHeight="1" x14ac:dyDescent="0.25">
      <c r="A1746" s="112">
        <v>46259.689768518518</v>
      </c>
      <c r="B1746" s="5" t="s">
        <v>344</v>
      </c>
      <c r="C1746" s="5" t="s">
        <v>649</v>
      </c>
      <c r="D1746" s="5">
        <v>716658</v>
      </c>
      <c r="E1746" s="33">
        <v>24</v>
      </c>
      <c r="F1746" s="60">
        <v>1250</v>
      </c>
      <c r="G1746" s="60">
        <f>+OtherClients[[#This Row],[Boxes / Pieces]]*OtherClients[[#This Row],[Unit Quantity]]</f>
        <v>30000</v>
      </c>
      <c r="H1746" s="60" t="s">
        <v>816</v>
      </c>
      <c r="I1746" s="60" t="s">
        <v>278</v>
      </c>
      <c r="J1746" s="104"/>
      <c r="K1746" s="33" t="s">
        <v>278</v>
      </c>
      <c r="L1746" s="111"/>
      <c r="M1746" s="33" t="s">
        <v>278</v>
      </c>
      <c r="N1746" s="111"/>
      <c r="O1746" s="33" t="s">
        <v>278</v>
      </c>
      <c r="P1746" s="111"/>
      <c r="Q1746" s="33" t="s">
        <v>587</v>
      </c>
      <c r="R1746" s="111"/>
      <c r="S1746" s="33" t="s">
        <v>278</v>
      </c>
      <c r="T1746" s="111"/>
      <c r="U1746" s="33" t="s">
        <v>278</v>
      </c>
      <c r="V1746" s="111"/>
      <c r="W1746" s="59" t="s">
        <v>548</v>
      </c>
      <c r="X1746" s="33" t="str">
        <f>+VLOOKUP(OtherClients[[#This Row],[Part]],PartControl!$A$2:$E$564,5,FALSE)</f>
        <v>infasco</v>
      </c>
      <c r="Y1746" s="108">
        <f>IF(OtherClients[[#This Row],[Re-certified or New]]&lt;&gt;"Re-certified",IF(OtherClients[[#This Row],[Client]]="infasco",VLOOKUP(OtherClients[[#This Row],[Part]],PartControl!$A$2:$E$564,2,FALSE),OtherClients[[#This Row],[Total Quantity]]*VLOOKUP(OtherClients[[#This Row],[Part]],PartControl!$A$2:$E$564,2,FALSE)),0)</f>
        <v>135.07999999999998</v>
      </c>
      <c r="Z1746" s="108">
        <f>IF(OtherClients[[#This Row],[Re-certified or New]]&lt;&gt;"Re-certified",IF(OtherClients[[#This Row],[Client]]="infasco",VLOOKUP(OtherClients[[#This Row],[Part]],PartControl!$A$2:$E$564,2,FALSE),OtherClients[[#This Row],[Total Quantity]]*VLOOKUP(OtherClients[[#This Row],[Part]],PartControl!$A$2:$E$564,2,FALSE)),0)</f>
        <v>135.07999999999998</v>
      </c>
    </row>
    <row r="1747" spans="1:26" ht="25.15" hidden="1" customHeight="1" x14ac:dyDescent="0.25">
      <c r="A1747" s="112">
        <v>46259.689768518518</v>
      </c>
      <c r="B1747" s="5" t="s">
        <v>344</v>
      </c>
      <c r="C1747" s="5" t="s">
        <v>643</v>
      </c>
      <c r="D1747" s="5">
        <v>714006</v>
      </c>
      <c r="E1747" s="33">
        <f>36+3</f>
        <v>39</v>
      </c>
      <c r="F1747" s="60">
        <v>700</v>
      </c>
      <c r="G1747" s="60">
        <f>+OtherClients[[#This Row],[Boxes / Pieces]]*OtherClients[[#This Row],[Unit Quantity]]</f>
        <v>27300</v>
      </c>
      <c r="H1747" s="60" t="s">
        <v>816</v>
      </c>
      <c r="I1747" s="60" t="s">
        <v>278</v>
      </c>
      <c r="J1747" s="104"/>
      <c r="K1747" s="33" t="s">
        <v>278</v>
      </c>
      <c r="L1747" s="111"/>
      <c r="M1747" s="33" t="s">
        <v>278</v>
      </c>
      <c r="N1747" s="111"/>
      <c r="O1747" s="33" t="s">
        <v>278</v>
      </c>
      <c r="P1747" s="111"/>
      <c r="Q1747" s="33" t="s">
        <v>587</v>
      </c>
      <c r="R1747" s="111"/>
      <c r="S1747" s="33" t="s">
        <v>278</v>
      </c>
      <c r="T1747" s="111"/>
      <c r="U1747" s="33" t="s">
        <v>278</v>
      </c>
      <c r="V1747" s="111"/>
      <c r="W1747" s="59" t="s">
        <v>548</v>
      </c>
      <c r="X1747" s="33" t="str">
        <f>+VLOOKUP(OtherClients[[#This Row],[Part]],PartControl!$A$2:$E$564,5,FALSE)</f>
        <v>infasco</v>
      </c>
      <c r="Y1747" s="108">
        <f>IF(OtherClients[[#This Row],[Re-certified or New]]&lt;&gt;"Re-certified",IF(OtherClients[[#This Row],[Client]]="infasco",VLOOKUP(OtherClients[[#This Row],[Part]],PartControl!$A$2:$E$564,2,FALSE),OtherClients[[#This Row],[Total Quantity]]*VLOOKUP(OtherClients[[#This Row],[Part]],PartControl!$A$2:$E$564,2,FALSE)),0)</f>
        <v>135.07999999999998</v>
      </c>
      <c r="Z1747" s="108">
        <f>IF(OtherClients[[#This Row],[Re-certified or New]]&lt;&gt;"Re-certified",IF(OtherClients[[#This Row],[Client]]="infasco",VLOOKUP(OtherClients[[#This Row],[Part]],PartControl!$A$2:$E$564,2,FALSE),OtherClients[[#This Row],[Total Quantity]]*VLOOKUP(OtherClients[[#This Row],[Part]],PartControl!$A$2:$E$564,2,FALSE)),0)</f>
        <v>135.07999999999998</v>
      </c>
    </row>
    <row r="1748" spans="1:26" ht="25.15" hidden="1" customHeight="1" x14ac:dyDescent="0.25">
      <c r="A1748" s="112">
        <v>46259.689768518518</v>
      </c>
      <c r="B1748" s="5" t="s">
        <v>344</v>
      </c>
      <c r="C1748" s="5">
        <v>94012078</v>
      </c>
      <c r="D1748" s="5">
        <v>717473</v>
      </c>
      <c r="E1748" s="33">
        <v>25</v>
      </c>
      <c r="F1748" s="60">
        <v>100</v>
      </c>
      <c r="G1748" s="60">
        <f>+OtherClients[[#This Row],[Boxes / Pieces]]*OtherClients[[#This Row],[Unit Quantity]]</f>
        <v>2500</v>
      </c>
      <c r="H1748" s="60" t="s">
        <v>816</v>
      </c>
      <c r="I1748" s="60" t="s">
        <v>278</v>
      </c>
      <c r="J1748" s="104"/>
      <c r="K1748" s="33" t="s">
        <v>278</v>
      </c>
      <c r="L1748" s="111"/>
      <c r="M1748" s="33" t="s">
        <v>278</v>
      </c>
      <c r="N1748" s="111"/>
      <c r="O1748" s="33" t="s">
        <v>278</v>
      </c>
      <c r="P1748" s="111"/>
      <c r="Q1748" s="33" t="s">
        <v>587</v>
      </c>
      <c r="R1748" s="111"/>
      <c r="S1748" s="33" t="s">
        <v>278</v>
      </c>
      <c r="T1748" s="111"/>
      <c r="U1748" s="33" t="s">
        <v>278</v>
      </c>
      <c r="V1748" s="111"/>
      <c r="W1748" s="59" t="s">
        <v>548</v>
      </c>
      <c r="X1748" s="33" t="str">
        <f>+VLOOKUP(OtherClients[[#This Row],[Part]],PartControl!$A$2:$E$564,5,FALSE)</f>
        <v>infasco</v>
      </c>
      <c r="Y1748" s="108">
        <f>IF(OtherClients[[#This Row],[Re-certified or New]]&lt;&gt;"Re-certified",IF(OtherClients[[#This Row],[Client]]="infasco",VLOOKUP(OtherClients[[#This Row],[Part]],PartControl!$A$2:$E$564,2,FALSE),OtherClients[[#This Row],[Total Quantity]]*VLOOKUP(OtherClients[[#This Row],[Part]],PartControl!$A$2:$E$564,2,FALSE)),0)</f>
        <v>55.73</v>
      </c>
      <c r="Z1748" s="108">
        <f>IF(OtherClients[[#This Row],[Re-certified or New]]&lt;&gt;"Re-certified",IF(OtherClients[[#This Row],[Client]]="infasco",VLOOKUP(OtherClients[[#This Row],[Part]],PartControl!$A$2:$E$564,2,FALSE),OtherClients[[#This Row],[Total Quantity]]*VLOOKUP(OtherClients[[#This Row],[Part]],PartControl!$A$2:$E$564,2,FALSE)),0)</f>
        <v>55.73</v>
      </c>
    </row>
    <row r="1749" spans="1:26" ht="25.15" hidden="1" customHeight="1" x14ac:dyDescent="0.25">
      <c r="A1749" s="112">
        <v>46259.689768518518</v>
      </c>
      <c r="B1749" s="5" t="s">
        <v>344</v>
      </c>
      <c r="C1749" s="5" t="s">
        <v>812</v>
      </c>
      <c r="D1749" s="5">
        <v>715983</v>
      </c>
      <c r="E1749" s="33">
        <v>36</v>
      </c>
      <c r="F1749" s="60">
        <v>135</v>
      </c>
      <c r="G1749" s="60">
        <f>+OtherClients[[#This Row],[Boxes / Pieces]]*OtherClients[[#This Row],[Unit Quantity]]</f>
        <v>4860</v>
      </c>
      <c r="H1749" s="60" t="s">
        <v>816</v>
      </c>
      <c r="I1749" s="60" t="s">
        <v>278</v>
      </c>
      <c r="J1749" s="104"/>
      <c r="K1749" s="33" t="s">
        <v>278</v>
      </c>
      <c r="L1749" s="111"/>
      <c r="M1749" s="33" t="s">
        <v>278</v>
      </c>
      <c r="N1749" s="111"/>
      <c r="O1749" s="33" t="s">
        <v>278</v>
      </c>
      <c r="P1749" s="111"/>
      <c r="Q1749" s="33" t="s">
        <v>587</v>
      </c>
      <c r="R1749" s="111"/>
      <c r="S1749" s="33" t="s">
        <v>278</v>
      </c>
      <c r="T1749" s="111"/>
      <c r="U1749" s="33" t="s">
        <v>278</v>
      </c>
      <c r="V1749" s="111"/>
      <c r="W1749" s="59" t="s">
        <v>548</v>
      </c>
      <c r="X1749" s="33" t="str">
        <f>+VLOOKUP(OtherClients[[#This Row],[Part]],PartControl!$A$2:$E$564,5,FALSE)</f>
        <v>Infasco</v>
      </c>
      <c r="Y1749" s="108">
        <f>IF(OtherClients[[#This Row],[Re-certified or New]]&lt;&gt;"Re-certified",IF(OtherClients[[#This Row],[Client]]="infasco",VLOOKUP(OtherClients[[#This Row],[Part]],PartControl!$A$2:$E$564,2,FALSE),OtherClients[[#This Row],[Total Quantity]]*VLOOKUP(OtherClients[[#This Row],[Part]],PartControl!$A$2:$E$564,2,FALSE)),0)</f>
        <v>106.94</v>
      </c>
      <c r="Z1749" s="108">
        <f>IF(OtherClients[[#This Row],[Re-certified or New]]&lt;&gt;"Re-certified",IF(OtherClients[[#This Row],[Client]]="infasco",VLOOKUP(OtherClients[[#This Row],[Part]],PartControl!$A$2:$E$564,2,FALSE),OtherClients[[#This Row],[Total Quantity]]*VLOOKUP(OtherClients[[#This Row],[Part]],PartControl!$A$2:$E$564,2,FALSE)),0)</f>
        <v>106.94</v>
      </c>
    </row>
    <row r="1750" spans="1:26" ht="25.15" hidden="1" customHeight="1" x14ac:dyDescent="0.25">
      <c r="A1750" s="112">
        <v>46259.689768518518</v>
      </c>
      <c r="B1750" s="5" t="s">
        <v>344</v>
      </c>
      <c r="C1750" s="5" t="s">
        <v>812</v>
      </c>
      <c r="D1750" s="5">
        <v>715982</v>
      </c>
      <c r="E1750" s="33">
        <v>36</v>
      </c>
      <c r="F1750" s="60">
        <v>135</v>
      </c>
      <c r="G1750" s="60">
        <f>+OtherClients[[#This Row],[Boxes / Pieces]]*OtherClients[[#This Row],[Unit Quantity]]</f>
        <v>4860</v>
      </c>
      <c r="H1750" s="60" t="s">
        <v>816</v>
      </c>
      <c r="I1750" s="60" t="s">
        <v>278</v>
      </c>
      <c r="J1750" s="104"/>
      <c r="K1750" s="33" t="s">
        <v>278</v>
      </c>
      <c r="L1750" s="111"/>
      <c r="M1750" s="33" t="s">
        <v>278</v>
      </c>
      <c r="N1750" s="111"/>
      <c r="O1750" s="33" t="s">
        <v>278</v>
      </c>
      <c r="P1750" s="111"/>
      <c r="Q1750" s="33" t="s">
        <v>587</v>
      </c>
      <c r="R1750" s="111"/>
      <c r="S1750" s="33" t="s">
        <v>278</v>
      </c>
      <c r="T1750" s="111"/>
      <c r="U1750" s="33" t="s">
        <v>278</v>
      </c>
      <c r="V1750" s="111"/>
      <c r="W1750" s="59" t="s">
        <v>548</v>
      </c>
      <c r="X1750" s="33" t="str">
        <f>+VLOOKUP(OtherClients[[#This Row],[Part]],PartControl!$A$2:$E$564,5,FALSE)</f>
        <v>Infasco</v>
      </c>
      <c r="Y1750" s="108">
        <f>IF(OtherClients[[#This Row],[Re-certified or New]]&lt;&gt;"Re-certified",IF(OtherClients[[#This Row],[Client]]="infasco",VLOOKUP(OtherClients[[#This Row],[Part]],PartControl!$A$2:$E$564,2,FALSE),OtherClients[[#This Row],[Total Quantity]]*VLOOKUP(OtherClients[[#This Row],[Part]],PartControl!$A$2:$E$564,2,FALSE)),0)</f>
        <v>106.94</v>
      </c>
      <c r="Z1750" s="108">
        <f>IF(OtherClients[[#This Row],[Re-certified or New]]&lt;&gt;"Re-certified",IF(OtherClients[[#This Row],[Client]]="infasco",VLOOKUP(OtherClients[[#This Row],[Part]],PartControl!$A$2:$E$564,2,FALSE),OtherClients[[#This Row],[Total Quantity]]*VLOOKUP(OtherClients[[#This Row],[Part]],PartControl!$A$2:$E$564,2,FALSE)),0)</f>
        <v>106.94</v>
      </c>
    </row>
    <row r="1751" spans="1:26" ht="25.15" hidden="1" customHeight="1" x14ac:dyDescent="0.25">
      <c r="A1751" s="112">
        <v>46259.689768518518</v>
      </c>
      <c r="B1751" s="5" t="s">
        <v>344</v>
      </c>
      <c r="C1751" s="5" t="s">
        <v>812</v>
      </c>
      <c r="D1751" s="5">
        <v>715984</v>
      </c>
      <c r="E1751" s="33">
        <v>30</v>
      </c>
      <c r="F1751" s="60">
        <v>135</v>
      </c>
      <c r="G1751" s="60">
        <f>+OtherClients[[#This Row],[Boxes / Pieces]]*OtherClients[[#This Row],[Unit Quantity]]</f>
        <v>4050</v>
      </c>
      <c r="H1751" s="60" t="s">
        <v>816</v>
      </c>
      <c r="I1751" s="60" t="s">
        <v>278</v>
      </c>
      <c r="J1751" s="104"/>
      <c r="K1751" s="33" t="s">
        <v>278</v>
      </c>
      <c r="L1751" s="111"/>
      <c r="M1751" s="33" t="s">
        <v>278</v>
      </c>
      <c r="N1751" s="111"/>
      <c r="O1751" s="33" t="s">
        <v>278</v>
      </c>
      <c r="P1751" s="111"/>
      <c r="Q1751" s="33" t="s">
        <v>587</v>
      </c>
      <c r="R1751" s="111"/>
      <c r="S1751" s="33" t="s">
        <v>278</v>
      </c>
      <c r="T1751" s="111"/>
      <c r="U1751" s="33" t="s">
        <v>278</v>
      </c>
      <c r="V1751" s="111"/>
      <c r="W1751" s="59" t="s">
        <v>633</v>
      </c>
      <c r="X1751" s="33" t="str">
        <f>+VLOOKUP(OtherClients[[#This Row],[Part]],PartControl!$A$2:$E$564,5,FALSE)</f>
        <v>Infasco</v>
      </c>
      <c r="Y1751" s="108">
        <f>IF(OtherClients[[#This Row],[Re-certified or New]]&lt;&gt;"Re-certified",IF(OtherClients[[#This Row],[Client]]="infasco",VLOOKUP(OtherClients[[#This Row],[Part]],PartControl!$A$2:$E$564,2,FALSE),OtherClients[[#This Row],[Total Quantity]]*VLOOKUP(OtherClients[[#This Row],[Part]],PartControl!$A$2:$E$564,2,FALSE)),0)</f>
        <v>0</v>
      </c>
      <c r="Z1751" s="108">
        <f>IF(OtherClients[[#This Row],[Re-certified or New]]&lt;&gt;"Re-certified",IF(OtherClients[[#This Row],[Client]]="infasco",VLOOKUP(OtherClients[[#This Row],[Part]],PartControl!$A$2:$E$564,2,FALSE),OtherClients[[#This Row],[Total Quantity]]*VLOOKUP(OtherClients[[#This Row],[Part]],PartControl!$A$2:$E$564,2,FALSE)),0)</f>
        <v>0</v>
      </c>
    </row>
    <row r="1752" spans="1:26" ht="25.15" hidden="1" customHeight="1" x14ac:dyDescent="0.25">
      <c r="A1752" s="112">
        <v>46259.689768518518</v>
      </c>
      <c r="B1752" s="5" t="s">
        <v>345</v>
      </c>
      <c r="C1752" s="5">
        <v>11547059</v>
      </c>
      <c r="D1752" s="5">
        <v>716256</v>
      </c>
      <c r="E1752" s="33">
        <v>48</v>
      </c>
      <c r="F1752" s="60">
        <v>550</v>
      </c>
      <c r="G1752" s="60">
        <f>+OtherClients[[#This Row],[Boxes / Pieces]]*OtherClients[[#This Row],[Unit Quantity]]</f>
        <v>26400</v>
      </c>
      <c r="H1752" s="60">
        <v>252</v>
      </c>
      <c r="I1752" s="60" t="s">
        <v>278</v>
      </c>
      <c r="J1752" s="104"/>
      <c r="K1752" s="33" t="s">
        <v>278</v>
      </c>
      <c r="L1752" s="111"/>
      <c r="M1752" s="33" t="s">
        <v>278</v>
      </c>
      <c r="N1752" s="111"/>
      <c r="O1752" s="33" t="s">
        <v>278</v>
      </c>
      <c r="P1752" s="111"/>
      <c r="Q1752" s="33" t="s">
        <v>587</v>
      </c>
      <c r="R1752" s="111"/>
      <c r="S1752" s="33" t="s">
        <v>278</v>
      </c>
      <c r="T1752" s="111"/>
      <c r="U1752" s="33" t="s">
        <v>278</v>
      </c>
      <c r="V1752" s="111"/>
      <c r="W1752" s="59" t="s">
        <v>548</v>
      </c>
      <c r="X1752" s="33" t="str">
        <f>+VLOOKUP(OtherClients[[#This Row],[Part]],PartControl!$A$2:$E$564,5,FALSE)</f>
        <v>infasco</v>
      </c>
      <c r="Y1752" s="108">
        <f>IF(OtherClients[[#This Row],[Re-certified or New]]&lt;&gt;"Re-certified",IF(OtherClients[[#This Row],[Client]]="infasco",VLOOKUP(OtherClients[[#This Row],[Part]],PartControl!$A$2:$E$564,2,FALSE),OtherClients[[#This Row],[Total Quantity]]*VLOOKUP(OtherClients[[#This Row],[Part]],PartControl!$A$2:$E$564,2,FALSE)),0)</f>
        <v>135.07999999999998</v>
      </c>
      <c r="Z1752" s="108">
        <f>IF(OtherClients[[#This Row],[Re-certified or New]]&lt;&gt;"Re-certified",IF(OtherClients[[#This Row],[Client]]="infasco",VLOOKUP(OtherClients[[#This Row],[Part]],PartControl!$A$2:$E$564,2,FALSE),OtherClients[[#This Row],[Total Quantity]]*VLOOKUP(OtherClients[[#This Row],[Part]],PartControl!$A$2:$E$564,2,FALSE)),0)</f>
        <v>135.07999999999998</v>
      </c>
    </row>
    <row r="1753" spans="1:26" ht="25.15" hidden="1" customHeight="1" x14ac:dyDescent="0.25">
      <c r="A1753" s="112">
        <v>46259.689768518518</v>
      </c>
      <c r="B1753" s="5" t="s">
        <v>345</v>
      </c>
      <c r="C1753" s="5">
        <v>11547059</v>
      </c>
      <c r="D1753" s="5">
        <v>716257</v>
      </c>
      <c r="E1753" s="33">
        <v>22</v>
      </c>
      <c r="F1753" s="60">
        <v>550</v>
      </c>
      <c r="G1753" s="60">
        <f>+OtherClients[[#This Row],[Boxes / Pieces]]*OtherClients[[#This Row],[Unit Quantity]]</f>
        <v>12100</v>
      </c>
      <c r="H1753" s="60">
        <v>252</v>
      </c>
      <c r="I1753" s="60" t="s">
        <v>278</v>
      </c>
      <c r="J1753" s="104"/>
      <c r="K1753" s="33" t="s">
        <v>278</v>
      </c>
      <c r="L1753" s="111"/>
      <c r="M1753" s="33" t="s">
        <v>278</v>
      </c>
      <c r="N1753" s="111"/>
      <c r="O1753" s="33" t="s">
        <v>278</v>
      </c>
      <c r="P1753" s="111"/>
      <c r="Q1753" s="33" t="s">
        <v>587</v>
      </c>
      <c r="R1753" s="111"/>
      <c r="S1753" s="33" t="s">
        <v>278</v>
      </c>
      <c r="T1753" s="111"/>
      <c r="U1753" s="33" t="s">
        <v>278</v>
      </c>
      <c r="V1753" s="111"/>
      <c r="W1753" s="59" t="s">
        <v>548</v>
      </c>
      <c r="X1753" s="33" t="str">
        <f>+VLOOKUP(OtherClients[[#This Row],[Part]],PartControl!$A$2:$E$564,5,FALSE)</f>
        <v>infasco</v>
      </c>
      <c r="Y1753" s="108">
        <f>IF(OtherClients[[#This Row],[Re-certified or New]]&lt;&gt;"Re-certified",IF(OtherClients[[#This Row],[Client]]="infasco",VLOOKUP(OtherClients[[#This Row],[Part]],PartControl!$A$2:$E$564,2,FALSE),OtherClients[[#This Row],[Total Quantity]]*VLOOKUP(OtherClients[[#This Row],[Part]],PartControl!$A$2:$E$564,2,FALSE)),0)</f>
        <v>135.07999999999998</v>
      </c>
      <c r="Z1753" s="108">
        <f>IF(OtherClients[[#This Row],[Re-certified or New]]&lt;&gt;"Re-certified",IF(OtherClients[[#This Row],[Client]]="infasco",VLOOKUP(OtherClients[[#This Row],[Part]],PartControl!$A$2:$E$564,2,FALSE),OtherClients[[#This Row],[Total Quantity]]*VLOOKUP(OtherClients[[#This Row],[Part]],PartControl!$A$2:$E$564,2,FALSE)),0)</f>
        <v>135.07999999999998</v>
      </c>
    </row>
    <row r="1754" spans="1:26" ht="25.15" hidden="1" customHeight="1" x14ac:dyDescent="0.25">
      <c r="A1754" s="112">
        <v>46259.689768518518</v>
      </c>
      <c r="B1754" s="5" t="s">
        <v>345</v>
      </c>
      <c r="C1754" s="5" t="s">
        <v>643</v>
      </c>
      <c r="D1754" s="5">
        <v>714574</v>
      </c>
      <c r="E1754" s="33">
        <v>36</v>
      </c>
      <c r="F1754" s="60">
        <v>700</v>
      </c>
      <c r="G1754" s="60">
        <f>+OtherClients[[#This Row],[Boxes / Pieces]]*OtherClients[[#This Row],[Unit Quantity]]</f>
        <v>25200</v>
      </c>
      <c r="H1754" s="60">
        <v>252</v>
      </c>
      <c r="I1754" s="60" t="s">
        <v>278</v>
      </c>
      <c r="J1754" s="104"/>
      <c r="K1754" s="33" t="s">
        <v>278</v>
      </c>
      <c r="L1754" s="111"/>
      <c r="M1754" s="33" t="s">
        <v>278</v>
      </c>
      <c r="N1754" s="111"/>
      <c r="O1754" s="33" t="s">
        <v>278</v>
      </c>
      <c r="P1754" s="111"/>
      <c r="Q1754" s="33" t="s">
        <v>587</v>
      </c>
      <c r="R1754" s="111"/>
      <c r="S1754" s="33" t="s">
        <v>278</v>
      </c>
      <c r="T1754" s="111"/>
      <c r="U1754" s="33" t="s">
        <v>278</v>
      </c>
      <c r="V1754" s="111"/>
      <c r="W1754" s="59" t="s">
        <v>548</v>
      </c>
      <c r="X1754" s="33" t="str">
        <f>+VLOOKUP(OtherClients[[#This Row],[Part]],PartControl!$A$2:$E$564,5,FALSE)</f>
        <v>infasco</v>
      </c>
      <c r="Y1754" s="108">
        <f>IF(OtherClients[[#This Row],[Re-certified or New]]&lt;&gt;"Re-certified",IF(OtherClients[[#This Row],[Client]]="infasco",VLOOKUP(OtherClients[[#This Row],[Part]],PartControl!$A$2:$E$564,2,FALSE),OtherClients[[#This Row],[Total Quantity]]*VLOOKUP(OtherClients[[#This Row],[Part]],PartControl!$A$2:$E$564,2,FALSE)),0)</f>
        <v>135.07999999999998</v>
      </c>
      <c r="Z1754" s="108">
        <f>IF(OtherClients[[#This Row],[Re-certified or New]]&lt;&gt;"Re-certified",IF(OtherClients[[#This Row],[Client]]="infasco",VLOOKUP(OtherClients[[#This Row],[Part]],PartControl!$A$2:$E$564,2,FALSE),OtherClients[[#This Row],[Total Quantity]]*VLOOKUP(OtherClients[[#This Row],[Part]],PartControl!$A$2:$E$564,2,FALSE)),0)</f>
        <v>135.07999999999998</v>
      </c>
    </row>
    <row r="1755" spans="1:26" ht="25.15" hidden="1" customHeight="1" x14ac:dyDescent="0.25">
      <c r="A1755" s="112">
        <v>46259.689768518518</v>
      </c>
      <c r="B1755" s="5" t="s">
        <v>345</v>
      </c>
      <c r="C1755" s="5" t="s">
        <v>643</v>
      </c>
      <c r="D1755" s="5">
        <v>714005</v>
      </c>
      <c r="E1755" s="33">
        <v>28</v>
      </c>
      <c r="F1755" s="60">
        <v>700</v>
      </c>
      <c r="G1755" s="60">
        <f>+OtherClients[[#This Row],[Boxes / Pieces]]*OtherClients[[#This Row],[Unit Quantity]]</f>
        <v>19600</v>
      </c>
      <c r="H1755" s="60">
        <v>252</v>
      </c>
      <c r="I1755" s="60" t="s">
        <v>278</v>
      </c>
      <c r="J1755" s="104"/>
      <c r="K1755" s="33" t="s">
        <v>278</v>
      </c>
      <c r="L1755" s="111"/>
      <c r="M1755" s="33" t="s">
        <v>278</v>
      </c>
      <c r="N1755" s="111"/>
      <c r="O1755" s="33" t="s">
        <v>278</v>
      </c>
      <c r="P1755" s="111"/>
      <c r="Q1755" s="33" t="s">
        <v>587</v>
      </c>
      <c r="R1755" s="111"/>
      <c r="S1755" s="33" t="s">
        <v>278</v>
      </c>
      <c r="T1755" s="111"/>
      <c r="U1755" s="33" t="s">
        <v>278</v>
      </c>
      <c r="V1755" s="111"/>
      <c r="W1755" s="59" t="s">
        <v>548</v>
      </c>
      <c r="X1755" s="33" t="str">
        <f>+VLOOKUP(OtherClients[[#This Row],[Part]],PartControl!$A$2:$E$564,5,FALSE)</f>
        <v>infasco</v>
      </c>
      <c r="Y1755" s="108">
        <f>IF(OtherClients[[#This Row],[Re-certified or New]]&lt;&gt;"Re-certified",IF(OtherClients[[#This Row],[Client]]="infasco",VLOOKUP(OtherClients[[#This Row],[Part]],PartControl!$A$2:$E$564,2,FALSE),OtherClients[[#This Row],[Total Quantity]]*VLOOKUP(OtherClients[[#This Row],[Part]],PartControl!$A$2:$E$564,2,FALSE)),0)</f>
        <v>135.07999999999998</v>
      </c>
      <c r="Z1755" s="108">
        <f>IF(OtherClients[[#This Row],[Re-certified or New]]&lt;&gt;"Re-certified",IF(OtherClients[[#This Row],[Client]]="infasco",VLOOKUP(OtherClients[[#This Row],[Part]],PartControl!$A$2:$E$564,2,FALSE),OtherClients[[#This Row],[Total Quantity]]*VLOOKUP(OtherClients[[#This Row],[Part]],PartControl!$A$2:$E$564,2,FALSE)),0)</f>
        <v>135.07999999999998</v>
      </c>
    </row>
    <row r="1756" spans="1:26" ht="25.15" hidden="1" customHeight="1" x14ac:dyDescent="0.25">
      <c r="A1756" s="112">
        <v>46259.689768518518</v>
      </c>
      <c r="B1756" s="5" t="s">
        <v>345</v>
      </c>
      <c r="C1756" s="5">
        <v>61273</v>
      </c>
      <c r="D1756" s="5">
        <v>716243</v>
      </c>
      <c r="E1756" s="33">
        <v>25</v>
      </c>
      <c r="F1756" s="60">
        <v>300</v>
      </c>
      <c r="G1756" s="60">
        <f>+OtherClients[[#This Row],[Boxes / Pieces]]*OtherClients[[#This Row],[Unit Quantity]]</f>
        <v>7500</v>
      </c>
      <c r="H1756" s="60">
        <v>252</v>
      </c>
      <c r="I1756" s="60" t="s">
        <v>278</v>
      </c>
      <c r="J1756" s="104"/>
      <c r="K1756" s="33" t="s">
        <v>278</v>
      </c>
      <c r="L1756" s="111"/>
      <c r="M1756" s="33" t="s">
        <v>278</v>
      </c>
      <c r="N1756" s="111"/>
      <c r="O1756" s="33" t="s">
        <v>278</v>
      </c>
      <c r="P1756" s="111"/>
      <c r="Q1756" s="33" t="s">
        <v>587</v>
      </c>
      <c r="R1756" s="111"/>
      <c r="S1756" s="33" t="s">
        <v>278</v>
      </c>
      <c r="T1756" s="111"/>
      <c r="U1756" s="33" t="s">
        <v>278</v>
      </c>
      <c r="V1756" s="111"/>
      <c r="W1756" s="59" t="s">
        <v>548</v>
      </c>
      <c r="X1756" s="33" t="str">
        <f>+VLOOKUP(OtherClients[[#This Row],[Part]],PartControl!$A$2:$E$564,5,FALSE)</f>
        <v>infasco</v>
      </c>
      <c r="Y1756" s="108">
        <f>IF(OtherClients[[#This Row],[Re-certified or New]]&lt;&gt;"Re-certified",IF(OtherClients[[#This Row],[Client]]="infasco",VLOOKUP(OtherClients[[#This Row],[Part]],PartControl!$A$2:$E$564,2,FALSE),OtherClients[[#This Row],[Total Quantity]]*VLOOKUP(OtherClients[[#This Row],[Part]],PartControl!$A$2:$E$564,2,FALSE)),0)</f>
        <v>135.07999999999998</v>
      </c>
      <c r="Z1756" s="108">
        <f>IF(OtherClients[[#This Row],[Re-certified or New]]&lt;&gt;"Re-certified",IF(OtherClients[[#This Row],[Client]]="infasco",VLOOKUP(OtherClients[[#This Row],[Part]],PartControl!$A$2:$E$564,2,FALSE),OtherClients[[#This Row],[Total Quantity]]*VLOOKUP(OtherClients[[#This Row],[Part]],PartControl!$A$2:$E$564,2,FALSE)),0)</f>
        <v>135.07999999999998</v>
      </c>
    </row>
    <row r="1757" spans="1:26" ht="25.15" hidden="1" customHeight="1" x14ac:dyDescent="0.25">
      <c r="A1757" s="112">
        <v>46259.689768518518</v>
      </c>
      <c r="B1757" s="5" t="s">
        <v>345</v>
      </c>
      <c r="C1757" s="5">
        <v>61273</v>
      </c>
      <c r="D1757" s="5">
        <v>716241</v>
      </c>
      <c r="E1757" s="33">
        <v>26</v>
      </c>
      <c r="F1757" s="60">
        <v>300</v>
      </c>
      <c r="G1757" s="60">
        <f>+OtherClients[[#This Row],[Boxes / Pieces]]*OtherClients[[#This Row],[Unit Quantity]]</f>
        <v>7800</v>
      </c>
      <c r="H1757" s="60">
        <v>252</v>
      </c>
      <c r="I1757" s="60" t="s">
        <v>278</v>
      </c>
      <c r="J1757" s="104"/>
      <c r="K1757" s="33" t="s">
        <v>278</v>
      </c>
      <c r="L1757" s="111"/>
      <c r="M1757" s="33" t="s">
        <v>278</v>
      </c>
      <c r="N1757" s="111"/>
      <c r="O1757" s="33" t="s">
        <v>278</v>
      </c>
      <c r="P1757" s="111"/>
      <c r="Q1757" s="33" t="s">
        <v>587</v>
      </c>
      <c r="R1757" s="111"/>
      <c r="S1757" s="33" t="s">
        <v>278</v>
      </c>
      <c r="T1757" s="111"/>
      <c r="U1757" s="33" t="s">
        <v>278</v>
      </c>
      <c r="V1757" s="111"/>
      <c r="W1757" s="59" t="s">
        <v>548</v>
      </c>
      <c r="X1757" s="33" t="str">
        <f>+VLOOKUP(OtherClients[[#This Row],[Part]],PartControl!$A$2:$E$564,5,FALSE)</f>
        <v>infasco</v>
      </c>
      <c r="Y1757" s="108">
        <f>IF(OtherClients[[#This Row],[Re-certified or New]]&lt;&gt;"Re-certified",IF(OtherClients[[#This Row],[Client]]="infasco",VLOOKUP(OtherClients[[#This Row],[Part]],PartControl!$A$2:$E$564,2,FALSE),OtherClients[[#This Row],[Total Quantity]]*VLOOKUP(OtherClients[[#This Row],[Part]],PartControl!$A$2:$E$564,2,FALSE)),0)</f>
        <v>135.07999999999998</v>
      </c>
      <c r="Z1757" s="108">
        <f>IF(OtherClients[[#This Row],[Re-certified or New]]&lt;&gt;"Re-certified",IF(OtherClients[[#This Row],[Client]]="infasco",VLOOKUP(OtherClients[[#This Row],[Part]],PartControl!$A$2:$E$564,2,FALSE),OtherClients[[#This Row],[Total Quantity]]*VLOOKUP(OtherClients[[#This Row],[Part]],PartControl!$A$2:$E$564,2,FALSE)),0)</f>
        <v>135.07999999999998</v>
      </c>
    </row>
    <row r="1758" spans="1:26" ht="25.15" hidden="1" customHeight="1" x14ac:dyDescent="0.25">
      <c r="A1758" s="112">
        <v>46259.689768518518</v>
      </c>
      <c r="B1758" s="5" t="s">
        <v>345</v>
      </c>
      <c r="C1758" s="5" t="s">
        <v>812</v>
      </c>
      <c r="D1758" s="5">
        <v>715989</v>
      </c>
      <c r="E1758" s="33">
        <v>36</v>
      </c>
      <c r="F1758" s="60">
        <v>135</v>
      </c>
      <c r="G1758" s="60">
        <f>+OtherClients[[#This Row],[Boxes / Pieces]]*OtherClients[[#This Row],[Unit Quantity]]</f>
        <v>4860</v>
      </c>
      <c r="H1758" s="60">
        <v>252</v>
      </c>
      <c r="I1758" s="60" t="s">
        <v>278</v>
      </c>
      <c r="J1758" s="104"/>
      <c r="K1758" s="33" t="s">
        <v>278</v>
      </c>
      <c r="L1758" s="111"/>
      <c r="M1758" s="33" t="s">
        <v>278</v>
      </c>
      <c r="N1758" s="111"/>
      <c r="O1758" s="33" t="s">
        <v>278</v>
      </c>
      <c r="P1758" s="111"/>
      <c r="Q1758" s="33" t="s">
        <v>587</v>
      </c>
      <c r="R1758" s="111"/>
      <c r="S1758" s="33" t="s">
        <v>278</v>
      </c>
      <c r="T1758" s="111"/>
      <c r="U1758" s="33" t="s">
        <v>278</v>
      </c>
      <c r="V1758" s="111"/>
      <c r="W1758" s="59" t="s">
        <v>548</v>
      </c>
      <c r="X1758" s="33" t="str">
        <f>+VLOOKUP(OtherClients[[#This Row],[Part]],PartControl!$A$2:$E$564,5,FALSE)</f>
        <v>Infasco</v>
      </c>
      <c r="Y1758" s="108">
        <f>IF(OtherClients[[#This Row],[Re-certified or New]]&lt;&gt;"Re-certified",IF(OtherClients[[#This Row],[Client]]="infasco",VLOOKUP(OtherClients[[#This Row],[Part]],PartControl!$A$2:$E$564,2,FALSE),OtherClients[[#This Row],[Total Quantity]]*VLOOKUP(OtherClients[[#This Row],[Part]],PartControl!$A$2:$E$564,2,FALSE)),0)</f>
        <v>106.94</v>
      </c>
      <c r="Z1758" s="108">
        <f>IF(OtherClients[[#This Row],[Re-certified or New]]&lt;&gt;"Re-certified",IF(OtherClients[[#This Row],[Client]]="infasco",VLOOKUP(OtherClients[[#This Row],[Part]],PartControl!$A$2:$E$564,2,FALSE),OtherClients[[#This Row],[Total Quantity]]*VLOOKUP(OtherClients[[#This Row],[Part]],PartControl!$A$2:$E$564,2,FALSE)),0)</f>
        <v>106.94</v>
      </c>
    </row>
    <row r="1759" spans="1:26" ht="25.15" hidden="1" customHeight="1" x14ac:dyDescent="0.25">
      <c r="A1759" s="112">
        <v>46259.689768518518</v>
      </c>
      <c r="B1759" s="5" t="s">
        <v>345</v>
      </c>
      <c r="C1759" s="5" t="s">
        <v>890</v>
      </c>
      <c r="D1759" s="5">
        <v>717130</v>
      </c>
      <c r="E1759" s="33">
        <v>10</v>
      </c>
      <c r="F1759" s="60">
        <v>145</v>
      </c>
      <c r="G1759" s="60">
        <f>+OtherClients[[#This Row],[Boxes / Pieces]]*OtherClients[[#This Row],[Unit Quantity]]</f>
        <v>1450</v>
      </c>
      <c r="H1759" s="60">
        <v>252</v>
      </c>
      <c r="I1759" s="60" t="s">
        <v>278</v>
      </c>
      <c r="J1759" s="104"/>
      <c r="K1759" s="33" t="s">
        <v>278</v>
      </c>
      <c r="L1759" s="111"/>
      <c r="M1759" s="33" t="s">
        <v>278</v>
      </c>
      <c r="N1759" s="111"/>
      <c r="O1759" s="33" t="s">
        <v>278</v>
      </c>
      <c r="P1759" s="111"/>
      <c r="Q1759" s="33" t="s">
        <v>587</v>
      </c>
      <c r="R1759" s="111"/>
      <c r="S1759" s="33" t="s">
        <v>278</v>
      </c>
      <c r="T1759" s="111"/>
      <c r="U1759" s="33" t="s">
        <v>278</v>
      </c>
      <c r="V1759" s="111"/>
      <c r="W1759" s="59" t="s">
        <v>633</v>
      </c>
      <c r="X1759" s="33" t="str">
        <f>+VLOOKUP(OtherClients[[#This Row],[Part]],PartControl!$A$2:$E$564,5,FALSE)</f>
        <v>infasco</v>
      </c>
      <c r="Y1759" s="108">
        <f>IF(OtherClients[[#This Row],[Re-certified or New]]&lt;&gt;"Re-certified",IF(OtherClients[[#This Row],[Client]]="infasco",VLOOKUP(OtherClients[[#This Row],[Part]],PartControl!$A$2:$E$564,2,FALSE),OtherClients[[#This Row],[Total Quantity]]*VLOOKUP(OtherClients[[#This Row],[Part]],PartControl!$A$2:$E$564,2,FALSE)),0)</f>
        <v>0</v>
      </c>
      <c r="Z1759" s="108">
        <f>IF(OtherClients[[#This Row],[Re-certified or New]]&lt;&gt;"Re-certified",IF(OtherClients[[#This Row],[Client]]="infasco",VLOOKUP(OtherClients[[#This Row],[Part]],PartControl!$A$2:$E$564,2,FALSE),OtherClients[[#This Row],[Total Quantity]]*VLOOKUP(OtherClients[[#This Row],[Part]],PartControl!$A$2:$E$564,2,FALSE)),0)</f>
        <v>0</v>
      </c>
    </row>
    <row r="1760" spans="1:26" ht="25.15" hidden="1" customHeight="1" x14ac:dyDescent="0.25">
      <c r="A1760" s="112">
        <v>46259.689768518518</v>
      </c>
      <c r="B1760" s="5" t="s">
        <v>346</v>
      </c>
      <c r="C1760" s="5" t="s">
        <v>889</v>
      </c>
      <c r="D1760" s="5">
        <v>717145</v>
      </c>
      <c r="E1760" s="33">
        <f>31-14</f>
        <v>17</v>
      </c>
      <c r="F1760" s="60">
        <v>450</v>
      </c>
      <c r="G1760" s="60">
        <f>+OtherClients[[#This Row],[Boxes / Pieces]]*OtherClients[[#This Row],[Unit Quantity]]</f>
        <v>7650</v>
      </c>
      <c r="H1760" s="60">
        <v>11</v>
      </c>
      <c r="I1760" s="60" t="s">
        <v>278</v>
      </c>
      <c r="J1760" s="104"/>
      <c r="K1760" s="33" t="s">
        <v>278</v>
      </c>
      <c r="L1760" s="111"/>
      <c r="M1760" s="33" t="s">
        <v>278</v>
      </c>
      <c r="N1760" s="111"/>
      <c r="O1760" s="33" t="s">
        <v>278</v>
      </c>
      <c r="P1760" s="111"/>
      <c r="Q1760" s="33" t="s">
        <v>587</v>
      </c>
      <c r="R1760" s="111"/>
      <c r="S1760" s="33" t="s">
        <v>278</v>
      </c>
      <c r="T1760" s="111"/>
      <c r="U1760" s="33" t="s">
        <v>278</v>
      </c>
      <c r="V1760" s="111"/>
      <c r="W1760" s="59" t="s">
        <v>548</v>
      </c>
      <c r="X1760" s="33" t="str">
        <f>+VLOOKUP(OtherClients[[#This Row],[Part]],PartControl!$A$2:$E$564,5,FALSE)</f>
        <v>Infasco</v>
      </c>
      <c r="Y1760" s="108">
        <f>IF(OtherClients[[#This Row],[Re-certified or New]]&lt;&gt;"Re-certified",IF(OtherClients[[#This Row],[Client]]="infasco",VLOOKUP(OtherClients[[#This Row],[Part]],PartControl!$A$2:$E$564,2,FALSE),OtherClients[[#This Row],[Total Quantity]]*VLOOKUP(OtherClients[[#This Row],[Part]],PartControl!$A$2:$E$564,2,FALSE)),0)</f>
        <v>106.94</v>
      </c>
      <c r="Z1760" s="108">
        <f>IF(OtherClients[[#This Row],[Re-certified or New]]&lt;&gt;"Re-certified",IF(OtherClients[[#This Row],[Client]]="infasco",VLOOKUP(OtherClients[[#This Row],[Part]],PartControl!$A$2:$E$564,2,FALSE),OtherClients[[#This Row],[Total Quantity]]*VLOOKUP(OtherClients[[#This Row],[Part]],PartControl!$A$2:$E$564,2,FALSE)),0)</f>
        <v>106.94</v>
      </c>
    </row>
    <row r="1761" spans="1:26" ht="25.15" hidden="1" customHeight="1" x14ac:dyDescent="0.25">
      <c r="A1761" s="112">
        <v>46259.689768518518</v>
      </c>
      <c r="B1761" s="5" t="s">
        <v>346</v>
      </c>
      <c r="C1761" s="5">
        <v>94012078</v>
      </c>
      <c r="D1761" s="5">
        <v>717471</v>
      </c>
      <c r="E1761" s="33">
        <v>25</v>
      </c>
      <c r="F1761" s="60">
        <v>100</v>
      </c>
      <c r="G1761" s="60">
        <f>+OtherClients[[#This Row],[Boxes / Pieces]]*OtherClients[[#This Row],[Unit Quantity]]</f>
        <v>2500</v>
      </c>
      <c r="H1761" s="60">
        <v>11</v>
      </c>
      <c r="I1761" s="60" t="s">
        <v>278</v>
      </c>
      <c r="J1761" s="104"/>
      <c r="K1761" s="33" t="s">
        <v>278</v>
      </c>
      <c r="L1761" s="111"/>
      <c r="M1761" s="33" t="s">
        <v>278</v>
      </c>
      <c r="N1761" s="111"/>
      <c r="O1761" s="33" t="s">
        <v>278</v>
      </c>
      <c r="P1761" s="111"/>
      <c r="Q1761" s="33" t="s">
        <v>587</v>
      </c>
      <c r="R1761" s="111"/>
      <c r="S1761" s="33" t="s">
        <v>278</v>
      </c>
      <c r="T1761" s="111"/>
      <c r="U1761" s="33" t="s">
        <v>278</v>
      </c>
      <c r="V1761" s="111"/>
      <c r="W1761" s="59" t="s">
        <v>548</v>
      </c>
      <c r="X1761" s="33" t="str">
        <f>+VLOOKUP(OtherClients[[#This Row],[Part]],PartControl!$A$2:$E$564,5,FALSE)</f>
        <v>infasco</v>
      </c>
      <c r="Y1761" s="108">
        <f>IF(OtherClients[[#This Row],[Re-certified or New]]&lt;&gt;"Re-certified",IF(OtherClients[[#This Row],[Client]]="infasco",VLOOKUP(OtherClients[[#This Row],[Part]],PartControl!$A$2:$E$564,2,FALSE),OtherClients[[#This Row],[Total Quantity]]*VLOOKUP(OtherClients[[#This Row],[Part]],PartControl!$A$2:$E$564,2,FALSE)),0)</f>
        <v>55.73</v>
      </c>
      <c r="Z1761" s="108">
        <f>IF(OtherClients[[#This Row],[Re-certified or New]]&lt;&gt;"Re-certified",IF(OtherClients[[#This Row],[Client]]="infasco",VLOOKUP(OtherClients[[#This Row],[Part]],PartControl!$A$2:$E$564,2,FALSE),OtherClients[[#This Row],[Total Quantity]]*VLOOKUP(OtherClients[[#This Row],[Part]],PartControl!$A$2:$E$564,2,FALSE)),0)</f>
        <v>55.73</v>
      </c>
    </row>
    <row r="1762" spans="1:26" ht="25.15" hidden="1" customHeight="1" x14ac:dyDescent="0.25">
      <c r="A1762" s="112">
        <v>46259.689768518518</v>
      </c>
      <c r="B1762" s="5" t="s">
        <v>346</v>
      </c>
      <c r="C1762" s="5" t="s">
        <v>695</v>
      </c>
      <c r="D1762" s="5">
        <v>716238</v>
      </c>
      <c r="E1762" s="33">
        <v>36</v>
      </c>
      <c r="F1762" s="60">
        <v>600</v>
      </c>
      <c r="G1762" s="60">
        <f>+OtherClients[[#This Row],[Boxes / Pieces]]*OtherClients[[#This Row],[Unit Quantity]]</f>
        <v>21600</v>
      </c>
      <c r="H1762" s="60">
        <v>11</v>
      </c>
      <c r="I1762" s="60" t="s">
        <v>278</v>
      </c>
      <c r="J1762" s="104"/>
      <c r="K1762" s="33" t="s">
        <v>278</v>
      </c>
      <c r="L1762" s="111"/>
      <c r="M1762" s="33" t="s">
        <v>278</v>
      </c>
      <c r="N1762" s="111"/>
      <c r="O1762" s="33" t="s">
        <v>278</v>
      </c>
      <c r="P1762" s="111"/>
      <c r="Q1762" s="33" t="s">
        <v>587</v>
      </c>
      <c r="R1762" s="111"/>
      <c r="S1762" s="33" t="s">
        <v>278</v>
      </c>
      <c r="T1762" s="111"/>
      <c r="U1762" s="33" t="s">
        <v>278</v>
      </c>
      <c r="V1762" s="111"/>
      <c r="W1762" s="59" t="s">
        <v>548</v>
      </c>
      <c r="X1762" s="33" t="str">
        <f>+VLOOKUP(OtherClients[[#This Row],[Part]],PartControl!$A$2:$E$564,5,FALSE)</f>
        <v>infasco</v>
      </c>
      <c r="Y1762" s="108">
        <f>IF(OtherClients[[#This Row],[Re-certified or New]]&lt;&gt;"Re-certified",IF(OtherClients[[#This Row],[Client]]="infasco",VLOOKUP(OtherClients[[#This Row],[Part]],PartControl!$A$2:$E$564,2,FALSE),OtherClients[[#This Row],[Total Quantity]]*VLOOKUP(OtherClients[[#This Row],[Part]],PartControl!$A$2:$E$564,2,FALSE)),0)</f>
        <v>106.94</v>
      </c>
      <c r="Z1762" s="108">
        <f>IF(OtherClients[[#This Row],[Re-certified or New]]&lt;&gt;"Re-certified",IF(OtherClients[[#This Row],[Client]]="infasco",VLOOKUP(OtherClients[[#This Row],[Part]],PartControl!$A$2:$E$564,2,FALSE),OtherClients[[#This Row],[Total Quantity]]*VLOOKUP(OtherClients[[#This Row],[Part]],PartControl!$A$2:$E$564,2,FALSE)),0)</f>
        <v>106.94</v>
      </c>
    </row>
    <row r="1763" spans="1:26" ht="25.15" hidden="1" customHeight="1" x14ac:dyDescent="0.25">
      <c r="A1763" s="112">
        <v>46259.689768518518</v>
      </c>
      <c r="B1763" s="5" t="s">
        <v>346</v>
      </c>
      <c r="C1763" s="5">
        <v>11602023</v>
      </c>
      <c r="D1763" s="5">
        <v>715810</v>
      </c>
      <c r="E1763" s="33">
        <v>31</v>
      </c>
      <c r="F1763" s="60">
        <v>1350</v>
      </c>
      <c r="G1763" s="60">
        <f>+OtherClients[[#This Row],[Boxes / Pieces]]*OtherClients[[#This Row],[Unit Quantity]]</f>
        <v>41850</v>
      </c>
      <c r="H1763" s="60">
        <v>11</v>
      </c>
      <c r="I1763" s="60" t="s">
        <v>278</v>
      </c>
      <c r="J1763" s="104"/>
      <c r="K1763" s="33" t="s">
        <v>278</v>
      </c>
      <c r="L1763" s="111"/>
      <c r="M1763" s="33" t="s">
        <v>278</v>
      </c>
      <c r="N1763" s="111"/>
      <c r="O1763" s="33" t="s">
        <v>278</v>
      </c>
      <c r="P1763" s="111"/>
      <c r="Q1763" s="33" t="s">
        <v>587</v>
      </c>
      <c r="R1763" s="111"/>
      <c r="S1763" s="33" t="s">
        <v>278</v>
      </c>
      <c r="T1763" s="111"/>
      <c r="U1763" s="33" t="s">
        <v>278</v>
      </c>
      <c r="V1763" s="111"/>
      <c r="W1763" s="59" t="s">
        <v>548</v>
      </c>
      <c r="X1763" s="33" t="str">
        <f>+VLOOKUP(OtherClients[[#This Row],[Part]],PartControl!$A$2:$E$564,5,FALSE)</f>
        <v>INFASCO</v>
      </c>
      <c r="Y1763" s="108">
        <f>IF(OtherClients[[#This Row],[Re-certified or New]]&lt;&gt;"Re-certified",IF(OtherClients[[#This Row],[Client]]="infasco",VLOOKUP(OtherClients[[#This Row],[Part]],PartControl!$A$2:$E$564,2,FALSE),OtherClients[[#This Row],[Total Quantity]]*VLOOKUP(OtherClients[[#This Row],[Part]],PartControl!$A$2:$E$564,2,FALSE)),0)</f>
        <v>135.07999999999998</v>
      </c>
      <c r="Z1763" s="108">
        <f>IF(OtherClients[[#This Row],[Re-certified or New]]&lt;&gt;"Re-certified",IF(OtherClients[[#This Row],[Client]]="infasco",VLOOKUP(OtherClients[[#This Row],[Part]],PartControl!$A$2:$E$564,2,FALSE),OtherClients[[#This Row],[Total Quantity]]*VLOOKUP(OtherClients[[#This Row],[Part]],PartControl!$A$2:$E$564,2,FALSE)),0)</f>
        <v>135.07999999999998</v>
      </c>
    </row>
    <row r="1764" spans="1:26" ht="25.15" hidden="1" customHeight="1" x14ac:dyDescent="0.25">
      <c r="A1764" s="112">
        <v>46259.689768518518</v>
      </c>
      <c r="B1764" s="5" t="s">
        <v>346</v>
      </c>
      <c r="C1764" s="5">
        <v>61273</v>
      </c>
      <c r="D1764" s="5">
        <v>716240</v>
      </c>
      <c r="E1764" s="33">
        <v>23</v>
      </c>
      <c r="F1764" s="60">
        <v>300</v>
      </c>
      <c r="G1764" s="60">
        <f>+OtherClients[[#This Row],[Boxes / Pieces]]*OtherClients[[#This Row],[Unit Quantity]]</f>
        <v>6900</v>
      </c>
      <c r="H1764" s="60">
        <v>11</v>
      </c>
      <c r="I1764" s="60" t="s">
        <v>278</v>
      </c>
      <c r="J1764" s="104"/>
      <c r="K1764" s="33" t="s">
        <v>278</v>
      </c>
      <c r="L1764" s="111"/>
      <c r="M1764" s="33" t="s">
        <v>278</v>
      </c>
      <c r="N1764" s="111"/>
      <c r="O1764" s="33" t="s">
        <v>278</v>
      </c>
      <c r="P1764" s="111"/>
      <c r="Q1764" s="33" t="s">
        <v>587</v>
      </c>
      <c r="R1764" s="111"/>
      <c r="S1764" s="33" t="s">
        <v>278</v>
      </c>
      <c r="T1764" s="111"/>
      <c r="U1764" s="33" t="s">
        <v>278</v>
      </c>
      <c r="V1764" s="111"/>
      <c r="W1764" s="59" t="s">
        <v>548</v>
      </c>
      <c r="X1764" s="33" t="str">
        <f>+VLOOKUP(OtherClients[[#This Row],[Part]],PartControl!$A$2:$E$564,5,FALSE)</f>
        <v>infasco</v>
      </c>
      <c r="Y1764" s="108">
        <f>IF(OtherClients[[#This Row],[Re-certified or New]]&lt;&gt;"Re-certified",IF(OtherClients[[#This Row],[Client]]="infasco",VLOOKUP(OtherClients[[#This Row],[Part]],PartControl!$A$2:$E$564,2,FALSE),OtherClients[[#This Row],[Total Quantity]]*VLOOKUP(OtherClients[[#This Row],[Part]],PartControl!$A$2:$E$564,2,FALSE)),0)</f>
        <v>135.07999999999998</v>
      </c>
      <c r="Z1764" s="108">
        <f>IF(OtherClients[[#This Row],[Re-certified or New]]&lt;&gt;"Re-certified",IF(OtherClients[[#This Row],[Client]]="infasco",VLOOKUP(OtherClients[[#This Row],[Part]],PartControl!$A$2:$E$564,2,FALSE),OtherClients[[#This Row],[Total Quantity]]*VLOOKUP(OtherClients[[#This Row],[Part]],PartControl!$A$2:$E$564,2,FALSE)),0)</f>
        <v>135.07999999999998</v>
      </c>
    </row>
    <row r="1765" spans="1:26" ht="25.15" hidden="1" customHeight="1" x14ac:dyDescent="0.25">
      <c r="A1765" s="112">
        <v>46259.689768518518</v>
      </c>
      <c r="B1765" s="5" t="s">
        <v>346</v>
      </c>
      <c r="C1765" s="5" t="s">
        <v>643</v>
      </c>
      <c r="D1765" s="5">
        <v>714577</v>
      </c>
      <c r="E1765" s="33">
        <v>27</v>
      </c>
      <c r="F1765" s="60">
        <v>700</v>
      </c>
      <c r="G1765" s="60">
        <f>+OtherClients[[#This Row],[Boxes / Pieces]]*OtherClients[[#This Row],[Unit Quantity]]</f>
        <v>18900</v>
      </c>
      <c r="H1765" s="60">
        <v>11</v>
      </c>
      <c r="I1765" s="60" t="s">
        <v>278</v>
      </c>
      <c r="J1765" s="104"/>
      <c r="K1765" s="33" t="s">
        <v>278</v>
      </c>
      <c r="L1765" s="111"/>
      <c r="M1765" s="33" t="s">
        <v>278</v>
      </c>
      <c r="N1765" s="111"/>
      <c r="O1765" s="33" t="s">
        <v>278</v>
      </c>
      <c r="P1765" s="111"/>
      <c r="Q1765" s="33" t="s">
        <v>587</v>
      </c>
      <c r="R1765" s="111"/>
      <c r="S1765" s="33" t="s">
        <v>278</v>
      </c>
      <c r="T1765" s="111"/>
      <c r="U1765" s="33" t="s">
        <v>278</v>
      </c>
      <c r="V1765" s="111"/>
      <c r="W1765" s="59" t="s">
        <v>548</v>
      </c>
      <c r="X1765" s="33" t="str">
        <f>+VLOOKUP(OtherClients[[#This Row],[Part]],PartControl!$A$2:$E$564,5,FALSE)</f>
        <v>infasco</v>
      </c>
      <c r="Y1765" s="108">
        <f>IF(OtherClients[[#This Row],[Re-certified or New]]&lt;&gt;"Re-certified",IF(OtherClients[[#This Row],[Client]]="infasco",VLOOKUP(OtherClients[[#This Row],[Part]],PartControl!$A$2:$E$564,2,FALSE),OtherClients[[#This Row],[Total Quantity]]*VLOOKUP(OtherClients[[#This Row],[Part]],PartControl!$A$2:$E$564,2,FALSE)),0)</f>
        <v>135.07999999999998</v>
      </c>
      <c r="Z1765" s="108">
        <f>IF(OtherClients[[#This Row],[Re-certified or New]]&lt;&gt;"Re-certified",IF(OtherClients[[#This Row],[Client]]="infasco",VLOOKUP(OtherClients[[#This Row],[Part]],PartControl!$A$2:$E$564,2,FALSE),OtherClients[[#This Row],[Total Quantity]]*VLOOKUP(OtherClients[[#This Row],[Part]],PartControl!$A$2:$E$564,2,FALSE)),0)</f>
        <v>135.07999999999998</v>
      </c>
    </row>
    <row r="1766" spans="1:26" ht="25.15" hidden="1" customHeight="1" x14ac:dyDescent="0.25">
      <c r="A1766" s="112">
        <v>46259.689768518518</v>
      </c>
      <c r="B1766" s="5" t="s">
        <v>346</v>
      </c>
      <c r="C1766" s="5" t="s">
        <v>890</v>
      </c>
      <c r="D1766" s="5">
        <v>717129</v>
      </c>
      <c r="E1766" s="33">
        <v>12</v>
      </c>
      <c r="F1766" s="60">
        <v>145</v>
      </c>
      <c r="G1766" s="60">
        <f>+OtherClients[[#This Row],[Boxes / Pieces]]*OtherClients[[#This Row],[Unit Quantity]]</f>
        <v>1740</v>
      </c>
      <c r="H1766" s="60">
        <v>11</v>
      </c>
      <c r="I1766" s="60" t="s">
        <v>278</v>
      </c>
      <c r="J1766" s="104"/>
      <c r="K1766" s="33" t="s">
        <v>278</v>
      </c>
      <c r="L1766" s="111"/>
      <c r="M1766" s="33" t="s">
        <v>278</v>
      </c>
      <c r="N1766" s="111"/>
      <c r="O1766" s="33" t="s">
        <v>278</v>
      </c>
      <c r="P1766" s="111"/>
      <c r="Q1766" s="33" t="s">
        <v>587</v>
      </c>
      <c r="R1766" s="111"/>
      <c r="S1766" s="33" t="s">
        <v>278</v>
      </c>
      <c r="T1766" s="111"/>
      <c r="U1766" s="33" t="s">
        <v>278</v>
      </c>
      <c r="V1766" s="111"/>
      <c r="W1766" s="59" t="s">
        <v>633</v>
      </c>
      <c r="X1766" s="33" t="str">
        <f>+VLOOKUP(OtherClients[[#This Row],[Part]],PartControl!$A$2:$E$564,5,FALSE)</f>
        <v>infasco</v>
      </c>
      <c r="Y1766" s="108">
        <f>IF(OtherClients[[#This Row],[Re-certified or New]]&lt;&gt;"Re-certified",IF(OtherClients[[#This Row],[Client]]="infasco",VLOOKUP(OtherClients[[#This Row],[Part]],PartControl!$A$2:$E$564,2,FALSE),OtherClients[[#This Row],[Total Quantity]]*VLOOKUP(OtherClients[[#This Row],[Part]],PartControl!$A$2:$E$564,2,FALSE)),0)</f>
        <v>0</v>
      </c>
      <c r="Z1766" s="108">
        <f>IF(OtherClients[[#This Row],[Re-certified or New]]&lt;&gt;"Re-certified",IF(OtherClients[[#This Row],[Client]]="infasco",VLOOKUP(OtherClients[[#This Row],[Part]],PartControl!$A$2:$E$564,2,FALSE),OtherClients[[#This Row],[Total Quantity]]*VLOOKUP(OtherClients[[#This Row],[Part]],PartControl!$A$2:$E$564,2,FALSE)),0)</f>
        <v>0</v>
      </c>
    </row>
    <row r="1767" spans="1:26" ht="25.15" hidden="1" customHeight="1" x14ac:dyDescent="0.25">
      <c r="A1767" s="112">
        <v>46260.693877314814</v>
      </c>
      <c r="B1767" s="5" t="s">
        <v>238</v>
      </c>
      <c r="C1767" s="5">
        <v>11546463</v>
      </c>
      <c r="D1767" s="5">
        <v>717061</v>
      </c>
      <c r="E1767" s="33">
        <v>16</v>
      </c>
      <c r="F1767" s="60">
        <v>450</v>
      </c>
      <c r="G1767" s="60">
        <v>7200</v>
      </c>
      <c r="H1767" s="60">
        <v>275</v>
      </c>
      <c r="I1767" s="60" t="s">
        <v>278</v>
      </c>
      <c r="J1767" s="104"/>
      <c r="K1767" s="33" t="s">
        <v>278</v>
      </c>
      <c r="L1767" s="111"/>
      <c r="M1767" s="33" t="s">
        <v>278</v>
      </c>
      <c r="N1767" s="111"/>
      <c r="O1767" s="33" t="s">
        <v>278</v>
      </c>
      <c r="P1767" s="111"/>
      <c r="Q1767" s="33" t="s">
        <v>587</v>
      </c>
      <c r="R1767" s="111"/>
      <c r="S1767" s="33" t="s">
        <v>278</v>
      </c>
      <c r="T1767" s="111"/>
      <c r="U1767" s="33" t="s">
        <v>278</v>
      </c>
      <c r="V1767" s="111"/>
      <c r="W1767" s="59" t="s">
        <v>548</v>
      </c>
      <c r="X1767" s="33" t="str">
        <f>+VLOOKUP(OtherClients[[#This Row],[Part]],PartControl!$A$2:$E$564,5,FALSE)</f>
        <v>infasco</v>
      </c>
      <c r="Y1767" s="111">
        <v>106.94</v>
      </c>
      <c r="Z1767" s="108">
        <f>IF(OtherClients[[#This Row],[Re-certified or New]]&lt;&gt;"Re-certified",IF(OtherClients[[#This Row],[Client]]="infasco",VLOOKUP(OtherClients[[#This Row],[Part]],PartControl!$A$2:$E$564,2,FALSE),OtherClients[[#This Row],[Total Quantity]]*VLOOKUP(OtherClients[[#This Row],[Part]],PartControl!$A$2:$E$564,2,FALSE)),0)</f>
        <v>106.94</v>
      </c>
    </row>
    <row r="1768" spans="1:26" ht="25.15" hidden="1" customHeight="1" x14ac:dyDescent="0.25">
      <c r="A1768" s="112">
        <v>46260.693877314814</v>
      </c>
      <c r="B1768" s="5" t="s">
        <v>238</v>
      </c>
      <c r="C1768" s="5">
        <v>11546463</v>
      </c>
      <c r="D1768" s="5">
        <v>717062</v>
      </c>
      <c r="E1768" s="33">
        <v>24</v>
      </c>
      <c r="F1768" s="60">
        <v>450</v>
      </c>
      <c r="G1768" s="60">
        <f>+OtherClients[[#This Row],[Boxes / Pieces]]*OtherClients[[#This Row],[Unit Quantity]]</f>
        <v>10800</v>
      </c>
      <c r="H1768" s="60">
        <v>275</v>
      </c>
      <c r="I1768" s="60" t="s">
        <v>278</v>
      </c>
      <c r="J1768" s="104"/>
      <c r="K1768" s="33" t="s">
        <v>278</v>
      </c>
      <c r="L1768" s="111"/>
      <c r="M1768" s="33" t="s">
        <v>278</v>
      </c>
      <c r="N1768" s="111"/>
      <c r="O1768" s="33" t="s">
        <v>278</v>
      </c>
      <c r="P1768" s="111"/>
      <c r="Q1768" s="33" t="s">
        <v>587</v>
      </c>
      <c r="R1768" s="111"/>
      <c r="S1768" s="33" t="s">
        <v>278</v>
      </c>
      <c r="T1768" s="111"/>
      <c r="U1768" s="33" t="s">
        <v>278</v>
      </c>
      <c r="V1768" s="111"/>
      <c r="W1768" s="59" t="s">
        <v>548</v>
      </c>
      <c r="X1768" s="33" t="str">
        <f>+VLOOKUP(OtherClients[[#This Row],[Part]],PartControl!$A$2:$E$564,5,FALSE)</f>
        <v>infasco</v>
      </c>
      <c r="Y1768" s="108">
        <f>IF(OtherClients[[#This Row],[Re-certified or New]]&lt;&gt;"Re-certified",IF(OtherClients[[#This Row],[Client]]="infasco",VLOOKUP(OtherClients[[#This Row],[Part]],PartControl!$A$2:$E$564,2,FALSE),OtherClients[[#This Row],[Total Quantity]]*VLOOKUP(OtherClients[[#This Row],[Part]],PartControl!$A$2:$E$564,2,FALSE)),0)</f>
        <v>106.94</v>
      </c>
      <c r="Z1768" s="108">
        <f>IF(OtherClients[[#This Row],[Re-certified or New]]&lt;&gt;"Re-certified",IF(OtherClients[[#This Row],[Client]]="infasco",VLOOKUP(OtherClients[[#This Row],[Part]],PartControl!$A$2:$E$564,2,FALSE),OtherClients[[#This Row],[Total Quantity]]*VLOOKUP(OtherClients[[#This Row],[Part]],PartControl!$A$2:$E$564,2,FALSE)),0)</f>
        <v>106.94</v>
      </c>
    </row>
    <row r="1769" spans="1:26" ht="25.15" hidden="1" customHeight="1" x14ac:dyDescent="0.25">
      <c r="A1769" s="112">
        <v>46260.693877314814</v>
      </c>
      <c r="B1769" s="5" t="s">
        <v>238</v>
      </c>
      <c r="C1769" s="5" t="s">
        <v>833</v>
      </c>
      <c r="D1769" s="5">
        <v>717268</v>
      </c>
      <c r="E1769" s="33">
        <v>29</v>
      </c>
      <c r="F1769" s="60">
        <v>1500</v>
      </c>
      <c r="G1769" s="60">
        <f>+OtherClients[[#This Row],[Boxes / Pieces]]*OtherClients[[#This Row],[Unit Quantity]]</f>
        <v>43500</v>
      </c>
      <c r="H1769" s="60">
        <v>275</v>
      </c>
      <c r="I1769" s="60" t="s">
        <v>278</v>
      </c>
      <c r="J1769" s="104"/>
      <c r="K1769" s="33" t="s">
        <v>278</v>
      </c>
      <c r="L1769" s="111"/>
      <c r="M1769" s="33" t="s">
        <v>278</v>
      </c>
      <c r="N1769" s="111"/>
      <c r="O1769" s="33" t="s">
        <v>278</v>
      </c>
      <c r="P1769" s="111"/>
      <c r="Q1769" s="33" t="s">
        <v>587</v>
      </c>
      <c r="R1769" s="111"/>
      <c r="S1769" s="33" t="s">
        <v>278</v>
      </c>
      <c r="T1769" s="111"/>
      <c r="U1769" s="33" t="s">
        <v>278</v>
      </c>
      <c r="V1769" s="111"/>
      <c r="W1769" s="59" t="s">
        <v>633</v>
      </c>
      <c r="X1769" s="33" t="str">
        <f>+VLOOKUP(OtherClients[[#This Row],[Part]],PartControl!$A$2:$E$564,5,FALSE)</f>
        <v>infasco</v>
      </c>
      <c r="Y1769" s="108">
        <f>IF(OtherClients[[#This Row],[Re-certified or New]]&lt;&gt;"Re-certified",IF(OtherClients[[#This Row],[Client]]="infasco",VLOOKUP(OtherClients[[#This Row],[Part]],PartControl!$A$2:$E$564,2,FALSE),OtherClients[[#This Row],[Total Quantity]]*VLOOKUP(OtherClients[[#This Row],[Part]],PartControl!$A$2:$E$564,2,FALSE)),0)</f>
        <v>0</v>
      </c>
      <c r="Z1769" s="108">
        <f>IF(OtherClients[[#This Row],[Re-certified or New]]&lt;&gt;"Re-certified",IF(OtherClients[[#This Row],[Client]]="infasco",VLOOKUP(OtherClients[[#This Row],[Part]],PartControl!$A$2:$E$564,2,FALSE),OtherClients[[#This Row],[Total Quantity]]*VLOOKUP(OtherClients[[#This Row],[Part]],PartControl!$A$2:$E$564,2,FALSE)),0)</f>
        <v>0</v>
      </c>
    </row>
    <row r="1770" spans="1:26" ht="25.15" hidden="1" customHeight="1" x14ac:dyDescent="0.25">
      <c r="A1770" s="112">
        <v>46260.693877314814</v>
      </c>
      <c r="B1770" s="5" t="s">
        <v>233</v>
      </c>
      <c r="C1770" s="5" t="s">
        <v>644</v>
      </c>
      <c r="D1770" s="5">
        <v>716863</v>
      </c>
      <c r="E1770" s="33">
        <f>32-10</f>
        <v>22</v>
      </c>
      <c r="F1770" s="60">
        <v>2200</v>
      </c>
      <c r="G1770" s="60">
        <f>+OtherClients[[#This Row],[Boxes / Pieces]]*OtherClients[[#This Row],[Unit Quantity]]</f>
        <v>48400</v>
      </c>
      <c r="H1770" s="60">
        <v>275</v>
      </c>
      <c r="I1770" s="60" t="s">
        <v>278</v>
      </c>
      <c r="J1770" s="104"/>
      <c r="K1770" s="33" t="s">
        <v>278</v>
      </c>
      <c r="L1770" s="111"/>
      <c r="M1770" s="33" t="s">
        <v>278</v>
      </c>
      <c r="N1770" s="111"/>
      <c r="O1770" s="33" t="s">
        <v>278</v>
      </c>
      <c r="P1770" s="111"/>
      <c r="Q1770" s="33" t="s">
        <v>587</v>
      </c>
      <c r="R1770" s="111"/>
      <c r="S1770" s="33" t="s">
        <v>278</v>
      </c>
      <c r="T1770" s="111"/>
      <c r="U1770" s="33" t="s">
        <v>278</v>
      </c>
      <c r="V1770" s="111"/>
      <c r="W1770" s="59" t="s">
        <v>548</v>
      </c>
      <c r="X1770" s="33" t="str">
        <f>+VLOOKUP(OtherClients[[#This Row],[Part]],PartControl!$A$2:$E$564,5,FALSE)</f>
        <v>infasco</v>
      </c>
      <c r="Y1770" s="108">
        <f>IF(OtherClients[[#This Row],[Re-certified or New]]&lt;&gt;"Re-certified",IF(OtherClients[[#This Row],[Client]]="infasco",VLOOKUP(OtherClients[[#This Row],[Part]],PartControl!$A$2:$E$564,2,FALSE),OtherClients[[#This Row],[Total Quantity]]*VLOOKUP(OtherClients[[#This Row],[Part]],PartControl!$A$2:$E$564,2,FALSE)),0)</f>
        <v>106.94</v>
      </c>
      <c r="Z1770" s="108">
        <f>IF(OtherClients[[#This Row],[Re-certified or New]]&lt;&gt;"Re-certified",IF(OtherClients[[#This Row],[Client]]="infasco",VLOOKUP(OtherClients[[#This Row],[Part]],PartControl!$A$2:$E$564,2,FALSE),OtherClients[[#This Row],[Total Quantity]]*VLOOKUP(OtherClients[[#This Row],[Part]],PartControl!$A$2:$E$564,2,FALSE)),0)</f>
        <v>106.94</v>
      </c>
    </row>
    <row r="1771" spans="1:26" ht="25.15" hidden="1" customHeight="1" x14ac:dyDescent="0.25">
      <c r="A1771" s="112">
        <v>46260.693877314814</v>
      </c>
      <c r="B1771" s="5" t="s">
        <v>233</v>
      </c>
      <c r="C1771" s="5" t="s">
        <v>644</v>
      </c>
      <c r="D1771" s="5">
        <v>716861</v>
      </c>
      <c r="E1771" s="33">
        <v>18</v>
      </c>
      <c r="F1771" s="60">
        <v>2200</v>
      </c>
      <c r="G1771" s="60">
        <f>+OtherClients[[#This Row],[Boxes / Pieces]]*OtherClients[[#This Row],[Unit Quantity]]</f>
        <v>39600</v>
      </c>
      <c r="H1771" s="60">
        <v>275</v>
      </c>
      <c r="I1771" s="60" t="s">
        <v>278</v>
      </c>
      <c r="J1771" s="104"/>
      <c r="K1771" s="33" t="s">
        <v>278</v>
      </c>
      <c r="L1771" s="111"/>
      <c r="M1771" s="33" t="s">
        <v>278</v>
      </c>
      <c r="N1771" s="111"/>
      <c r="O1771" s="33" t="s">
        <v>278</v>
      </c>
      <c r="P1771" s="111"/>
      <c r="Q1771" s="33" t="s">
        <v>587</v>
      </c>
      <c r="R1771" s="111"/>
      <c r="S1771" s="33" t="s">
        <v>278</v>
      </c>
      <c r="T1771" s="111"/>
      <c r="U1771" s="33" t="s">
        <v>278</v>
      </c>
      <c r="V1771" s="111"/>
      <c r="W1771" s="59" t="s">
        <v>633</v>
      </c>
      <c r="X1771" s="33" t="str">
        <f>+VLOOKUP(OtherClients[[#This Row],[Part]],PartControl!$A$2:$E$564,5,FALSE)</f>
        <v>infasco</v>
      </c>
      <c r="Y1771" s="108">
        <f>IF(OtherClients[[#This Row],[Re-certified or New]]&lt;&gt;"Re-certified",IF(OtherClients[[#This Row],[Client]]="infasco",VLOOKUP(OtherClients[[#This Row],[Part]],PartControl!$A$2:$E$564,2,FALSE),OtherClients[[#This Row],[Total Quantity]]*VLOOKUP(OtherClients[[#This Row],[Part]],PartControl!$A$2:$E$564,2,FALSE)),0)</f>
        <v>0</v>
      </c>
      <c r="Z1771" s="108">
        <f>IF(OtherClients[[#This Row],[Re-certified or New]]&lt;&gt;"Re-certified",IF(OtherClients[[#This Row],[Client]]="infasco",VLOOKUP(OtherClients[[#This Row],[Part]],PartControl!$A$2:$E$564,2,FALSE),OtherClients[[#This Row],[Total Quantity]]*VLOOKUP(OtherClients[[#This Row],[Part]],PartControl!$A$2:$E$564,2,FALSE)),0)</f>
        <v>0</v>
      </c>
    </row>
    <row r="1772" spans="1:26" ht="25.15" hidden="1" customHeight="1" x14ac:dyDescent="0.25">
      <c r="A1772" s="112">
        <v>46260.693877314814</v>
      </c>
      <c r="B1772" s="5" t="s">
        <v>234</v>
      </c>
      <c r="C1772" s="5">
        <v>11546437</v>
      </c>
      <c r="D1772" s="5">
        <v>716765</v>
      </c>
      <c r="E1772" s="33">
        <f>36+32-18</f>
        <v>50</v>
      </c>
      <c r="F1772" s="60">
        <v>1500</v>
      </c>
      <c r="G1772" s="60">
        <f>+OtherClients[[#This Row],[Boxes / Pieces]]*OtherClients[[#This Row],[Unit Quantity]]</f>
        <v>75000</v>
      </c>
      <c r="H1772" s="60">
        <v>275</v>
      </c>
      <c r="I1772" s="60" t="s">
        <v>278</v>
      </c>
      <c r="J1772" s="104"/>
      <c r="K1772" s="33" t="s">
        <v>278</v>
      </c>
      <c r="L1772" s="111"/>
      <c r="M1772" s="33" t="s">
        <v>278</v>
      </c>
      <c r="N1772" s="111"/>
      <c r="O1772" s="33" t="s">
        <v>278</v>
      </c>
      <c r="P1772" s="111"/>
      <c r="Q1772" s="33" t="s">
        <v>587</v>
      </c>
      <c r="R1772" s="111"/>
      <c r="S1772" s="33" t="s">
        <v>278</v>
      </c>
      <c r="T1772" s="111"/>
      <c r="U1772" s="33" t="s">
        <v>278</v>
      </c>
      <c r="V1772" s="111"/>
      <c r="W1772" s="59" t="s">
        <v>548</v>
      </c>
      <c r="X1772" s="33" t="str">
        <f>+VLOOKUP(OtherClients[[#This Row],[Part]],PartControl!$A$2:$E$564,5,FALSE)</f>
        <v>infasco</v>
      </c>
      <c r="Y1772" s="108">
        <f>IF(OtherClients[[#This Row],[Re-certified or New]]&lt;&gt;"Re-certified",IF(OtherClients[[#This Row],[Client]]="infasco",VLOOKUP(OtherClients[[#This Row],[Part]],PartControl!$A$2:$E$564,2,FALSE),OtherClients[[#This Row],[Total Quantity]]*VLOOKUP(OtherClients[[#This Row],[Part]],PartControl!$A$2:$E$564,2,FALSE)),0)</f>
        <v>106.94</v>
      </c>
      <c r="Z1772" s="108">
        <f>IF(OtherClients[[#This Row],[Re-certified or New]]&lt;&gt;"Re-certified",IF(OtherClients[[#This Row],[Client]]="infasco",VLOOKUP(OtherClients[[#This Row],[Part]],PartControl!$A$2:$E$564,2,FALSE),OtherClients[[#This Row],[Total Quantity]]*VLOOKUP(OtherClients[[#This Row],[Part]],PartControl!$A$2:$E$564,2,FALSE)),0)</f>
        <v>106.94</v>
      </c>
    </row>
    <row r="1773" spans="1:26" ht="25.15" hidden="1" customHeight="1" x14ac:dyDescent="0.25">
      <c r="A1773" s="112">
        <v>46260.693877314814</v>
      </c>
      <c r="B1773" s="5" t="s">
        <v>234</v>
      </c>
      <c r="C1773" s="5" t="s">
        <v>719</v>
      </c>
      <c r="D1773" s="5">
        <v>717699</v>
      </c>
      <c r="E1773" s="33">
        <v>5</v>
      </c>
      <c r="F1773" s="60">
        <v>2150</v>
      </c>
      <c r="G1773" s="60">
        <f>+OtherClients[[#This Row],[Boxes / Pieces]]*OtherClients[[#This Row],[Unit Quantity]]</f>
        <v>10750</v>
      </c>
      <c r="H1773" s="60">
        <v>275</v>
      </c>
      <c r="I1773" s="60" t="s">
        <v>278</v>
      </c>
      <c r="J1773" s="104"/>
      <c r="K1773" s="33" t="s">
        <v>278</v>
      </c>
      <c r="L1773" s="111"/>
      <c r="M1773" s="33" t="s">
        <v>278</v>
      </c>
      <c r="N1773" s="111"/>
      <c r="O1773" s="33" t="s">
        <v>278</v>
      </c>
      <c r="P1773" s="111"/>
      <c r="Q1773" s="33" t="s">
        <v>587</v>
      </c>
      <c r="R1773" s="111"/>
      <c r="S1773" s="33" t="s">
        <v>278</v>
      </c>
      <c r="T1773" s="111"/>
      <c r="U1773" s="33" t="s">
        <v>278</v>
      </c>
      <c r="V1773" s="111"/>
      <c r="W1773" s="59" t="s">
        <v>633</v>
      </c>
      <c r="X1773" s="33" t="str">
        <f>+VLOOKUP(OtherClients[[#This Row],[Part]],PartControl!$A$2:$E$564,5,FALSE)</f>
        <v>infasco</v>
      </c>
      <c r="Y1773" s="108">
        <f>IF(OtherClients[[#This Row],[Re-certified or New]]&lt;&gt;"Re-certified",IF(OtherClients[[#This Row],[Client]]="infasco",VLOOKUP(OtherClients[[#This Row],[Part]],PartControl!$A$2:$E$564,2,FALSE),OtherClients[[#This Row],[Total Quantity]]*VLOOKUP(OtherClients[[#This Row],[Part]],PartControl!$A$2:$E$564,2,FALSE)),0)</f>
        <v>0</v>
      </c>
      <c r="Z1773" s="108">
        <f>IF(OtherClients[[#This Row],[Re-certified or New]]&lt;&gt;"Re-certified",IF(OtherClients[[#This Row],[Client]]="infasco",VLOOKUP(OtherClients[[#This Row],[Part]],PartControl!$A$2:$E$564,2,FALSE),OtherClients[[#This Row],[Total Quantity]]*VLOOKUP(OtherClients[[#This Row],[Part]],PartControl!$A$2:$E$564,2,FALSE)),0)</f>
        <v>0</v>
      </c>
    </row>
    <row r="1774" spans="1:26" ht="25.15" hidden="1" customHeight="1" x14ac:dyDescent="0.25">
      <c r="A1774" s="112">
        <v>46260.693877314814</v>
      </c>
      <c r="B1774" s="5" t="s">
        <v>232</v>
      </c>
      <c r="C1774" s="5">
        <v>11546437</v>
      </c>
      <c r="D1774" s="5">
        <v>716764</v>
      </c>
      <c r="E1774" s="33">
        <f>66-18</f>
        <v>48</v>
      </c>
      <c r="F1774" s="60">
        <v>1500</v>
      </c>
      <c r="G1774" s="60">
        <f>+OtherClients[[#This Row],[Boxes / Pieces]]*OtherClients[[#This Row],[Unit Quantity]]</f>
        <v>72000</v>
      </c>
      <c r="H1774" s="60">
        <v>275</v>
      </c>
      <c r="I1774" s="60" t="s">
        <v>278</v>
      </c>
      <c r="J1774" s="104"/>
      <c r="K1774" s="33" t="s">
        <v>278</v>
      </c>
      <c r="L1774" s="111"/>
      <c r="M1774" s="33" t="s">
        <v>278</v>
      </c>
      <c r="N1774" s="111"/>
      <c r="O1774" s="33" t="s">
        <v>278</v>
      </c>
      <c r="P1774" s="111"/>
      <c r="Q1774" s="33" t="s">
        <v>587</v>
      </c>
      <c r="R1774" s="111"/>
      <c r="S1774" s="33" t="s">
        <v>278</v>
      </c>
      <c r="T1774" s="111"/>
      <c r="U1774" s="33" t="s">
        <v>278</v>
      </c>
      <c r="V1774" s="111"/>
      <c r="W1774" s="59" t="s">
        <v>548</v>
      </c>
      <c r="X1774" s="33" t="str">
        <f>+VLOOKUP(OtherClients[[#This Row],[Part]],PartControl!$A$2:$E$564,5,FALSE)</f>
        <v>infasco</v>
      </c>
      <c r="Y1774" s="108">
        <f>IF(OtherClients[[#This Row],[Re-certified or New]]&lt;&gt;"Re-certified",IF(OtherClients[[#This Row],[Client]]="infasco",VLOOKUP(OtherClients[[#This Row],[Part]],PartControl!$A$2:$E$564,2,FALSE),OtherClients[[#This Row],[Total Quantity]]*VLOOKUP(OtherClients[[#This Row],[Part]],PartControl!$A$2:$E$564,2,FALSE)),0)</f>
        <v>106.94</v>
      </c>
      <c r="Z1774" s="108">
        <f>IF(OtherClients[[#This Row],[Re-certified or New]]&lt;&gt;"Re-certified",IF(OtherClients[[#This Row],[Client]]="infasco",VLOOKUP(OtherClients[[#This Row],[Part]],PartControl!$A$2:$E$564,2,FALSE),OtherClients[[#This Row],[Total Quantity]]*VLOOKUP(OtherClients[[#This Row],[Part]],PartControl!$A$2:$E$564,2,FALSE)),0)</f>
        <v>106.94</v>
      </c>
    </row>
    <row r="1775" spans="1:26" ht="25.15" hidden="1" customHeight="1" x14ac:dyDescent="0.25">
      <c r="A1775" s="112">
        <v>46260.693877314814</v>
      </c>
      <c r="B1775" s="5" t="s">
        <v>232</v>
      </c>
      <c r="C1775" s="5">
        <v>11561645</v>
      </c>
      <c r="D1775" s="5">
        <v>716906</v>
      </c>
      <c r="E1775" s="33">
        <v>6</v>
      </c>
      <c r="F1775" s="60">
        <v>4000</v>
      </c>
      <c r="G1775" s="60">
        <f>+OtherClients[[#This Row],[Boxes / Pieces]]*OtherClients[[#This Row],[Unit Quantity]]</f>
        <v>24000</v>
      </c>
      <c r="H1775" s="60">
        <v>275</v>
      </c>
      <c r="I1775" s="60" t="s">
        <v>278</v>
      </c>
      <c r="J1775" s="104"/>
      <c r="K1775" s="33" t="s">
        <v>278</v>
      </c>
      <c r="L1775" s="111"/>
      <c r="M1775" s="33" t="s">
        <v>278</v>
      </c>
      <c r="N1775" s="111"/>
      <c r="O1775" s="33" t="s">
        <v>278</v>
      </c>
      <c r="P1775" s="111"/>
      <c r="Q1775" s="33" t="s">
        <v>587</v>
      </c>
      <c r="R1775" s="111"/>
      <c r="S1775" s="33" t="s">
        <v>278</v>
      </c>
      <c r="T1775" s="111"/>
      <c r="U1775" s="33" t="s">
        <v>278</v>
      </c>
      <c r="V1775" s="111"/>
      <c r="W1775" s="59" t="s">
        <v>633</v>
      </c>
      <c r="X1775" s="33" t="str">
        <f>+VLOOKUP(OtherClients[[#This Row],[Part]],PartControl!$A$2:$E$564,5,FALSE)</f>
        <v>infasco</v>
      </c>
      <c r="Y1775" s="108">
        <f>IF(OtherClients[[#This Row],[Re-certified or New]]&lt;&gt;"Re-certified",IF(OtherClients[[#This Row],[Client]]="infasco",VLOOKUP(OtherClients[[#This Row],[Part]],PartControl!$A$2:$E$564,2,FALSE),OtherClients[[#This Row],[Total Quantity]]*VLOOKUP(OtherClients[[#This Row],[Part]],PartControl!$A$2:$E$564,2,FALSE)),0)</f>
        <v>0</v>
      </c>
      <c r="Z1775" s="108">
        <f>IF(OtherClients[[#This Row],[Re-certified or New]]&lt;&gt;"Re-certified",IF(OtherClients[[#This Row],[Client]]="infasco",VLOOKUP(OtherClients[[#This Row],[Part]],PartControl!$A$2:$E$564,2,FALSE),OtherClients[[#This Row],[Total Quantity]]*VLOOKUP(OtherClients[[#This Row],[Part]],PartControl!$A$2:$E$564,2,FALSE)),0)</f>
        <v>0</v>
      </c>
    </row>
    <row r="1776" spans="1:26" ht="25.15" hidden="1" customHeight="1" x14ac:dyDescent="0.25">
      <c r="A1776" s="112">
        <v>46260.693877314814</v>
      </c>
      <c r="B1776" s="5" t="s">
        <v>252</v>
      </c>
      <c r="C1776" s="5">
        <v>11546456</v>
      </c>
      <c r="D1776" s="5">
        <v>717075</v>
      </c>
      <c r="E1776" s="33">
        <v>29</v>
      </c>
      <c r="F1776" s="60">
        <v>2700</v>
      </c>
      <c r="G1776" s="60">
        <f>+OtherClients[[#This Row],[Boxes / Pieces]]*OtherClients[[#This Row],[Unit Quantity]]</f>
        <v>78300</v>
      </c>
      <c r="H1776" s="60">
        <v>275</v>
      </c>
      <c r="I1776" s="60" t="s">
        <v>278</v>
      </c>
      <c r="J1776" s="104"/>
      <c r="K1776" s="33" t="s">
        <v>278</v>
      </c>
      <c r="L1776" s="111"/>
      <c r="M1776" s="33" t="s">
        <v>278</v>
      </c>
      <c r="N1776" s="111"/>
      <c r="O1776" s="33" t="s">
        <v>278</v>
      </c>
      <c r="P1776" s="111"/>
      <c r="Q1776" s="33" t="s">
        <v>587</v>
      </c>
      <c r="R1776" s="111"/>
      <c r="S1776" s="33" t="s">
        <v>278</v>
      </c>
      <c r="T1776" s="111"/>
      <c r="U1776" s="33" t="s">
        <v>278</v>
      </c>
      <c r="V1776" s="111"/>
      <c r="W1776" s="59" t="s">
        <v>548</v>
      </c>
      <c r="X1776" s="33" t="str">
        <f>+VLOOKUP(OtherClients[[#This Row],[Part]],PartControl!$A$2:$E$564,5,FALSE)</f>
        <v>INFASCO</v>
      </c>
      <c r="Y1776" s="108">
        <f>IF(OtherClients[[#This Row],[Re-certified or New]]&lt;&gt;"Re-certified",IF(OtherClients[[#This Row],[Client]]="infasco",VLOOKUP(OtherClients[[#This Row],[Part]],PartControl!$A$2:$E$564,2,FALSE),OtherClients[[#This Row],[Total Quantity]]*VLOOKUP(OtherClients[[#This Row],[Part]],PartControl!$A$2:$E$564,2,FALSE)),0)</f>
        <v>106.94</v>
      </c>
      <c r="Z1776" s="108">
        <f>IF(OtherClients[[#This Row],[Re-certified or New]]&lt;&gt;"Re-certified",IF(OtherClients[[#This Row],[Client]]="infasco",VLOOKUP(OtherClients[[#This Row],[Part]],PartControl!$A$2:$E$564,2,FALSE),OtherClients[[#This Row],[Total Quantity]]*VLOOKUP(OtherClients[[#This Row],[Part]],PartControl!$A$2:$E$564,2,FALSE)),0)</f>
        <v>106.94</v>
      </c>
    </row>
    <row r="1777" spans="1:26" ht="25.15" hidden="1" customHeight="1" x14ac:dyDescent="0.25">
      <c r="A1777" s="112">
        <v>46260.693877314814</v>
      </c>
      <c r="B1777" s="5" t="s">
        <v>252</v>
      </c>
      <c r="C1777" s="5" t="s">
        <v>698</v>
      </c>
      <c r="D1777" s="5">
        <v>716234</v>
      </c>
      <c r="E1777" s="33">
        <v>12</v>
      </c>
      <c r="F1777" s="60">
        <v>3000</v>
      </c>
      <c r="G1777" s="60">
        <f>+OtherClients[[#This Row],[Boxes / Pieces]]*OtherClients[[#This Row],[Unit Quantity]]</f>
        <v>36000</v>
      </c>
      <c r="H1777" s="60">
        <v>275</v>
      </c>
      <c r="I1777" s="60" t="s">
        <v>278</v>
      </c>
      <c r="J1777" s="104"/>
      <c r="K1777" s="33" t="s">
        <v>278</v>
      </c>
      <c r="L1777" s="111"/>
      <c r="M1777" s="33" t="s">
        <v>278</v>
      </c>
      <c r="N1777" s="111"/>
      <c r="O1777" s="33" t="s">
        <v>278</v>
      </c>
      <c r="P1777" s="111"/>
      <c r="Q1777" s="33" t="s">
        <v>587</v>
      </c>
      <c r="R1777" s="111"/>
      <c r="S1777" s="33" t="s">
        <v>278</v>
      </c>
      <c r="T1777" s="111"/>
      <c r="U1777" s="33" t="s">
        <v>278</v>
      </c>
      <c r="V1777" s="111"/>
      <c r="W1777" s="59" t="s">
        <v>633</v>
      </c>
      <c r="X1777" s="33" t="str">
        <f>+VLOOKUP(OtherClients[[#This Row],[Part]],PartControl!$A$2:$E$564,5,FALSE)</f>
        <v>infasco</v>
      </c>
      <c r="Y1777" s="108">
        <f>IF(OtherClients[[#This Row],[Re-certified or New]]&lt;&gt;"Re-certified",IF(OtherClients[[#This Row],[Client]]="infasco",VLOOKUP(OtherClients[[#This Row],[Part]],PartControl!$A$2:$E$564,2,FALSE),OtherClients[[#This Row],[Total Quantity]]*VLOOKUP(OtherClients[[#This Row],[Part]],PartControl!$A$2:$E$564,2,FALSE)),0)</f>
        <v>0</v>
      </c>
      <c r="Z1777" s="108">
        <f>IF(OtherClients[[#This Row],[Re-certified or New]]&lt;&gt;"Re-certified",IF(OtherClients[[#This Row],[Client]]="infasco",VLOOKUP(OtherClients[[#This Row],[Part]],PartControl!$A$2:$E$564,2,FALSE),OtherClients[[#This Row],[Total Quantity]]*VLOOKUP(OtherClients[[#This Row],[Part]],PartControl!$A$2:$E$564,2,FALSE)),0)</f>
        <v>0</v>
      </c>
    </row>
    <row r="1778" spans="1:26" ht="25.15" hidden="1" customHeight="1" x14ac:dyDescent="0.25">
      <c r="A1778" s="112">
        <v>46260.693877314814</v>
      </c>
      <c r="B1778" s="5" t="s">
        <v>242</v>
      </c>
      <c r="C1778" s="5">
        <v>11546463</v>
      </c>
      <c r="D1778" s="5">
        <v>717064</v>
      </c>
      <c r="E1778" s="33">
        <f>36-20</f>
        <v>16</v>
      </c>
      <c r="F1778" s="60">
        <v>450</v>
      </c>
      <c r="G1778" s="60">
        <f>+OtherClients[[#This Row],[Boxes / Pieces]]*OtherClients[[#This Row],[Unit Quantity]]</f>
        <v>7200</v>
      </c>
      <c r="H1778" s="60">
        <v>275</v>
      </c>
      <c r="I1778" s="60" t="s">
        <v>278</v>
      </c>
      <c r="J1778" s="104"/>
      <c r="K1778" s="33" t="s">
        <v>278</v>
      </c>
      <c r="L1778" s="111"/>
      <c r="M1778" s="33" t="s">
        <v>278</v>
      </c>
      <c r="N1778" s="111"/>
      <c r="O1778" s="33" t="s">
        <v>278</v>
      </c>
      <c r="P1778" s="111"/>
      <c r="Q1778" s="33" t="s">
        <v>587</v>
      </c>
      <c r="R1778" s="111"/>
      <c r="S1778" s="33" t="s">
        <v>278</v>
      </c>
      <c r="T1778" s="111"/>
      <c r="U1778" s="33" t="s">
        <v>278</v>
      </c>
      <c r="V1778" s="111"/>
      <c r="W1778" s="59" t="s">
        <v>548</v>
      </c>
      <c r="X1778" s="33" t="str">
        <f>+VLOOKUP(OtherClients[[#This Row],[Part]],PartControl!$A$2:$E$564,5,FALSE)</f>
        <v>infasco</v>
      </c>
      <c r="Y1778" s="108">
        <f>IF(OtherClients[[#This Row],[Re-certified or New]]&lt;&gt;"Re-certified",IF(OtherClients[[#This Row],[Client]]="infasco",VLOOKUP(OtherClients[[#This Row],[Part]],PartControl!$A$2:$E$564,2,FALSE),OtherClients[[#This Row],[Total Quantity]]*VLOOKUP(OtherClients[[#This Row],[Part]],PartControl!$A$2:$E$564,2,FALSE)),0)</f>
        <v>106.94</v>
      </c>
      <c r="Z1778" s="108">
        <f>IF(OtherClients[[#This Row],[Re-certified or New]]&lt;&gt;"Re-certified",IF(OtherClients[[#This Row],[Client]]="infasco",VLOOKUP(OtherClients[[#This Row],[Part]],PartControl!$A$2:$E$564,2,FALSE),OtherClients[[#This Row],[Total Quantity]]*VLOOKUP(OtherClients[[#This Row],[Part]],PartControl!$A$2:$E$564,2,FALSE)),0)</f>
        <v>106.94</v>
      </c>
    </row>
    <row r="1779" spans="1:26" ht="25.15" hidden="1" customHeight="1" x14ac:dyDescent="0.25">
      <c r="A1779" s="112">
        <v>46260.693877314814</v>
      </c>
      <c r="B1779" s="5" t="s">
        <v>242</v>
      </c>
      <c r="C1779" s="5">
        <v>11546463</v>
      </c>
      <c r="D1779" s="5">
        <v>717063</v>
      </c>
      <c r="E1779" s="33">
        <v>37</v>
      </c>
      <c r="F1779" s="60">
        <v>450</v>
      </c>
      <c r="G1779" s="60">
        <f>+OtherClients[[#This Row],[Boxes / Pieces]]*OtherClients[[#This Row],[Unit Quantity]]</f>
        <v>16650</v>
      </c>
      <c r="H1779" s="60">
        <v>275</v>
      </c>
      <c r="I1779" s="60" t="s">
        <v>278</v>
      </c>
      <c r="J1779" s="104"/>
      <c r="K1779" s="33" t="s">
        <v>278</v>
      </c>
      <c r="L1779" s="111"/>
      <c r="M1779" s="33" t="s">
        <v>278</v>
      </c>
      <c r="N1779" s="111"/>
      <c r="O1779" s="33" t="s">
        <v>278</v>
      </c>
      <c r="P1779" s="111"/>
      <c r="Q1779" s="33" t="s">
        <v>587</v>
      </c>
      <c r="R1779" s="111"/>
      <c r="S1779" s="33" t="s">
        <v>278</v>
      </c>
      <c r="T1779" s="111"/>
      <c r="U1779" s="33" t="s">
        <v>278</v>
      </c>
      <c r="V1779" s="111"/>
      <c r="W1779" s="59" t="s">
        <v>548</v>
      </c>
      <c r="X1779" s="33" t="str">
        <f>+VLOOKUP(OtherClients[[#This Row],[Part]],PartControl!$A$2:$E$564,5,FALSE)</f>
        <v>infasco</v>
      </c>
      <c r="Y1779" s="108">
        <f>IF(OtherClients[[#This Row],[Re-certified or New]]&lt;&gt;"Re-certified",IF(OtherClients[[#This Row],[Client]]="infasco",VLOOKUP(OtherClients[[#This Row],[Part]],PartControl!$A$2:$E$564,2,FALSE),OtherClients[[#This Row],[Total Quantity]]*VLOOKUP(OtherClients[[#This Row],[Part]],PartControl!$A$2:$E$564,2,FALSE)),0)</f>
        <v>106.94</v>
      </c>
      <c r="Z1779" s="108">
        <f>IF(OtherClients[[#This Row],[Re-certified or New]]&lt;&gt;"Re-certified",IF(OtherClients[[#This Row],[Client]]="infasco",VLOOKUP(OtherClients[[#This Row],[Part]],PartControl!$A$2:$E$564,2,FALSE),OtherClients[[#This Row],[Total Quantity]]*VLOOKUP(OtherClients[[#This Row],[Part]],PartControl!$A$2:$E$564,2,FALSE)),0)</f>
        <v>106.94</v>
      </c>
    </row>
    <row r="1780" spans="1:26" ht="25.15" hidden="1" customHeight="1" x14ac:dyDescent="0.25">
      <c r="A1780" s="112">
        <v>46260.693877314814</v>
      </c>
      <c r="B1780" s="5" t="s">
        <v>242</v>
      </c>
      <c r="C1780" s="5" t="s">
        <v>15</v>
      </c>
      <c r="D1780" s="5">
        <v>716899</v>
      </c>
      <c r="E1780" s="33">
        <v>14</v>
      </c>
      <c r="F1780" s="60">
        <v>1200</v>
      </c>
      <c r="G1780" s="60">
        <f>+OtherClients[[#This Row],[Boxes / Pieces]]*OtherClients[[#This Row],[Unit Quantity]]</f>
        <v>16800</v>
      </c>
      <c r="H1780" s="60">
        <v>275</v>
      </c>
      <c r="I1780" s="60" t="s">
        <v>278</v>
      </c>
      <c r="J1780" s="104"/>
      <c r="K1780" s="33" t="s">
        <v>278</v>
      </c>
      <c r="L1780" s="111"/>
      <c r="M1780" s="33" t="s">
        <v>278</v>
      </c>
      <c r="N1780" s="111"/>
      <c r="O1780" s="33" t="s">
        <v>278</v>
      </c>
      <c r="P1780" s="111"/>
      <c r="Q1780" s="33" t="s">
        <v>587</v>
      </c>
      <c r="R1780" s="111"/>
      <c r="S1780" s="33" t="s">
        <v>278</v>
      </c>
      <c r="T1780" s="111"/>
      <c r="U1780" s="33" t="s">
        <v>278</v>
      </c>
      <c r="V1780" s="111"/>
      <c r="W1780" s="59" t="s">
        <v>633</v>
      </c>
      <c r="X1780" s="33" t="str">
        <f>+VLOOKUP(OtherClients[[#This Row],[Part]],PartControl!$A$2:$E$564,5,FALSE)</f>
        <v>infasco</v>
      </c>
      <c r="Y1780" s="108">
        <f>IF(OtherClients[[#This Row],[Re-certified or New]]&lt;&gt;"Re-certified",IF(OtherClients[[#This Row],[Client]]="infasco",VLOOKUP(OtherClients[[#This Row],[Part]],PartControl!$A$2:$E$564,2,FALSE),OtherClients[[#This Row],[Total Quantity]]*VLOOKUP(OtherClients[[#This Row],[Part]],PartControl!$A$2:$E$564,2,FALSE)),0)</f>
        <v>0</v>
      </c>
      <c r="Z1780" s="108">
        <f>IF(OtherClients[[#This Row],[Re-certified or New]]&lt;&gt;"Re-certified",IF(OtherClients[[#This Row],[Client]]="infasco",VLOOKUP(OtherClients[[#This Row],[Part]],PartControl!$A$2:$E$564,2,FALSE),OtherClients[[#This Row],[Total Quantity]]*VLOOKUP(OtherClients[[#This Row],[Part]],PartControl!$A$2:$E$564,2,FALSE)),0)</f>
        <v>0</v>
      </c>
    </row>
    <row r="1781" spans="1:26" ht="25.15" hidden="1" customHeight="1" x14ac:dyDescent="0.25">
      <c r="A1781" s="112">
        <v>46260.693877314814</v>
      </c>
      <c r="B1781" s="5" t="s">
        <v>237</v>
      </c>
      <c r="C1781" s="5" t="s">
        <v>662</v>
      </c>
      <c r="D1781" s="5">
        <v>717752</v>
      </c>
      <c r="E1781" s="33">
        <f>32-10</f>
        <v>22</v>
      </c>
      <c r="F1781" s="60">
        <v>580</v>
      </c>
      <c r="G1781" s="60">
        <f>+OtherClients[[#This Row],[Boxes / Pieces]]*OtherClients[[#This Row],[Unit Quantity]]</f>
        <v>12760</v>
      </c>
      <c r="H1781" s="60">
        <v>290</v>
      </c>
      <c r="I1781" s="60" t="s">
        <v>278</v>
      </c>
      <c r="J1781" s="104"/>
      <c r="K1781" s="33" t="s">
        <v>278</v>
      </c>
      <c r="L1781" s="111"/>
      <c r="M1781" s="33" t="s">
        <v>278</v>
      </c>
      <c r="N1781" s="111"/>
      <c r="O1781" s="33" t="s">
        <v>278</v>
      </c>
      <c r="P1781" s="111"/>
      <c r="Q1781" s="33" t="s">
        <v>587</v>
      </c>
      <c r="R1781" s="111"/>
      <c r="S1781" s="33" t="s">
        <v>278</v>
      </c>
      <c r="T1781" s="111"/>
      <c r="U1781" s="33" t="s">
        <v>278</v>
      </c>
      <c r="V1781" s="111"/>
      <c r="W1781" s="59" t="s">
        <v>548</v>
      </c>
      <c r="X1781" s="33" t="str">
        <f>+VLOOKUP(OtherClients[[#This Row],[Part]],PartControl!$A$2:$E$564,5,FALSE)</f>
        <v>infasco</v>
      </c>
      <c r="Y1781" s="108">
        <f>IF(OtherClients[[#This Row],[Re-certified or New]]&lt;&gt;"Re-certified",IF(OtherClients[[#This Row],[Client]]="infasco",VLOOKUP(OtherClients[[#This Row],[Part]],PartControl!$A$2:$E$564,2,FALSE),OtherClients[[#This Row],[Total Quantity]]*VLOOKUP(OtherClients[[#This Row],[Part]],PartControl!$A$2:$E$564,2,FALSE)),0)</f>
        <v>280.15999999999997</v>
      </c>
      <c r="Z1781" s="108">
        <f>IF(OtherClients[[#This Row],[Re-certified or New]]&lt;&gt;"Re-certified",IF(OtherClients[[#This Row],[Client]]="infasco",VLOOKUP(OtherClients[[#This Row],[Part]],PartControl!$A$2:$E$564,2,FALSE),OtherClients[[#This Row],[Total Quantity]]*VLOOKUP(OtherClients[[#This Row],[Part]],PartControl!$A$2:$E$564,2,FALSE)),0)</f>
        <v>280.15999999999997</v>
      </c>
    </row>
    <row r="1782" spans="1:26" ht="25.15" hidden="1" customHeight="1" x14ac:dyDescent="0.25">
      <c r="A1782" s="112">
        <v>46260.693877314814</v>
      </c>
      <c r="B1782" s="5" t="s">
        <v>237</v>
      </c>
      <c r="C1782" s="5" t="s">
        <v>703</v>
      </c>
      <c r="D1782" s="5">
        <v>717041</v>
      </c>
      <c r="E1782" s="33">
        <v>36</v>
      </c>
      <c r="F1782" s="60">
        <v>700</v>
      </c>
      <c r="G1782" s="60">
        <f>+OtherClients[[#This Row],[Boxes / Pieces]]*OtherClients[[#This Row],[Unit Quantity]]</f>
        <v>25200</v>
      </c>
      <c r="H1782" s="60">
        <v>290</v>
      </c>
      <c r="I1782" s="60" t="s">
        <v>278</v>
      </c>
      <c r="J1782" s="104"/>
      <c r="K1782" s="33" t="s">
        <v>278</v>
      </c>
      <c r="L1782" s="111"/>
      <c r="M1782" s="33" t="s">
        <v>278</v>
      </c>
      <c r="N1782" s="111"/>
      <c r="O1782" s="33" t="s">
        <v>278</v>
      </c>
      <c r="P1782" s="111"/>
      <c r="Q1782" s="33" t="s">
        <v>587</v>
      </c>
      <c r="R1782" s="111"/>
      <c r="S1782" s="33" t="s">
        <v>278</v>
      </c>
      <c r="T1782" s="111"/>
      <c r="U1782" s="33" t="s">
        <v>278</v>
      </c>
      <c r="V1782" s="111"/>
      <c r="W1782" s="59" t="s">
        <v>548</v>
      </c>
      <c r="X1782" s="33" t="str">
        <f>+VLOOKUP(OtherClients[[#This Row],[Part]],PartControl!$A$2:$E$564,5,FALSE)</f>
        <v>infasco</v>
      </c>
      <c r="Y1782" s="108">
        <f>IF(OtherClients[[#This Row],[Re-certified or New]]&lt;&gt;"Re-certified",IF(OtherClients[[#This Row],[Client]]="infasco",VLOOKUP(OtherClients[[#This Row],[Part]],PartControl!$A$2:$E$564,2,FALSE),OtherClients[[#This Row],[Total Quantity]]*VLOOKUP(OtherClients[[#This Row],[Part]],PartControl!$A$2:$E$564,2,FALSE)),0)</f>
        <v>106.94</v>
      </c>
      <c r="Z1782" s="108">
        <f>IF(OtherClients[[#This Row],[Re-certified or New]]&lt;&gt;"Re-certified",IF(OtherClients[[#This Row],[Client]]="infasco",VLOOKUP(OtherClients[[#This Row],[Part]],PartControl!$A$2:$E$564,2,FALSE),OtherClients[[#This Row],[Total Quantity]]*VLOOKUP(OtherClients[[#This Row],[Part]],PartControl!$A$2:$E$564,2,FALSE)),0)</f>
        <v>106.94</v>
      </c>
    </row>
    <row r="1783" spans="1:26" ht="25.15" hidden="1" customHeight="1" x14ac:dyDescent="0.25">
      <c r="A1783" s="112">
        <v>46260.693877314814</v>
      </c>
      <c r="B1783" s="5" t="s">
        <v>237</v>
      </c>
      <c r="C1783" s="5" t="s">
        <v>703</v>
      </c>
      <c r="D1783" s="5">
        <v>716384</v>
      </c>
      <c r="E1783" s="33">
        <v>36</v>
      </c>
      <c r="F1783" s="60">
        <v>700</v>
      </c>
      <c r="G1783" s="60">
        <f>+OtherClients[[#This Row],[Boxes / Pieces]]*OtherClients[[#This Row],[Unit Quantity]]</f>
        <v>25200</v>
      </c>
      <c r="H1783" s="60">
        <v>290</v>
      </c>
      <c r="I1783" s="60" t="s">
        <v>278</v>
      </c>
      <c r="J1783" s="104"/>
      <c r="K1783" s="33" t="s">
        <v>278</v>
      </c>
      <c r="L1783" s="111"/>
      <c r="M1783" s="33" t="s">
        <v>278</v>
      </c>
      <c r="N1783" s="111"/>
      <c r="O1783" s="33" t="s">
        <v>278</v>
      </c>
      <c r="P1783" s="111"/>
      <c r="Q1783" s="33" t="s">
        <v>587</v>
      </c>
      <c r="R1783" s="111"/>
      <c r="S1783" s="33" t="s">
        <v>278</v>
      </c>
      <c r="T1783" s="111"/>
      <c r="U1783" s="33" t="s">
        <v>278</v>
      </c>
      <c r="V1783" s="111"/>
      <c r="W1783" s="59" t="s">
        <v>548</v>
      </c>
      <c r="X1783" s="33" t="str">
        <f>+VLOOKUP(OtherClients[[#This Row],[Part]],PartControl!$A$2:$E$564,5,FALSE)</f>
        <v>infasco</v>
      </c>
      <c r="Y1783" s="108">
        <f>IF(OtherClients[[#This Row],[Re-certified or New]]&lt;&gt;"Re-certified",IF(OtherClients[[#This Row],[Client]]="infasco",VLOOKUP(OtherClients[[#This Row],[Part]],PartControl!$A$2:$E$564,2,FALSE),OtherClients[[#This Row],[Total Quantity]]*VLOOKUP(OtherClients[[#This Row],[Part]],PartControl!$A$2:$E$564,2,FALSE)),0)</f>
        <v>106.94</v>
      </c>
      <c r="Z1783" s="108">
        <f>IF(OtherClients[[#This Row],[Re-certified or New]]&lt;&gt;"Re-certified",IF(OtherClients[[#This Row],[Client]]="infasco",VLOOKUP(OtherClients[[#This Row],[Part]],PartControl!$A$2:$E$564,2,FALSE),OtherClients[[#This Row],[Total Quantity]]*VLOOKUP(OtherClients[[#This Row],[Part]],PartControl!$A$2:$E$564,2,FALSE)),0)</f>
        <v>106.94</v>
      </c>
    </row>
    <row r="1784" spans="1:26" ht="25.15" hidden="1" customHeight="1" x14ac:dyDescent="0.25">
      <c r="A1784" s="112">
        <v>46260.693877314814</v>
      </c>
      <c r="B1784" s="5" t="s">
        <v>237</v>
      </c>
      <c r="C1784" s="5" t="s">
        <v>703</v>
      </c>
      <c r="D1784" s="5">
        <v>716380</v>
      </c>
      <c r="E1784" s="33">
        <v>2</v>
      </c>
      <c r="F1784" s="60">
        <v>700</v>
      </c>
      <c r="G1784" s="60">
        <f>+OtherClients[[#This Row],[Boxes / Pieces]]*OtherClients[[#This Row],[Unit Quantity]]</f>
        <v>1400</v>
      </c>
      <c r="H1784" s="60">
        <v>290</v>
      </c>
      <c r="I1784" s="60" t="s">
        <v>278</v>
      </c>
      <c r="J1784" s="104"/>
      <c r="K1784" s="33" t="s">
        <v>278</v>
      </c>
      <c r="L1784" s="111"/>
      <c r="M1784" s="33" t="s">
        <v>278</v>
      </c>
      <c r="N1784" s="111"/>
      <c r="O1784" s="33" t="s">
        <v>278</v>
      </c>
      <c r="P1784" s="111"/>
      <c r="Q1784" s="33" t="s">
        <v>587</v>
      </c>
      <c r="R1784" s="111"/>
      <c r="S1784" s="33" t="s">
        <v>278</v>
      </c>
      <c r="T1784" s="111"/>
      <c r="U1784" s="33" t="s">
        <v>278</v>
      </c>
      <c r="V1784" s="111"/>
      <c r="W1784" s="59" t="s">
        <v>633</v>
      </c>
      <c r="X1784" s="33" t="str">
        <f>+VLOOKUP(OtherClients[[#This Row],[Part]],PartControl!$A$2:$E$564,5,FALSE)</f>
        <v>infasco</v>
      </c>
      <c r="Y1784" s="108">
        <f>IF(OtherClients[[#This Row],[Re-certified or New]]&lt;&gt;"Re-certified",IF(OtherClients[[#This Row],[Client]]="infasco",VLOOKUP(OtherClients[[#This Row],[Part]],PartControl!$A$2:$E$564,2,FALSE),OtherClients[[#This Row],[Total Quantity]]*VLOOKUP(OtherClients[[#This Row],[Part]],PartControl!$A$2:$E$564,2,FALSE)),0)</f>
        <v>0</v>
      </c>
      <c r="Z1784" s="108">
        <f>IF(OtherClients[[#This Row],[Re-certified or New]]&lt;&gt;"Re-certified",IF(OtherClients[[#This Row],[Client]]="infasco",VLOOKUP(OtherClients[[#This Row],[Part]],PartControl!$A$2:$E$564,2,FALSE),OtherClients[[#This Row],[Total Quantity]]*VLOOKUP(OtherClients[[#This Row],[Part]],PartControl!$A$2:$E$564,2,FALSE)),0)</f>
        <v>0</v>
      </c>
    </row>
    <row r="1785" spans="1:26" ht="25.15" hidden="1" customHeight="1" x14ac:dyDescent="0.25">
      <c r="A1785" s="112">
        <v>46260.693877314814</v>
      </c>
      <c r="B1785" s="5" t="s">
        <v>250</v>
      </c>
      <c r="C1785" s="5" t="s">
        <v>703</v>
      </c>
      <c r="D1785" s="5">
        <v>716372</v>
      </c>
      <c r="E1785" s="33">
        <f>26-2</f>
        <v>24</v>
      </c>
      <c r="F1785" s="60">
        <v>700</v>
      </c>
      <c r="G1785" s="60">
        <f>+OtherClients[[#This Row],[Boxes / Pieces]]*OtherClients[[#This Row],[Unit Quantity]]</f>
        <v>16800</v>
      </c>
      <c r="H1785" s="60">
        <v>290</v>
      </c>
      <c r="I1785" s="60" t="s">
        <v>278</v>
      </c>
      <c r="J1785" s="104"/>
      <c r="K1785" s="33" t="s">
        <v>278</v>
      </c>
      <c r="L1785" s="111"/>
      <c r="M1785" s="33" t="s">
        <v>278</v>
      </c>
      <c r="N1785" s="111"/>
      <c r="O1785" s="33" t="s">
        <v>278</v>
      </c>
      <c r="P1785" s="111"/>
      <c r="Q1785" s="33" t="s">
        <v>587</v>
      </c>
      <c r="R1785" s="111"/>
      <c r="S1785" s="33" t="s">
        <v>278</v>
      </c>
      <c r="T1785" s="111"/>
      <c r="U1785" s="33" t="s">
        <v>278</v>
      </c>
      <c r="V1785" s="111"/>
      <c r="W1785" s="59" t="s">
        <v>633</v>
      </c>
      <c r="X1785" s="33" t="str">
        <f>+VLOOKUP(OtherClients[[#This Row],[Part]],PartControl!$A$2:$E$564,5,FALSE)</f>
        <v>infasco</v>
      </c>
      <c r="Y1785" s="108">
        <f>IF(OtherClients[[#This Row],[Re-certified or New]]&lt;&gt;"Re-certified",IF(OtherClients[[#This Row],[Client]]="infasco",VLOOKUP(OtherClients[[#This Row],[Part]],PartControl!$A$2:$E$564,2,FALSE),OtherClients[[#This Row],[Total Quantity]]*VLOOKUP(OtherClients[[#This Row],[Part]],PartControl!$A$2:$E$564,2,FALSE)),0)</f>
        <v>0</v>
      </c>
      <c r="Z1785" s="108">
        <f>IF(OtherClients[[#This Row],[Re-certified or New]]&lt;&gt;"Re-certified",IF(OtherClients[[#This Row],[Client]]="infasco",VLOOKUP(OtherClients[[#This Row],[Part]],PartControl!$A$2:$E$564,2,FALSE),OtherClients[[#This Row],[Total Quantity]]*VLOOKUP(OtherClients[[#This Row],[Part]],PartControl!$A$2:$E$564,2,FALSE)),0)</f>
        <v>0</v>
      </c>
    </row>
    <row r="1786" spans="1:26" ht="25.15" hidden="1" customHeight="1" x14ac:dyDescent="0.25">
      <c r="A1786" s="112">
        <v>46260.693877314814</v>
      </c>
      <c r="B1786" s="5" t="s">
        <v>240</v>
      </c>
      <c r="C1786" s="5" t="s">
        <v>645</v>
      </c>
      <c r="D1786" s="5">
        <v>716897</v>
      </c>
      <c r="E1786" s="33">
        <f>36-15</f>
        <v>21</v>
      </c>
      <c r="F1786" s="60">
        <v>1000</v>
      </c>
      <c r="G1786" s="60">
        <f>+OtherClients[[#This Row],[Boxes / Pieces]]*OtherClients[[#This Row],[Unit Quantity]]</f>
        <v>21000</v>
      </c>
      <c r="H1786" s="60">
        <v>290</v>
      </c>
      <c r="I1786" s="60" t="s">
        <v>278</v>
      </c>
      <c r="J1786" s="104"/>
      <c r="K1786" s="33" t="s">
        <v>278</v>
      </c>
      <c r="L1786" s="111"/>
      <c r="M1786" s="33" t="s">
        <v>278</v>
      </c>
      <c r="N1786" s="111"/>
      <c r="O1786" s="33" t="s">
        <v>278</v>
      </c>
      <c r="P1786" s="111"/>
      <c r="Q1786" s="33" t="s">
        <v>587</v>
      </c>
      <c r="R1786" s="111"/>
      <c r="S1786" s="33" t="s">
        <v>278</v>
      </c>
      <c r="T1786" s="111"/>
      <c r="U1786" s="33" t="s">
        <v>278</v>
      </c>
      <c r="V1786" s="111"/>
      <c r="W1786" s="59" t="s">
        <v>548</v>
      </c>
      <c r="X1786" s="33" t="str">
        <f>+VLOOKUP(OtherClients[[#This Row],[Part]],PartControl!$A$2:$E$564,5,FALSE)</f>
        <v>infasco</v>
      </c>
      <c r="Y1786" s="108">
        <f>IF(OtherClients[[#This Row],[Re-certified or New]]&lt;&gt;"Re-certified",IF(OtherClients[[#This Row],[Client]]="infasco",VLOOKUP(OtherClients[[#This Row],[Part]],PartControl!$A$2:$E$564,2,FALSE),OtherClients[[#This Row],[Total Quantity]]*VLOOKUP(OtherClients[[#This Row],[Part]],PartControl!$A$2:$E$564,2,FALSE)),0)</f>
        <v>106.94</v>
      </c>
      <c r="Z1786" s="108">
        <f>IF(OtherClients[[#This Row],[Re-certified or New]]&lt;&gt;"Re-certified",IF(OtherClients[[#This Row],[Client]]="infasco",VLOOKUP(OtherClients[[#This Row],[Part]],PartControl!$A$2:$E$564,2,FALSE),OtherClients[[#This Row],[Total Quantity]]*VLOOKUP(OtherClients[[#This Row],[Part]],PartControl!$A$2:$E$564,2,FALSE)),0)</f>
        <v>106.94</v>
      </c>
    </row>
    <row r="1787" spans="1:26" ht="25.15" hidden="1" customHeight="1" x14ac:dyDescent="0.25">
      <c r="A1787" s="112">
        <v>46260.693877314814</v>
      </c>
      <c r="B1787" s="5" t="s">
        <v>240</v>
      </c>
      <c r="C1787" s="5" t="s">
        <v>645</v>
      </c>
      <c r="D1787" s="5">
        <v>716895</v>
      </c>
      <c r="E1787" s="33">
        <v>36</v>
      </c>
      <c r="F1787" s="60">
        <v>1000</v>
      </c>
      <c r="G1787" s="60">
        <f>+OtherClients[[#This Row],[Boxes / Pieces]]*OtherClients[[#This Row],[Unit Quantity]]</f>
        <v>36000</v>
      </c>
      <c r="H1787" s="60">
        <v>290</v>
      </c>
      <c r="I1787" s="60" t="s">
        <v>278</v>
      </c>
      <c r="J1787" s="104"/>
      <c r="K1787" s="33" t="s">
        <v>278</v>
      </c>
      <c r="L1787" s="111"/>
      <c r="M1787" s="33" t="s">
        <v>278</v>
      </c>
      <c r="N1787" s="111"/>
      <c r="O1787" s="33" t="s">
        <v>278</v>
      </c>
      <c r="P1787" s="111"/>
      <c r="Q1787" s="33" t="s">
        <v>587</v>
      </c>
      <c r="R1787" s="111"/>
      <c r="S1787" s="33" t="s">
        <v>278</v>
      </c>
      <c r="T1787" s="111"/>
      <c r="U1787" s="33" t="s">
        <v>278</v>
      </c>
      <c r="V1787" s="111"/>
      <c r="W1787" s="59" t="s">
        <v>548</v>
      </c>
      <c r="X1787" s="33" t="str">
        <f>+VLOOKUP(OtherClients[[#This Row],[Part]],PartControl!$A$2:$E$564,5,FALSE)</f>
        <v>infasco</v>
      </c>
      <c r="Y1787" s="108">
        <f>IF(OtherClients[[#This Row],[Re-certified or New]]&lt;&gt;"Re-certified",IF(OtherClients[[#This Row],[Client]]="infasco",VLOOKUP(OtherClients[[#This Row],[Part]],PartControl!$A$2:$E$564,2,FALSE),OtherClients[[#This Row],[Total Quantity]]*VLOOKUP(OtherClients[[#This Row],[Part]],PartControl!$A$2:$E$564,2,FALSE)),0)</f>
        <v>106.94</v>
      </c>
      <c r="Z1787" s="108">
        <f>IF(OtherClients[[#This Row],[Re-certified or New]]&lt;&gt;"Re-certified",IF(OtherClients[[#This Row],[Client]]="infasco",VLOOKUP(OtherClients[[#This Row],[Part]],PartControl!$A$2:$E$564,2,FALSE),OtherClients[[#This Row],[Total Quantity]]*VLOOKUP(OtherClients[[#This Row],[Part]],PartControl!$A$2:$E$564,2,FALSE)),0)</f>
        <v>106.94</v>
      </c>
    </row>
    <row r="1788" spans="1:26" ht="25.15" hidden="1" customHeight="1" x14ac:dyDescent="0.25">
      <c r="A1788" s="112">
        <v>46260.693877314814</v>
      </c>
      <c r="B1788" s="5" t="s">
        <v>240</v>
      </c>
      <c r="C1788" s="5" t="s">
        <v>645</v>
      </c>
      <c r="D1788" s="5">
        <v>716893</v>
      </c>
      <c r="E1788" s="33">
        <v>36</v>
      </c>
      <c r="F1788" s="60">
        <v>1000</v>
      </c>
      <c r="G1788" s="60">
        <f>+OtherClients[[#This Row],[Boxes / Pieces]]*OtherClients[[#This Row],[Unit Quantity]]</f>
        <v>36000</v>
      </c>
      <c r="H1788" s="60">
        <v>290</v>
      </c>
      <c r="I1788" s="60" t="s">
        <v>278</v>
      </c>
      <c r="J1788" s="104"/>
      <c r="K1788" s="33" t="s">
        <v>278</v>
      </c>
      <c r="L1788" s="111"/>
      <c r="M1788" s="33" t="s">
        <v>278</v>
      </c>
      <c r="N1788" s="111"/>
      <c r="O1788" s="33" t="s">
        <v>278</v>
      </c>
      <c r="P1788" s="111"/>
      <c r="Q1788" s="33" t="s">
        <v>587</v>
      </c>
      <c r="R1788" s="111"/>
      <c r="S1788" s="33" t="s">
        <v>278</v>
      </c>
      <c r="T1788" s="111"/>
      <c r="U1788" s="33" t="s">
        <v>278</v>
      </c>
      <c r="V1788" s="111"/>
      <c r="W1788" s="59" t="s">
        <v>548</v>
      </c>
      <c r="X1788" s="33" t="str">
        <f>+VLOOKUP(OtherClients[[#This Row],[Part]],PartControl!$A$2:$E$564,5,FALSE)</f>
        <v>infasco</v>
      </c>
      <c r="Y1788" s="108">
        <f>IF(OtherClients[[#This Row],[Re-certified or New]]&lt;&gt;"Re-certified",IF(OtherClients[[#This Row],[Client]]="infasco",VLOOKUP(OtherClients[[#This Row],[Part]],PartControl!$A$2:$E$564,2,FALSE),OtherClients[[#This Row],[Total Quantity]]*VLOOKUP(OtherClients[[#This Row],[Part]],PartControl!$A$2:$E$564,2,FALSE)),0)</f>
        <v>106.94</v>
      </c>
      <c r="Z1788" s="108">
        <f>IF(OtherClients[[#This Row],[Re-certified or New]]&lt;&gt;"Re-certified",IF(OtherClients[[#This Row],[Client]]="infasco",VLOOKUP(OtherClients[[#This Row],[Part]],PartControl!$A$2:$E$564,2,FALSE),OtherClients[[#This Row],[Total Quantity]]*VLOOKUP(OtherClients[[#This Row],[Part]],PartControl!$A$2:$E$564,2,FALSE)),0)</f>
        <v>106.94</v>
      </c>
    </row>
    <row r="1789" spans="1:26" ht="25.15" hidden="1" customHeight="1" x14ac:dyDescent="0.25">
      <c r="A1789" s="112">
        <v>46260.693877314814</v>
      </c>
      <c r="B1789" s="5" t="s">
        <v>240</v>
      </c>
      <c r="C1789" s="5" t="s">
        <v>645</v>
      </c>
      <c r="D1789" s="5">
        <v>716892</v>
      </c>
      <c r="E1789" s="33">
        <v>15</v>
      </c>
      <c r="F1789" s="60">
        <v>1000</v>
      </c>
      <c r="G1789" s="60">
        <f>+OtherClients[[#This Row],[Boxes / Pieces]]*OtherClients[[#This Row],[Unit Quantity]]</f>
        <v>15000</v>
      </c>
      <c r="H1789" s="60">
        <v>290</v>
      </c>
      <c r="I1789" s="60" t="s">
        <v>278</v>
      </c>
      <c r="J1789" s="104"/>
      <c r="K1789" s="33" t="s">
        <v>278</v>
      </c>
      <c r="L1789" s="111"/>
      <c r="M1789" s="33" t="s">
        <v>278</v>
      </c>
      <c r="N1789" s="111"/>
      <c r="O1789" s="33" t="s">
        <v>278</v>
      </c>
      <c r="P1789" s="111"/>
      <c r="Q1789" s="33" t="s">
        <v>587</v>
      </c>
      <c r="R1789" s="111"/>
      <c r="S1789" s="33" t="s">
        <v>278</v>
      </c>
      <c r="T1789" s="111"/>
      <c r="U1789" s="33" t="s">
        <v>278</v>
      </c>
      <c r="V1789" s="111"/>
      <c r="W1789" s="59" t="s">
        <v>633</v>
      </c>
      <c r="X1789" s="33" t="str">
        <f>+VLOOKUP(OtherClients[[#This Row],[Part]],PartControl!$A$2:$E$564,5,FALSE)</f>
        <v>infasco</v>
      </c>
      <c r="Y1789" s="108">
        <f>IF(OtherClients[[#This Row],[Re-certified or New]]&lt;&gt;"Re-certified",IF(OtherClients[[#This Row],[Client]]="infasco",VLOOKUP(OtherClients[[#This Row],[Part]],PartControl!$A$2:$E$564,2,FALSE),OtherClients[[#This Row],[Total Quantity]]*VLOOKUP(OtherClients[[#This Row],[Part]],PartControl!$A$2:$E$564,2,FALSE)),0)</f>
        <v>0</v>
      </c>
      <c r="Z1789" s="108">
        <f>IF(OtherClients[[#This Row],[Re-certified or New]]&lt;&gt;"Re-certified",IF(OtherClients[[#This Row],[Client]]="infasco",VLOOKUP(OtherClients[[#This Row],[Part]],PartControl!$A$2:$E$564,2,FALSE),OtherClients[[#This Row],[Total Quantity]]*VLOOKUP(OtherClients[[#This Row],[Part]],PartControl!$A$2:$E$564,2,FALSE)),0)</f>
        <v>0</v>
      </c>
    </row>
    <row r="1790" spans="1:26" ht="25.15" hidden="1" customHeight="1" x14ac:dyDescent="0.25">
      <c r="A1790" s="112">
        <v>46260.693877314814</v>
      </c>
      <c r="B1790" s="5" t="s">
        <v>239</v>
      </c>
      <c r="C1790" s="5" t="s">
        <v>645</v>
      </c>
      <c r="D1790" s="5">
        <v>716896</v>
      </c>
      <c r="E1790" s="33">
        <v>36</v>
      </c>
      <c r="F1790" s="60">
        <v>1000</v>
      </c>
      <c r="G1790" s="60">
        <f>+OtherClients[[#This Row],[Boxes / Pieces]]*OtherClients[[#This Row],[Unit Quantity]]</f>
        <v>36000</v>
      </c>
      <c r="H1790" s="60">
        <v>290</v>
      </c>
      <c r="I1790" s="60" t="s">
        <v>278</v>
      </c>
      <c r="J1790" s="104"/>
      <c r="K1790" s="33" t="s">
        <v>278</v>
      </c>
      <c r="L1790" s="111"/>
      <c r="M1790" s="33" t="s">
        <v>278</v>
      </c>
      <c r="N1790" s="111"/>
      <c r="O1790" s="33" t="s">
        <v>278</v>
      </c>
      <c r="P1790" s="111"/>
      <c r="Q1790" s="33" t="s">
        <v>587</v>
      </c>
      <c r="R1790" s="111"/>
      <c r="S1790" s="33" t="s">
        <v>278</v>
      </c>
      <c r="T1790" s="111"/>
      <c r="U1790" s="33" t="s">
        <v>278</v>
      </c>
      <c r="V1790" s="111"/>
      <c r="W1790" s="59" t="s">
        <v>548</v>
      </c>
      <c r="X1790" s="33" t="str">
        <f>+VLOOKUP(OtherClients[[#This Row],[Part]],PartControl!$A$2:$E$564,5,FALSE)</f>
        <v>infasco</v>
      </c>
      <c r="Y1790" s="108">
        <f>IF(OtherClients[[#This Row],[Re-certified or New]]&lt;&gt;"Re-certified",IF(OtherClients[[#This Row],[Client]]="infasco",VLOOKUP(OtherClients[[#This Row],[Part]],PartControl!$A$2:$E$564,2,FALSE),OtherClients[[#This Row],[Total Quantity]]*VLOOKUP(OtherClients[[#This Row],[Part]],PartControl!$A$2:$E$564,2,FALSE)),0)</f>
        <v>106.94</v>
      </c>
      <c r="Z1790" s="108">
        <f>IF(OtherClients[[#This Row],[Re-certified or New]]&lt;&gt;"Re-certified",IF(OtherClients[[#This Row],[Client]]="infasco",VLOOKUP(OtherClients[[#This Row],[Part]],PartControl!$A$2:$E$564,2,FALSE),OtherClients[[#This Row],[Total Quantity]]*VLOOKUP(OtherClients[[#This Row],[Part]],PartControl!$A$2:$E$564,2,FALSE)),0)</f>
        <v>106.94</v>
      </c>
    </row>
    <row r="1791" spans="1:26" ht="25.15" hidden="1" customHeight="1" x14ac:dyDescent="0.25">
      <c r="A1791" s="112">
        <v>46260.693877314814</v>
      </c>
      <c r="B1791" s="5" t="s">
        <v>239</v>
      </c>
      <c r="C1791" s="5" t="s">
        <v>687</v>
      </c>
      <c r="D1791" s="5">
        <v>716641</v>
      </c>
      <c r="E1791" s="33">
        <v>36</v>
      </c>
      <c r="F1791" s="60">
        <v>280</v>
      </c>
      <c r="G1791" s="60">
        <f>+OtherClients[[#This Row],[Boxes / Pieces]]*OtherClients[[#This Row],[Unit Quantity]]</f>
        <v>10080</v>
      </c>
      <c r="H1791" s="60">
        <v>290</v>
      </c>
      <c r="I1791" s="60" t="s">
        <v>278</v>
      </c>
      <c r="J1791" s="104"/>
      <c r="K1791" s="33" t="s">
        <v>278</v>
      </c>
      <c r="L1791" s="111"/>
      <c r="M1791" s="33" t="s">
        <v>278</v>
      </c>
      <c r="N1791" s="111"/>
      <c r="O1791" s="33" t="s">
        <v>278</v>
      </c>
      <c r="P1791" s="111"/>
      <c r="Q1791" s="33" t="s">
        <v>587</v>
      </c>
      <c r="R1791" s="111"/>
      <c r="S1791" s="33" t="s">
        <v>278</v>
      </c>
      <c r="T1791" s="111"/>
      <c r="U1791" s="33" t="s">
        <v>278</v>
      </c>
      <c r="V1791" s="111"/>
      <c r="W1791" s="59" t="s">
        <v>548</v>
      </c>
      <c r="X1791" s="33" t="str">
        <f>+VLOOKUP(OtherClients[[#This Row],[Part]],PartControl!$A$2:$E$564,5,FALSE)</f>
        <v>infasco</v>
      </c>
      <c r="Y1791" s="108">
        <f>IF(OtherClients[[#This Row],[Re-certified or New]]&lt;&gt;"Re-certified",IF(OtherClients[[#This Row],[Client]]="infasco",VLOOKUP(OtherClients[[#This Row],[Part]],PartControl!$A$2:$E$564,2,FALSE),OtherClients[[#This Row],[Total Quantity]]*VLOOKUP(OtherClients[[#This Row],[Part]],PartControl!$A$2:$E$564,2,FALSE)),0)</f>
        <v>106.94</v>
      </c>
      <c r="Z1791" s="108">
        <f>IF(OtherClients[[#This Row],[Re-certified or New]]&lt;&gt;"Re-certified",IF(OtherClients[[#This Row],[Client]]="infasco",VLOOKUP(OtherClients[[#This Row],[Part]],PartControl!$A$2:$E$564,2,FALSE),OtherClients[[#This Row],[Total Quantity]]*VLOOKUP(OtherClients[[#This Row],[Part]],PartControl!$A$2:$E$564,2,FALSE)),0)</f>
        <v>106.94</v>
      </c>
    </row>
    <row r="1792" spans="1:26" ht="25.15" hidden="1" customHeight="1" x14ac:dyDescent="0.25">
      <c r="A1792" s="112">
        <v>46260.693877314814</v>
      </c>
      <c r="B1792" s="5" t="s">
        <v>239</v>
      </c>
      <c r="C1792" s="5" t="s">
        <v>687</v>
      </c>
      <c r="D1792" s="5">
        <v>716639</v>
      </c>
      <c r="E1792" s="33">
        <v>36</v>
      </c>
      <c r="F1792" s="60">
        <v>280</v>
      </c>
      <c r="G1792" s="60">
        <f>+OtherClients[[#This Row],[Boxes / Pieces]]*OtherClients[[#This Row],[Unit Quantity]]</f>
        <v>10080</v>
      </c>
      <c r="H1792" s="60">
        <v>290</v>
      </c>
      <c r="I1792" s="60" t="s">
        <v>278</v>
      </c>
      <c r="J1792" s="104"/>
      <c r="K1792" s="33" t="s">
        <v>278</v>
      </c>
      <c r="L1792" s="111"/>
      <c r="M1792" s="33" t="s">
        <v>278</v>
      </c>
      <c r="N1792" s="111"/>
      <c r="O1792" s="33" t="s">
        <v>278</v>
      </c>
      <c r="P1792" s="111"/>
      <c r="Q1792" s="33" t="s">
        <v>587</v>
      </c>
      <c r="R1792" s="111"/>
      <c r="S1792" s="33" t="s">
        <v>278</v>
      </c>
      <c r="T1792" s="111"/>
      <c r="U1792" s="33" t="s">
        <v>278</v>
      </c>
      <c r="V1792" s="111"/>
      <c r="W1792" s="59" t="s">
        <v>548</v>
      </c>
      <c r="X1792" s="33" t="str">
        <f>+VLOOKUP(OtherClients[[#This Row],[Part]],PartControl!$A$2:$E$564,5,FALSE)</f>
        <v>infasco</v>
      </c>
      <c r="Y1792" s="108">
        <f>IF(OtherClients[[#This Row],[Re-certified or New]]&lt;&gt;"Re-certified",IF(OtherClients[[#This Row],[Client]]="infasco",VLOOKUP(OtherClients[[#This Row],[Part]],PartControl!$A$2:$E$564,2,FALSE),OtherClients[[#This Row],[Total Quantity]]*VLOOKUP(OtherClients[[#This Row],[Part]],PartControl!$A$2:$E$564,2,FALSE)),0)</f>
        <v>106.94</v>
      </c>
      <c r="Z1792" s="108">
        <f>IF(OtherClients[[#This Row],[Re-certified or New]]&lt;&gt;"Re-certified",IF(OtherClients[[#This Row],[Client]]="infasco",VLOOKUP(OtherClients[[#This Row],[Part]],PartControl!$A$2:$E$564,2,FALSE),OtherClients[[#This Row],[Total Quantity]]*VLOOKUP(OtherClients[[#This Row],[Part]],PartControl!$A$2:$E$564,2,FALSE)),0)</f>
        <v>106.94</v>
      </c>
    </row>
    <row r="1793" spans="1:26" ht="25.15" hidden="1" customHeight="1" x14ac:dyDescent="0.25">
      <c r="A1793" s="112">
        <v>46260.693877314814</v>
      </c>
      <c r="B1793" s="5" t="s">
        <v>239</v>
      </c>
      <c r="C1793" s="5" t="s">
        <v>687</v>
      </c>
      <c r="D1793" s="5">
        <v>716642</v>
      </c>
      <c r="E1793" s="33">
        <v>16</v>
      </c>
      <c r="F1793" s="60">
        <v>280</v>
      </c>
      <c r="G1793" s="60">
        <f>+OtherClients[[#This Row],[Boxes / Pieces]]*OtherClients[[#This Row],[Unit Quantity]]</f>
        <v>4480</v>
      </c>
      <c r="H1793" s="60">
        <v>290</v>
      </c>
      <c r="I1793" s="60" t="s">
        <v>278</v>
      </c>
      <c r="J1793" s="104"/>
      <c r="K1793" s="33" t="s">
        <v>278</v>
      </c>
      <c r="L1793" s="111"/>
      <c r="M1793" s="33" t="s">
        <v>278</v>
      </c>
      <c r="N1793" s="111"/>
      <c r="O1793" s="33" t="s">
        <v>278</v>
      </c>
      <c r="P1793" s="111"/>
      <c r="Q1793" s="33" t="s">
        <v>587</v>
      </c>
      <c r="R1793" s="111"/>
      <c r="S1793" s="33" t="s">
        <v>278</v>
      </c>
      <c r="T1793" s="111"/>
      <c r="U1793" s="33" t="s">
        <v>278</v>
      </c>
      <c r="V1793" s="111"/>
      <c r="W1793" s="59" t="s">
        <v>633</v>
      </c>
      <c r="X1793" s="33" t="str">
        <f>+VLOOKUP(OtherClients[[#This Row],[Part]],PartControl!$A$2:$E$564,5,FALSE)</f>
        <v>infasco</v>
      </c>
      <c r="Y1793" s="108">
        <f>IF(OtherClients[[#This Row],[Re-certified or New]]&lt;&gt;"Re-certified",IF(OtherClients[[#This Row],[Client]]="infasco",VLOOKUP(OtherClients[[#This Row],[Part]],PartControl!$A$2:$E$564,2,FALSE),OtherClients[[#This Row],[Total Quantity]]*VLOOKUP(OtherClients[[#This Row],[Part]],PartControl!$A$2:$E$564,2,FALSE)),0)</f>
        <v>0</v>
      </c>
      <c r="Z1793" s="108">
        <f>IF(OtherClients[[#This Row],[Re-certified or New]]&lt;&gt;"Re-certified",IF(OtherClients[[#This Row],[Client]]="infasco",VLOOKUP(OtherClients[[#This Row],[Part]],PartControl!$A$2:$E$564,2,FALSE),OtherClients[[#This Row],[Total Quantity]]*VLOOKUP(OtherClients[[#This Row],[Part]],PartControl!$A$2:$E$564,2,FALSE)),0)</f>
        <v>0</v>
      </c>
    </row>
    <row r="1794" spans="1:26" ht="25.15" hidden="1" customHeight="1" x14ac:dyDescent="0.25">
      <c r="A1794" s="112">
        <v>46260.693877314814</v>
      </c>
      <c r="B1794" s="5" t="s">
        <v>236</v>
      </c>
      <c r="C1794" s="5">
        <v>11546437</v>
      </c>
      <c r="D1794" s="5">
        <v>716763</v>
      </c>
      <c r="E1794" s="33">
        <f>36-29</f>
        <v>7</v>
      </c>
      <c r="F1794" s="60">
        <v>1500</v>
      </c>
      <c r="G1794" s="60">
        <f>+OtherClients[[#This Row],[Boxes / Pieces]]*OtherClients[[#This Row],[Unit Quantity]]</f>
        <v>10500</v>
      </c>
      <c r="H1794" s="60">
        <v>290</v>
      </c>
      <c r="I1794" s="60" t="s">
        <v>278</v>
      </c>
      <c r="J1794" s="104"/>
      <c r="K1794" s="33" t="s">
        <v>278</v>
      </c>
      <c r="L1794" s="111"/>
      <c r="M1794" s="33" t="s">
        <v>278</v>
      </c>
      <c r="N1794" s="111"/>
      <c r="O1794" s="33" t="s">
        <v>278</v>
      </c>
      <c r="P1794" s="111"/>
      <c r="Q1794" s="33" t="s">
        <v>587</v>
      </c>
      <c r="R1794" s="111"/>
      <c r="S1794" s="33" t="s">
        <v>278</v>
      </c>
      <c r="T1794" s="111"/>
      <c r="U1794" s="33" t="s">
        <v>278</v>
      </c>
      <c r="V1794" s="111"/>
      <c r="W1794" s="59" t="s">
        <v>548</v>
      </c>
      <c r="X1794" s="33" t="str">
        <f>+VLOOKUP(OtherClients[[#This Row],[Part]],PartControl!$A$2:$E$564,5,FALSE)</f>
        <v>infasco</v>
      </c>
      <c r="Y1794" s="108">
        <f>IF(OtherClients[[#This Row],[Re-certified or New]]&lt;&gt;"Re-certified",IF(OtherClients[[#This Row],[Client]]="infasco",VLOOKUP(OtherClients[[#This Row],[Part]],PartControl!$A$2:$E$564,2,FALSE),OtherClients[[#This Row],[Total Quantity]]*VLOOKUP(OtherClients[[#This Row],[Part]],PartControl!$A$2:$E$564,2,FALSE)),0)</f>
        <v>106.94</v>
      </c>
      <c r="Z1794" s="108">
        <f>IF(OtherClients[[#This Row],[Re-certified or New]]&lt;&gt;"Re-certified",IF(OtherClients[[#This Row],[Client]]="infasco",VLOOKUP(OtherClients[[#This Row],[Part]],PartControl!$A$2:$E$564,2,FALSE),OtherClients[[#This Row],[Total Quantity]]*VLOOKUP(OtherClients[[#This Row],[Part]],PartControl!$A$2:$E$564,2,FALSE)),0)</f>
        <v>106.94</v>
      </c>
    </row>
    <row r="1795" spans="1:26" ht="25.15" hidden="1" customHeight="1" x14ac:dyDescent="0.25">
      <c r="A1795" s="112">
        <v>46260.693877314814</v>
      </c>
      <c r="B1795" s="5" t="s">
        <v>236</v>
      </c>
      <c r="C1795" s="5" t="s">
        <v>659</v>
      </c>
      <c r="D1795" s="5">
        <v>716236</v>
      </c>
      <c r="E1795" s="33">
        <v>14</v>
      </c>
      <c r="F1795" s="60">
        <v>3000</v>
      </c>
      <c r="G1795" s="60">
        <f>+OtherClients[[#This Row],[Boxes / Pieces]]*OtherClients[[#This Row],[Unit Quantity]]</f>
        <v>42000</v>
      </c>
      <c r="H1795" s="60">
        <v>290</v>
      </c>
      <c r="I1795" s="60" t="s">
        <v>278</v>
      </c>
      <c r="J1795" s="104"/>
      <c r="K1795" s="33" t="s">
        <v>278</v>
      </c>
      <c r="L1795" s="111"/>
      <c r="M1795" s="33" t="s">
        <v>278</v>
      </c>
      <c r="N1795" s="111"/>
      <c r="O1795" s="33" t="s">
        <v>278</v>
      </c>
      <c r="P1795" s="111"/>
      <c r="Q1795" s="33" t="s">
        <v>587</v>
      </c>
      <c r="R1795" s="111"/>
      <c r="S1795" s="33" t="s">
        <v>278</v>
      </c>
      <c r="T1795" s="111"/>
      <c r="U1795" s="33" t="s">
        <v>278</v>
      </c>
      <c r="V1795" s="111"/>
      <c r="W1795" s="59" t="s">
        <v>633</v>
      </c>
      <c r="X1795" s="33" t="str">
        <f>+VLOOKUP(OtherClients[[#This Row],[Part]],PartControl!$A$2:$E$564,5,FALSE)</f>
        <v>infasco</v>
      </c>
      <c r="Y1795" s="108">
        <f>IF(OtherClients[[#This Row],[Re-certified or New]]&lt;&gt;"Re-certified",IF(OtherClients[[#This Row],[Client]]="infasco",VLOOKUP(OtherClients[[#This Row],[Part]],PartControl!$A$2:$E$564,2,FALSE),OtherClients[[#This Row],[Total Quantity]]*VLOOKUP(OtherClients[[#This Row],[Part]],PartControl!$A$2:$E$564,2,FALSE)),0)</f>
        <v>0</v>
      </c>
      <c r="Z1795" s="108">
        <f>IF(OtherClients[[#This Row],[Re-certified or New]]&lt;&gt;"Re-certified",IF(OtherClients[[#This Row],[Client]]="infasco",VLOOKUP(OtherClients[[#This Row],[Part]],PartControl!$A$2:$E$564,2,FALSE),OtherClients[[#This Row],[Total Quantity]]*VLOOKUP(OtherClients[[#This Row],[Part]],PartControl!$A$2:$E$564,2,FALSE)),0)</f>
        <v>0</v>
      </c>
    </row>
    <row r="1796" spans="1:26" ht="25.15" hidden="1" customHeight="1" x14ac:dyDescent="0.25">
      <c r="A1796" s="112">
        <v>46260.693877314814</v>
      </c>
      <c r="B1796" s="5" t="s">
        <v>235</v>
      </c>
      <c r="C1796" s="5" t="s">
        <v>656</v>
      </c>
      <c r="D1796" s="5">
        <v>716991</v>
      </c>
      <c r="E1796" s="33">
        <f>29-8</f>
        <v>21</v>
      </c>
      <c r="F1796" s="60">
        <v>825</v>
      </c>
      <c r="G1796" s="60">
        <f>+OtherClients[[#This Row],[Boxes / Pieces]]*OtherClients[[#This Row],[Unit Quantity]]</f>
        <v>17325</v>
      </c>
      <c r="H1796" s="60">
        <v>290</v>
      </c>
      <c r="I1796" s="60" t="s">
        <v>278</v>
      </c>
      <c r="J1796" s="104"/>
      <c r="K1796" s="33" t="s">
        <v>278</v>
      </c>
      <c r="L1796" s="111"/>
      <c r="M1796" s="33" t="s">
        <v>278</v>
      </c>
      <c r="N1796" s="111"/>
      <c r="O1796" s="33" t="s">
        <v>278</v>
      </c>
      <c r="P1796" s="111"/>
      <c r="Q1796" s="33" t="s">
        <v>587</v>
      </c>
      <c r="R1796" s="111"/>
      <c r="S1796" s="33" t="s">
        <v>278</v>
      </c>
      <c r="T1796" s="111"/>
      <c r="U1796" s="33" t="s">
        <v>278</v>
      </c>
      <c r="V1796" s="111"/>
      <c r="W1796" s="59" t="s">
        <v>548</v>
      </c>
      <c r="X1796" s="33" t="str">
        <f>+VLOOKUP(OtherClients[[#This Row],[Part]],PartControl!$A$2:$E$564,5,FALSE)</f>
        <v>infasco</v>
      </c>
      <c r="Y1796" s="108">
        <f>IF(OtherClients[[#This Row],[Re-certified or New]]&lt;&gt;"Re-certified",IF(OtherClients[[#This Row],[Client]]="infasco",VLOOKUP(OtherClients[[#This Row],[Part]],PartControl!$A$2:$E$564,2,FALSE),OtherClients[[#This Row],[Total Quantity]]*VLOOKUP(OtherClients[[#This Row],[Part]],PartControl!$A$2:$E$564,2,FALSE)),0)</f>
        <v>280.16000000000003</v>
      </c>
      <c r="Z1796" s="108">
        <f>IF(OtherClients[[#This Row],[Re-certified or New]]&lt;&gt;"Re-certified",IF(OtherClients[[#This Row],[Client]]="infasco",VLOOKUP(OtherClients[[#This Row],[Part]],PartControl!$A$2:$E$564,2,FALSE),OtherClients[[#This Row],[Total Quantity]]*VLOOKUP(OtherClients[[#This Row],[Part]],PartControl!$A$2:$E$564,2,FALSE)),0)</f>
        <v>280.16000000000003</v>
      </c>
    </row>
    <row r="1797" spans="1:26" ht="25.15" hidden="1" customHeight="1" x14ac:dyDescent="0.25">
      <c r="A1797" s="112">
        <v>46260.693877314814</v>
      </c>
      <c r="B1797" s="5" t="s">
        <v>244</v>
      </c>
      <c r="C1797" s="5" t="s">
        <v>644</v>
      </c>
      <c r="D1797" s="5">
        <v>716860</v>
      </c>
      <c r="E1797" s="33">
        <f>35-18</f>
        <v>17</v>
      </c>
      <c r="F1797" s="60">
        <v>2200</v>
      </c>
      <c r="G1797" s="60">
        <f>+OtherClients[[#This Row],[Boxes / Pieces]]*OtherClients[[#This Row],[Unit Quantity]]</f>
        <v>37400</v>
      </c>
      <c r="H1797" s="60">
        <v>292</v>
      </c>
      <c r="I1797" s="60" t="s">
        <v>278</v>
      </c>
      <c r="J1797" s="104"/>
      <c r="K1797" s="33" t="s">
        <v>278</v>
      </c>
      <c r="L1797" s="111"/>
      <c r="M1797" s="33" t="s">
        <v>278</v>
      </c>
      <c r="N1797" s="111"/>
      <c r="O1797" s="33" t="s">
        <v>278</v>
      </c>
      <c r="P1797" s="111"/>
      <c r="Q1797" s="33" t="s">
        <v>587</v>
      </c>
      <c r="R1797" s="111"/>
      <c r="S1797" s="33" t="s">
        <v>278</v>
      </c>
      <c r="T1797" s="111"/>
      <c r="U1797" s="33" t="s">
        <v>278</v>
      </c>
      <c r="V1797" s="111"/>
      <c r="W1797" s="59" t="s">
        <v>548</v>
      </c>
      <c r="X1797" s="33" t="str">
        <f>+VLOOKUP(OtherClients[[#This Row],[Part]],PartControl!$A$2:$E$564,5,FALSE)</f>
        <v>infasco</v>
      </c>
      <c r="Y1797" s="108">
        <f>IF(OtherClients[[#This Row],[Re-certified or New]]&lt;&gt;"Re-certified",IF(OtherClients[[#This Row],[Client]]="infasco",VLOOKUP(OtherClients[[#This Row],[Part]],PartControl!$A$2:$E$564,2,FALSE),OtherClients[[#This Row],[Total Quantity]]*VLOOKUP(OtherClients[[#This Row],[Part]],PartControl!$A$2:$E$564,2,FALSE)),0)</f>
        <v>106.94</v>
      </c>
      <c r="Z1797" s="108">
        <f>IF(OtherClients[[#This Row],[Re-certified or New]]&lt;&gt;"Re-certified",IF(OtherClients[[#This Row],[Client]]="infasco",VLOOKUP(OtherClients[[#This Row],[Part]],PartControl!$A$2:$E$564,2,FALSE),OtherClients[[#This Row],[Total Quantity]]*VLOOKUP(OtherClients[[#This Row],[Part]],PartControl!$A$2:$E$564,2,FALSE)),0)</f>
        <v>106.94</v>
      </c>
    </row>
    <row r="1798" spans="1:26" ht="25.15" hidden="1" customHeight="1" x14ac:dyDescent="0.25">
      <c r="A1798" s="112">
        <v>46260.693877314814</v>
      </c>
      <c r="B1798" s="5" t="s">
        <v>244</v>
      </c>
      <c r="C1798" s="5" t="s">
        <v>719</v>
      </c>
      <c r="D1798" s="5">
        <v>717630</v>
      </c>
      <c r="E1798" s="33">
        <v>5</v>
      </c>
      <c r="F1798" s="60">
        <v>2150</v>
      </c>
      <c r="G1798" s="60">
        <f>+OtherClients[[#This Row],[Boxes / Pieces]]*OtherClients[[#This Row],[Unit Quantity]]</f>
        <v>10750</v>
      </c>
      <c r="H1798" s="60">
        <v>292</v>
      </c>
      <c r="I1798" s="60" t="s">
        <v>278</v>
      </c>
      <c r="J1798" s="104"/>
      <c r="K1798" s="33" t="s">
        <v>278</v>
      </c>
      <c r="L1798" s="111"/>
      <c r="M1798" s="33" t="s">
        <v>278</v>
      </c>
      <c r="N1798" s="111"/>
      <c r="O1798" s="33" t="s">
        <v>278</v>
      </c>
      <c r="P1798" s="111"/>
      <c r="Q1798" s="33" t="s">
        <v>587</v>
      </c>
      <c r="R1798" s="111"/>
      <c r="S1798" s="33" t="s">
        <v>278</v>
      </c>
      <c r="T1798" s="111"/>
      <c r="U1798" s="33" t="s">
        <v>278</v>
      </c>
      <c r="V1798" s="111"/>
      <c r="W1798" s="59" t="s">
        <v>633</v>
      </c>
      <c r="X1798" s="33" t="str">
        <f>+VLOOKUP(OtherClients[[#This Row],[Part]],PartControl!$A$2:$E$564,5,FALSE)</f>
        <v>infasco</v>
      </c>
      <c r="Y1798" s="108">
        <f>IF(OtherClients[[#This Row],[Re-certified or New]]&lt;&gt;"Re-certified",IF(OtherClients[[#This Row],[Client]]="infasco",VLOOKUP(OtherClients[[#This Row],[Part]],PartControl!$A$2:$E$564,2,FALSE),OtherClients[[#This Row],[Total Quantity]]*VLOOKUP(OtherClients[[#This Row],[Part]],PartControl!$A$2:$E$564,2,FALSE)),0)</f>
        <v>0</v>
      </c>
      <c r="Z1798" s="108">
        <f>IF(OtherClients[[#This Row],[Re-certified or New]]&lt;&gt;"Re-certified",IF(OtherClients[[#This Row],[Client]]="infasco",VLOOKUP(OtherClients[[#This Row],[Part]],PartControl!$A$2:$E$564,2,FALSE),OtherClients[[#This Row],[Total Quantity]]*VLOOKUP(OtherClients[[#This Row],[Part]],PartControl!$A$2:$E$564,2,FALSE)),0)</f>
        <v>0</v>
      </c>
    </row>
    <row r="1799" spans="1:26" ht="25.15" hidden="1" customHeight="1" x14ac:dyDescent="0.25">
      <c r="A1799" s="112">
        <v>46260.693877314814</v>
      </c>
      <c r="B1799" s="5" t="s">
        <v>245</v>
      </c>
      <c r="C1799" s="5">
        <v>11546377</v>
      </c>
      <c r="D1799" s="5">
        <v>716615</v>
      </c>
      <c r="E1799" s="33">
        <f>34-16</f>
        <v>18</v>
      </c>
      <c r="F1799" s="60">
        <v>2150</v>
      </c>
      <c r="G1799" s="60">
        <f>+OtherClients[[#This Row],[Boxes / Pieces]]*OtherClients[[#This Row],[Unit Quantity]]</f>
        <v>38700</v>
      </c>
      <c r="H1799" s="60">
        <v>292</v>
      </c>
      <c r="I1799" s="60" t="s">
        <v>278</v>
      </c>
      <c r="J1799" s="104"/>
      <c r="K1799" s="33" t="s">
        <v>278</v>
      </c>
      <c r="L1799" s="111"/>
      <c r="M1799" s="33" t="s">
        <v>278</v>
      </c>
      <c r="N1799" s="111"/>
      <c r="O1799" s="33" t="s">
        <v>278</v>
      </c>
      <c r="P1799" s="111"/>
      <c r="Q1799" s="33" t="s">
        <v>587</v>
      </c>
      <c r="R1799" s="111"/>
      <c r="S1799" s="33" t="s">
        <v>278</v>
      </c>
      <c r="T1799" s="111"/>
      <c r="U1799" s="33" t="s">
        <v>278</v>
      </c>
      <c r="V1799" s="111"/>
      <c r="W1799" s="59" t="s">
        <v>548</v>
      </c>
      <c r="X1799" s="33" t="str">
        <f>+VLOOKUP(OtherClients[[#This Row],[Part]],PartControl!$A$2:$E$564,5,FALSE)</f>
        <v>INFASCO</v>
      </c>
      <c r="Y1799" s="108">
        <f>IF(OtherClients[[#This Row],[Re-certified or New]]&lt;&gt;"Re-certified",IF(OtherClients[[#This Row],[Client]]="infasco",VLOOKUP(OtherClients[[#This Row],[Part]],PartControl!$A$2:$E$564,2,FALSE),OtherClients[[#This Row],[Total Quantity]]*VLOOKUP(OtherClients[[#This Row],[Part]],PartControl!$A$2:$E$564,2,FALSE)),0)</f>
        <v>106.94</v>
      </c>
      <c r="Z1799" s="108">
        <f>IF(OtherClients[[#This Row],[Re-certified or New]]&lt;&gt;"Re-certified",IF(OtherClients[[#This Row],[Client]]="infasco",VLOOKUP(OtherClients[[#This Row],[Part]],PartControl!$A$2:$E$564,2,FALSE),OtherClients[[#This Row],[Total Quantity]]*VLOOKUP(OtherClients[[#This Row],[Part]],PartControl!$A$2:$E$564,2,FALSE)),0)</f>
        <v>106.94</v>
      </c>
    </row>
    <row r="1800" spans="1:26" ht="25.15" hidden="1" customHeight="1" x14ac:dyDescent="0.25">
      <c r="A1800" s="112">
        <v>46260.693877314814</v>
      </c>
      <c r="B1800" s="5" t="s">
        <v>245</v>
      </c>
      <c r="C1800" s="5" t="s">
        <v>719</v>
      </c>
      <c r="D1800" s="5">
        <v>717696</v>
      </c>
      <c r="E1800" s="33">
        <v>5</v>
      </c>
      <c r="F1800" s="60">
        <v>2150</v>
      </c>
      <c r="G1800" s="60">
        <f>+OtherClients[[#This Row],[Boxes / Pieces]]*OtherClients[[#This Row],[Unit Quantity]]</f>
        <v>10750</v>
      </c>
      <c r="H1800" s="60">
        <v>292</v>
      </c>
      <c r="I1800" s="60" t="s">
        <v>278</v>
      </c>
      <c r="J1800" s="104"/>
      <c r="K1800" s="33" t="s">
        <v>278</v>
      </c>
      <c r="L1800" s="111"/>
      <c r="M1800" s="33" t="s">
        <v>278</v>
      </c>
      <c r="N1800" s="111"/>
      <c r="O1800" s="33" t="s">
        <v>278</v>
      </c>
      <c r="P1800" s="111"/>
      <c r="Q1800" s="33" t="s">
        <v>587</v>
      </c>
      <c r="R1800" s="111"/>
      <c r="S1800" s="33" t="s">
        <v>278</v>
      </c>
      <c r="T1800" s="111"/>
      <c r="U1800" s="33" t="s">
        <v>278</v>
      </c>
      <c r="V1800" s="111"/>
      <c r="W1800" s="59" t="s">
        <v>633</v>
      </c>
      <c r="X1800" s="33" t="str">
        <f>+VLOOKUP(OtherClients[[#This Row],[Part]],PartControl!$A$2:$E$564,5,FALSE)</f>
        <v>infasco</v>
      </c>
      <c r="Y1800" s="108">
        <f>IF(OtherClients[[#This Row],[Re-certified or New]]&lt;&gt;"Re-certified",IF(OtherClients[[#This Row],[Client]]="infasco",VLOOKUP(OtherClients[[#This Row],[Part]],PartControl!$A$2:$E$564,2,FALSE),OtherClients[[#This Row],[Total Quantity]]*VLOOKUP(OtherClients[[#This Row],[Part]],PartControl!$A$2:$E$564,2,FALSE)),0)</f>
        <v>0</v>
      </c>
      <c r="Z1800" s="108">
        <f>IF(OtherClients[[#This Row],[Re-certified or New]]&lt;&gt;"Re-certified",IF(OtherClients[[#This Row],[Client]]="infasco",VLOOKUP(OtherClients[[#This Row],[Part]],PartControl!$A$2:$E$564,2,FALSE),OtherClients[[#This Row],[Total Quantity]]*VLOOKUP(OtherClients[[#This Row],[Part]],PartControl!$A$2:$E$564,2,FALSE)),0)</f>
        <v>0</v>
      </c>
    </row>
    <row r="1801" spans="1:26" ht="25.15" hidden="1" customHeight="1" x14ac:dyDescent="0.25">
      <c r="A1801" s="112">
        <v>46260.693877314814</v>
      </c>
      <c r="B1801" s="5" t="s">
        <v>251</v>
      </c>
      <c r="C1801" s="5" t="s">
        <v>703</v>
      </c>
      <c r="D1801" s="5">
        <v>717042</v>
      </c>
      <c r="E1801" s="33">
        <v>36</v>
      </c>
      <c r="F1801" s="60">
        <v>700</v>
      </c>
      <c r="G1801" s="60">
        <f>+OtherClients[[#This Row],[Boxes / Pieces]]*OtherClients[[#This Row],[Unit Quantity]]</f>
        <v>25200</v>
      </c>
      <c r="H1801" s="60">
        <v>292</v>
      </c>
      <c r="I1801" s="60" t="s">
        <v>278</v>
      </c>
      <c r="J1801" s="104"/>
      <c r="K1801" s="33" t="s">
        <v>278</v>
      </c>
      <c r="L1801" s="111"/>
      <c r="M1801" s="33" t="s">
        <v>278</v>
      </c>
      <c r="N1801" s="111"/>
      <c r="O1801" s="33" t="s">
        <v>278</v>
      </c>
      <c r="P1801" s="111"/>
      <c r="Q1801" s="33" t="s">
        <v>587</v>
      </c>
      <c r="R1801" s="111"/>
      <c r="S1801" s="33" t="s">
        <v>278</v>
      </c>
      <c r="T1801" s="111"/>
      <c r="U1801" s="33" t="s">
        <v>278</v>
      </c>
      <c r="V1801" s="111"/>
      <c r="W1801" s="59" t="s">
        <v>548</v>
      </c>
      <c r="X1801" s="33" t="str">
        <f>+VLOOKUP(OtherClients[[#This Row],[Part]],PartControl!$A$2:$E$564,5,FALSE)</f>
        <v>infasco</v>
      </c>
      <c r="Y1801" s="108">
        <f>IF(OtherClients[[#This Row],[Re-certified or New]]&lt;&gt;"Re-certified",IF(OtherClients[[#This Row],[Client]]="infasco",VLOOKUP(OtherClients[[#This Row],[Part]],PartControl!$A$2:$E$564,2,FALSE),OtherClients[[#This Row],[Total Quantity]]*VLOOKUP(OtherClients[[#This Row],[Part]],PartControl!$A$2:$E$564,2,FALSE)),0)</f>
        <v>106.94</v>
      </c>
      <c r="Z1801" s="108">
        <f>IF(OtherClients[[#This Row],[Re-certified or New]]&lt;&gt;"Re-certified",IF(OtherClients[[#This Row],[Client]]="infasco",VLOOKUP(OtherClients[[#This Row],[Part]],PartControl!$A$2:$E$564,2,FALSE),OtherClients[[#This Row],[Total Quantity]]*VLOOKUP(OtherClients[[#This Row],[Part]],PartControl!$A$2:$E$564,2,FALSE)),0)</f>
        <v>106.94</v>
      </c>
    </row>
    <row r="1802" spans="1:26" ht="25.15" hidden="1" customHeight="1" x14ac:dyDescent="0.25">
      <c r="A1802" s="112">
        <v>46260.693877314814</v>
      </c>
      <c r="B1802" s="5" t="s">
        <v>624</v>
      </c>
      <c r="C1802" s="5" t="s">
        <v>662</v>
      </c>
      <c r="D1802" s="5">
        <v>717754</v>
      </c>
      <c r="E1802" s="33">
        <f>33-19</f>
        <v>14</v>
      </c>
      <c r="F1802" s="60">
        <v>580</v>
      </c>
      <c r="G1802" s="60">
        <f>+OtherClients[[#This Row],[Boxes / Pieces]]*OtherClients[[#This Row],[Unit Quantity]]</f>
        <v>8120</v>
      </c>
      <c r="H1802" s="60">
        <v>292</v>
      </c>
      <c r="I1802" s="60" t="s">
        <v>278</v>
      </c>
      <c r="J1802" s="104"/>
      <c r="K1802" s="33" t="s">
        <v>278</v>
      </c>
      <c r="L1802" s="111"/>
      <c r="M1802" s="33" t="s">
        <v>278</v>
      </c>
      <c r="N1802" s="111"/>
      <c r="O1802" s="33" t="s">
        <v>278</v>
      </c>
      <c r="P1802" s="111"/>
      <c r="Q1802" s="33" t="s">
        <v>587</v>
      </c>
      <c r="R1802" s="111"/>
      <c r="S1802" s="33" t="s">
        <v>278</v>
      </c>
      <c r="T1802" s="111"/>
      <c r="U1802" s="33" t="s">
        <v>278</v>
      </c>
      <c r="V1802" s="111"/>
      <c r="W1802" s="59" t="s">
        <v>548</v>
      </c>
      <c r="X1802" s="33" t="str">
        <f>+VLOOKUP(OtherClients[[#This Row],[Part]],PartControl!$A$2:$E$564,5,FALSE)</f>
        <v>infasco</v>
      </c>
      <c r="Y1802" s="108">
        <f>IF(OtherClients[[#This Row],[Re-certified or New]]&lt;&gt;"Re-certified",IF(OtherClients[[#This Row],[Client]]="infasco",VLOOKUP(OtherClients[[#This Row],[Part]],PartControl!$A$2:$E$564,2,FALSE),OtherClients[[#This Row],[Total Quantity]]*VLOOKUP(OtherClients[[#This Row],[Part]],PartControl!$A$2:$E$564,2,FALSE)),0)</f>
        <v>280.15999999999997</v>
      </c>
      <c r="Z1802" s="108">
        <f>IF(OtherClients[[#This Row],[Re-certified or New]]&lt;&gt;"Re-certified",IF(OtherClients[[#This Row],[Client]]="infasco",VLOOKUP(OtherClients[[#This Row],[Part]],PartControl!$A$2:$E$564,2,FALSE),OtherClients[[#This Row],[Total Quantity]]*VLOOKUP(OtherClients[[#This Row],[Part]],PartControl!$A$2:$E$564,2,FALSE)),0)</f>
        <v>280.15999999999997</v>
      </c>
    </row>
    <row r="1803" spans="1:26" ht="25.15" hidden="1" customHeight="1" x14ac:dyDescent="0.25">
      <c r="A1803" s="112">
        <v>46260.693877314814</v>
      </c>
      <c r="B1803" s="5" t="s">
        <v>624</v>
      </c>
      <c r="C1803" s="5" t="s">
        <v>705</v>
      </c>
      <c r="D1803" s="5">
        <v>716122</v>
      </c>
      <c r="E1803" s="33">
        <v>36</v>
      </c>
      <c r="F1803" s="60">
        <v>450</v>
      </c>
      <c r="G1803" s="60">
        <f>+OtherClients[[#This Row],[Boxes / Pieces]]*OtherClients[[#This Row],[Unit Quantity]]</f>
        <v>16200</v>
      </c>
      <c r="H1803" s="60">
        <v>292</v>
      </c>
      <c r="I1803" s="60" t="s">
        <v>278</v>
      </c>
      <c r="J1803" s="104"/>
      <c r="K1803" s="33" t="s">
        <v>278</v>
      </c>
      <c r="L1803" s="111"/>
      <c r="M1803" s="33" t="s">
        <v>278</v>
      </c>
      <c r="N1803" s="111"/>
      <c r="O1803" s="33" t="s">
        <v>278</v>
      </c>
      <c r="P1803" s="111"/>
      <c r="Q1803" s="33" t="s">
        <v>587</v>
      </c>
      <c r="R1803" s="111"/>
      <c r="S1803" s="33" t="s">
        <v>278</v>
      </c>
      <c r="T1803" s="111"/>
      <c r="U1803" s="33" t="s">
        <v>278</v>
      </c>
      <c r="V1803" s="111"/>
      <c r="W1803" s="59" t="s">
        <v>548</v>
      </c>
      <c r="X1803" s="33" t="str">
        <f>+VLOOKUP(OtherClients[[#This Row],[Part]],PartControl!$A$2:$E$564,5,FALSE)</f>
        <v>infasco</v>
      </c>
      <c r="Y1803" s="108">
        <f>IF(OtherClients[[#This Row],[Re-certified or New]]&lt;&gt;"Re-certified",IF(OtherClients[[#This Row],[Client]]="infasco",VLOOKUP(OtherClients[[#This Row],[Part]],PartControl!$A$2:$E$564,2,FALSE),OtherClients[[#This Row],[Total Quantity]]*VLOOKUP(OtherClients[[#This Row],[Part]],PartControl!$A$2:$E$564,2,FALSE)),0)</f>
        <v>106.94</v>
      </c>
      <c r="Z1803" s="108">
        <f>IF(OtherClients[[#This Row],[Re-certified or New]]&lt;&gt;"Re-certified",IF(OtherClients[[#This Row],[Client]]="infasco",VLOOKUP(OtherClients[[#This Row],[Part]],PartControl!$A$2:$E$564,2,FALSE),OtherClients[[#This Row],[Total Quantity]]*VLOOKUP(OtherClients[[#This Row],[Part]],PartControl!$A$2:$E$564,2,FALSE)),0)</f>
        <v>106.94</v>
      </c>
    </row>
    <row r="1804" spans="1:26" ht="25.15" hidden="1" customHeight="1" x14ac:dyDescent="0.25">
      <c r="A1804" s="112">
        <v>46260.693877314814</v>
      </c>
      <c r="B1804" s="5" t="s">
        <v>624</v>
      </c>
      <c r="C1804" s="5" t="s">
        <v>705</v>
      </c>
      <c r="D1804" s="5">
        <v>716129</v>
      </c>
      <c r="E1804" s="33">
        <v>20</v>
      </c>
      <c r="F1804" s="60">
        <v>450</v>
      </c>
      <c r="G1804" s="60">
        <f>+OtherClients[[#This Row],[Boxes / Pieces]]*OtherClients[[#This Row],[Unit Quantity]]</f>
        <v>9000</v>
      </c>
      <c r="H1804" s="60">
        <v>292</v>
      </c>
      <c r="I1804" s="60" t="s">
        <v>278</v>
      </c>
      <c r="J1804" s="104"/>
      <c r="K1804" s="33" t="s">
        <v>278</v>
      </c>
      <c r="L1804" s="111"/>
      <c r="M1804" s="33" t="s">
        <v>278</v>
      </c>
      <c r="N1804" s="111"/>
      <c r="O1804" s="33" t="s">
        <v>278</v>
      </c>
      <c r="P1804" s="111"/>
      <c r="Q1804" s="33" t="s">
        <v>587</v>
      </c>
      <c r="R1804" s="111"/>
      <c r="S1804" s="33" t="s">
        <v>278</v>
      </c>
      <c r="T1804" s="111"/>
      <c r="U1804" s="33" t="s">
        <v>278</v>
      </c>
      <c r="V1804" s="111"/>
      <c r="W1804" s="59" t="s">
        <v>548</v>
      </c>
      <c r="X1804" s="33" t="str">
        <f>+VLOOKUP(OtherClients[[#This Row],[Part]],PartControl!$A$2:$E$564,5,FALSE)</f>
        <v>infasco</v>
      </c>
      <c r="Y1804" s="108">
        <f>IF(OtherClients[[#This Row],[Re-certified or New]]&lt;&gt;"Re-certified",IF(OtherClients[[#This Row],[Client]]="infasco",VLOOKUP(OtherClients[[#This Row],[Part]],PartControl!$A$2:$E$564,2,FALSE),OtherClients[[#This Row],[Total Quantity]]*VLOOKUP(OtherClients[[#This Row],[Part]],PartControl!$A$2:$E$564,2,FALSE)),0)</f>
        <v>106.94</v>
      </c>
      <c r="Z1804" s="108">
        <f>IF(OtherClients[[#This Row],[Re-certified or New]]&lt;&gt;"Re-certified",IF(OtherClients[[#This Row],[Client]]="infasco",VLOOKUP(OtherClients[[#This Row],[Part]],PartControl!$A$2:$E$564,2,FALSE),OtherClients[[#This Row],[Total Quantity]]*VLOOKUP(OtherClients[[#This Row],[Part]],PartControl!$A$2:$E$564,2,FALSE)),0)</f>
        <v>106.94</v>
      </c>
    </row>
    <row r="1805" spans="1:26" ht="25.15" hidden="1" customHeight="1" x14ac:dyDescent="0.25">
      <c r="A1805" s="112">
        <v>46260.693877314814</v>
      </c>
      <c r="B1805" s="5" t="s">
        <v>624</v>
      </c>
      <c r="C1805" s="5" t="s">
        <v>705</v>
      </c>
      <c r="D1805" s="5">
        <v>716120</v>
      </c>
      <c r="E1805" s="33">
        <v>32</v>
      </c>
      <c r="F1805" s="60">
        <v>450</v>
      </c>
      <c r="G1805" s="60">
        <f>+OtherClients[[#This Row],[Boxes / Pieces]]*OtherClients[[#This Row],[Unit Quantity]]</f>
        <v>14400</v>
      </c>
      <c r="H1805" s="60">
        <v>292</v>
      </c>
      <c r="I1805" s="60" t="s">
        <v>278</v>
      </c>
      <c r="J1805" s="104"/>
      <c r="K1805" s="33" t="s">
        <v>278</v>
      </c>
      <c r="L1805" s="111"/>
      <c r="M1805" s="33" t="s">
        <v>278</v>
      </c>
      <c r="N1805" s="111"/>
      <c r="O1805" s="33" t="s">
        <v>278</v>
      </c>
      <c r="P1805" s="111"/>
      <c r="Q1805" s="33" t="s">
        <v>587</v>
      </c>
      <c r="R1805" s="111"/>
      <c r="S1805" s="33" t="s">
        <v>278</v>
      </c>
      <c r="T1805" s="111"/>
      <c r="U1805" s="33" t="s">
        <v>278</v>
      </c>
      <c r="V1805" s="111"/>
      <c r="W1805" s="59" t="s">
        <v>548</v>
      </c>
      <c r="X1805" s="33" t="str">
        <f>+VLOOKUP(OtherClients[[#This Row],[Part]],PartControl!$A$2:$E$564,5,FALSE)</f>
        <v>infasco</v>
      </c>
      <c r="Y1805" s="108">
        <f>IF(OtherClients[[#This Row],[Re-certified or New]]&lt;&gt;"Re-certified",IF(OtherClients[[#This Row],[Client]]="infasco",VLOOKUP(OtherClients[[#This Row],[Part]],PartControl!$A$2:$E$564,2,FALSE),OtherClients[[#This Row],[Total Quantity]]*VLOOKUP(OtherClients[[#This Row],[Part]],PartControl!$A$2:$E$564,2,FALSE)),0)</f>
        <v>106.94</v>
      </c>
      <c r="Z1805" s="108">
        <f>IF(OtherClients[[#This Row],[Re-certified or New]]&lt;&gt;"Re-certified",IF(OtherClients[[#This Row],[Client]]="infasco",VLOOKUP(OtherClients[[#This Row],[Part]],PartControl!$A$2:$E$564,2,FALSE),OtherClients[[#This Row],[Total Quantity]]*VLOOKUP(OtherClients[[#This Row],[Part]],PartControl!$A$2:$E$564,2,FALSE)),0)</f>
        <v>106.94</v>
      </c>
    </row>
    <row r="1806" spans="1:26" ht="25.15" hidden="1" customHeight="1" x14ac:dyDescent="0.25">
      <c r="A1806" s="112">
        <v>46260.693877314814</v>
      </c>
      <c r="B1806" s="5" t="s">
        <v>243</v>
      </c>
      <c r="C1806" s="5" t="s">
        <v>844</v>
      </c>
      <c r="D1806" s="5">
        <v>716535</v>
      </c>
      <c r="E1806" s="33">
        <v>16</v>
      </c>
      <c r="F1806" s="60">
        <v>4800</v>
      </c>
      <c r="G1806" s="60">
        <f>+OtherClients[[#This Row],[Boxes / Pieces]]*OtherClients[[#This Row],[Unit Quantity]]</f>
        <v>76800</v>
      </c>
      <c r="H1806" s="60">
        <v>292</v>
      </c>
      <c r="I1806" s="60" t="s">
        <v>278</v>
      </c>
      <c r="J1806" s="104"/>
      <c r="K1806" s="33" t="s">
        <v>278</v>
      </c>
      <c r="L1806" s="111"/>
      <c r="M1806" s="33" t="s">
        <v>278</v>
      </c>
      <c r="N1806" s="111"/>
      <c r="O1806" s="33" t="s">
        <v>278</v>
      </c>
      <c r="P1806" s="111"/>
      <c r="Q1806" s="33" t="s">
        <v>587</v>
      </c>
      <c r="R1806" s="111"/>
      <c r="S1806" s="33" t="s">
        <v>278</v>
      </c>
      <c r="T1806" s="111"/>
      <c r="U1806" s="33" t="s">
        <v>278</v>
      </c>
      <c r="V1806" s="111"/>
      <c r="W1806" s="59" t="s">
        <v>548</v>
      </c>
      <c r="X1806" s="33" t="str">
        <f>+VLOOKUP(OtherClients[[#This Row],[Part]],PartControl!$A$2:$E$564,5,FALSE)</f>
        <v>infasco</v>
      </c>
      <c r="Y1806" s="108">
        <f>IF(OtherClients[[#This Row],[Re-certified or New]]&lt;&gt;"Re-certified",IF(OtherClients[[#This Row],[Client]]="infasco",VLOOKUP(OtherClients[[#This Row],[Part]],PartControl!$A$2:$E$564,2,FALSE),OtherClients[[#This Row],[Total Quantity]]*VLOOKUP(OtherClients[[#This Row],[Part]],PartControl!$A$2:$E$564,2,FALSE)),0)</f>
        <v>106.94</v>
      </c>
      <c r="Z1806" s="108">
        <f>IF(OtherClients[[#This Row],[Re-certified or New]]&lt;&gt;"Re-certified",IF(OtherClients[[#This Row],[Client]]="infasco",VLOOKUP(OtherClients[[#This Row],[Part]],PartControl!$A$2:$E$564,2,FALSE),OtherClients[[#This Row],[Total Quantity]]*VLOOKUP(OtherClients[[#This Row],[Part]],PartControl!$A$2:$E$564,2,FALSE)),0)</f>
        <v>106.94</v>
      </c>
    </row>
    <row r="1807" spans="1:26" ht="25.15" hidden="1" customHeight="1" x14ac:dyDescent="0.25">
      <c r="A1807" s="112">
        <v>46260.693877314814</v>
      </c>
      <c r="B1807" s="5" t="s">
        <v>243</v>
      </c>
      <c r="C1807" s="5">
        <v>7151143403</v>
      </c>
      <c r="D1807" s="5">
        <v>716905</v>
      </c>
      <c r="E1807" s="33">
        <v>12</v>
      </c>
      <c r="F1807" s="60">
        <v>1750</v>
      </c>
      <c r="G1807" s="60">
        <f>+OtherClients[[#This Row],[Boxes / Pieces]]*OtherClients[[#This Row],[Unit Quantity]]</f>
        <v>21000</v>
      </c>
      <c r="H1807" s="60">
        <v>292</v>
      </c>
      <c r="I1807" s="60" t="s">
        <v>278</v>
      </c>
      <c r="J1807" s="104"/>
      <c r="K1807" s="33" t="s">
        <v>278</v>
      </c>
      <c r="L1807" s="111"/>
      <c r="M1807" s="33" t="s">
        <v>278</v>
      </c>
      <c r="N1807" s="111"/>
      <c r="O1807" s="33" t="s">
        <v>278</v>
      </c>
      <c r="P1807" s="111"/>
      <c r="Q1807" s="33" t="s">
        <v>587</v>
      </c>
      <c r="R1807" s="111"/>
      <c r="S1807" s="33" t="s">
        <v>278</v>
      </c>
      <c r="T1807" s="111"/>
      <c r="U1807" s="33" t="s">
        <v>278</v>
      </c>
      <c r="V1807" s="111"/>
      <c r="W1807" s="59" t="s">
        <v>633</v>
      </c>
      <c r="X1807" s="33" t="str">
        <f>+VLOOKUP(OtherClients[[#This Row],[Part]],PartControl!$A$2:$E$564,5,FALSE)</f>
        <v>infasco</v>
      </c>
      <c r="Y1807" s="108">
        <f>IF(OtherClients[[#This Row],[Re-certified or New]]&lt;&gt;"Re-certified",IF(OtherClients[[#This Row],[Client]]="infasco",VLOOKUP(OtherClients[[#This Row],[Part]],PartControl!$A$2:$E$564,2,FALSE),OtherClients[[#This Row],[Total Quantity]]*VLOOKUP(OtherClients[[#This Row],[Part]],PartControl!$A$2:$E$564,2,FALSE)),0)</f>
        <v>0</v>
      </c>
      <c r="Z1807" s="108">
        <f>IF(OtherClients[[#This Row],[Re-certified or New]]&lt;&gt;"Re-certified",IF(OtherClients[[#This Row],[Client]]="infasco",VLOOKUP(OtherClients[[#This Row],[Part]],PartControl!$A$2:$E$564,2,FALSE),OtherClients[[#This Row],[Total Quantity]]*VLOOKUP(OtherClients[[#This Row],[Part]],PartControl!$A$2:$E$564,2,FALSE)),0)</f>
        <v>0</v>
      </c>
    </row>
    <row r="1808" spans="1:26" ht="25.15" hidden="1" customHeight="1" x14ac:dyDescent="0.25">
      <c r="A1808" s="112">
        <v>46260.693877314814</v>
      </c>
      <c r="B1808" s="5" t="s">
        <v>623</v>
      </c>
      <c r="C1808" s="5" t="s">
        <v>647</v>
      </c>
      <c r="D1808" s="5">
        <v>716012</v>
      </c>
      <c r="E1808" s="33">
        <f>23-6</f>
        <v>17</v>
      </c>
      <c r="F1808" s="60">
        <v>750</v>
      </c>
      <c r="G1808" s="60">
        <f>+OtherClients[[#This Row],[Boxes / Pieces]]*OtherClients[[#This Row],[Unit Quantity]]</f>
        <v>12750</v>
      </c>
      <c r="H1808" s="60">
        <v>292</v>
      </c>
      <c r="I1808" s="60" t="s">
        <v>278</v>
      </c>
      <c r="J1808" s="104"/>
      <c r="K1808" s="33" t="s">
        <v>278</v>
      </c>
      <c r="L1808" s="111"/>
      <c r="M1808" s="33" t="s">
        <v>278</v>
      </c>
      <c r="N1808" s="111"/>
      <c r="O1808" s="33" t="s">
        <v>278</v>
      </c>
      <c r="P1808" s="111"/>
      <c r="Q1808" s="33" t="s">
        <v>587</v>
      </c>
      <c r="R1808" s="111"/>
      <c r="S1808" s="33" t="s">
        <v>278</v>
      </c>
      <c r="T1808" s="111"/>
      <c r="U1808" s="33" t="s">
        <v>278</v>
      </c>
      <c r="V1808" s="111"/>
      <c r="W1808" s="59" t="s">
        <v>548</v>
      </c>
      <c r="X1808" s="33" t="str">
        <f>+VLOOKUP(OtherClients[[#This Row],[Part]],PartControl!$A$2:$E$564,5,FALSE)</f>
        <v>infasco</v>
      </c>
      <c r="Y1808" s="108">
        <f>IF(OtherClients[[#This Row],[Re-certified or New]]&lt;&gt;"Re-certified",IF(OtherClients[[#This Row],[Client]]="infasco",VLOOKUP(OtherClients[[#This Row],[Part]],PartControl!$A$2:$E$564,2,FALSE),OtherClients[[#This Row],[Total Quantity]]*VLOOKUP(OtherClients[[#This Row],[Part]],PartControl!$A$2:$E$564,2,FALSE)),0)</f>
        <v>106.94</v>
      </c>
      <c r="Z1808" s="108">
        <f>IF(OtherClients[[#This Row],[Re-certified or New]]&lt;&gt;"Re-certified",IF(OtherClients[[#This Row],[Client]]="infasco",VLOOKUP(OtherClients[[#This Row],[Part]],PartControl!$A$2:$E$564,2,FALSE),OtherClients[[#This Row],[Total Quantity]]*VLOOKUP(OtherClients[[#This Row],[Part]],PartControl!$A$2:$E$564,2,FALSE)),0)</f>
        <v>106.94</v>
      </c>
    </row>
    <row r="1809" spans="1:26" ht="25.15" hidden="1" customHeight="1" x14ac:dyDescent="0.25">
      <c r="A1809" s="112">
        <v>46260.693877314814</v>
      </c>
      <c r="B1809" s="5" t="s">
        <v>623</v>
      </c>
      <c r="C1809" s="5" t="s">
        <v>647</v>
      </c>
      <c r="D1809" s="5">
        <v>706013</v>
      </c>
      <c r="E1809" s="33">
        <f>13+19</f>
        <v>32</v>
      </c>
      <c r="F1809" s="60">
        <v>750</v>
      </c>
      <c r="G1809" s="60">
        <f>+OtherClients[[#This Row],[Boxes / Pieces]]*OtherClients[[#This Row],[Unit Quantity]]</f>
        <v>24000</v>
      </c>
      <c r="H1809" s="60">
        <v>292</v>
      </c>
      <c r="I1809" s="60" t="s">
        <v>278</v>
      </c>
      <c r="J1809" s="104"/>
      <c r="K1809" s="33" t="s">
        <v>278</v>
      </c>
      <c r="L1809" s="111"/>
      <c r="M1809" s="33" t="s">
        <v>278</v>
      </c>
      <c r="N1809" s="111"/>
      <c r="O1809" s="33" t="s">
        <v>278</v>
      </c>
      <c r="P1809" s="111"/>
      <c r="Q1809" s="33" t="s">
        <v>587</v>
      </c>
      <c r="R1809" s="111"/>
      <c r="S1809" s="33" t="s">
        <v>278</v>
      </c>
      <c r="T1809" s="111"/>
      <c r="U1809" s="33" t="s">
        <v>278</v>
      </c>
      <c r="V1809" s="111"/>
      <c r="W1809" s="59" t="s">
        <v>548</v>
      </c>
      <c r="X1809" s="33" t="str">
        <f>+VLOOKUP(OtherClients[[#This Row],[Part]],PartControl!$A$2:$E$564,5,FALSE)</f>
        <v>infasco</v>
      </c>
      <c r="Y1809" s="108">
        <f>IF(OtherClients[[#This Row],[Re-certified or New]]&lt;&gt;"Re-certified",IF(OtherClients[[#This Row],[Client]]="infasco",VLOOKUP(OtherClients[[#This Row],[Part]],PartControl!$A$2:$E$564,2,FALSE),OtherClients[[#This Row],[Total Quantity]]*VLOOKUP(OtherClients[[#This Row],[Part]],PartControl!$A$2:$E$564,2,FALSE)),0)</f>
        <v>106.94</v>
      </c>
      <c r="Z1809" s="108">
        <f>IF(OtherClients[[#This Row],[Re-certified or New]]&lt;&gt;"Re-certified",IF(OtherClients[[#This Row],[Client]]="infasco",VLOOKUP(OtherClients[[#This Row],[Part]],PartControl!$A$2:$E$564,2,FALSE),OtherClients[[#This Row],[Total Quantity]]*VLOOKUP(OtherClients[[#This Row],[Part]],PartControl!$A$2:$E$564,2,FALSE)),0)</f>
        <v>106.94</v>
      </c>
    </row>
    <row r="1810" spans="1:26" ht="25.15" hidden="1" customHeight="1" x14ac:dyDescent="0.25">
      <c r="A1810" s="112">
        <v>46260.693877314814</v>
      </c>
      <c r="B1810" s="5" t="s">
        <v>343</v>
      </c>
      <c r="C1810" s="5" t="s">
        <v>694</v>
      </c>
      <c r="D1810" s="5">
        <v>714263</v>
      </c>
      <c r="E1810" s="33">
        <v>36</v>
      </c>
      <c r="F1810" s="60">
        <v>4000</v>
      </c>
      <c r="G1810" s="60">
        <f>+OtherClients[[#This Row],[Boxes / Pieces]]*OtherClients[[#This Row],[Unit Quantity]]</f>
        <v>144000</v>
      </c>
      <c r="H1810" s="60" t="s">
        <v>757</v>
      </c>
      <c r="I1810" s="60" t="s">
        <v>278</v>
      </c>
      <c r="J1810" s="104"/>
      <c r="K1810" s="33" t="s">
        <v>278</v>
      </c>
      <c r="L1810" s="111"/>
      <c r="M1810" s="33" t="s">
        <v>278</v>
      </c>
      <c r="N1810" s="111"/>
      <c r="O1810" s="33" t="s">
        <v>278</v>
      </c>
      <c r="P1810" s="111"/>
      <c r="Q1810" s="33" t="s">
        <v>587</v>
      </c>
      <c r="R1810" s="111"/>
      <c r="S1810" s="33" t="s">
        <v>278</v>
      </c>
      <c r="T1810" s="111"/>
      <c r="U1810" s="33" t="s">
        <v>278</v>
      </c>
      <c r="V1810" s="111"/>
      <c r="W1810" s="59" t="s">
        <v>548</v>
      </c>
      <c r="X1810" s="33" t="str">
        <f>+VLOOKUP(OtherClients[[#This Row],[Part]],PartControl!$A$2:$E$564,5,FALSE)</f>
        <v>infasco</v>
      </c>
      <c r="Y1810" s="108">
        <f>IF(OtherClients[[#This Row],[Re-certified or New]]&lt;&gt;"Re-certified",IF(OtherClients[[#This Row],[Client]]="infasco",VLOOKUP(OtherClients[[#This Row],[Part]],PartControl!$A$2:$E$564,2,FALSE),OtherClients[[#This Row],[Total Quantity]]*VLOOKUP(OtherClients[[#This Row],[Part]],PartControl!$A$2:$E$564,2,FALSE)),0)</f>
        <v>106.94</v>
      </c>
      <c r="Z1810" s="108">
        <f>IF(OtherClients[[#This Row],[Re-certified or New]]&lt;&gt;"Re-certified",IF(OtherClients[[#This Row],[Client]]="infasco",VLOOKUP(OtherClients[[#This Row],[Part]],PartControl!$A$2:$E$564,2,FALSE),OtherClients[[#This Row],[Total Quantity]]*VLOOKUP(OtherClients[[#This Row],[Part]],PartControl!$A$2:$E$564,2,FALSE)),0)</f>
        <v>106.94</v>
      </c>
    </row>
    <row r="1811" spans="1:26" ht="25.15" hidden="1" customHeight="1" x14ac:dyDescent="0.25">
      <c r="A1811" s="112">
        <v>46260.693877314814</v>
      </c>
      <c r="B1811" s="5" t="s">
        <v>343</v>
      </c>
      <c r="C1811" s="5" t="s">
        <v>694</v>
      </c>
      <c r="D1811" s="5">
        <v>714080</v>
      </c>
      <c r="E1811" s="33">
        <v>20</v>
      </c>
      <c r="F1811" s="60">
        <v>4000</v>
      </c>
      <c r="G1811" s="60">
        <f>+OtherClients[[#This Row],[Boxes / Pieces]]*OtherClients[[#This Row],[Unit Quantity]]</f>
        <v>80000</v>
      </c>
      <c r="H1811" s="60" t="s">
        <v>757</v>
      </c>
      <c r="I1811" s="60" t="s">
        <v>278</v>
      </c>
      <c r="J1811" s="104"/>
      <c r="K1811" s="33" t="s">
        <v>278</v>
      </c>
      <c r="L1811" s="111"/>
      <c r="M1811" s="33" t="s">
        <v>278</v>
      </c>
      <c r="N1811" s="111"/>
      <c r="O1811" s="33" t="s">
        <v>278</v>
      </c>
      <c r="P1811" s="111"/>
      <c r="Q1811" s="33" t="s">
        <v>587</v>
      </c>
      <c r="R1811" s="111"/>
      <c r="S1811" s="33" t="s">
        <v>278</v>
      </c>
      <c r="T1811" s="111"/>
      <c r="U1811" s="33" t="s">
        <v>278</v>
      </c>
      <c r="V1811" s="111"/>
      <c r="W1811" s="59" t="s">
        <v>548</v>
      </c>
      <c r="X1811" s="33" t="str">
        <f>+VLOOKUP(OtherClients[[#This Row],[Part]],PartControl!$A$2:$E$564,5,FALSE)</f>
        <v>infasco</v>
      </c>
      <c r="Y1811" s="108">
        <f>IF(OtherClients[[#This Row],[Re-certified or New]]&lt;&gt;"Re-certified",IF(OtherClients[[#This Row],[Client]]="infasco",VLOOKUP(OtherClients[[#This Row],[Part]],PartControl!$A$2:$E$564,2,FALSE),OtherClients[[#This Row],[Total Quantity]]*VLOOKUP(OtherClients[[#This Row],[Part]],PartControl!$A$2:$E$564,2,FALSE)),0)</f>
        <v>106.94</v>
      </c>
      <c r="Z1811" s="108">
        <f>IF(OtherClients[[#This Row],[Re-certified or New]]&lt;&gt;"Re-certified",IF(OtherClients[[#This Row],[Client]]="infasco",VLOOKUP(OtherClients[[#This Row],[Part]],PartControl!$A$2:$E$564,2,FALSE),OtherClients[[#This Row],[Total Quantity]]*VLOOKUP(OtherClients[[#This Row],[Part]],PartControl!$A$2:$E$564,2,FALSE)),0)</f>
        <v>106.94</v>
      </c>
    </row>
    <row r="1812" spans="1:26" ht="25.15" hidden="1" customHeight="1" x14ac:dyDescent="0.25">
      <c r="A1812" s="112">
        <v>46260.693877314814</v>
      </c>
      <c r="B1812" s="5" t="s">
        <v>343</v>
      </c>
      <c r="C1812" s="5" t="s">
        <v>687</v>
      </c>
      <c r="D1812" s="5">
        <v>716647</v>
      </c>
      <c r="E1812" s="33">
        <v>35</v>
      </c>
      <c r="F1812" s="60">
        <v>280</v>
      </c>
      <c r="G1812" s="60">
        <f>+OtherClients[[#This Row],[Boxes / Pieces]]*OtherClients[[#This Row],[Unit Quantity]]</f>
        <v>9800</v>
      </c>
      <c r="H1812" s="60" t="s">
        <v>757</v>
      </c>
      <c r="I1812" s="60" t="s">
        <v>278</v>
      </c>
      <c r="J1812" s="104"/>
      <c r="K1812" s="33" t="s">
        <v>278</v>
      </c>
      <c r="L1812" s="111"/>
      <c r="M1812" s="33" t="s">
        <v>278</v>
      </c>
      <c r="N1812" s="111"/>
      <c r="O1812" s="33" t="s">
        <v>278</v>
      </c>
      <c r="P1812" s="111"/>
      <c r="Q1812" s="33" t="s">
        <v>587</v>
      </c>
      <c r="R1812" s="111"/>
      <c r="S1812" s="33" t="s">
        <v>278</v>
      </c>
      <c r="T1812" s="111"/>
      <c r="U1812" s="33" t="s">
        <v>278</v>
      </c>
      <c r="V1812" s="111"/>
      <c r="W1812" s="59" t="s">
        <v>548</v>
      </c>
      <c r="X1812" s="33" t="str">
        <f>+VLOOKUP(OtherClients[[#This Row],[Part]],PartControl!$A$2:$E$564,5,FALSE)</f>
        <v>infasco</v>
      </c>
      <c r="Y1812" s="108">
        <f>IF(OtherClients[[#This Row],[Re-certified or New]]&lt;&gt;"Re-certified",IF(OtherClients[[#This Row],[Client]]="infasco",VLOOKUP(OtherClients[[#This Row],[Part]],PartControl!$A$2:$E$564,2,FALSE),OtherClients[[#This Row],[Total Quantity]]*VLOOKUP(OtherClients[[#This Row],[Part]],PartControl!$A$2:$E$564,2,FALSE)),0)</f>
        <v>106.94</v>
      </c>
      <c r="Z1812" s="108">
        <f>IF(OtherClients[[#This Row],[Re-certified or New]]&lt;&gt;"Re-certified",IF(OtherClients[[#This Row],[Client]]="infasco",VLOOKUP(OtherClients[[#This Row],[Part]],PartControl!$A$2:$E$564,2,FALSE),OtherClients[[#This Row],[Total Quantity]]*VLOOKUP(OtherClients[[#This Row],[Part]],PartControl!$A$2:$E$564,2,FALSE)),0)</f>
        <v>106.94</v>
      </c>
    </row>
    <row r="1813" spans="1:26" ht="25.15" hidden="1" customHeight="1" x14ac:dyDescent="0.25">
      <c r="A1813" s="112">
        <v>46260.693877314814</v>
      </c>
      <c r="B1813" s="5" t="s">
        <v>343</v>
      </c>
      <c r="C1813" s="5">
        <v>82253</v>
      </c>
      <c r="D1813" s="5">
        <v>716743</v>
      </c>
      <c r="E1813" s="33">
        <v>36</v>
      </c>
      <c r="F1813" s="60">
        <v>1350</v>
      </c>
      <c r="G1813" s="60">
        <f>+OtherClients[[#This Row],[Boxes / Pieces]]*OtherClients[[#This Row],[Unit Quantity]]</f>
        <v>48600</v>
      </c>
      <c r="H1813" s="60" t="s">
        <v>757</v>
      </c>
      <c r="I1813" s="60" t="s">
        <v>278</v>
      </c>
      <c r="J1813" s="104"/>
      <c r="K1813" s="33" t="s">
        <v>278</v>
      </c>
      <c r="L1813" s="111"/>
      <c r="M1813" s="33" t="s">
        <v>278</v>
      </c>
      <c r="N1813" s="111"/>
      <c r="O1813" s="33" t="s">
        <v>278</v>
      </c>
      <c r="P1813" s="111"/>
      <c r="Q1813" s="33" t="s">
        <v>587</v>
      </c>
      <c r="R1813" s="111"/>
      <c r="S1813" s="33" t="s">
        <v>278</v>
      </c>
      <c r="T1813" s="111"/>
      <c r="U1813" s="33" t="s">
        <v>278</v>
      </c>
      <c r="V1813" s="111"/>
      <c r="W1813" s="59" t="s">
        <v>548</v>
      </c>
      <c r="X1813" s="33" t="str">
        <f>+VLOOKUP(OtherClients[[#This Row],[Part]],PartControl!$A$2:$E$564,5,FALSE)</f>
        <v>infasco</v>
      </c>
      <c r="Y1813" s="108">
        <f>IF(OtherClients[[#This Row],[Re-certified or New]]&lt;&gt;"Re-certified",IF(OtherClients[[#This Row],[Client]]="infasco",VLOOKUP(OtherClients[[#This Row],[Part]],PartControl!$A$2:$E$564,2,FALSE),OtherClients[[#This Row],[Total Quantity]]*VLOOKUP(OtherClients[[#This Row],[Part]],PartControl!$A$2:$E$564,2,FALSE)),0)</f>
        <v>106.94</v>
      </c>
      <c r="Z1813" s="108">
        <f>IF(OtherClients[[#This Row],[Re-certified or New]]&lt;&gt;"Re-certified",IF(OtherClients[[#This Row],[Client]]="infasco",VLOOKUP(OtherClients[[#This Row],[Part]],PartControl!$A$2:$E$564,2,FALSE),OtherClients[[#This Row],[Total Quantity]]*VLOOKUP(OtherClients[[#This Row],[Part]],PartControl!$A$2:$E$564,2,FALSE)),0)</f>
        <v>106.94</v>
      </c>
    </row>
    <row r="1814" spans="1:26" ht="25.15" hidden="1" customHeight="1" x14ac:dyDescent="0.25">
      <c r="A1814" s="112">
        <v>46260.693877314814</v>
      </c>
      <c r="B1814" s="5" t="s">
        <v>343</v>
      </c>
      <c r="C1814" s="5">
        <v>82253</v>
      </c>
      <c r="D1814" s="5">
        <v>716245</v>
      </c>
      <c r="E1814" s="33">
        <v>28</v>
      </c>
      <c r="F1814" s="60">
        <v>1350</v>
      </c>
      <c r="G1814" s="60">
        <f>+OtherClients[[#This Row],[Boxes / Pieces]]*OtherClients[[#This Row],[Unit Quantity]]</f>
        <v>37800</v>
      </c>
      <c r="H1814" s="60" t="s">
        <v>757</v>
      </c>
      <c r="I1814" s="60" t="s">
        <v>278</v>
      </c>
      <c r="J1814" s="104"/>
      <c r="K1814" s="33" t="s">
        <v>278</v>
      </c>
      <c r="L1814" s="111"/>
      <c r="M1814" s="33" t="s">
        <v>278</v>
      </c>
      <c r="N1814" s="111"/>
      <c r="O1814" s="33" t="s">
        <v>278</v>
      </c>
      <c r="P1814" s="111"/>
      <c r="Q1814" s="33" t="s">
        <v>587</v>
      </c>
      <c r="R1814" s="111"/>
      <c r="S1814" s="33" t="s">
        <v>278</v>
      </c>
      <c r="T1814" s="111"/>
      <c r="U1814" s="33" t="s">
        <v>278</v>
      </c>
      <c r="V1814" s="111"/>
      <c r="W1814" s="59" t="s">
        <v>548</v>
      </c>
      <c r="X1814" s="33" t="str">
        <f>+VLOOKUP(OtherClients[[#This Row],[Part]],PartControl!$A$2:$E$564,5,FALSE)</f>
        <v>infasco</v>
      </c>
      <c r="Y1814" s="108">
        <f>IF(OtherClients[[#This Row],[Re-certified or New]]&lt;&gt;"Re-certified",IF(OtherClients[[#This Row],[Client]]="infasco",VLOOKUP(OtherClients[[#This Row],[Part]],PartControl!$A$2:$E$564,2,FALSE),OtherClients[[#This Row],[Total Quantity]]*VLOOKUP(OtherClients[[#This Row],[Part]],PartControl!$A$2:$E$564,2,FALSE)),0)</f>
        <v>106.94</v>
      </c>
      <c r="Z1814" s="108">
        <f>IF(OtherClients[[#This Row],[Re-certified or New]]&lt;&gt;"Re-certified",IF(OtherClients[[#This Row],[Client]]="infasco",VLOOKUP(OtherClients[[#This Row],[Part]],PartControl!$A$2:$E$564,2,FALSE),OtherClients[[#This Row],[Total Quantity]]*VLOOKUP(OtherClients[[#This Row],[Part]],PartControl!$A$2:$E$564,2,FALSE)),0)</f>
        <v>106.94</v>
      </c>
    </row>
    <row r="1815" spans="1:26" ht="25.15" hidden="1" customHeight="1" x14ac:dyDescent="0.25">
      <c r="A1815" s="112">
        <v>46260.693877314814</v>
      </c>
      <c r="B1815" s="5" t="s">
        <v>343</v>
      </c>
      <c r="C1815" s="5" t="s">
        <v>719</v>
      </c>
      <c r="D1815" s="5">
        <v>717695</v>
      </c>
      <c r="E1815" s="33">
        <v>36</v>
      </c>
      <c r="F1815" s="60">
        <v>2150</v>
      </c>
      <c r="G1815" s="60">
        <f>+OtherClients[[#This Row],[Boxes / Pieces]]*OtherClients[[#This Row],[Unit Quantity]]</f>
        <v>77400</v>
      </c>
      <c r="H1815" s="60" t="s">
        <v>757</v>
      </c>
      <c r="I1815" s="60" t="s">
        <v>278</v>
      </c>
      <c r="J1815" s="104"/>
      <c r="K1815" s="33" t="s">
        <v>278</v>
      </c>
      <c r="L1815" s="111"/>
      <c r="M1815" s="33" t="s">
        <v>278</v>
      </c>
      <c r="N1815" s="111"/>
      <c r="O1815" s="33" t="s">
        <v>278</v>
      </c>
      <c r="P1815" s="111"/>
      <c r="Q1815" s="33" t="s">
        <v>587</v>
      </c>
      <c r="R1815" s="111"/>
      <c r="S1815" s="33" t="s">
        <v>278</v>
      </c>
      <c r="T1815" s="111"/>
      <c r="U1815" s="33" t="s">
        <v>278</v>
      </c>
      <c r="V1815" s="111"/>
      <c r="W1815" s="59" t="s">
        <v>548</v>
      </c>
      <c r="X1815" s="33" t="str">
        <f>+VLOOKUP(OtherClients[[#This Row],[Part]],PartControl!$A$2:$E$564,5,FALSE)</f>
        <v>infasco</v>
      </c>
      <c r="Y1815" s="108">
        <f>IF(OtherClients[[#This Row],[Re-certified or New]]&lt;&gt;"Re-certified",IF(OtherClients[[#This Row],[Client]]="infasco",VLOOKUP(OtherClients[[#This Row],[Part]],PartControl!$A$2:$E$564,2,FALSE),OtherClients[[#This Row],[Total Quantity]]*VLOOKUP(OtherClients[[#This Row],[Part]],PartControl!$A$2:$E$564,2,FALSE)),0)</f>
        <v>106.94</v>
      </c>
      <c r="Z1815" s="108">
        <f>IF(OtherClients[[#This Row],[Re-certified or New]]&lt;&gt;"Re-certified",IF(OtherClients[[#This Row],[Client]]="infasco",VLOOKUP(OtherClients[[#This Row],[Part]],PartControl!$A$2:$E$564,2,FALSE),OtherClients[[#This Row],[Total Quantity]]*VLOOKUP(OtherClients[[#This Row],[Part]],PartControl!$A$2:$E$564,2,FALSE)),0)</f>
        <v>106.94</v>
      </c>
    </row>
    <row r="1816" spans="1:26" ht="25.15" hidden="1" customHeight="1" x14ac:dyDescent="0.25">
      <c r="A1816" s="112">
        <v>46260.693877314814</v>
      </c>
      <c r="B1816" s="5" t="s">
        <v>343</v>
      </c>
      <c r="C1816" s="5" t="s">
        <v>719</v>
      </c>
      <c r="D1816" s="5">
        <v>717698</v>
      </c>
      <c r="E1816" s="33">
        <v>29</v>
      </c>
      <c r="F1816" s="60">
        <v>2150</v>
      </c>
      <c r="G1816" s="60">
        <f>+OtherClients[[#This Row],[Boxes / Pieces]]*OtherClients[[#This Row],[Unit Quantity]]</f>
        <v>62350</v>
      </c>
      <c r="H1816" s="60" t="s">
        <v>757</v>
      </c>
      <c r="I1816" s="60" t="s">
        <v>278</v>
      </c>
      <c r="J1816" s="104"/>
      <c r="K1816" s="33" t="s">
        <v>278</v>
      </c>
      <c r="L1816" s="111"/>
      <c r="M1816" s="33" t="s">
        <v>278</v>
      </c>
      <c r="N1816" s="111"/>
      <c r="O1816" s="33" t="s">
        <v>278</v>
      </c>
      <c r="P1816" s="111"/>
      <c r="Q1816" s="33" t="s">
        <v>587</v>
      </c>
      <c r="R1816" s="111"/>
      <c r="S1816" s="33" t="s">
        <v>278</v>
      </c>
      <c r="T1816" s="111"/>
      <c r="U1816" s="33" t="s">
        <v>278</v>
      </c>
      <c r="V1816" s="111"/>
      <c r="W1816" s="59" t="s">
        <v>548</v>
      </c>
      <c r="X1816" s="33" t="str">
        <f>+VLOOKUP(OtherClients[[#This Row],[Part]],PartControl!$A$2:$E$564,5,FALSE)</f>
        <v>infasco</v>
      </c>
      <c r="Y1816" s="108">
        <f>IF(OtherClients[[#This Row],[Re-certified or New]]&lt;&gt;"Re-certified",IF(OtherClients[[#This Row],[Client]]="infasco",VLOOKUP(OtherClients[[#This Row],[Part]],PartControl!$A$2:$E$564,2,FALSE),OtherClients[[#This Row],[Total Quantity]]*VLOOKUP(OtherClients[[#This Row],[Part]],PartControl!$A$2:$E$564,2,FALSE)),0)</f>
        <v>106.94</v>
      </c>
      <c r="Z1816" s="108">
        <f>IF(OtherClients[[#This Row],[Re-certified or New]]&lt;&gt;"Re-certified",IF(OtherClients[[#This Row],[Client]]="infasco",VLOOKUP(OtherClients[[#This Row],[Part]],PartControl!$A$2:$E$564,2,FALSE),OtherClients[[#This Row],[Total Quantity]]*VLOOKUP(OtherClients[[#This Row],[Part]],PartControl!$A$2:$E$564,2,FALSE)),0)</f>
        <v>106.94</v>
      </c>
    </row>
    <row r="1817" spans="1:26" ht="25.15" hidden="1" customHeight="1" x14ac:dyDescent="0.25">
      <c r="A1817" s="112">
        <v>46260.693877314814</v>
      </c>
      <c r="B1817" s="5" t="s">
        <v>343</v>
      </c>
      <c r="C1817" s="5">
        <v>40109770</v>
      </c>
      <c r="D1817" s="5">
        <v>717418</v>
      </c>
      <c r="E1817" s="33">
        <v>35</v>
      </c>
      <c r="F1817" s="60">
        <v>250</v>
      </c>
      <c r="G1817" s="60">
        <f>+OtherClients[[#This Row],[Boxes / Pieces]]*OtherClients[[#This Row],[Unit Quantity]]</f>
        <v>8750</v>
      </c>
      <c r="H1817" s="60" t="s">
        <v>757</v>
      </c>
      <c r="I1817" s="60" t="s">
        <v>278</v>
      </c>
      <c r="J1817" s="104"/>
      <c r="K1817" s="33" t="s">
        <v>278</v>
      </c>
      <c r="L1817" s="111"/>
      <c r="M1817" s="33" t="s">
        <v>278</v>
      </c>
      <c r="N1817" s="111"/>
      <c r="O1817" s="33" t="s">
        <v>278</v>
      </c>
      <c r="P1817" s="111"/>
      <c r="Q1817" s="33" t="s">
        <v>587</v>
      </c>
      <c r="R1817" s="111"/>
      <c r="S1817" s="33" t="s">
        <v>278</v>
      </c>
      <c r="T1817" s="111"/>
      <c r="U1817" s="33" t="s">
        <v>278</v>
      </c>
      <c r="V1817" s="111"/>
      <c r="W1817" s="59" t="s">
        <v>548</v>
      </c>
      <c r="X1817" s="33" t="str">
        <f>+VLOOKUP(OtherClients[[#This Row],[Part]],PartControl!$A$2:$E$564,5,FALSE)</f>
        <v>infasco</v>
      </c>
      <c r="Y1817" s="108">
        <f>IF(OtherClients[[#This Row],[Re-certified or New]]&lt;&gt;"Re-certified",IF(OtherClients[[#This Row],[Client]]="infasco",VLOOKUP(OtherClients[[#This Row],[Part]],PartControl!$A$2:$E$564,2,FALSE),OtherClients[[#This Row],[Total Quantity]]*VLOOKUP(OtherClients[[#This Row],[Part]],PartControl!$A$2:$E$564,2,FALSE)),0)</f>
        <v>106.94</v>
      </c>
      <c r="Z1817" s="108">
        <f>IF(OtherClients[[#This Row],[Re-certified or New]]&lt;&gt;"Re-certified",IF(OtherClients[[#This Row],[Client]]="infasco",VLOOKUP(OtherClients[[#This Row],[Part]],PartControl!$A$2:$E$564,2,FALSE),OtherClients[[#This Row],[Total Quantity]]*VLOOKUP(OtherClients[[#This Row],[Part]],PartControl!$A$2:$E$564,2,FALSE)),0)</f>
        <v>106.94</v>
      </c>
    </row>
    <row r="1818" spans="1:26" ht="25.15" hidden="1" customHeight="1" x14ac:dyDescent="0.25">
      <c r="A1818" s="112">
        <v>46260.693877314814</v>
      </c>
      <c r="B1818" s="5" t="s">
        <v>343</v>
      </c>
      <c r="C1818" s="5" t="s">
        <v>35</v>
      </c>
      <c r="D1818" s="5">
        <v>714597</v>
      </c>
      <c r="E1818" s="33">
        <v>25</v>
      </c>
      <c r="F1818" s="60">
        <v>850</v>
      </c>
      <c r="G1818" s="60">
        <f>+OtherClients[[#This Row],[Boxes / Pieces]]*OtherClients[[#This Row],[Unit Quantity]]</f>
        <v>21250</v>
      </c>
      <c r="H1818" s="60" t="s">
        <v>757</v>
      </c>
      <c r="I1818" s="60" t="s">
        <v>278</v>
      </c>
      <c r="J1818" s="104"/>
      <c r="K1818" s="33" t="s">
        <v>278</v>
      </c>
      <c r="L1818" s="111"/>
      <c r="M1818" s="33" t="s">
        <v>278</v>
      </c>
      <c r="N1818" s="111"/>
      <c r="O1818" s="33" t="s">
        <v>278</v>
      </c>
      <c r="P1818" s="111"/>
      <c r="Q1818" s="33" t="s">
        <v>587</v>
      </c>
      <c r="R1818" s="111"/>
      <c r="S1818" s="33" t="s">
        <v>278</v>
      </c>
      <c r="T1818" s="111"/>
      <c r="U1818" s="33" t="s">
        <v>278</v>
      </c>
      <c r="V1818" s="111"/>
      <c r="W1818" s="59" t="s">
        <v>548</v>
      </c>
      <c r="X1818" s="33" t="str">
        <f>+VLOOKUP(OtherClients[[#This Row],[Part]],PartControl!$A$2:$E$564,5,FALSE)</f>
        <v>infasco</v>
      </c>
      <c r="Y1818" s="108">
        <f>IF(OtherClients[[#This Row],[Re-certified or New]]&lt;&gt;"Re-certified",IF(OtherClients[[#This Row],[Client]]="infasco",VLOOKUP(OtherClients[[#This Row],[Part]],PartControl!$A$2:$E$564,2,FALSE),OtherClients[[#This Row],[Total Quantity]]*VLOOKUP(OtherClients[[#This Row],[Part]],PartControl!$A$2:$E$564,2,FALSE)),0)</f>
        <v>106.94</v>
      </c>
      <c r="Z1818" s="108">
        <f>IF(OtherClients[[#This Row],[Re-certified or New]]&lt;&gt;"Re-certified",IF(OtherClients[[#This Row],[Client]]="infasco",VLOOKUP(OtherClients[[#This Row],[Part]],PartControl!$A$2:$E$564,2,FALSE),OtherClients[[#This Row],[Total Quantity]]*VLOOKUP(OtherClients[[#This Row],[Part]],PartControl!$A$2:$E$564,2,FALSE)),0)</f>
        <v>106.94</v>
      </c>
    </row>
    <row r="1819" spans="1:26" ht="25.15" hidden="1" customHeight="1" x14ac:dyDescent="0.25">
      <c r="A1819" s="112">
        <v>46260.693877314814</v>
      </c>
      <c r="B1819" s="5" t="s">
        <v>345</v>
      </c>
      <c r="C1819" s="5" t="s">
        <v>890</v>
      </c>
      <c r="D1819" s="5">
        <v>717130</v>
      </c>
      <c r="E1819" s="33">
        <f>28-10</f>
        <v>18</v>
      </c>
      <c r="F1819" s="60">
        <v>145</v>
      </c>
      <c r="G1819" s="60">
        <f>+OtherClients[[#This Row],[Boxes / Pieces]]*OtherClients[[#This Row],[Unit Quantity]]</f>
        <v>2610</v>
      </c>
      <c r="H1819" s="60" t="s">
        <v>892</v>
      </c>
      <c r="I1819" s="60" t="s">
        <v>278</v>
      </c>
      <c r="J1819" s="104"/>
      <c r="K1819" s="33" t="s">
        <v>278</v>
      </c>
      <c r="L1819" s="111"/>
      <c r="M1819" s="33" t="s">
        <v>278</v>
      </c>
      <c r="N1819" s="111"/>
      <c r="O1819" s="33" t="s">
        <v>278</v>
      </c>
      <c r="P1819" s="111"/>
      <c r="Q1819" s="33" t="s">
        <v>587</v>
      </c>
      <c r="R1819" s="111"/>
      <c r="S1819" s="33" t="s">
        <v>278</v>
      </c>
      <c r="T1819" s="111"/>
      <c r="U1819" s="33" t="s">
        <v>278</v>
      </c>
      <c r="V1819" s="111"/>
      <c r="W1819" s="59" t="s">
        <v>548</v>
      </c>
      <c r="X1819" s="33" t="str">
        <f>+VLOOKUP(OtherClients[[#This Row],[Part]],PartControl!$A$2:$E$564,5,FALSE)</f>
        <v>infasco</v>
      </c>
      <c r="Y1819" s="108">
        <f>IF(OtherClients[[#This Row],[Re-certified or New]]&lt;&gt;"Re-certified",IF(OtherClients[[#This Row],[Client]]="infasco",VLOOKUP(OtherClients[[#This Row],[Part]],PartControl!$A$2:$E$564,2,FALSE),OtherClients[[#This Row],[Total Quantity]]*VLOOKUP(OtherClients[[#This Row],[Part]],PartControl!$A$2:$E$564,2,FALSE)),0)</f>
        <v>106.94</v>
      </c>
      <c r="Z1819" s="108">
        <f>IF(OtherClients[[#This Row],[Re-certified or New]]&lt;&gt;"Re-certified",IF(OtherClients[[#This Row],[Client]]="infasco",VLOOKUP(OtherClients[[#This Row],[Part]],PartControl!$A$2:$E$564,2,FALSE),OtherClients[[#This Row],[Total Quantity]]*VLOOKUP(OtherClients[[#This Row],[Part]],PartControl!$A$2:$E$564,2,FALSE)),0)</f>
        <v>106.94</v>
      </c>
    </row>
    <row r="1820" spans="1:26" ht="25.15" hidden="1" customHeight="1" x14ac:dyDescent="0.25">
      <c r="A1820" s="112">
        <v>46260.693877314814</v>
      </c>
      <c r="B1820" s="5" t="s">
        <v>345</v>
      </c>
      <c r="C1820" s="5">
        <v>500009196</v>
      </c>
      <c r="D1820" s="5">
        <v>717857</v>
      </c>
      <c r="E1820" s="33">
        <v>36</v>
      </c>
      <c r="F1820" s="60">
        <v>1200</v>
      </c>
      <c r="G1820" s="60">
        <f>+OtherClients[[#This Row],[Boxes / Pieces]]*OtherClients[[#This Row],[Unit Quantity]]</f>
        <v>43200</v>
      </c>
      <c r="H1820" s="60" t="s">
        <v>892</v>
      </c>
      <c r="I1820" s="60" t="s">
        <v>278</v>
      </c>
      <c r="J1820" s="104"/>
      <c r="K1820" s="33" t="s">
        <v>278</v>
      </c>
      <c r="L1820" s="111"/>
      <c r="M1820" s="33" t="s">
        <v>278</v>
      </c>
      <c r="N1820" s="111"/>
      <c r="O1820" s="33" t="s">
        <v>278</v>
      </c>
      <c r="P1820" s="111"/>
      <c r="Q1820" s="33" t="s">
        <v>587</v>
      </c>
      <c r="R1820" s="111"/>
      <c r="S1820" s="33" t="s">
        <v>278</v>
      </c>
      <c r="T1820" s="111"/>
      <c r="U1820" s="33" t="s">
        <v>278</v>
      </c>
      <c r="V1820" s="111"/>
      <c r="W1820" s="59" t="s">
        <v>548</v>
      </c>
      <c r="X1820" s="33" t="str">
        <f>+VLOOKUP(OtherClients[[#This Row],[Part]],PartControl!$A$2:$E$564,5,FALSE)</f>
        <v>infasco</v>
      </c>
      <c r="Y1820" s="108">
        <f>IF(OtherClients[[#This Row],[Re-certified or New]]&lt;&gt;"Re-certified",IF(OtherClients[[#This Row],[Client]]="infasco",VLOOKUP(OtherClients[[#This Row],[Part]],PartControl!$A$2:$E$564,2,FALSE),OtherClients[[#This Row],[Total Quantity]]*VLOOKUP(OtherClients[[#This Row],[Part]],PartControl!$A$2:$E$564,2,FALSE)),0)</f>
        <v>29.27</v>
      </c>
      <c r="Z1820" s="108">
        <v>106.94</v>
      </c>
    </row>
    <row r="1821" spans="1:26" ht="25.15" hidden="1" customHeight="1" x14ac:dyDescent="0.25">
      <c r="A1821" s="112">
        <v>46260.693877314814</v>
      </c>
      <c r="B1821" s="5" t="s">
        <v>345</v>
      </c>
      <c r="C1821" s="5" t="s">
        <v>687</v>
      </c>
      <c r="D1821" s="5">
        <v>716645</v>
      </c>
      <c r="E1821" s="33">
        <v>36</v>
      </c>
      <c r="F1821" s="60">
        <v>280</v>
      </c>
      <c r="G1821" s="60">
        <f>+OtherClients[[#This Row],[Boxes / Pieces]]*OtherClients[[#This Row],[Unit Quantity]]</f>
        <v>10080</v>
      </c>
      <c r="H1821" s="60" t="s">
        <v>892</v>
      </c>
      <c r="I1821" s="60" t="s">
        <v>278</v>
      </c>
      <c r="J1821" s="104"/>
      <c r="K1821" s="33" t="s">
        <v>278</v>
      </c>
      <c r="L1821" s="111"/>
      <c r="M1821" s="33" t="s">
        <v>278</v>
      </c>
      <c r="N1821" s="111"/>
      <c r="O1821" s="33" t="s">
        <v>278</v>
      </c>
      <c r="P1821" s="111"/>
      <c r="Q1821" s="33" t="s">
        <v>587</v>
      </c>
      <c r="R1821" s="111"/>
      <c r="S1821" s="33" t="s">
        <v>278</v>
      </c>
      <c r="T1821" s="111"/>
      <c r="U1821" s="33" t="s">
        <v>278</v>
      </c>
      <c r="V1821" s="111"/>
      <c r="W1821" s="59" t="s">
        <v>548</v>
      </c>
      <c r="X1821" s="33" t="str">
        <f>+VLOOKUP(OtherClients[[#This Row],[Part]],PartControl!$A$2:$E$564,5,FALSE)</f>
        <v>infasco</v>
      </c>
      <c r="Y1821" s="108">
        <f>IF(OtherClients[[#This Row],[Re-certified or New]]&lt;&gt;"Re-certified",IF(OtherClients[[#This Row],[Client]]="infasco",VLOOKUP(OtherClients[[#This Row],[Part]],PartControl!$A$2:$E$564,2,FALSE),OtherClients[[#This Row],[Total Quantity]]*VLOOKUP(OtherClients[[#This Row],[Part]],PartControl!$A$2:$E$564,2,FALSE)),0)</f>
        <v>106.94</v>
      </c>
      <c r="Z1821" s="108">
        <f>IF(OtherClients[[#This Row],[Re-certified or New]]&lt;&gt;"Re-certified",IF(OtherClients[[#This Row],[Client]]="infasco",VLOOKUP(OtherClients[[#This Row],[Part]],PartControl!$A$2:$E$564,2,FALSE),OtherClients[[#This Row],[Total Quantity]]*VLOOKUP(OtherClients[[#This Row],[Part]],PartControl!$A$2:$E$564,2,FALSE)),0)</f>
        <v>106.94</v>
      </c>
    </row>
    <row r="1822" spans="1:26" ht="25.15" hidden="1" customHeight="1" x14ac:dyDescent="0.25">
      <c r="A1822" s="112">
        <v>46260.693877314814</v>
      </c>
      <c r="B1822" s="5" t="s">
        <v>345</v>
      </c>
      <c r="C1822" s="5">
        <v>11561114</v>
      </c>
      <c r="D1822" s="5">
        <v>716433</v>
      </c>
      <c r="E1822" s="33">
        <v>23</v>
      </c>
      <c r="F1822" s="60">
        <v>400</v>
      </c>
      <c r="G1822" s="60">
        <f>+OtherClients[[#This Row],[Boxes / Pieces]]*OtherClients[[#This Row],[Unit Quantity]]</f>
        <v>9200</v>
      </c>
      <c r="H1822" s="60" t="s">
        <v>892</v>
      </c>
      <c r="I1822" s="60" t="s">
        <v>278</v>
      </c>
      <c r="J1822" s="104"/>
      <c r="K1822" s="33" t="s">
        <v>278</v>
      </c>
      <c r="L1822" s="111"/>
      <c r="M1822" s="33" t="s">
        <v>278</v>
      </c>
      <c r="N1822" s="111"/>
      <c r="O1822" s="33" t="s">
        <v>278</v>
      </c>
      <c r="P1822" s="111"/>
      <c r="Q1822" s="33" t="s">
        <v>587</v>
      </c>
      <c r="R1822" s="111"/>
      <c r="S1822" s="33" t="s">
        <v>278</v>
      </c>
      <c r="T1822" s="111"/>
      <c r="U1822" s="33" t="s">
        <v>278</v>
      </c>
      <c r="V1822" s="111"/>
      <c r="W1822" s="59" t="s">
        <v>548</v>
      </c>
      <c r="X1822" s="33" t="str">
        <f>+VLOOKUP(OtherClients[[#This Row],[Part]],PartControl!$A$2:$E$564,5,FALSE)</f>
        <v>infasco</v>
      </c>
      <c r="Y1822" s="108">
        <f>IF(OtherClients[[#This Row],[Re-certified or New]]&lt;&gt;"Re-certified",IF(OtherClients[[#This Row],[Client]]="infasco",VLOOKUP(OtherClients[[#This Row],[Part]],PartControl!$A$2:$E$564,2,FALSE),OtherClients[[#This Row],[Total Quantity]]*VLOOKUP(OtherClients[[#This Row],[Part]],PartControl!$A$2:$E$564,2,FALSE)),0)</f>
        <v>106.94</v>
      </c>
      <c r="Z1822" s="108">
        <f>IF(OtherClients[[#This Row],[Re-certified or New]]&lt;&gt;"Re-certified",IF(OtherClients[[#This Row],[Client]]="infasco",VLOOKUP(OtherClients[[#This Row],[Part]],PartControl!$A$2:$E$564,2,FALSE),OtherClients[[#This Row],[Total Quantity]]*VLOOKUP(OtherClients[[#This Row],[Part]],PartControl!$A$2:$E$564,2,FALSE)),0)</f>
        <v>106.94</v>
      </c>
    </row>
    <row r="1823" spans="1:26" ht="25.15" hidden="1" customHeight="1" x14ac:dyDescent="0.25">
      <c r="A1823" s="112">
        <v>46260.693877314814</v>
      </c>
      <c r="B1823" s="5" t="s">
        <v>345</v>
      </c>
      <c r="C1823" s="5" t="s">
        <v>787</v>
      </c>
      <c r="D1823" s="5">
        <v>716438</v>
      </c>
      <c r="E1823" s="33">
        <v>24</v>
      </c>
      <c r="F1823" s="60">
        <v>1300</v>
      </c>
      <c r="G1823" s="60">
        <f>+OtherClients[[#This Row],[Boxes / Pieces]]*OtherClients[[#This Row],[Unit Quantity]]</f>
        <v>31200</v>
      </c>
      <c r="H1823" s="60" t="s">
        <v>892</v>
      </c>
      <c r="I1823" s="60" t="s">
        <v>278</v>
      </c>
      <c r="J1823" s="104"/>
      <c r="K1823" s="33" t="s">
        <v>278</v>
      </c>
      <c r="L1823" s="111"/>
      <c r="M1823" s="33" t="s">
        <v>278</v>
      </c>
      <c r="N1823" s="111"/>
      <c r="O1823" s="33" t="s">
        <v>278</v>
      </c>
      <c r="P1823" s="111"/>
      <c r="Q1823" s="33" t="s">
        <v>587</v>
      </c>
      <c r="R1823" s="111"/>
      <c r="S1823" s="33" t="s">
        <v>278</v>
      </c>
      <c r="T1823" s="111"/>
      <c r="U1823" s="33" t="s">
        <v>278</v>
      </c>
      <c r="V1823" s="111"/>
      <c r="W1823" s="59" t="s">
        <v>548</v>
      </c>
      <c r="X1823" s="33" t="str">
        <f>+VLOOKUP(OtherClients[[#This Row],[Part]],PartControl!$A$2:$E$564,5,FALSE)</f>
        <v>infasco</v>
      </c>
      <c r="Y1823" s="108">
        <f>IF(OtherClients[[#This Row],[Re-certified or New]]&lt;&gt;"Re-certified",IF(OtherClients[[#This Row],[Client]]="infasco",VLOOKUP(OtherClients[[#This Row],[Part]],PartControl!$A$2:$E$564,2,FALSE),OtherClients[[#This Row],[Total Quantity]]*VLOOKUP(OtherClients[[#This Row],[Part]],PartControl!$A$2:$E$564,2,FALSE)),0)</f>
        <v>124.18</v>
      </c>
      <c r="Z1823" s="108">
        <f>IF(OtherClients[[#This Row],[Re-certified or New]]&lt;&gt;"Re-certified",IF(OtherClients[[#This Row],[Client]]="infasco",VLOOKUP(OtherClients[[#This Row],[Part]],PartControl!$A$2:$E$564,2,FALSE),OtherClients[[#This Row],[Total Quantity]]*VLOOKUP(OtherClients[[#This Row],[Part]],PartControl!$A$2:$E$564,2,FALSE)),0)</f>
        <v>124.18</v>
      </c>
    </row>
    <row r="1824" spans="1:26" ht="25.15" hidden="1" customHeight="1" x14ac:dyDescent="0.25">
      <c r="A1824" s="112">
        <v>46260.693877314814</v>
      </c>
      <c r="B1824" s="5" t="s">
        <v>345</v>
      </c>
      <c r="C1824" s="5">
        <v>40179994</v>
      </c>
      <c r="D1824" s="5">
        <v>716024</v>
      </c>
      <c r="E1824" s="33">
        <v>38</v>
      </c>
      <c r="F1824" s="60">
        <v>170</v>
      </c>
      <c r="G1824" s="60">
        <f>+OtherClients[[#This Row],[Boxes / Pieces]]*OtherClients[[#This Row],[Unit Quantity]]</f>
        <v>6460</v>
      </c>
      <c r="H1824" s="60" t="s">
        <v>892</v>
      </c>
      <c r="I1824" s="60" t="s">
        <v>278</v>
      </c>
      <c r="J1824" s="104"/>
      <c r="K1824" s="33" t="s">
        <v>278</v>
      </c>
      <c r="L1824" s="111"/>
      <c r="M1824" s="33" t="s">
        <v>278</v>
      </c>
      <c r="N1824" s="111"/>
      <c r="O1824" s="33" t="s">
        <v>278</v>
      </c>
      <c r="P1824" s="111"/>
      <c r="Q1824" s="33" t="s">
        <v>587</v>
      </c>
      <c r="R1824" s="111"/>
      <c r="S1824" s="33" t="s">
        <v>278</v>
      </c>
      <c r="T1824" s="111"/>
      <c r="U1824" s="33" t="s">
        <v>278</v>
      </c>
      <c r="V1824" s="111"/>
      <c r="W1824" s="59" t="s">
        <v>548</v>
      </c>
      <c r="X1824" s="33" t="str">
        <f>+VLOOKUP(OtherClients[[#This Row],[Part]],PartControl!$A$2:$E$564,5,FALSE)</f>
        <v>Infasco</v>
      </c>
      <c r="Y1824" s="108">
        <f>IF(OtherClients[[#This Row],[Re-certified or New]]&lt;&gt;"Re-certified",IF(OtherClients[[#This Row],[Client]]="infasco",VLOOKUP(OtherClients[[#This Row],[Part]],PartControl!$A$2:$E$564,2,FALSE),OtherClients[[#This Row],[Total Quantity]]*VLOOKUP(OtherClients[[#This Row],[Part]],PartControl!$A$2:$E$564,2,FALSE)),0)</f>
        <v>106.94</v>
      </c>
      <c r="Z1824" s="108">
        <f>IF(OtherClients[[#This Row],[Re-certified or New]]&lt;&gt;"Re-certified",IF(OtherClients[[#This Row],[Client]]="infasco",VLOOKUP(OtherClients[[#This Row],[Part]],PartControl!$A$2:$E$564,2,FALSE),OtherClients[[#This Row],[Total Quantity]]*VLOOKUP(OtherClients[[#This Row],[Part]],PartControl!$A$2:$E$564,2,FALSE)),0)</f>
        <v>106.94</v>
      </c>
    </row>
    <row r="1825" spans="1:26" ht="25.15" hidden="1" customHeight="1" x14ac:dyDescent="0.25">
      <c r="A1825" s="112">
        <v>46260.693877314814</v>
      </c>
      <c r="B1825" s="5" t="s">
        <v>345</v>
      </c>
      <c r="C1825" s="5">
        <v>40109770</v>
      </c>
      <c r="D1825" s="5">
        <v>717416</v>
      </c>
      <c r="E1825" s="33">
        <v>31</v>
      </c>
      <c r="F1825" s="60">
        <v>250</v>
      </c>
      <c r="G1825" s="60">
        <f>+OtherClients[[#This Row],[Boxes / Pieces]]*OtherClients[[#This Row],[Unit Quantity]]</f>
        <v>7750</v>
      </c>
      <c r="H1825" s="60" t="s">
        <v>892</v>
      </c>
      <c r="I1825" s="60" t="s">
        <v>278</v>
      </c>
      <c r="J1825" s="104"/>
      <c r="K1825" s="33" t="s">
        <v>278</v>
      </c>
      <c r="L1825" s="111"/>
      <c r="M1825" s="33" t="s">
        <v>278</v>
      </c>
      <c r="N1825" s="111"/>
      <c r="O1825" s="33" t="s">
        <v>278</v>
      </c>
      <c r="P1825" s="111"/>
      <c r="Q1825" s="33" t="s">
        <v>587</v>
      </c>
      <c r="R1825" s="111"/>
      <c r="S1825" s="33" t="s">
        <v>278</v>
      </c>
      <c r="T1825" s="111"/>
      <c r="U1825" s="33" t="s">
        <v>278</v>
      </c>
      <c r="V1825" s="111"/>
      <c r="W1825" s="59" t="s">
        <v>548</v>
      </c>
      <c r="X1825" s="33" t="str">
        <f>+VLOOKUP(OtherClients[[#This Row],[Part]],PartControl!$A$2:$E$564,5,FALSE)</f>
        <v>infasco</v>
      </c>
      <c r="Y1825" s="108">
        <f>IF(OtherClients[[#This Row],[Re-certified or New]]&lt;&gt;"Re-certified",IF(OtherClients[[#This Row],[Client]]="infasco",VLOOKUP(OtherClients[[#This Row],[Part]],PartControl!$A$2:$E$564,2,FALSE),OtherClients[[#This Row],[Total Quantity]]*VLOOKUP(OtherClients[[#This Row],[Part]],PartControl!$A$2:$E$564,2,FALSE)),0)</f>
        <v>106.94</v>
      </c>
      <c r="Z1825" s="108">
        <f>IF(OtherClients[[#This Row],[Re-certified or New]]&lt;&gt;"Re-certified",IF(OtherClients[[#This Row],[Client]]="infasco",VLOOKUP(OtherClients[[#This Row],[Part]],PartControl!$A$2:$E$564,2,FALSE),OtherClients[[#This Row],[Total Quantity]]*VLOOKUP(OtherClients[[#This Row],[Part]],PartControl!$A$2:$E$564,2,FALSE)),0)</f>
        <v>106.94</v>
      </c>
    </row>
    <row r="1826" spans="1:26" ht="25.15" hidden="1" customHeight="1" x14ac:dyDescent="0.25">
      <c r="A1826" s="112">
        <v>46260.693877314814</v>
      </c>
      <c r="B1826" s="5" t="s">
        <v>345</v>
      </c>
      <c r="C1826" s="5" t="s">
        <v>787</v>
      </c>
      <c r="D1826" s="5">
        <v>716954</v>
      </c>
      <c r="E1826" s="33">
        <v>24</v>
      </c>
      <c r="F1826" s="60">
        <v>1300</v>
      </c>
      <c r="G1826" s="60">
        <f>+OtherClients[[#This Row],[Boxes / Pieces]]*OtherClients[[#This Row],[Unit Quantity]]</f>
        <v>31200</v>
      </c>
      <c r="H1826" s="60" t="s">
        <v>892</v>
      </c>
      <c r="I1826" s="60" t="s">
        <v>278</v>
      </c>
      <c r="J1826" s="104"/>
      <c r="K1826" s="33" t="s">
        <v>278</v>
      </c>
      <c r="L1826" s="111"/>
      <c r="M1826" s="33" t="s">
        <v>278</v>
      </c>
      <c r="N1826" s="111"/>
      <c r="O1826" s="33" t="s">
        <v>278</v>
      </c>
      <c r="P1826" s="111"/>
      <c r="Q1826" s="33" t="s">
        <v>587</v>
      </c>
      <c r="R1826" s="111"/>
      <c r="S1826" s="33" t="s">
        <v>278</v>
      </c>
      <c r="T1826" s="111"/>
      <c r="U1826" s="33" t="s">
        <v>278</v>
      </c>
      <c r="V1826" s="111"/>
      <c r="W1826" s="59" t="s">
        <v>548</v>
      </c>
      <c r="X1826" s="33" t="str">
        <f>+VLOOKUP(OtherClients[[#This Row],[Part]],PartControl!$A$2:$E$564,5,FALSE)</f>
        <v>infasco</v>
      </c>
      <c r="Y1826" s="108">
        <f>IF(OtherClients[[#This Row],[Re-certified or New]]&lt;&gt;"Re-certified",IF(OtherClients[[#This Row],[Client]]="infasco",VLOOKUP(OtherClients[[#This Row],[Part]],PartControl!$A$2:$E$564,2,FALSE),OtherClients[[#This Row],[Total Quantity]]*VLOOKUP(OtherClients[[#This Row],[Part]],PartControl!$A$2:$E$564,2,FALSE)),0)</f>
        <v>124.18</v>
      </c>
      <c r="Z1826" s="108">
        <f>IF(OtherClients[[#This Row],[Re-certified or New]]&lt;&gt;"Re-certified",IF(OtherClients[[#This Row],[Client]]="infasco",VLOOKUP(OtherClients[[#This Row],[Part]],PartControl!$A$2:$E$564,2,FALSE),OtherClients[[#This Row],[Total Quantity]]*VLOOKUP(OtherClients[[#This Row],[Part]],PartControl!$A$2:$E$564,2,FALSE)),0)</f>
        <v>124.18</v>
      </c>
    </row>
    <row r="1827" spans="1:26" ht="25.15" hidden="1" customHeight="1" x14ac:dyDescent="0.25">
      <c r="A1827" s="112">
        <v>46260.693877314814</v>
      </c>
      <c r="B1827" s="5" t="s">
        <v>345</v>
      </c>
      <c r="C1827" s="5" t="s">
        <v>18</v>
      </c>
      <c r="D1827" s="5">
        <v>716622</v>
      </c>
      <c r="E1827" s="33">
        <v>30</v>
      </c>
      <c r="F1827" s="60">
        <v>200</v>
      </c>
      <c r="G1827" s="60">
        <f>+OtherClients[[#This Row],[Boxes / Pieces]]*OtherClients[[#This Row],[Unit Quantity]]</f>
        <v>6000</v>
      </c>
      <c r="H1827" s="60" t="s">
        <v>892</v>
      </c>
      <c r="I1827" s="60" t="s">
        <v>278</v>
      </c>
      <c r="J1827" s="104"/>
      <c r="K1827" s="33" t="s">
        <v>278</v>
      </c>
      <c r="L1827" s="111"/>
      <c r="M1827" s="33" t="s">
        <v>278</v>
      </c>
      <c r="N1827" s="111"/>
      <c r="O1827" s="33" t="s">
        <v>278</v>
      </c>
      <c r="P1827" s="111"/>
      <c r="Q1827" s="33" t="s">
        <v>587</v>
      </c>
      <c r="R1827" s="111"/>
      <c r="S1827" s="33" t="s">
        <v>278</v>
      </c>
      <c r="T1827" s="111"/>
      <c r="U1827" s="33" t="s">
        <v>278</v>
      </c>
      <c r="V1827" s="111"/>
      <c r="W1827" s="59" t="s">
        <v>548</v>
      </c>
      <c r="X1827" s="33" t="str">
        <f>+VLOOKUP(OtherClients[[#This Row],[Part]],PartControl!$A$2:$E$564,5,FALSE)</f>
        <v>infasco</v>
      </c>
      <c r="Y1827" s="108">
        <f>IF(OtherClients[[#This Row],[Re-certified or New]]&lt;&gt;"Re-certified",IF(OtherClients[[#This Row],[Client]]="infasco",VLOOKUP(OtherClients[[#This Row],[Part]],PartControl!$A$2:$E$564,2,FALSE),OtherClients[[#This Row],[Total Quantity]]*VLOOKUP(OtherClients[[#This Row],[Part]],PartControl!$A$2:$E$564,2,FALSE)),0)</f>
        <v>135.07999999999998</v>
      </c>
      <c r="Z1827" s="108">
        <f>IF(OtherClients[[#This Row],[Re-certified or New]]&lt;&gt;"Re-certified",IF(OtherClients[[#This Row],[Client]]="infasco",VLOOKUP(OtherClients[[#This Row],[Part]],PartControl!$A$2:$E$564,2,FALSE),OtherClients[[#This Row],[Total Quantity]]*VLOOKUP(OtherClients[[#This Row],[Part]],PartControl!$A$2:$E$564,2,FALSE)),0)</f>
        <v>135.07999999999998</v>
      </c>
    </row>
    <row r="1828" spans="1:26" ht="25.15" hidden="1" customHeight="1" x14ac:dyDescent="0.25">
      <c r="A1828" s="112">
        <v>46260.693877314814</v>
      </c>
      <c r="B1828" s="5" t="s">
        <v>345</v>
      </c>
      <c r="C1828" s="5">
        <v>40073474</v>
      </c>
      <c r="D1828" s="5">
        <v>716805</v>
      </c>
      <c r="E1828" s="33">
        <v>35</v>
      </c>
      <c r="F1828" s="60">
        <v>150</v>
      </c>
      <c r="G1828" s="60">
        <f>+OtherClients[[#This Row],[Boxes / Pieces]]*OtherClients[[#This Row],[Unit Quantity]]</f>
        <v>5250</v>
      </c>
      <c r="H1828" s="60" t="s">
        <v>892</v>
      </c>
      <c r="I1828" s="60" t="s">
        <v>278</v>
      </c>
      <c r="J1828" s="104"/>
      <c r="K1828" s="33" t="s">
        <v>278</v>
      </c>
      <c r="L1828" s="111"/>
      <c r="M1828" s="33" t="s">
        <v>278</v>
      </c>
      <c r="N1828" s="111"/>
      <c r="O1828" s="33" t="s">
        <v>278</v>
      </c>
      <c r="P1828" s="111"/>
      <c r="Q1828" s="33" t="s">
        <v>587</v>
      </c>
      <c r="R1828" s="111"/>
      <c r="S1828" s="33" t="s">
        <v>278</v>
      </c>
      <c r="T1828" s="111"/>
      <c r="U1828" s="33" t="s">
        <v>278</v>
      </c>
      <c r="V1828" s="111"/>
      <c r="W1828" s="59" t="s">
        <v>548</v>
      </c>
      <c r="X1828" s="33" t="str">
        <f>+VLOOKUP(OtherClients[[#This Row],[Part]],PartControl!$A$2:$E$564,5,FALSE)</f>
        <v>infasco</v>
      </c>
      <c r="Y1828" s="108">
        <f>IF(OtherClients[[#This Row],[Re-certified or New]]&lt;&gt;"Re-certified",IF(OtherClients[[#This Row],[Client]]="infasco",VLOOKUP(OtherClients[[#This Row],[Part]],PartControl!$A$2:$E$564,2,FALSE),OtherClients[[#This Row],[Total Quantity]]*VLOOKUP(OtherClients[[#This Row],[Part]],PartControl!$A$2:$E$564,2,FALSE)),0)</f>
        <v>106.94</v>
      </c>
      <c r="Z1828" s="108">
        <f>IF(OtherClients[[#This Row],[Re-certified or New]]&lt;&gt;"Re-certified",IF(OtherClients[[#This Row],[Client]]="infasco",VLOOKUP(OtherClients[[#This Row],[Part]],PartControl!$A$2:$E$564,2,FALSE),OtherClients[[#This Row],[Total Quantity]]*VLOOKUP(OtherClients[[#This Row],[Part]],PartControl!$A$2:$E$564,2,FALSE)),0)</f>
        <v>106.94</v>
      </c>
    </row>
    <row r="1829" spans="1:26" ht="25.15" hidden="1" customHeight="1" x14ac:dyDescent="0.25">
      <c r="A1829" s="112">
        <v>46260.693877314814</v>
      </c>
      <c r="B1829" s="5" t="s">
        <v>345</v>
      </c>
      <c r="C1829" s="5">
        <v>40109770</v>
      </c>
      <c r="D1829" s="5">
        <v>717417</v>
      </c>
      <c r="E1829" s="33">
        <v>36</v>
      </c>
      <c r="F1829" s="60">
        <v>250</v>
      </c>
      <c r="G1829" s="60">
        <f>+OtherClients[[#This Row],[Boxes / Pieces]]*OtherClients[[#This Row],[Unit Quantity]]</f>
        <v>9000</v>
      </c>
      <c r="H1829" s="60" t="s">
        <v>892</v>
      </c>
      <c r="I1829" s="60" t="s">
        <v>278</v>
      </c>
      <c r="J1829" s="104"/>
      <c r="K1829" s="33" t="s">
        <v>278</v>
      </c>
      <c r="L1829" s="111"/>
      <c r="M1829" s="33" t="s">
        <v>278</v>
      </c>
      <c r="N1829" s="111"/>
      <c r="O1829" s="33" t="s">
        <v>278</v>
      </c>
      <c r="P1829" s="111"/>
      <c r="Q1829" s="33" t="s">
        <v>587</v>
      </c>
      <c r="R1829" s="111"/>
      <c r="S1829" s="33" t="s">
        <v>278</v>
      </c>
      <c r="T1829" s="111"/>
      <c r="U1829" s="33" t="s">
        <v>278</v>
      </c>
      <c r="V1829" s="111"/>
      <c r="W1829" s="59" t="s">
        <v>548</v>
      </c>
      <c r="X1829" s="33" t="str">
        <f>+VLOOKUP(OtherClients[[#This Row],[Part]],PartControl!$A$2:$E$564,5,FALSE)</f>
        <v>infasco</v>
      </c>
      <c r="Y1829" s="108">
        <f>IF(OtherClients[[#This Row],[Re-certified or New]]&lt;&gt;"Re-certified",IF(OtherClients[[#This Row],[Client]]="infasco",VLOOKUP(OtherClients[[#This Row],[Part]],PartControl!$A$2:$E$564,2,FALSE),OtherClients[[#This Row],[Total Quantity]]*VLOOKUP(OtherClients[[#This Row],[Part]],PartControl!$A$2:$E$564,2,FALSE)),0)</f>
        <v>106.94</v>
      </c>
      <c r="Z1829" s="108">
        <f>IF(OtherClients[[#This Row],[Re-certified or New]]&lt;&gt;"Re-certified",IF(OtherClients[[#This Row],[Client]]="infasco",VLOOKUP(OtherClients[[#This Row],[Part]],PartControl!$A$2:$E$564,2,FALSE),OtherClients[[#This Row],[Total Quantity]]*VLOOKUP(OtherClients[[#This Row],[Part]],PartControl!$A$2:$E$564,2,FALSE)),0)</f>
        <v>106.94</v>
      </c>
    </row>
    <row r="1830" spans="1:26" ht="25.15" hidden="1" customHeight="1" x14ac:dyDescent="0.25">
      <c r="A1830" s="112">
        <v>46260.693877314814</v>
      </c>
      <c r="B1830" s="5" t="s">
        <v>345</v>
      </c>
      <c r="C1830" s="5" t="s">
        <v>17</v>
      </c>
      <c r="D1830" s="5">
        <v>717414</v>
      </c>
      <c r="E1830" s="33">
        <v>27</v>
      </c>
      <c r="F1830" s="60">
        <v>100</v>
      </c>
      <c r="G1830" s="60">
        <f>+OtherClients[[#This Row],[Boxes / Pieces]]*OtherClients[[#This Row],[Unit Quantity]]</f>
        <v>2700</v>
      </c>
      <c r="H1830" s="60" t="s">
        <v>892</v>
      </c>
      <c r="I1830" s="60" t="s">
        <v>278</v>
      </c>
      <c r="J1830" s="104"/>
      <c r="K1830" s="33" t="s">
        <v>278</v>
      </c>
      <c r="L1830" s="111"/>
      <c r="M1830" s="33" t="s">
        <v>278</v>
      </c>
      <c r="N1830" s="111"/>
      <c r="O1830" s="33" t="s">
        <v>278</v>
      </c>
      <c r="P1830" s="111"/>
      <c r="Q1830" s="33" t="s">
        <v>587</v>
      </c>
      <c r="R1830" s="111"/>
      <c r="S1830" s="33" t="s">
        <v>278</v>
      </c>
      <c r="T1830" s="111"/>
      <c r="U1830" s="33" t="s">
        <v>278</v>
      </c>
      <c r="V1830" s="111"/>
      <c r="W1830" s="59" t="s">
        <v>633</v>
      </c>
      <c r="X1830" s="33" t="str">
        <f>+VLOOKUP(OtherClients[[#This Row],[Part]],PartControl!$A$2:$E$564,5,FALSE)</f>
        <v>infasco</v>
      </c>
      <c r="Y1830" s="108">
        <f>IF(OtherClients[[#This Row],[Re-certified or New]]&lt;&gt;"Re-certified",IF(OtherClients[[#This Row],[Client]]="infasco",VLOOKUP(OtherClients[[#This Row],[Part]],PartControl!$A$2:$E$564,2,FALSE),OtherClients[[#This Row],[Total Quantity]]*VLOOKUP(OtherClients[[#This Row],[Part]],PartControl!$A$2:$E$564,2,FALSE)),0)</f>
        <v>0</v>
      </c>
      <c r="Z1830" s="108">
        <f>IF(OtherClients[[#This Row],[Re-certified or New]]&lt;&gt;"Re-certified",IF(OtherClients[[#This Row],[Client]]="infasco",VLOOKUP(OtherClients[[#This Row],[Part]],PartControl!$A$2:$E$564,2,FALSE),OtherClients[[#This Row],[Total Quantity]]*VLOOKUP(OtherClients[[#This Row],[Part]],PartControl!$A$2:$E$564,2,FALSE)),0)</f>
        <v>0</v>
      </c>
    </row>
    <row r="1831" spans="1:26" ht="25.15" hidden="1" customHeight="1" x14ac:dyDescent="0.25">
      <c r="A1831" s="112">
        <v>46260.693877314814</v>
      </c>
      <c r="B1831" s="5" t="s">
        <v>246</v>
      </c>
      <c r="C1831" s="5" t="s">
        <v>732</v>
      </c>
      <c r="D1831" s="5">
        <v>710690</v>
      </c>
      <c r="E1831" s="33">
        <v>27</v>
      </c>
      <c r="F1831" s="60">
        <v>1000</v>
      </c>
      <c r="G1831" s="60">
        <f>+OtherClients[[#This Row],[Boxes / Pieces]]*OtherClients[[#This Row],[Unit Quantity]]</f>
        <v>27000</v>
      </c>
      <c r="H1831" s="60">
        <v>272</v>
      </c>
      <c r="I1831" s="60" t="s">
        <v>278</v>
      </c>
      <c r="J1831" s="104"/>
      <c r="K1831" s="33" t="s">
        <v>278</v>
      </c>
      <c r="L1831" s="111"/>
      <c r="M1831" s="33" t="s">
        <v>278</v>
      </c>
      <c r="N1831" s="111"/>
      <c r="O1831" s="33" t="s">
        <v>278</v>
      </c>
      <c r="P1831" s="111"/>
      <c r="Q1831" s="33" t="s">
        <v>587</v>
      </c>
      <c r="R1831" s="111"/>
      <c r="S1831" s="33" t="s">
        <v>278</v>
      </c>
      <c r="T1831" s="111"/>
      <c r="U1831" s="33" t="s">
        <v>278</v>
      </c>
      <c r="V1831" s="111"/>
      <c r="W1831" s="59" t="s">
        <v>548</v>
      </c>
      <c r="X1831" s="33" t="str">
        <f>+VLOOKUP(OtherClients[[#This Row],[Part]],PartControl!$A$2:$E$564,5,FALSE)</f>
        <v>infasco</v>
      </c>
      <c r="Y1831" s="108">
        <f>IF(OtherClients[[#This Row],[Re-certified or New]]&lt;&gt;"Re-certified",IF(OtherClients[[#This Row],[Client]]="infasco",VLOOKUP(OtherClients[[#This Row],[Part]],PartControl!$A$2:$E$564,2,FALSE),OtherClients[[#This Row],[Total Quantity]]*VLOOKUP(OtherClients[[#This Row],[Part]],PartControl!$A$2:$E$564,2,FALSE)),0)</f>
        <v>213.88</v>
      </c>
      <c r="Z1831" s="108">
        <f>IF(OtherClients[[#This Row],[Re-certified or New]]&lt;&gt;"Re-certified",IF(OtherClients[[#This Row],[Client]]="infasco",VLOOKUP(OtherClients[[#This Row],[Part]],PartControl!$A$2:$E$564,2,FALSE),OtherClients[[#This Row],[Total Quantity]]*VLOOKUP(OtherClients[[#This Row],[Part]],PartControl!$A$2:$E$564,2,FALSE)),0)</f>
        <v>213.88</v>
      </c>
    </row>
    <row r="1832" spans="1:26" ht="25.15" hidden="1" customHeight="1" x14ac:dyDescent="0.25">
      <c r="A1832" s="112">
        <v>46260.693877314814</v>
      </c>
      <c r="B1832" s="5" t="s">
        <v>246</v>
      </c>
      <c r="C1832" s="5" t="s">
        <v>732</v>
      </c>
      <c r="D1832" s="5">
        <v>710832</v>
      </c>
      <c r="E1832" s="33">
        <v>43</v>
      </c>
      <c r="F1832" s="60">
        <v>1000</v>
      </c>
      <c r="G1832" s="60">
        <f>+OtherClients[[#This Row],[Boxes / Pieces]]*OtherClients[[#This Row],[Unit Quantity]]</f>
        <v>43000</v>
      </c>
      <c r="H1832" s="60">
        <v>272</v>
      </c>
      <c r="I1832" s="60" t="s">
        <v>278</v>
      </c>
      <c r="J1832" s="104"/>
      <c r="K1832" s="33" t="s">
        <v>278</v>
      </c>
      <c r="L1832" s="111"/>
      <c r="M1832" s="33" t="s">
        <v>278</v>
      </c>
      <c r="N1832" s="111"/>
      <c r="O1832" s="33" t="s">
        <v>278</v>
      </c>
      <c r="P1832" s="111"/>
      <c r="Q1832" s="33" t="s">
        <v>587</v>
      </c>
      <c r="R1832" s="111"/>
      <c r="S1832" s="33" t="s">
        <v>278</v>
      </c>
      <c r="T1832" s="111"/>
      <c r="U1832" s="33" t="s">
        <v>278</v>
      </c>
      <c r="V1832" s="111"/>
      <c r="W1832" s="59" t="s">
        <v>633</v>
      </c>
      <c r="X1832" s="33" t="str">
        <f>+VLOOKUP(OtherClients[[#This Row],[Part]],PartControl!$A$2:$E$564,5,FALSE)</f>
        <v>infasco</v>
      </c>
      <c r="Y1832" s="108">
        <f>IF(OtherClients[[#This Row],[Re-certified or New]]&lt;&gt;"Re-certified",IF(OtherClients[[#This Row],[Client]]="infasco",VLOOKUP(OtherClients[[#This Row],[Part]],PartControl!$A$2:$E$564,2,FALSE),OtherClients[[#This Row],[Total Quantity]]*VLOOKUP(OtherClients[[#This Row],[Part]],PartControl!$A$2:$E$564,2,FALSE)),0)</f>
        <v>0</v>
      </c>
      <c r="Z1832" s="108">
        <f>IF(OtherClients[[#This Row],[Re-certified or New]]&lt;&gt;"Re-certified",IF(OtherClients[[#This Row],[Client]]="infasco",VLOOKUP(OtherClients[[#This Row],[Part]],PartControl!$A$2:$E$564,2,FALSE),OtherClients[[#This Row],[Total Quantity]]*VLOOKUP(OtherClients[[#This Row],[Part]],PartControl!$A$2:$E$564,2,FALSE)),0)</f>
        <v>0</v>
      </c>
    </row>
    <row r="1833" spans="1:26" ht="25.15" hidden="1" customHeight="1" x14ac:dyDescent="0.25">
      <c r="A1833" s="112">
        <v>46260.693877314814</v>
      </c>
      <c r="B1833" s="5" t="s">
        <v>249</v>
      </c>
      <c r="C1833" s="5">
        <v>11612078</v>
      </c>
      <c r="D1833" s="5">
        <v>705986</v>
      </c>
      <c r="E1833" s="33">
        <v>3</v>
      </c>
      <c r="F1833" s="60">
        <v>1850</v>
      </c>
      <c r="G1833" s="60">
        <f>+OtherClients[[#This Row],[Boxes / Pieces]]*OtherClients[[#This Row],[Unit Quantity]]</f>
        <v>5550</v>
      </c>
      <c r="H1833" s="60">
        <v>4</v>
      </c>
      <c r="I1833" s="60" t="s">
        <v>278</v>
      </c>
      <c r="J1833" s="104"/>
      <c r="K1833" s="33" t="s">
        <v>278</v>
      </c>
      <c r="L1833" s="111"/>
      <c r="M1833" s="33" t="s">
        <v>278</v>
      </c>
      <c r="N1833" s="111"/>
      <c r="O1833" s="33" t="s">
        <v>278</v>
      </c>
      <c r="P1833" s="111"/>
      <c r="Q1833" s="33" t="s">
        <v>587</v>
      </c>
      <c r="R1833" s="111"/>
      <c r="S1833" s="33" t="s">
        <v>278</v>
      </c>
      <c r="T1833" s="111"/>
      <c r="U1833" s="33" t="s">
        <v>278</v>
      </c>
      <c r="V1833" s="111"/>
      <c r="W1833" s="59" t="s">
        <v>548</v>
      </c>
      <c r="X1833" s="33" t="str">
        <f>+VLOOKUP(OtherClients[[#This Row],[Part]],PartControl!$A$2:$E$564,5,FALSE)</f>
        <v>infasco</v>
      </c>
      <c r="Y1833" s="108">
        <f>IF(OtherClients[[#This Row],[Re-certified or New]]&lt;&gt;"Re-certified",IF(OtherClients[[#This Row],[Client]]="infasco",VLOOKUP(OtherClients[[#This Row],[Part]],PartControl!$A$2:$E$564,2,FALSE),OtherClients[[#This Row],[Total Quantity]]*VLOOKUP(OtherClients[[#This Row],[Part]],PartControl!$A$2:$E$564,2,FALSE)),0)</f>
        <v>247.64</v>
      </c>
      <c r="Z1833" s="108">
        <f>IF(OtherClients[[#This Row],[Re-certified or New]]&lt;&gt;"Re-certified",IF(OtherClients[[#This Row],[Client]]="infasco",VLOOKUP(OtherClients[[#This Row],[Part]],PartControl!$A$2:$E$564,2,FALSE),OtherClients[[#This Row],[Total Quantity]]*VLOOKUP(OtherClients[[#This Row],[Part]],PartControl!$A$2:$E$564,2,FALSE)),0)</f>
        <v>247.64</v>
      </c>
    </row>
    <row r="1834" spans="1:26" ht="25.15" hidden="1" customHeight="1" x14ac:dyDescent="0.25">
      <c r="A1834" s="112">
        <v>46260.693877314814</v>
      </c>
      <c r="B1834" s="5" t="s">
        <v>249</v>
      </c>
      <c r="C1834" s="5">
        <v>11612078</v>
      </c>
      <c r="D1834" s="5">
        <v>708877</v>
      </c>
      <c r="E1834" s="33">
        <v>21</v>
      </c>
      <c r="F1834" s="60">
        <v>1850</v>
      </c>
      <c r="G1834" s="60">
        <f>+OtherClients[[#This Row],[Boxes / Pieces]]*OtherClients[[#This Row],[Unit Quantity]]</f>
        <v>38850</v>
      </c>
      <c r="H1834" s="60">
        <v>4</v>
      </c>
      <c r="I1834" s="60" t="s">
        <v>278</v>
      </c>
      <c r="J1834" s="104"/>
      <c r="K1834" s="33" t="s">
        <v>278</v>
      </c>
      <c r="L1834" s="111"/>
      <c r="M1834" s="33" t="s">
        <v>278</v>
      </c>
      <c r="N1834" s="111"/>
      <c r="O1834" s="33" t="s">
        <v>278</v>
      </c>
      <c r="P1834" s="111"/>
      <c r="Q1834" s="33" t="s">
        <v>587</v>
      </c>
      <c r="R1834" s="111"/>
      <c r="S1834" s="33" t="s">
        <v>278</v>
      </c>
      <c r="T1834" s="111"/>
      <c r="U1834" s="33" t="s">
        <v>278</v>
      </c>
      <c r="V1834" s="111"/>
      <c r="W1834" s="59" t="s">
        <v>633</v>
      </c>
      <c r="X1834" s="33" t="str">
        <f>+VLOOKUP(OtherClients[[#This Row],[Part]],PartControl!$A$2:$E$564,5,FALSE)</f>
        <v>infasco</v>
      </c>
      <c r="Y1834" s="108">
        <f>IF(OtherClients[[#This Row],[Re-certified or New]]&lt;&gt;"Re-certified",IF(OtherClients[[#This Row],[Client]]="infasco",VLOOKUP(OtherClients[[#This Row],[Part]],PartControl!$A$2:$E$564,2,FALSE),OtherClients[[#This Row],[Total Quantity]]*VLOOKUP(OtherClients[[#This Row],[Part]],PartControl!$A$2:$E$564,2,FALSE)),0)</f>
        <v>0</v>
      </c>
      <c r="Z1834" s="108">
        <f>IF(OtherClients[[#This Row],[Re-certified or New]]&lt;&gt;"Re-certified",IF(OtherClients[[#This Row],[Client]]="infasco",VLOOKUP(OtherClients[[#This Row],[Part]],PartControl!$A$2:$E$564,2,FALSE),OtherClients[[#This Row],[Total Quantity]]*VLOOKUP(OtherClients[[#This Row],[Part]],PartControl!$A$2:$E$564,2,FALSE)),0)</f>
        <v>0</v>
      </c>
    </row>
    <row r="1835" spans="1:26" ht="25.15" hidden="1" customHeight="1" x14ac:dyDescent="0.25">
      <c r="A1835" s="112">
        <v>46260.693877314814</v>
      </c>
      <c r="B1835" s="5" t="s">
        <v>637</v>
      </c>
      <c r="C1835" s="5">
        <v>11546456</v>
      </c>
      <c r="D1835" s="5">
        <v>717077</v>
      </c>
      <c r="E1835" s="33">
        <v>6</v>
      </c>
      <c r="F1835" s="60">
        <v>2700</v>
      </c>
      <c r="G1835" s="60">
        <f>+OtherClients[[#This Row],[Boxes / Pieces]]*OtherClients[[#This Row],[Unit Quantity]]</f>
        <v>16200</v>
      </c>
      <c r="H1835" s="60">
        <v>280</v>
      </c>
      <c r="I1835" s="60" t="s">
        <v>278</v>
      </c>
      <c r="J1835" s="104"/>
      <c r="K1835" s="33" t="s">
        <v>278</v>
      </c>
      <c r="L1835" s="111"/>
      <c r="M1835" s="33" t="s">
        <v>278</v>
      </c>
      <c r="N1835" s="111"/>
      <c r="O1835" s="33" t="s">
        <v>278</v>
      </c>
      <c r="P1835" s="111"/>
      <c r="Q1835" s="33" t="s">
        <v>587</v>
      </c>
      <c r="R1835" s="111"/>
      <c r="S1835" s="33" t="s">
        <v>278</v>
      </c>
      <c r="T1835" s="111"/>
      <c r="U1835" s="33" t="s">
        <v>278</v>
      </c>
      <c r="V1835" s="111"/>
      <c r="W1835" s="59" t="s">
        <v>548</v>
      </c>
      <c r="X1835" s="33" t="str">
        <f>+VLOOKUP(OtherClients[[#This Row],[Part]],PartControl!$A$2:$E$564,5,FALSE)</f>
        <v>INFASCO</v>
      </c>
      <c r="Y1835" s="108">
        <f>IF(OtherClients[[#This Row],[Re-certified or New]]&lt;&gt;"Re-certified",IF(OtherClients[[#This Row],[Client]]="infasco",VLOOKUP(OtherClients[[#This Row],[Part]],PartControl!$A$2:$E$564,2,FALSE),OtherClients[[#This Row],[Total Quantity]]*VLOOKUP(OtherClients[[#This Row],[Part]],PartControl!$A$2:$E$564,2,FALSE)),0)</f>
        <v>106.94</v>
      </c>
      <c r="Z1835" s="108">
        <f>IF(OtherClients[[#This Row],[Re-certified or New]]&lt;&gt;"Re-certified",IF(OtherClients[[#This Row],[Client]]="infasco",VLOOKUP(OtherClients[[#This Row],[Part]],PartControl!$A$2:$E$564,2,FALSE),OtherClients[[#This Row],[Total Quantity]]*VLOOKUP(OtherClients[[#This Row],[Part]],PartControl!$A$2:$E$564,2,FALSE)),0)</f>
        <v>106.94</v>
      </c>
    </row>
    <row r="1836" spans="1:26" ht="25.15" hidden="1" customHeight="1" x14ac:dyDescent="0.25">
      <c r="A1836" s="112">
        <v>46260.693877314814</v>
      </c>
      <c r="B1836" s="5" t="s">
        <v>637</v>
      </c>
      <c r="C1836" s="5">
        <v>11546456</v>
      </c>
      <c r="D1836" s="5">
        <v>717071</v>
      </c>
      <c r="E1836" s="33">
        <v>13</v>
      </c>
      <c r="F1836" s="60">
        <v>2700</v>
      </c>
      <c r="G1836" s="60">
        <f>+OtherClients[[#This Row],[Boxes / Pieces]]*OtherClients[[#This Row],[Unit Quantity]]</f>
        <v>35100</v>
      </c>
      <c r="H1836" s="60">
        <v>280</v>
      </c>
      <c r="I1836" s="60" t="s">
        <v>278</v>
      </c>
      <c r="J1836" s="104"/>
      <c r="K1836" s="33" t="s">
        <v>278</v>
      </c>
      <c r="L1836" s="111"/>
      <c r="M1836" s="33" t="s">
        <v>278</v>
      </c>
      <c r="N1836" s="111"/>
      <c r="O1836" s="33" t="s">
        <v>278</v>
      </c>
      <c r="P1836" s="111"/>
      <c r="Q1836" s="33" t="s">
        <v>587</v>
      </c>
      <c r="R1836" s="111"/>
      <c r="S1836" s="33" t="s">
        <v>278</v>
      </c>
      <c r="T1836" s="111"/>
      <c r="U1836" s="33" t="s">
        <v>278</v>
      </c>
      <c r="V1836" s="111"/>
      <c r="W1836" s="59" t="s">
        <v>548</v>
      </c>
      <c r="X1836" s="33" t="str">
        <f>+VLOOKUP(OtherClients[[#This Row],[Part]],PartControl!$A$2:$E$564,5,FALSE)</f>
        <v>INFASCO</v>
      </c>
      <c r="Y1836" s="108">
        <f>IF(OtherClients[[#This Row],[Re-certified or New]]&lt;&gt;"Re-certified",IF(OtherClients[[#This Row],[Client]]="infasco",VLOOKUP(OtherClients[[#This Row],[Part]],PartControl!$A$2:$E$564,2,FALSE),OtherClients[[#This Row],[Total Quantity]]*VLOOKUP(OtherClients[[#This Row],[Part]],PartControl!$A$2:$E$564,2,FALSE)),0)</f>
        <v>106.94</v>
      </c>
      <c r="Z1836" s="108">
        <f>IF(OtherClients[[#This Row],[Re-certified or New]]&lt;&gt;"Re-certified",IF(OtherClients[[#This Row],[Client]]="infasco",VLOOKUP(OtherClients[[#This Row],[Part]],PartControl!$A$2:$E$564,2,FALSE),OtherClients[[#This Row],[Total Quantity]]*VLOOKUP(OtherClients[[#This Row],[Part]],PartControl!$A$2:$E$564,2,FALSE)),0)</f>
        <v>106.94</v>
      </c>
    </row>
    <row r="1837" spans="1:26" ht="25.15" hidden="1" customHeight="1" x14ac:dyDescent="0.25">
      <c r="A1837" s="112">
        <v>46260.693877314814</v>
      </c>
      <c r="B1837" s="5" t="s">
        <v>637</v>
      </c>
      <c r="C1837" s="5">
        <v>11546456</v>
      </c>
      <c r="D1837" s="5">
        <v>717074</v>
      </c>
      <c r="E1837" s="33">
        <v>33</v>
      </c>
      <c r="F1837" s="60">
        <v>2700</v>
      </c>
      <c r="G1837" s="60">
        <f>+OtherClients[[#This Row],[Boxes / Pieces]]*OtherClients[[#This Row],[Unit Quantity]]</f>
        <v>89100</v>
      </c>
      <c r="H1837" s="60">
        <v>280</v>
      </c>
      <c r="I1837" s="60" t="s">
        <v>278</v>
      </c>
      <c r="J1837" s="104"/>
      <c r="K1837" s="33" t="s">
        <v>278</v>
      </c>
      <c r="L1837" s="111"/>
      <c r="M1837" s="33" t="s">
        <v>278</v>
      </c>
      <c r="N1837" s="111"/>
      <c r="O1837" s="33" t="s">
        <v>278</v>
      </c>
      <c r="P1837" s="111"/>
      <c r="Q1837" s="33" t="s">
        <v>587</v>
      </c>
      <c r="R1837" s="111"/>
      <c r="S1837" s="33" t="s">
        <v>278</v>
      </c>
      <c r="T1837" s="111"/>
      <c r="U1837" s="33" t="s">
        <v>278</v>
      </c>
      <c r="V1837" s="111"/>
      <c r="W1837" s="59" t="s">
        <v>548</v>
      </c>
      <c r="X1837" s="33" t="str">
        <f>+VLOOKUP(OtherClients[[#This Row],[Part]],PartControl!$A$2:$E$564,5,FALSE)</f>
        <v>INFASCO</v>
      </c>
      <c r="Y1837" s="108">
        <f>IF(OtherClients[[#This Row],[Re-certified or New]]&lt;&gt;"Re-certified",IF(OtherClients[[#This Row],[Client]]="infasco",VLOOKUP(OtherClients[[#This Row],[Part]],PartControl!$A$2:$E$564,2,FALSE),OtherClients[[#This Row],[Total Quantity]]*VLOOKUP(OtherClients[[#This Row],[Part]],PartControl!$A$2:$E$564,2,FALSE)),0)</f>
        <v>106.94</v>
      </c>
      <c r="Z1837" s="108">
        <f>IF(OtherClients[[#This Row],[Re-certified or New]]&lt;&gt;"Re-certified",IF(OtherClients[[#This Row],[Client]]="infasco",VLOOKUP(OtherClients[[#This Row],[Part]],PartControl!$A$2:$E$564,2,FALSE),OtherClients[[#This Row],[Total Quantity]]*VLOOKUP(OtherClients[[#This Row],[Part]],PartControl!$A$2:$E$564,2,FALSE)),0)</f>
        <v>106.94</v>
      </c>
    </row>
    <row r="1838" spans="1:26" ht="25.15" hidden="1" customHeight="1" x14ac:dyDescent="0.25">
      <c r="A1838" s="112">
        <v>46260.693877314814</v>
      </c>
      <c r="B1838" s="5" t="s">
        <v>637</v>
      </c>
      <c r="C1838" s="5">
        <v>11546448</v>
      </c>
      <c r="D1838" s="5">
        <v>716857</v>
      </c>
      <c r="E1838" s="33">
        <v>14</v>
      </c>
      <c r="F1838" s="60">
        <v>3300</v>
      </c>
      <c r="G1838" s="60">
        <f>+OtherClients[[#This Row],[Boxes / Pieces]]*OtherClients[[#This Row],[Unit Quantity]]</f>
        <v>46200</v>
      </c>
      <c r="H1838" s="60">
        <v>280</v>
      </c>
      <c r="I1838" s="60" t="s">
        <v>278</v>
      </c>
      <c r="J1838" s="104"/>
      <c r="K1838" s="33" t="s">
        <v>278</v>
      </c>
      <c r="L1838" s="111"/>
      <c r="M1838" s="33" t="s">
        <v>278</v>
      </c>
      <c r="N1838" s="111"/>
      <c r="O1838" s="33" t="s">
        <v>278</v>
      </c>
      <c r="P1838" s="111"/>
      <c r="Q1838" s="33" t="s">
        <v>587</v>
      </c>
      <c r="R1838" s="111"/>
      <c r="S1838" s="33" t="s">
        <v>278</v>
      </c>
      <c r="T1838" s="111"/>
      <c r="U1838" s="33" t="s">
        <v>278</v>
      </c>
      <c r="V1838" s="111"/>
      <c r="W1838" s="59" t="s">
        <v>633</v>
      </c>
      <c r="X1838" s="33" t="str">
        <f>+VLOOKUP(OtherClients[[#This Row],[Part]],PartControl!$A$2:$E$564,5,FALSE)</f>
        <v>Infasco</v>
      </c>
      <c r="Y1838" s="108">
        <f>IF(OtherClients[[#This Row],[Re-certified or New]]&lt;&gt;"Re-certified",IF(OtherClients[[#This Row],[Client]]="infasco",VLOOKUP(OtherClients[[#This Row],[Part]],PartControl!$A$2:$E$564,2,FALSE),OtherClients[[#This Row],[Total Quantity]]*VLOOKUP(OtherClients[[#This Row],[Part]],PartControl!$A$2:$E$564,2,FALSE)),0)</f>
        <v>0</v>
      </c>
      <c r="Z1838" s="108">
        <f>IF(OtherClients[[#This Row],[Re-certified or New]]&lt;&gt;"Re-certified",IF(OtherClients[[#This Row],[Client]]="infasco",VLOOKUP(OtherClients[[#This Row],[Part]],PartControl!$A$2:$E$564,2,FALSE),OtherClients[[#This Row],[Total Quantity]]*VLOOKUP(OtherClients[[#This Row],[Part]],PartControl!$A$2:$E$564,2,FALSE)),0)</f>
        <v>0</v>
      </c>
    </row>
    <row r="1839" spans="1:26" ht="25.15" hidden="1" customHeight="1" x14ac:dyDescent="0.25">
      <c r="A1839" s="112">
        <v>46260.693877314814</v>
      </c>
      <c r="B1839" s="5" t="s">
        <v>636</v>
      </c>
      <c r="C1839" s="5" t="s">
        <v>703</v>
      </c>
      <c r="D1839" s="5">
        <v>716371</v>
      </c>
      <c r="E1839" s="33">
        <v>29</v>
      </c>
      <c r="F1839" s="60">
        <v>700</v>
      </c>
      <c r="G1839" s="60">
        <f>+OtherClients[[#This Row],[Boxes / Pieces]]*OtherClients[[#This Row],[Unit Quantity]]</f>
        <v>20300</v>
      </c>
      <c r="H1839" s="60">
        <v>280</v>
      </c>
      <c r="I1839" s="60" t="s">
        <v>278</v>
      </c>
      <c r="J1839" s="104"/>
      <c r="K1839" s="33" t="s">
        <v>278</v>
      </c>
      <c r="L1839" s="111"/>
      <c r="M1839" s="33" t="s">
        <v>278</v>
      </c>
      <c r="N1839" s="111"/>
      <c r="O1839" s="33" t="s">
        <v>278</v>
      </c>
      <c r="P1839" s="111"/>
      <c r="Q1839" s="33" t="s">
        <v>587</v>
      </c>
      <c r="R1839" s="111"/>
      <c r="S1839" s="33" t="s">
        <v>278</v>
      </c>
      <c r="T1839" s="111"/>
      <c r="U1839" s="33" t="s">
        <v>278</v>
      </c>
      <c r="V1839" s="111"/>
      <c r="W1839" s="59" t="s">
        <v>548</v>
      </c>
      <c r="X1839" s="33" t="str">
        <f>+VLOOKUP(OtherClients[[#This Row],[Part]],PartControl!$A$2:$E$564,5,FALSE)</f>
        <v>infasco</v>
      </c>
      <c r="Y1839" s="108">
        <f>IF(OtherClients[[#This Row],[Re-certified or New]]&lt;&gt;"Re-certified",IF(OtherClients[[#This Row],[Client]]="infasco",VLOOKUP(OtherClients[[#This Row],[Part]],PartControl!$A$2:$E$564,2,FALSE),OtherClients[[#This Row],[Total Quantity]]*VLOOKUP(OtherClients[[#This Row],[Part]],PartControl!$A$2:$E$564,2,FALSE)),0)</f>
        <v>106.94</v>
      </c>
      <c r="Z1839" s="108">
        <f>IF(OtherClients[[#This Row],[Re-certified or New]]&lt;&gt;"Re-certified",IF(OtherClients[[#This Row],[Client]]="infasco",VLOOKUP(OtherClients[[#This Row],[Part]],PartControl!$A$2:$E$564,2,FALSE),OtherClients[[#This Row],[Total Quantity]]*VLOOKUP(OtherClients[[#This Row],[Part]],PartControl!$A$2:$E$564,2,FALSE)),0)</f>
        <v>106.94</v>
      </c>
    </row>
    <row r="1840" spans="1:26" ht="25.15" hidden="1" customHeight="1" x14ac:dyDescent="0.25">
      <c r="A1840" s="112">
        <v>46260.693877314814</v>
      </c>
      <c r="B1840" s="5" t="s">
        <v>636</v>
      </c>
      <c r="C1840" s="5" t="s">
        <v>703</v>
      </c>
      <c r="D1840" s="5">
        <v>716379</v>
      </c>
      <c r="E1840" s="33">
        <v>17</v>
      </c>
      <c r="F1840" s="60">
        <v>700</v>
      </c>
      <c r="G1840" s="60">
        <f>+OtherClients[[#This Row],[Boxes / Pieces]]*OtherClients[[#This Row],[Unit Quantity]]</f>
        <v>11900</v>
      </c>
      <c r="H1840" s="60">
        <v>280</v>
      </c>
      <c r="I1840" s="60" t="s">
        <v>278</v>
      </c>
      <c r="J1840" s="104"/>
      <c r="K1840" s="33" t="s">
        <v>278</v>
      </c>
      <c r="L1840" s="111"/>
      <c r="M1840" s="33" t="s">
        <v>278</v>
      </c>
      <c r="N1840" s="111"/>
      <c r="O1840" s="33" t="s">
        <v>278</v>
      </c>
      <c r="P1840" s="111"/>
      <c r="Q1840" s="33" t="s">
        <v>587</v>
      </c>
      <c r="R1840" s="111"/>
      <c r="S1840" s="33" t="s">
        <v>278</v>
      </c>
      <c r="T1840" s="111"/>
      <c r="U1840" s="33" t="s">
        <v>278</v>
      </c>
      <c r="V1840" s="111"/>
      <c r="W1840" s="59" t="s">
        <v>633</v>
      </c>
      <c r="X1840" s="33" t="str">
        <f>+VLOOKUP(OtherClients[[#This Row],[Part]],PartControl!$A$2:$E$564,5,FALSE)</f>
        <v>infasco</v>
      </c>
      <c r="Y1840" s="108">
        <f>IF(OtherClients[[#This Row],[Re-certified or New]]&lt;&gt;"Re-certified",IF(OtherClients[[#This Row],[Client]]="infasco",VLOOKUP(OtherClients[[#This Row],[Part]],PartControl!$A$2:$E$564,2,FALSE),OtherClients[[#This Row],[Total Quantity]]*VLOOKUP(OtherClients[[#This Row],[Part]],PartControl!$A$2:$E$564,2,FALSE)),0)</f>
        <v>0</v>
      </c>
      <c r="Z1840" s="108">
        <f>IF(OtherClients[[#This Row],[Re-certified or New]]&lt;&gt;"Re-certified",IF(OtherClients[[#This Row],[Client]]="infasco",VLOOKUP(OtherClients[[#This Row],[Part]],PartControl!$A$2:$E$564,2,FALSE),OtherClients[[#This Row],[Total Quantity]]*VLOOKUP(OtherClients[[#This Row],[Part]],PartControl!$A$2:$E$564,2,FALSE)),0)</f>
        <v>0</v>
      </c>
    </row>
    <row r="1841" spans="1:26" ht="25.15" hidden="1" customHeight="1" x14ac:dyDescent="0.25">
      <c r="A1841" s="112">
        <v>46260.693877314814</v>
      </c>
      <c r="B1841" s="5" t="s">
        <v>357</v>
      </c>
      <c r="C1841" s="5">
        <v>11546456</v>
      </c>
      <c r="D1841" s="5">
        <v>717078</v>
      </c>
      <c r="E1841" s="33">
        <f>36-20</f>
        <v>16</v>
      </c>
      <c r="F1841" s="60">
        <v>2700</v>
      </c>
      <c r="G1841" s="60">
        <f>+OtherClients[[#This Row],[Boxes / Pieces]]*OtherClients[[#This Row],[Unit Quantity]]</f>
        <v>43200</v>
      </c>
      <c r="H1841" s="60">
        <v>280</v>
      </c>
      <c r="I1841" s="60" t="s">
        <v>278</v>
      </c>
      <c r="J1841" s="104"/>
      <c r="K1841" s="33" t="s">
        <v>278</v>
      </c>
      <c r="L1841" s="111"/>
      <c r="M1841" s="33" t="s">
        <v>278</v>
      </c>
      <c r="N1841" s="111"/>
      <c r="O1841" s="33" t="s">
        <v>278</v>
      </c>
      <c r="P1841" s="111"/>
      <c r="Q1841" s="33" t="s">
        <v>587</v>
      </c>
      <c r="R1841" s="111"/>
      <c r="S1841" s="33" t="s">
        <v>278</v>
      </c>
      <c r="T1841" s="111"/>
      <c r="U1841" s="33" t="s">
        <v>278</v>
      </c>
      <c r="V1841" s="111"/>
      <c r="W1841" s="59" t="s">
        <v>548</v>
      </c>
      <c r="X1841" s="33" t="str">
        <f>+VLOOKUP(OtherClients[[#This Row],[Part]],PartControl!$A$2:$E$564,5,FALSE)</f>
        <v>INFASCO</v>
      </c>
      <c r="Y1841" s="108">
        <f>IF(OtherClients[[#This Row],[Re-certified or New]]&lt;&gt;"Re-certified",IF(OtherClients[[#This Row],[Client]]="infasco",VLOOKUP(OtherClients[[#This Row],[Part]],PartControl!$A$2:$E$564,2,FALSE),OtherClients[[#This Row],[Total Quantity]]*VLOOKUP(OtherClients[[#This Row],[Part]],PartControl!$A$2:$E$564,2,FALSE)),0)</f>
        <v>106.94</v>
      </c>
      <c r="Z1841" s="108">
        <f>IF(OtherClients[[#This Row],[Re-certified or New]]&lt;&gt;"Re-certified",IF(OtherClients[[#This Row],[Client]]="infasco",VLOOKUP(OtherClients[[#This Row],[Part]],PartControl!$A$2:$E$564,2,FALSE),OtherClients[[#This Row],[Total Quantity]]*VLOOKUP(OtherClients[[#This Row],[Part]],PartControl!$A$2:$E$564,2,FALSE)),0)</f>
        <v>106.94</v>
      </c>
    </row>
    <row r="1842" spans="1:26" ht="25.15" hidden="1" customHeight="1" x14ac:dyDescent="0.25">
      <c r="A1842" s="112">
        <v>46260.693877314814</v>
      </c>
      <c r="B1842" s="5" t="s">
        <v>357</v>
      </c>
      <c r="C1842" s="5">
        <v>11546456</v>
      </c>
      <c r="D1842" s="5">
        <v>717076</v>
      </c>
      <c r="E1842" s="33">
        <v>14</v>
      </c>
      <c r="F1842" s="60">
        <v>2700</v>
      </c>
      <c r="G1842" s="60">
        <f>+OtherClients[[#This Row],[Boxes / Pieces]]*OtherClients[[#This Row],[Unit Quantity]]</f>
        <v>37800</v>
      </c>
      <c r="H1842" s="60">
        <v>280</v>
      </c>
      <c r="I1842" s="60" t="s">
        <v>278</v>
      </c>
      <c r="J1842" s="104"/>
      <c r="K1842" s="33" t="s">
        <v>278</v>
      </c>
      <c r="L1842" s="111"/>
      <c r="M1842" s="33" t="s">
        <v>278</v>
      </c>
      <c r="N1842" s="111"/>
      <c r="O1842" s="33" t="s">
        <v>278</v>
      </c>
      <c r="P1842" s="111"/>
      <c r="Q1842" s="33" t="s">
        <v>587</v>
      </c>
      <c r="R1842" s="111"/>
      <c r="S1842" s="33" t="s">
        <v>278</v>
      </c>
      <c r="T1842" s="111"/>
      <c r="U1842" s="33" t="s">
        <v>278</v>
      </c>
      <c r="V1842" s="111"/>
      <c r="W1842" s="59" t="s">
        <v>548</v>
      </c>
      <c r="X1842" s="33" t="str">
        <f>+VLOOKUP(OtherClients[[#This Row],[Part]],PartControl!$A$2:$E$564,5,FALSE)</f>
        <v>INFASCO</v>
      </c>
      <c r="Y1842" s="108">
        <f>IF(OtherClients[[#This Row],[Re-certified or New]]&lt;&gt;"Re-certified",IF(OtherClients[[#This Row],[Client]]="infasco",VLOOKUP(OtherClients[[#This Row],[Part]],PartControl!$A$2:$E$564,2,FALSE),OtherClients[[#This Row],[Total Quantity]]*VLOOKUP(OtherClients[[#This Row],[Part]],PartControl!$A$2:$E$564,2,FALSE)),0)</f>
        <v>106.94</v>
      </c>
      <c r="Z1842" s="108">
        <f>IF(OtherClients[[#This Row],[Re-certified or New]]&lt;&gt;"Re-certified",IF(OtherClients[[#This Row],[Client]]="infasco",VLOOKUP(OtherClients[[#This Row],[Part]],PartControl!$A$2:$E$564,2,FALSE),OtherClients[[#This Row],[Total Quantity]]*VLOOKUP(OtherClients[[#This Row],[Part]],PartControl!$A$2:$E$564,2,FALSE)),0)</f>
        <v>106.94</v>
      </c>
    </row>
    <row r="1843" spans="1:26" ht="25.15" hidden="1" customHeight="1" x14ac:dyDescent="0.25">
      <c r="A1843" s="112">
        <v>46260.693877314814</v>
      </c>
      <c r="B1843" s="5" t="s">
        <v>357</v>
      </c>
      <c r="C1843" s="5">
        <v>11546456</v>
      </c>
      <c r="D1843" s="5">
        <v>717072</v>
      </c>
      <c r="E1843" s="33">
        <v>33</v>
      </c>
      <c r="F1843" s="60">
        <v>2700</v>
      </c>
      <c r="G1843" s="60">
        <f>+OtherClients[[#This Row],[Boxes / Pieces]]*OtherClients[[#This Row],[Unit Quantity]]</f>
        <v>89100</v>
      </c>
      <c r="H1843" s="60">
        <v>280</v>
      </c>
      <c r="I1843" s="60" t="s">
        <v>278</v>
      </c>
      <c r="J1843" s="104"/>
      <c r="K1843" s="33" t="s">
        <v>278</v>
      </c>
      <c r="L1843" s="111"/>
      <c r="M1843" s="33" t="s">
        <v>278</v>
      </c>
      <c r="N1843" s="111"/>
      <c r="O1843" s="33" t="s">
        <v>278</v>
      </c>
      <c r="P1843" s="111"/>
      <c r="Q1843" s="33" t="s">
        <v>587</v>
      </c>
      <c r="R1843" s="111"/>
      <c r="S1843" s="33" t="s">
        <v>278</v>
      </c>
      <c r="T1843" s="111"/>
      <c r="U1843" s="33" t="s">
        <v>278</v>
      </c>
      <c r="V1843" s="111"/>
      <c r="W1843" s="59" t="s">
        <v>548</v>
      </c>
      <c r="X1843" s="33" t="str">
        <f>+VLOOKUP(OtherClients[[#This Row],[Part]],PartControl!$A$2:$E$564,5,FALSE)</f>
        <v>INFASCO</v>
      </c>
      <c r="Y1843" s="108">
        <f>IF(OtherClients[[#This Row],[Re-certified or New]]&lt;&gt;"Re-certified",IF(OtherClients[[#This Row],[Client]]="infasco",VLOOKUP(OtherClients[[#This Row],[Part]],PartControl!$A$2:$E$564,2,FALSE),OtherClients[[#This Row],[Total Quantity]]*VLOOKUP(OtherClients[[#This Row],[Part]],PartControl!$A$2:$E$564,2,FALSE)),0)</f>
        <v>106.94</v>
      </c>
      <c r="Z1843" s="108">
        <f>IF(OtherClients[[#This Row],[Re-certified or New]]&lt;&gt;"Re-certified",IF(OtherClients[[#This Row],[Client]]="infasco",VLOOKUP(OtherClients[[#This Row],[Part]],PartControl!$A$2:$E$564,2,FALSE),OtherClients[[#This Row],[Total Quantity]]*VLOOKUP(OtherClients[[#This Row],[Part]],PartControl!$A$2:$E$564,2,FALSE)),0)</f>
        <v>106.94</v>
      </c>
    </row>
    <row r="1844" spans="1:26" ht="25.15" hidden="1" customHeight="1" x14ac:dyDescent="0.25">
      <c r="A1844" s="112">
        <v>46260.693877314814</v>
      </c>
      <c r="B1844" s="5" t="s">
        <v>635</v>
      </c>
      <c r="C1844" s="5">
        <v>11546456</v>
      </c>
      <c r="D1844" s="5">
        <v>717073</v>
      </c>
      <c r="E1844" s="33">
        <v>24</v>
      </c>
      <c r="F1844" s="60">
        <v>2700</v>
      </c>
      <c r="G1844" s="60">
        <f>+OtherClients[[#This Row],[Boxes / Pieces]]*OtherClients[[#This Row],[Unit Quantity]]</f>
        <v>64800</v>
      </c>
      <c r="H1844" s="60">
        <v>280</v>
      </c>
      <c r="I1844" s="60" t="s">
        <v>278</v>
      </c>
      <c r="J1844" s="104"/>
      <c r="K1844" s="33" t="s">
        <v>278</v>
      </c>
      <c r="L1844" s="111"/>
      <c r="M1844" s="33" t="s">
        <v>278</v>
      </c>
      <c r="N1844" s="111"/>
      <c r="O1844" s="33" t="s">
        <v>278</v>
      </c>
      <c r="P1844" s="111"/>
      <c r="Q1844" s="33" t="s">
        <v>587</v>
      </c>
      <c r="R1844" s="111"/>
      <c r="S1844" s="33" t="s">
        <v>278</v>
      </c>
      <c r="T1844" s="111"/>
      <c r="U1844" s="33" t="s">
        <v>278</v>
      </c>
      <c r="V1844" s="111"/>
      <c r="W1844" s="59" t="s">
        <v>633</v>
      </c>
      <c r="X1844" s="33" t="str">
        <f>+VLOOKUP(OtherClients[[#This Row],[Part]],PartControl!$A$2:$E$564,5,FALSE)</f>
        <v>INFASCO</v>
      </c>
      <c r="Y1844" s="108">
        <f>IF(OtherClients[[#This Row],[Re-certified or New]]&lt;&gt;"Re-certified",IF(OtherClients[[#This Row],[Client]]="infasco",VLOOKUP(OtherClients[[#This Row],[Part]],PartControl!$A$2:$E$564,2,FALSE),OtherClients[[#This Row],[Total Quantity]]*VLOOKUP(OtherClients[[#This Row],[Part]],PartControl!$A$2:$E$564,2,FALSE)),0)</f>
        <v>0</v>
      </c>
      <c r="Z1844" s="108">
        <f>IF(OtherClients[[#This Row],[Re-certified or New]]&lt;&gt;"Re-certified",IF(OtherClients[[#This Row],[Client]]="infasco",VLOOKUP(OtherClients[[#This Row],[Part]],PartControl!$A$2:$E$564,2,FALSE),OtherClients[[#This Row],[Total Quantity]]*VLOOKUP(OtherClients[[#This Row],[Part]],PartControl!$A$2:$E$564,2,FALSE)),0)</f>
        <v>0</v>
      </c>
    </row>
    <row r="1845" spans="1:26" ht="25.15" hidden="1" customHeight="1" x14ac:dyDescent="0.25">
      <c r="A1845" s="112">
        <v>46260.693877314814</v>
      </c>
      <c r="B1845" s="5" t="s">
        <v>634</v>
      </c>
      <c r="C1845" s="5" t="s">
        <v>848</v>
      </c>
      <c r="D1845" s="5">
        <v>717111</v>
      </c>
      <c r="E1845" s="33">
        <f>17-5</f>
        <v>12</v>
      </c>
      <c r="F1845" s="60">
        <v>3200</v>
      </c>
      <c r="G1845" s="60">
        <f>+OtherClients[[#This Row],[Boxes / Pieces]]*OtherClients[[#This Row],[Unit Quantity]]</f>
        <v>38400</v>
      </c>
      <c r="H1845" s="60">
        <v>280</v>
      </c>
      <c r="I1845" s="60" t="s">
        <v>278</v>
      </c>
      <c r="J1845" s="104"/>
      <c r="K1845" s="33" t="s">
        <v>278</v>
      </c>
      <c r="L1845" s="111"/>
      <c r="M1845" s="33" t="s">
        <v>278</v>
      </c>
      <c r="N1845" s="111"/>
      <c r="O1845" s="33" t="s">
        <v>278</v>
      </c>
      <c r="P1845" s="111"/>
      <c r="Q1845" s="33" t="s">
        <v>587</v>
      </c>
      <c r="R1845" s="111"/>
      <c r="S1845" s="33" t="s">
        <v>278</v>
      </c>
      <c r="T1845" s="111"/>
      <c r="U1845" s="33" t="s">
        <v>278</v>
      </c>
      <c r="V1845" s="111"/>
      <c r="W1845" s="59" t="s">
        <v>633</v>
      </c>
      <c r="X1845" s="33" t="str">
        <f>+VLOOKUP(OtherClients[[#This Row],[Part]],PartControl!$A$2:$E$564,5,FALSE)</f>
        <v>infasco</v>
      </c>
      <c r="Y1845" s="108">
        <f>IF(OtherClients[[#This Row],[Re-certified or New]]&lt;&gt;"Re-certified",IF(OtherClients[[#This Row],[Client]]="infasco",VLOOKUP(OtherClients[[#This Row],[Part]],PartControl!$A$2:$E$564,2,FALSE),OtherClients[[#This Row],[Total Quantity]]*VLOOKUP(OtherClients[[#This Row],[Part]],PartControl!$A$2:$E$564,2,FALSE)),0)</f>
        <v>0</v>
      </c>
      <c r="Z1845" s="108">
        <f>IF(OtherClients[[#This Row],[Re-certified or New]]&lt;&gt;"Re-certified",IF(OtherClients[[#This Row],[Client]]="infasco",VLOOKUP(OtherClients[[#This Row],[Part]],PartControl!$A$2:$E$564,2,FALSE),OtherClients[[#This Row],[Total Quantity]]*VLOOKUP(OtherClients[[#This Row],[Part]],PartControl!$A$2:$E$564,2,FALSE)),0)</f>
        <v>0</v>
      </c>
    </row>
    <row r="1846" spans="1:26" ht="25.15" hidden="1" customHeight="1" x14ac:dyDescent="0.25">
      <c r="A1846" s="112">
        <v>46260.693877314814</v>
      </c>
      <c r="B1846" s="5" t="s">
        <v>834</v>
      </c>
      <c r="C1846" s="5" t="s">
        <v>719</v>
      </c>
      <c r="D1846" s="5">
        <v>717700</v>
      </c>
      <c r="E1846" s="33">
        <v>15</v>
      </c>
      <c r="F1846" s="60">
        <v>2150</v>
      </c>
      <c r="G1846" s="60">
        <f>+OtherClients[[#This Row],[Boxes / Pieces]]*OtherClients[[#This Row],[Unit Quantity]]</f>
        <v>32250</v>
      </c>
      <c r="H1846" s="60">
        <v>280</v>
      </c>
      <c r="I1846" s="60" t="s">
        <v>278</v>
      </c>
      <c r="J1846" s="104"/>
      <c r="K1846" s="33" t="s">
        <v>278</v>
      </c>
      <c r="L1846" s="111"/>
      <c r="M1846" s="33" t="s">
        <v>278</v>
      </c>
      <c r="N1846" s="111"/>
      <c r="O1846" s="33" t="s">
        <v>278</v>
      </c>
      <c r="P1846" s="111"/>
      <c r="Q1846" s="33" t="s">
        <v>587</v>
      </c>
      <c r="R1846" s="111"/>
      <c r="S1846" s="33" t="s">
        <v>278</v>
      </c>
      <c r="T1846" s="111"/>
      <c r="U1846" s="33" t="s">
        <v>278</v>
      </c>
      <c r="V1846" s="111"/>
      <c r="W1846" s="59" t="s">
        <v>633</v>
      </c>
      <c r="X1846" s="33" t="str">
        <f>+VLOOKUP(OtherClients[[#This Row],[Part]],PartControl!$A$2:$E$564,5,FALSE)</f>
        <v>infasco</v>
      </c>
      <c r="Y1846" s="108">
        <f>IF(OtherClients[[#This Row],[Re-certified or New]]&lt;&gt;"Re-certified",IF(OtherClients[[#This Row],[Client]]="infasco",VLOOKUP(OtherClients[[#This Row],[Part]],PartControl!$A$2:$E$564,2,FALSE),OtherClients[[#This Row],[Total Quantity]]*VLOOKUP(OtherClients[[#This Row],[Part]],PartControl!$A$2:$E$564,2,FALSE)),0)</f>
        <v>0</v>
      </c>
      <c r="Z1846" s="108">
        <f>IF(OtherClients[[#This Row],[Re-certified or New]]&lt;&gt;"Re-certified",IF(OtherClients[[#This Row],[Client]]="infasco",VLOOKUP(OtherClients[[#This Row],[Part]],PartControl!$A$2:$E$564,2,FALSE),OtherClients[[#This Row],[Total Quantity]]*VLOOKUP(OtherClients[[#This Row],[Part]],PartControl!$A$2:$E$564,2,FALSE)),0)</f>
        <v>0</v>
      </c>
    </row>
    <row r="1847" spans="1:26" ht="25.15" hidden="1" customHeight="1" x14ac:dyDescent="0.25">
      <c r="A1847" s="112">
        <v>46260.693877314814</v>
      </c>
      <c r="B1847" s="5" t="s">
        <v>342</v>
      </c>
      <c r="C1847" s="5" t="s">
        <v>694</v>
      </c>
      <c r="D1847" s="5">
        <v>714081</v>
      </c>
      <c r="E1847" s="33">
        <v>18</v>
      </c>
      <c r="F1847" s="60">
        <v>4000</v>
      </c>
      <c r="G1847" s="60">
        <f>+OtherClients[[#This Row],[Boxes / Pieces]]*OtherClients[[#This Row],[Unit Quantity]]</f>
        <v>72000</v>
      </c>
      <c r="H1847" s="60" t="s">
        <v>893</v>
      </c>
      <c r="I1847" s="60" t="s">
        <v>278</v>
      </c>
      <c r="J1847" s="104"/>
      <c r="K1847" s="33" t="s">
        <v>278</v>
      </c>
      <c r="L1847" s="111"/>
      <c r="M1847" s="33" t="s">
        <v>278</v>
      </c>
      <c r="N1847" s="111"/>
      <c r="O1847" s="33" t="s">
        <v>278</v>
      </c>
      <c r="P1847" s="111"/>
      <c r="Q1847" s="33" t="s">
        <v>587</v>
      </c>
      <c r="R1847" s="111"/>
      <c r="S1847" s="33" t="s">
        <v>278</v>
      </c>
      <c r="T1847" s="111"/>
      <c r="U1847" s="33" t="s">
        <v>278</v>
      </c>
      <c r="V1847" s="111"/>
      <c r="W1847" s="59" t="s">
        <v>548</v>
      </c>
      <c r="X1847" s="33" t="str">
        <f>+VLOOKUP(OtherClients[[#This Row],[Part]],PartControl!$A$2:$E$564,5,FALSE)</f>
        <v>infasco</v>
      </c>
      <c r="Y1847" s="108">
        <f>IF(OtherClients[[#This Row],[Re-certified or New]]&lt;&gt;"Re-certified",IF(OtherClients[[#This Row],[Client]]="infasco",VLOOKUP(OtherClients[[#This Row],[Part]],PartControl!$A$2:$E$564,2,FALSE),OtherClients[[#This Row],[Total Quantity]]*VLOOKUP(OtherClients[[#This Row],[Part]],PartControl!$A$2:$E$564,2,FALSE)),0)</f>
        <v>106.94</v>
      </c>
      <c r="Z1847" s="108">
        <f>IF(OtherClients[[#This Row],[Re-certified or New]]&lt;&gt;"Re-certified",IF(OtherClients[[#This Row],[Client]]="infasco",VLOOKUP(OtherClients[[#This Row],[Part]],PartControl!$A$2:$E$564,2,FALSE),OtherClients[[#This Row],[Total Quantity]]*VLOOKUP(OtherClients[[#This Row],[Part]],PartControl!$A$2:$E$564,2,FALSE)),0)</f>
        <v>106.94</v>
      </c>
    </row>
    <row r="1848" spans="1:26" ht="25.15" hidden="1" customHeight="1" x14ac:dyDescent="0.25">
      <c r="A1848" s="112">
        <v>46260.693877314814</v>
      </c>
      <c r="B1848" s="5" t="s">
        <v>342</v>
      </c>
      <c r="C1848" s="5" t="s">
        <v>694</v>
      </c>
      <c r="D1848" s="5">
        <v>714262</v>
      </c>
      <c r="E1848" s="33">
        <v>24</v>
      </c>
      <c r="F1848" s="60">
        <v>4000</v>
      </c>
      <c r="G1848" s="60">
        <f>+OtherClients[[#This Row],[Boxes / Pieces]]*OtherClients[[#This Row],[Unit Quantity]]</f>
        <v>96000</v>
      </c>
      <c r="H1848" s="60" t="s">
        <v>893</v>
      </c>
      <c r="I1848" s="60" t="s">
        <v>278</v>
      </c>
      <c r="J1848" s="104"/>
      <c r="K1848" s="33" t="s">
        <v>278</v>
      </c>
      <c r="L1848" s="111"/>
      <c r="M1848" s="33" t="s">
        <v>278</v>
      </c>
      <c r="N1848" s="111"/>
      <c r="O1848" s="33" t="s">
        <v>278</v>
      </c>
      <c r="P1848" s="111"/>
      <c r="Q1848" s="33" t="s">
        <v>587</v>
      </c>
      <c r="R1848" s="111"/>
      <c r="S1848" s="33" t="s">
        <v>278</v>
      </c>
      <c r="T1848" s="111"/>
      <c r="U1848" s="33" t="s">
        <v>278</v>
      </c>
      <c r="V1848" s="111"/>
      <c r="W1848" s="59" t="s">
        <v>548</v>
      </c>
      <c r="X1848" s="33" t="str">
        <f>+VLOOKUP(OtherClients[[#This Row],[Part]],PartControl!$A$2:$E$564,5,FALSE)</f>
        <v>infasco</v>
      </c>
      <c r="Y1848" s="108">
        <f>IF(OtherClients[[#This Row],[Re-certified or New]]&lt;&gt;"Re-certified",IF(OtherClients[[#This Row],[Client]]="infasco",VLOOKUP(OtherClients[[#This Row],[Part]],PartControl!$A$2:$E$564,2,FALSE),OtherClients[[#This Row],[Total Quantity]]*VLOOKUP(OtherClients[[#This Row],[Part]],PartControl!$A$2:$E$564,2,FALSE)),0)</f>
        <v>106.94</v>
      </c>
      <c r="Z1848" s="108">
        <f>IF(OtherClients[[#This Row],[Re-certified or New]]&lt;&gt;"Re-certified",IF(OtherClients[[#This Row],[Client]]="infasco",VLOOKUP(OtherClients[[#This Row],[Part]],PartControl!$A$2:$E$564,2,FALSE),OtherClients[[#This Row],[Total Quantity]]*VLOOKUP(OtherClients[[#This Row],[Part]],PartControl!$A$2:$E$564,2,FALSE)),0)</f>
        <v>106.94</v>
      </c>
    </row>
    <row r="1849" spans="1:26" ht="25.15" hidden="1" customHeight="1" x14ac:dyDescent="0.25">
      <c r="A1849" s="112">
        <v>46260.693877314814</v>
      </c>
      <c r="B1849" s="5" t="s">
        <v>342</v>
      </c>
      <c r="C1849" s="5">
        <v>82253</v>
      </c>
      <c r="D1849" s="5">
        <v>716244</v>
      </c>
      <c r="E1849" s="33">
        <v>28</v>
      </c>
      <c r="F1849" s="60">
        <v>1350</v>
      </c>
      <c r="G1849" s="60">
        <f>+OtherClients[[#This Row],[Boxes / Pieces]]*OtherClients[[#This Row],[Unit Quantity]]</f>
        <v>37800</v>
      </c>
      <c r="H1849" s="60" t="s">
        <v>893</v>
      </c>
      <c r="I1849" s="60" t="s">
        <v>278</v>
      </c>
      <c r="J1849" s="104"/>
      <c r="K1849" s="33" t="s">
        <v>278</v>
      </c>
      <c r="L1849" s="111"/>
      <c r="M1849" s="33" t="s">
        <v>278</v>
      </c>
      <c r="N1849" s="111"/>
      <c r="O1849" s="33" t="s">
        <v>278</v>
      </c>
      <c r="P1849" s="111"/>
      <c r="Q1849" s="33" t="s">
        <v>587</v>
      </c>
      <c r="R1849" s="111"/>
      <c r="S1849" s="33" t="s">
        <v>278</v>
      </c>
      <c r="T1849" s="111"/>
      <c r="U1849" s="33" t="s">
        <v>278</v>
      </c>
      <c r="V1849" s="111"/>
      <c r="W1849" s="59" t="s">
        <v>548</v>
      </c>
      <c r="X1849" s="33" t="str">
        <f>+VLOOKUP(OtherClients[[#This Row],[Part]],PartControl!$A$2:$E$564,5,FALSE)</f>
        <v>infasco</v>
      </c>
      <c r="Y1849" s="108">
        <f>IF(OtherClients[[#This Row],[Re-certified or New]]&lt;&gt;"Re-certified",IF(OtherClients[[#This Row],[Client]]="infasco",VLOOKUP(OtherClients[[#This Row],[Part]],PartControl!$A$2:$E$564,2,FALSE),OtherClients[[#This Row],[Total Quantity]]*VLOOKUP(OtherClients[[#This Row],[Part]],PartControl!$A$2:$E$564,2,FALSE)),0)</f>
        <v>106.94</v>
      </c>
      <c r="Z1849" s="108">
        <f>IF(OtherClients[[#This Row],[Re-certified or New]]&lt;&gt;"Re-certified",IF(OtherClients[[#This Row],[Client]]="infasco",VLOOKUP(OtherClients[[#This Row],[Part]],PartControl!$A$2:$E$564,2,FALSE),OtherClients[[#This Row],[Total Quantity]]*VLOOKUP(OtherClients[[#This Row],[Part]],PartControl!$A$2:$E$564,2,FALSE)),0)</f>
        <v>106.94</v>
      </c>
    </row>
    <row r="1850" spans="1:26" ht="25.15" hidden="1" customHeight="1" x14ac:dyDescent="0.25">
      <c r="A1850" s="112">
        <v>46260.693877314814</v>
      </c>
      <c r="B1850" s="5" t="s">
        <v>342</v>
      </c>
      <c r="C1850" s="5" t="s">
        <v>18</v>
      </c>
      <c r="D1850" s="5">
        <v>716621</v>
      </c>
      <c r="E1850" s="33">
        <v>30</v>
      </c>
      <c r="F1850" s="60">
        <v>200</v>
      </c>
      <c r="G1850" s="60">
        <f>+OtherClients[[#This Row],[Boxes / Pieces]]*OtherClients[[#This Row],[Unit Quantity]]</f>
        <v>6000</v>
      </c>
      <c r="H1850" s="60" t="s">
        <v>893</v>
      </c>
      <c r="I1850" s="60" t="s">
        <v>278</v>
      </c>
      <c r="J1850" s="104"/>
      <c r="K1850" s="33" t="s">
        <v>278</v>
      </c>
      <c r="L1850" s="111"/>
      <c r="M1850" s="33" t="s">
        <v>278</v>
      </c>
      <c r="N1850" s="111"/>
      <c r="O1850" s="33" t="s">
        <v>278</v>
      </c>
      <c r="P1850" s="111"/>
      <c r="Q1850" s="33" t="s">
        <v>587</v>
      </c>
      <c r="R1850" s="111"/>
      <c r="S1850" s="33" t="s">
        <v>278</v>
      </c>
      <c r="T1850" s="111"/>
      <c r="U1850" s="33" t="s">
        <v>278</v>
      </c>
      <c r="V1850" s="111"/>
      <c r="W1850" s="59" t="s">
        <v>548</v>
      </c>
      <c r="X1850" s="33" t="str">
        <f>+VLOOKUP(OtherClients[[#This Row],[Part]],PartControl!$A$2:$E$564,5,FALSE)</f>
        <v>infasco</v>
      </c>
      <c r="Y1850" s="108">
        <f>IF(OtherClients[[#This Row],[Re-certified or New]]&lt;&gt;"Re-certified",IF(OtherClients[[#This Row],[Client]]="infasco",VLOOKUP(OtherClients[[#This Row],[Part]],PartControl!$A$2:$E$564,2,FALSE),OtherClients[[#This Row],[Total Quantity]]*VLOOKUP(OtherClients[[#This Row],[Part]],PartControl!$A$2:$E$564,2,FALSE)),0)</f>
        <v>135.07999999999998</v>
      </c>
      <c r="Z1850" s="108">
        <f>IF(OtherClients[[#This Row],[Re-certified or New]]&lt;&gt;"Re-certified",IF(OtherClients[[#This Row],[Client]]="infasco",VLOOKUP(OtherClients[[#This Row],[Part]],PartControl!$A$2:$E$564,2,FALSE),OtherClients[[#This Row],[Total Quantity]]*VLOOKUP(OtherClients[[#This Row],[Part]],PartControl!$A$2:$E$564,2,FALSE)),0)</f>
        <v>135.07999999999998</v>
      </c>
    </row>
    <row r="1851" spans="1:26" ht="25.15" hidden="1" customHeight="1" x14ac:dyDescent="0.25">
      <c r="A1851" s="112">
        <v>46260.693877314814</v>
      </c>
      <c r="B1851" s="5" t="s">
        <v>342</v>
      </c>
      <c r="C1851" s="5" t="s">
        <v>17</v>
      </c>
      <c r="D1851" s="5">
        <v>717411</v>
      </c>
      <c r="E1851" s="33">
        <v>36</v>
      </c>
      <c r="F1851" s="60">
        <v>100</v>
      </c>
      <c r="G1851" s="60">
        <f>+OtherClients[[#This Row],[Boxes / Pieces]]*OtherClients[[#This Row],[Unit Quantity]]</f>
        <v>3600</v>
      </c>
      <c r="H1851" s="60" t="s">
        <v>893</v>
      </c>
      <c r="I1851" s="60" t="s">
        <v>278</v>
      </c>
      <c r="J1851" s="104"/>
      <c r="K1851" s="33" t="s">
        <v>278</v>
      </c>
      <c r="L1851" s="111"/>
      <c r="M1851" s="33" t="s">
        <v>278</v>
      </c>
      <c r="N1851" s="111"/>
      <c r="O1851" s="33" t="s">
        <v>278</v>
      </c>
      <c r="P1851" s="111"/>
      <c r="Q1851" s="33" t="s">
        <v>587</v>
      </c>
      <c r="R1851" s="111"/>
      <c r="S1851" s="33" t="s">
        <v>278</v>
      </c>
      <c r="T1851" s="111"/>
      <c r="U1851" s="33" t="s">
        <v>278</v>
      </c>
      <c r="V1851" s="111"/>
      <c r="W1851" s="59" t="s">
        <v>548</v>
      </c>
      <c r="X1851" s="33" t="str">
        <f>+VLOOKUP(OtherClients[[#This Row],[Part]],PartControl!$A$2:$E$564,5,FALSE)</f>
        <v>infasco</v>
      </c>
      <c r="Y1851" s="108">
        <f>IF(OtherClients[[#This Row],[Re-certified or New]]&lt;&gt;"Re-certified",IF(OtherClients[[#This Row],[Client]]="infasco",VLOOKUP(OtherClients[[#This Row],[Part]],PartControl!$A$2:$E$564,2,FALSE),OtherClients[[#This Row],[Total Quantity]]*VLOOKUP(OtherClients[[#This Row],[Part]],PartControl!$A$2:$E$564,2,FALSE)),0)</f>
        <v>135.07999999999998</v>
      </c>
      <c r="Z1851" s="108">
        <f>IF(OtherClients[[#This Row],[Re-certified or New]]&lt;&gt;"Re-certified",IF(OtherClients[[#This Row],[Client]]="infasco",VLOOKUP(OtherClients[[#This Row],[Part]],PartControl!$A$2:$E$564,2,FALSE),OtherClients[[#This Row],[Total Quantity]]*VLOOKUP(OtherClients[[#This Row],[Part]],PartControl!$A$2:$E$564,2,FALSE)),0)</f>
        <v>135.07999999999998</v>
      </c>
    </row>
    <row r="1852" spans="1:26" ht="25.15" hidden="1" customHeight="1" x14ac:dyDescent="0.25">
      <c r="A1852" s="112">
        <v>46260.693877314814</v>
      </c>
      <c r="B1852" s="5" t="s">
        <v>342</v>
      </c>
      <c r="C1852" s="5" t="s">
        <v>17</v>
      </c>
      <c r="D1852" s="5">
        <v>717413</v>
      </c>
      <c r="E1852" s="33">
        <v>16</v>
      </c>
      <c r="F1852" s="60">
        <v>100</v>
      </c>
      <c r="G1852" s="60">
        <f>+OtherClients[[#This Row],[Boxes / Pieces]]*OtherClients[[#This Row],[Unit Quantity]]</f>
        <v>1600</v>
      </c>
      <c r="H1852" s="60" t="s">
        <v>893</v>
      </c>
      <c r="I1852" s="60" t="s">
        <v>278</v>
      </c>
      <c r="J1852" s="104"/>
      <c r="K1852" s="33" t="s">
        <v>278</v>
      </c>
      <c r="L1852" s="111"/>
      <c r="M1852" s="33" t="s">
        <v>278</v>
      </c>
      <c r="N1852" s="111"/>
      <c r="O1852" s="33" t="s">
        <v>278</v>
      </c>
      <c r="P1852" s="111"/>
      <c r="Q1852" s="33" t="s">
        <v>587</v>
      </c>
      <c r="R1852" s="111"/>
      <c r="S1852" s="33" t="s">
        <v>278</v>
      </c>
      <c r="T1852" s="111"/>
      <c r="U1852" s="33" t="s">
        <v>278</v>
      </c>
      <c r="V1852" s="111"/>
      <c r="W1852" s="59" t="s">
        <v>548</v>
      </c>
      <c r="X1852" s="33" t="str">
        <f>+VLOOKUP(OtherClients[[#This Row],[Part]],PartControl!$A$2:$E$564,5,FALSE)</f>
        <v>infasco</v>
      </c>
      <c r="Y1852" s="108">
        <f>IF(OtherClients[[#This Row],[Re-certified or New]]&lt;&gt;"Re-certified",IF(OtherClients[[#This Row],[Client]]="infasco",VLOOKUP(OtherClients[[#This Row],[Part]],PartControl!$A$2:$E$564,2,FALSE),OtherClients[[#This Row],[Total Quantity]]*VLOOKUP(OtherClients[[#This Row],[Part]],PartControl!$A$2:$E$564,2,FALSE)),0)</f>
        <v>135.07999999999998</v>
      </c>
      <c r="Z1852" s="108">
        <f>IF(OtherClients[[#This Row],[Re-certified or New]]&lt;&gt;"Re-certified",IF(OtherClients[[#This Row],[Client]]="infasco",VLOOKUP(OtherClients[[#This Row],[Part]],PartControl!$A$2:$E$564,2,FALSE),OtherClients[[#This Row],[Total Quantity]]*VLOOKUP(OtherClients[[#This Row],[Part]],PartControl!$A$2:$E$564,2,FALSE)),0)</f>
        <v>135.07999999999998</v>
      </c>
    </row>
    <row r="1853" spans="1:26" ht="25.15" hidden="1" customHeight="1" x14ac:dyDescent="0.25">
      <c r="A1853" s="112">
        <v>46260.693877314814</v>
      </c>
      <c r="B1853" s="5" t="s">
        <v>342</v>
      </c>
      <c r="C1853" s="5" t="s">
        <v>894</v>
      </c>
      <c r="D1853" s="5">
        <v>714600</v>
      </c>
      <c r="E1853" s="33">
        <v>2</v>
      </c>
      <c r="F1853" s="60">
        <v>850</v>
      </c>
      <c r="G1853" s="60">
        <f>+OtherClients[[#This Row],[Boxes / Pieces]]*OtherClients[[#This Row],[Unit Quantity]]</f>
        <v>1700</v>
      </c>
      <c r="H1853" s="60" t="s">
        <v>893</v>
      </c>
      <c r="I1853" s="60" t="s">
        <v>278</v>
      </c>
      <c r="J1853" s="104"/>
      <c r="K1853" s="33" t="s">
        <v>278</v>
      </c>
      <c r="L1853" s="111"/>
      <c r="M1853" s="33" t="s">
        <v>278</v>
      </c>
      <c r="N1853" s="111"/>
      <c r="O1853" s="33" t="s">
        <v>278</v>
      </c>
      <c r="P1853" s="111"/>
      <c r="Q1853" s="33" t="s">
        <v>587</v>
      </c>
      <c r="R1853" s="111"/>
      <c r="S1853" s="33" t="s">
        <v>278</v>
      </c>
      <c r="T1853" s="111"/>
      <c r="U1853" s="33" t="s">
        <v>278</v>
      </c>
      <c r="V1853" s="111"/>
      <c r="W1853" s="59" t="s">
        <v>633</v>
      </c>
      <c r="X1853" s="33" t="e">
        <f>+VLOOKUP(OtherClients[[#This Row],[Part]],PartControl!$A$2:$E$564,5,FALSE)</f>
        <v>#N/A</v>
      </c>
      <c r="Y1853" s="108">
        <f>IF(OtherClients[[#This Row],[Re-certified or New]]&lt;&gt;"Re-certified",IF(OtherClients[[#This Row],[Client]]="infasco",VLOOKUP(OtherClients[[#This Row],[Part]],PartControl!$A$2:$E$564,2,FALSE),OtherClients[[#This Row],[Total Quantity]]*VLOOKUP(OtherClients[[#This Row],[Part]],PartControl!$A$2:$E$564,2,FALSE)),0)</f>
        <v>0</v>
      </c>
      <c r="Z1853" s="108">
        <f>IF(OtherClients[[#This Row],[Re-certified or New]]&lt;&gt;"Re-certified",IF(OtherClients[[#This Row],[Client]]="infasco",VLOOKUP(OtherClients[[#This Row],[Part]],PartControl!$A$2:$E$564,2,FALSE),OtherClients[[#This Row],[Total Quantity]]*VLOOKUP(OtherClients[[#This Row],[Part]],PartControl!$A$2:$E$564,2,FALSE)),0)</f>
        <v>0</v>
      </c>
    </row>
    <row r="1854" spans="1:26" ht="25.15" hidden="1" customHeight="1" x14ac:dyDescent="0.25">
      <c r="A1854" s="112">
        <v>46260.693877314814</v>
      </c>
      <c r="B1854" s="5" t="s">
        <v>346</v>
      </c>
      <c r="C1854" s="5" t="s">
        <v>890</v>
      </c>
      <c r="D1854" s="5">
        <v>717129</v>
      </c>
      <c r="E1854" s="33">
        <v>16</v>
      </c>
      <c r="F1854" s="60">
        <v>145</v>
      </c>
      <c r="G1854" s="60">
        <f>+OtherClients[[#This Row],[Boxes / Pieces]]*OtherClients[[#This Row],[Unit Quantity]]</f>
        <v>2320</v>
      </c>
      <c r="H1854" s="60" t="s">
        <v>895</v>
      </c>
      <c r="I1854" s="60" t="s">
        <v>278</v>
      </c>
      <c r="J1854" s="104"/>
      <c r="K1854" s="33" t="s">
        <v>278</v>
      </c>
      <c r="L1854" s="111"/>
      <c r="M1854" s="33" t="s">
        <v>278</v>
      </c>
      <c r="N1854" s="111"/>
      <c r="O1854" s="33" t="s">
        <v>278</v>
      </c>
      <c r="P1854" s="111"/>
      <c r="Q1854" s="33" t="s">
        <v>587</v>
      </c>
      <c r="R1854" s="111"/>
      <c r="S1854" s="33" t="s">
        <v>278</v>
      </c>
      <c r="T1854" s="111"/>
      <c r="U1854" s="33" t="s">
        <v>278</v>
      </c>
      <c r="V1854" s="111"/>
      <c r="W1854" s="59" t="s">
        <v>548</v>
      </c>
      <c r="X1854" s="33" t="str">
        <f>+VLOOKUP(OtherClients[[#This Row],[Part]],PartControl!$A$2:$E$564,5,FALSE)</f>
        <v>infasco</v>
      </c>
      <c r="Y1854" s="108">
        <f>IF(OtherClients[[#This Row],[Re-certified or New]]&lt;&gt;"Re-certified",IF(OtherClients[[#This Row],[Client]]="infasco",VLOOKUP(OtherClients[[#This Row],[Part]],PartControl!$A$2:$E$564,2,FALSE),OtherClients[[#This Row],[Total Quantity]]*VLOOKUP(OtherClients[[#This Row],[Part]],PartControl!$A$2:$E$564,2,FALSE)),0)</f>
        <v>106.94</v>
      </c>
      <c r="Z1854" s="108">
        <f>IF(OtherClients[[#This Row],[Re-certified or New]]&lt;&gt;"Re-certified",IF(OtherClients[[#This Row],[Client]]="infasco",VLOOKUP(OtherClients[[#This Row],[Part]],PartControl!$A$2:$E$564,2,FALSE),OtherClients[[#This Row],[Total Quantity]]*VLOOKUP(OtherClients[[#This Row],[Part]],PartControl!$A$2:$E$564,2,FALSE)),0)</f>
        <v>106.94</v>
      </c>
    </row>
    <row r="1855" spans="1:26" ht="25.15" hidden="1" customHeight="1" x14ac:dyDescent="0.25">
      <c r="A1855" s="112">
        <v>46260.693877314814</v>
      </c>
      <c r="B1855" s="5" t="s">
        <v>346</v>
      </c>
      <c r="C1855" s="5" t="s">
        <v>687</v>
      </c>
      <c r="D1855" s="5">
        <v>716646</v>
      </c>
      <c r="E1855" s="33">
        <v>31</v>
      </c>
      <c r="F1855" s="60">
        <v>280</v>
      </c>
      <c r="G1855" s="60">
        <f>+OtherClients[[#This Row],[Boxes / Pieces]]*OtherClients[[#This Row],[Unit Quantity]]</f>
        <v>8680</v>
      </c>
      <c r="H1855" s="60" t="s">
        <v>895</v>
      </c>
      <c r="I1855" s="60" t="s">
        <v>278</v>
      </c>
      <c r="J1855" s="104"/>
      <c r="K1855" s="33" t="s">
        <v>278</v>
      </c>
      <c r="L1855" s="111"/>
      <c r="M1855" s="33" t="s">
        <v>278</v>
      </c>
      <c r="N1855" s="111"/>
      <c r="O1855" s="33" t="s">
        <v>278</v>
      </c>
      <c r="P1855" s="111"/>
      <c r="Q1855" s="33" t="s">
        <v>587</v>
      </c>
      <c r="R1855" s="111"/>
      <c r="S1855" s="33" t="s">
        <v>278</v>
      </c>
      <c r="T1855" s="111"/>
      <c r="U1855" s="33" t="s">
        <v>278</v>
      </c>
      <c r="V1855" s="111"/>
      <c r="W1855" s="59" t="s">
        <v>548</v>
      </c>
      <c r="X1855" s="33" t="str">
        <f>+VLOOKUP(OtherClients[[#This Row],[Part]],PartControl!$A$2:$E$564,5,FALSE)</f>
        <v>infasco</v>
      </c>
      <c r="Y1855" s="108">
        <f>IF(OtherClients[[#This Row],[Re-certified or New]]&lt;&gt;"Re-certified",IF(OtherClients[[#This Row],[Client]]="infasco",VLOOKUP(OtherClients[[#This Row],[Part]],PartControl!$A$2:$E$564,2,FALSE),OtherClients[[#This Row],[Total Quantity]]*VLOOKUP(OtherClients[[#This Row],[Part]],PartControl!$A$2:$E$564,2,FALSE)),0)</f>
        <v>106.94</v>
      </c>
      <c r="Z1855" s="108">
        <f>IF(OtherClients[[#This Row],[Re-certified or New]]&lt;&gt;"Re-certified",IF(OtherClients[[#This Row],[Client]]="infasco",VLOOKUP(OtherClients[[#This Row],[Part]],PartControl!$A$2:$E$564,2,FALSE),OtherClients[[#This Row],[Total Quantity]]*VLOOKUP(OtherClients[[#This Row],[Part]],PartControl!$A$2:$E$564,2,FALSE)),0)</f>
        <v>106.94</v>
      </c>
    </row>
    <row r="1856" spans="1:26" ht="25.15" hidden="1" customHeight="1" x14ac:dyDescent="0.25">
      <c r="A1856" s="112">
        <v>46260.693877314814</v>
      </c>
      <c r="B1856" s="5" t="s">
        <v>346</v>
      </c>
      <c r="C1856" s="5">
        <v>11610128</v>
      </c>
      <c r="D1856" s="5">
        <v>717045</v>
      </c>
      <c r="E1856" s="33">
        <v>36</v>
      </c>
      <c r="F1856" s="60">
        <v>1125</v>
      </c>
      <c r="G1856" s="60">
        <f>+OtherClients[[#This Row],[Boxes / Pieces]]*OtherClients[[#This Row],[Unit Quantity]]</f>
        <v>40500</v>
      </c>
      <c r="H1856" s="60" t="s">
        <v>895</v>
      </c>
      <c r="I1856" s="60" t="s">
        <v>278</v>
      </c>
      <c r="J1856" s="104"/>
      <c r="K1856" s="33" t="s">
        <v>278</v>
      </c>
      <c r="L1856" s="111"/>
      <c r="M1856" s="33" t="s">
        <v>278</v>
      </c>
      <c r="N1856" s="111"/>
      <c r="O1856" s="33" t="s">
        <v>278</v>
      </c>
      <c r="P1856" s="111"/>
      <c r="Q1856" s="33" t="s">
        <v>587</v>
      </c>
      <c r="R1856" s="111"/>
      <c r="S1856" s="33" t="s">
        <v>278</v>
      </c>
      <c r="T1856" s="111"/>
      <c r="U1856" s="33" t="s">
        <v>278</v>
      </c>
      <c r="V1856" s="111"/>
      <c r="W1856" s="59" t="s">
        <v>548</v>
      </c>
      <c r="X1856" s="33" t="str">
        <f>+VLOOKUP(OtherClients[[#This Row],[Part]],PartControl!$A$2:$E$564,5,FALSE)</f>
        <v>INFASCO</v>
      </c>
      <c r="Y1856" s="108">
        <f>IF(OtherClients[[#This Row],[Re-certified or New]]&lt;&gt;"Re-certified",IF(OtherClients[[#This Row],[Client]]="infasco",VLOOKUP(OtherClients[[#This Row],[Part]],PartControl!$A$2:$E$564,2,FALSE),OtherClients[[#This Row],[Total Quantity]]*VLOOKUP(OtherClients[[#This Row],[Part]],PartControl!$A$2:$E$564,2,FALSE)),0)</f>
        <v>135.07999999999998</v>
      </c>
      <c r="Z1856" s="108">
        <f>IF(OtherClients[[#This Row],[Re-certified or New]]&lt;&gt;"Re-certified",IF(OtherClients[[#This Row],[Client]]="infasco",VLOOKUP(OtherClients[[#This Row],[Part]],PartControl!$A$2:$E$564,2,FALSE),OtherClients[[#This Row],[Total Quantity]]*VLOOKUP(OtherClients[[#This Row],[Part]],PartControl!$A$2:$E$564,2,FALSE)),0)</f>
        <v>135.07999999999998</v>
      </c>
    </row>
    <row r="1857" spans="1:26" ht="25.15" hidden="1" customHeight="1" x14ac:dyDescent="0.25">
      <c r="A1857" s="112">
        <v>46260.693877314814</v>
      </c>
      <c r="B1857" s="5" t="s">
        <v>346</v>
      </c>
      <c r="C1857" s="5">
        <v>11610128</v>
      </c>
      <c r="D1857" s="5">
        <v>717046</v>
      </c>
      <c r="E1857" s="33">
        <v>21</v>
      </c>
      <c r="F1857" s="60">
        <v>1125</v>
      </c>
      <c r="G1857" s="60">
        <f>+OtherClients[[#This Row],[Boxes / Pieces]]*OtherClients[[#This Row],[Unit Quantity]]</f>
        <v>23625</v>
      </c>
      <c r="H1857" s="60" t="s">
        <v>895</v>
      </c>
      <c r="I1857" s="60" t="s">
        <v>278</v>
      </c>
      <c r="J1857" s="104"/>
      <c r="K1857" s="33" t="s">
        <v>278</v>
      </c>
      <c r="L1857" s="111"/>
      <c r="M1857" s="33" t="s">
        <v>278</v>
      </c>
      <c r="N1857" s="111"/>
      <c r="O1857" s="33" t="s">
        <v>278</v>
      </c>
      <c r="P1857" s="111"/>
      <c r="Q1857" s="33" t="s">
        <v>587</v>
      </c>
      <c r="R1857" s="111"/>
      <c r="S1857" s="33" t="s">
        <v>278</v>
      </c>
      <c r="T1857" s="111"/>
      <c r="U1857" s="33" t="s">
        <v>278</v>
      </c>
      <c r="V1857" s="111"/>
      <c r="W1857" s="59" t="s">
        <v>548</v>
      </c>
      <c r="X1857" s="33" t="str">
        <f>+VLOOKUP(OtherClients[[#This Row],[Part]],PartControl!$A$2:$E$564,5,FALSE)</f>
        <v>INFASCO</v>
      </c>
      <c r="Y1857" s="108">
        <f>IF(OtherClients[[#This Row],[Re-certified or New]]&lt;&gt;"Re-certified",IF(OtherClients[[#This Row],[Client]]="infasco",VLOOKUP(OtherClients[[#This Row],[Part]],PartControl!$A$2:$E$564,2,FALSE),OtherClients[[#This Row],[Total Quantity]]*VLOOKUP(OtherClients[[#This Row],[Part]],PartControl!$A$2:$E$564,2,FALSE)),0)</f>
        <v>135.07999999999998</v>
      </c>
      <c r="Z1857" s="108">
        <f>IF(OtherClients[[#This Row],[Re-certified or New]]&lt;&gt;"Re-certified",IF(OtherClients[[#This Row],[Client]]="infasco",VLOOKUP(OtherClients[[#This Row],[Part]],PartControl!$A$2:$E$564,2,FALSE),OtherClients[[#This Row],[Total Quantity]]*VLOOKUP(OtherClients[[#This Row],[Part]],PartControl!$A$2:$E$564,2,FALSE)),0)</f>
        <v>135.07999999999998</v>
      </c>
    </row>
    <row r="1858" spans="1:26" ht="25.15" hidden="1" customHeight="1" x14ac:dyDescent="0.25">
      <c r="A1858" s="112">
        <v>46260.693877314814</v>
      </c>
      <c r="B1858" s="5" t="s">
        <v>346</v>
      </c>
      <c r="C1858" s="5" t="s">
        <v>817</v>
      </c>
      <c r="D1858" s="5">
        <v>717425</v>
      </c>
      <c r="E1858" s="33">
        <v>28</v>
      </c>
      <c r="F1858" s="60">
        <v>2100</v>
      </c>
      <c r="G1858" s="60">
        <f>+OtherClients[[#This Row],[Boxes / Pieces]]*OtherClients[[#This Row],[Unit Quantity]]</f>
        <v>58800</v>
      </c>
      <c r="H1858" s="60" t="s">
        <v>895</v>
      </c>
      <c r="I1858" s="60" t="s">
        <v>278</v>
      </c>
      <c r="J1858" s="104"/>
      <c r="K1858" s="33" t="s">
        <v>278</v>
      </c>
      <c r="L1858" s="111"/>
      <c r="M1858" s="33" t="s">
        <v>278</v>
      </c>
      <c r="N1858" s="111"/>
      <c r="O1858" s="33" t="s">
        <v>278</v>
      </c>
      <c r="P1858" s="111"/>
      <c r="Q1858" s="33" t="s">
        <v>587</v>
      </c>
      <c r="R1858" s="111"/>
      <c r="S1858" s="33" t="s">
        <v>278</v>
      </c>
      <c r="T1858" s="111"/>
      <c r="U1858" s="33" t="s">
        <v>278</v>
      </c>
      <c r="V1858" s="111"/>
      <c r="W1858" s="59" t="s">
        <v>548</v>
      </c>
      <c r="X1858" s="33" t="e">
        <f>+VLOOKUP(OtherClients[[#This Row],[Part]],PartControl!$A$2:$E$564,5,FALSE)</f>
        <v>#N/A</v>
      </c>
      <c r="Y1858" s="108" t="e">
        <f>IF(OtherClients[[#This Row],[Re-certified or New]]&lt;&gt;"Re-certified",IF(OtherClients[[#This Row],[Client]]="infasco",VLOOKUP(OtherClients[[#This Row],[Part]],PartControl!$A$2:$E$564,2,FALSE),OtherClients[[#This Row],[Total Quantity]]*VLOOKUP(OtherClients[[#This Row],[Part]],PartControl!$A$2:$E$564,2,FALSE)),0)</f>
        <v>#N/A</v>
      </c>
      <c r="Z1858" s="108" t="e">
        <f>IF(OtherClients[[#This Row],[Re-certified or New]]&lt;&gt;"Re-certified",IF(OtherClients[[#This Row],[Client]]="infasco",VLOOKUP(OtherClients[[#This Row],[Part]],PartControl!$A$2:$E$564,2,FALSE),OtherClients[[#This Row],[Total Quantity]]*VLOOKUP(OtherClients[[#This Row],[Part]],PartControl!$A$2:$E$564,2,FALSE)),0)</f>
        <v>#N/A</v>
      </c>
    </row>
    <row r="1859" spans="1:26" ht="25.15" hidden="1" customHeight="1" x14ac:dyDescent="0.25">
      <c r="A1859" s="112">
        <v>46260.693877314814</v>
      </c>
      <c r="B1859" s="5" t="s">
        <v>344</v>
      </c>
      <c r="C1859" s="5" t="s">
        <v>719</v>
      </c>
      <c r="D1859" s="5">
        <v>717632</v>
      </c>
      <c r="E1859" s="33">
        <v>30</v>
      </c>
      <c r="F1859" s="60">
        <v>2150</v>
      </c>
      <c r="G1859" s="60">
        <f>+OtherClients[[#This Row],[Boxes / Pieces]]*OtherClients[[#This Row],[Unit Quantity]]</f>
        <v>64500</v>
      </c>
      <c r="H1859" s="60" t="s">
        <v>816</v>
      </c>
      <c r="I1859" s="60" t="s">
        <v>278</v>
      </c>
      <c r="J1859" s="104"/>
      <c r="K1859" s="33" t="s">
        <v>278</v>
      </c>
      <c r="L1859" s="111"/>
      <c r="M1859" s="33" t="s">
        <v>278</v>
      </c>
      <c r="N1859" s="111"/>
      <c r="O1859" s="33" t="s">
        <v>278</v>
      </c>
      <c r="P1859" s="111"/>
      <c r="Q1859" s="33" t="s">
        <v>587</v>
      </c>
      <c r="R1859" s="111"/>
      <c r="S1859" s="33" t="s">
        <v>278</v>
      </c>
      <c r="T1859" s="111"/>
      <c r="U1859" s="33" t="s">
        <v>278</v>
      </c>
      <c r="V1859" s="111"/>
      <c r="W1859" s="59" t="s">
        <v>548</v>
      </c>
      <c r="X1859" s="33" t="str">
        <f>+VLOOKUP(OtherClients[[#This Row],[Part]],PartControl!$A$2:$E$564,5,FALSE)</f>
        <v>infasco</v>
      </c>
      <c r="Y1859" s="108">
        <f>IF(OtherClients[[#This Row],[Re-certified or New]]&lt;&gt;"Re-certified",IF(OtherClients[[#This Row],[Client]]="infasco",VLOOKUP(OtherClients[[#This Row],[Part]],PartControl!$A$2:$E$564,2,FALSE),OtherClients[[#This Row],[Total Quantity]]*VLOOKUP(OtherClients[[#This Row],[Part]],PartControl!$A$2:$E$564,2,FALSE)),0)</f>
        <v>106.94</v>
      </c>
      <c r="Z1859" s="108">
        <f>IF(OtherClients[[#This Row],[Re-certified or New]]&lt;&gt;"Re-certified",IF(OtherClients[[#This Row],[Client]]="infasco",VLOOKUP(OtherClients[[#This Row],[Part]],PartControl!$A$2:$E$564,2,FALSE),OtherClients[[#This Row],[Total Quantity]]*VLOOKUP(OtherClients[[#This Row],[Part]],PartControl!$A$2:$E$564,2,FALSE)),0)</f>
        <v>106.94</v>
      </c>
    </row>
    <row r="1860" spans="1:26" ht="25.15" hidden="1" customHeight="1" x14ac:dyDescent="0.25">
      <c r="A1860" s="112">
        <v>46260.693877314814</v>
      </c>
      <c r="B1860" s="5" t="s">
        <v>344</v>
      </c>
      <c r="C1860" s="5">
        <v>40179994</v>
      </c>
      <c r="D1860" s="5">
        <v>716025</v>
      </c>
      <c r="E1860" s="33">
        <v>21</v>
      </c>
      <c r="F1860" s="60">
        <v>170</v>
      </c>
      <c r="G1860" s="60">
        <f>+OtherClients[[#This Row],[Boxes / Pieces]]*OtherClients[[#This Row],[Unit Quantity]]</f>
        <v>3570</v>
      </c>
      <c r="H1860" s="60" t="s">
        <v>816</v>
      </c>
      <c r="I1860" s="60" t="s">
        <v>278</v>
      </c>
      <c r="J1860" s="104"/>
      <c r="K1860" s="33" t="s">
        <v>278</v>
      </c>
      <c r="L1860" s="111"/>
      <c r="M1860" s="33" t="s">
        <v>278</v>
      </c>
      <c r="N1860" s="111"/>
      <c r="O1860" s="33" t="s">
        <v>278</v>
      </c>
      <c r="P1860" s="111"/>
      <c r="Q1860" s="33" t="s">
        <v>587</v>
      </c>
      <c r="R1860" s="111"/>
      <c r="S1860" s="33" t="s">
        <v>278</v>
      </c>
      <c r="T1860" s="111"/>
      <c r="U1860" s="33" t="s">
        <v>278</v>
      </c>
      <c r="V1860" s="111"/>
      <c r="W1860" s="59" t="s">
        <v>548</v>
      </c>
      <c r="X1860" s="33" t="str">
        <f>+VLOOKUP(OtherClients[[#This Row],[Part]],PartControl!$A$2:$E$564,5,FALSE)</f>
        <v>Infasco</v>
      </c>
      <c r="Y1860" s="108">
        <f>IF(OtherClients[[#This Row],[Re-certified or New]]&lt;&gt;"Re-certified",IF(OtherClients[[#This Row],[Client]]="infasco",VLOOKUP(OtherClients[[#This Row],[Part]],PartControl!$A$2:$E$564,2,FALSE),OtherClients[[#This Row],[Total Quantity]]*VLOOKUP(OtherClients[[#This Row],[Part]],PartControl!$A$2:$E$564,2,FALSE)),0)</f>
        <v>106.94</v>
      </c>
      <c r="Z1860" s="108">
        <f>IF(OtherClients[[#This Row],[Re-certified or New]]&lt;&gt;"Re-certified",IF(OtherClients[[#This Row],[Client]]="infasco",VLOOKUP(OtherClients[[#This Row],[Part]],PartControl!$A$2:$E$564,2,FALSE),OtherClients[[#This Row],[Total Quantity]]*VLOOKUP(OtherClients[[#This Row],[Part]],PartControl!$A$2:$E$564,2,FALSE)),0)</f>
        <v>106.94</v>
      </c>
    </row>
    <row r="1861" spans="1:26" ht="25.15" hidden="1" customHeight="1" x14ac:dyDescent="0.25">
      <c r="A1861" s="112">
        <v>46260.693877314814</v>
      </c>
      <c r="B1861" s="5" t="s">
        <v>344</v>
      </c>
      <c r="C1861" s="5">
        <v>40109770</v>
      </c>
      <c r="D1861" s="5">
        <v>717415</v>
      </c>
      <c r="E1861" s="33">
        <v>33</v>
      </c>
      <c r="F1861" s="60">
        <v>250</v>
      </c>
      <c r="G1861" s="60">
        <f>+OtherClients[[#This Row],[Boxes / Pieces]]*OtherClients[[#This Row],[Unit Quantity]]</f>
        <v>8250</v>
      </c>
      <c r="H1861" s="60" t="s">
        <v>816</v>
      </c>
      <c r="I1861" s="60" t="s">
        <v>278</v>
      </c>
      <c r="J1861" s="104"/>
      <c r="K1861" s="33" t="s">
        <v>278</v>
      </c>
      <c r="L1861" s="111"/>
      <c r="M1861" s="33" t="s">
        <v>278</v>
      </c>
      <c r="N1861" s="111"/>
      <c r="O1861" s="33" t="s">
        <v>278</v>
      </c>
      <c r="P1861" s="111"/>
      <c r="Q1861" s="33" t="s">
        <v>587</v>
      </c>
      <c r="R1861" s="111"/>
      <c r="S1861" s="33" t="s">
        <v>278</v>
      </c>
      <c r="T1861" s="111"/>
      <c r="U1861" s="33" t="s">
        <v>278</v>
      </c>
      <c r="V1861" s="111"/>
      <c r="W1861" s="59" t="s">
        <v>548</v>
      </c>
      <c r="X1861" s="33" t="str">
        <f>+VLOOKUP(OtherClients[[#This Row],[Part]],PartControl!$A$2:$E$564,5,FALSE)</f>
        <v>infasco</v>
      </c>
      <c r="Y1861" s="108">
        <f>IF(OtherClients[[#This Row],[Re-certified or New]]&lt;&gt;"Re-certified",IF(OtherClients[[#This Row],[Client]]="infasco",VLOOKUP(OtherClients[[#This Row],[Part]],PartControl!$A$2:$E$564,2,FALSE),OtherClients[[#This Row],[Total Quantity]]*VLOOKUP(OtherClients[[#This Row],[Part]],PartControl!$A$2:$E$564,2,FALSE)),0)</f>
        <v>106.94</v>
      </c>
      <c r="Z1861" s="108">
        <f>IF(OtherClients[[#This Row],[Re-certified or New]]&lt;&gt;"Re-certified",IF(OtherClients[[#This Row],[Client]]="infasco",VLOOKUP(OtherClients[[#This Row],[Part]],PartControl!$A$2:$E$564,2,FALSE),OtherClients[[#This Row],[Total Quantity]]*VLOOKUP(OtherClients[[#This Row],[Part]],PartControl!$A$2:$E$564,2,FALSE)),0)</f>
        <v>106.94</v>
      </c>
    </row>
    <row r="1862" spans="1:26" ht="25.15" hidden="1" customHeight="1" x14ac:dyDescent="0.25">
      <c r="A1862" s="112">
        <v>46260.693877314814</v>
      </c>
      <c r="B1862" s="5" t="s">
        <v>344</v>
      </c>
      <c r="C1862" s="5">
        <v>40073474</v>
      </c>
      <c r="D1862" s="5">
        <v>716864</v>
      </c>
      <c r="E1862" s="33">
        <v>31</v>
      </c>
      <c r="F1862" s="60">
        <v>150</v>
      </c>
      <c r="G1862" s="60">
        <f>+OtherClients[[#This Row],[Boxes / Pieces]]*OtherClients[[#This Row],[Unit Quantity]]</f>
        <v>4650</v>
      </c>
      <c r="H1862" s="60" t="s">
        <v>816</v>
      </c>
      <c r="I1862" s="60" t="s">
        <v>278</v>
      </c>
      <c r="J1862" s="104"/>
      <c r="K1862" s="33" t="s">
        <v>278</v>
      </c>
      <c r="L1862" s="111"/>
      <c r="M1862" s="33" t="s">
        <v>278</v>
      </c>
      <c r="N1862" s="111"/>
      <c r="O1862" s="33" t="s">
        <v>278</v>
      </c>
      <c r="P1862" s="111"/>
      <c r="Q1862" s="33" t="s">
        <v>587</v>
      </c>
      <c r="R1862" s="111"/>
      <c r="S1862" s="33" t="s">
        <v>278</v>
      </c>
      <c r="T1862" s="111"/>
      <c r="U1862" s="33" t="s">
        <v>278</v>
      </c>
      <c r="V1862" s="111"/>
      <c r="W1862" s="59" t="s">
        <v>548</v>
      </c>
      <c r="X1862" s="33" t="str">
        <f>+VLOOKUP(OtherClients[[#This Row],[Part]],PartControl!$A$2:$E$564,5,FALSE)</f>
        <v>infasco</v>
      </c>
      <c r="Y1862" s="108">
        <f>IF(OtherClients[[#This Row],[Re-certified or New]]&lt;&gt;"Re-certified",IF(OtherClients[[#This Row],[Client]]="infasco",VLOOKUP(OtherClients[[#This Row],[Part]],PartControl!$A$2:$E$564,2,FALSE),OtherClients[[#This Row],[Total Quantity]]*VLOOKUP(OtherClients[[#This Row],[Part]],PartControl!$A$2:$E$564,2,FALSE)),0)</f>
        <v>106.94</v>
      </c>
      <c r="Z1862" s="108">
        <f>IF(OtherClients[[#This Row],[Re-certified or New]]&lt;&gt;"Re-certified",IF(OtherClients[[#This Row],[Client]]="infasco",VLOOKUP(OtherClients[[#This Row],[Part]],PartControl!$A$2:$E$564,2,FALSE),OtherClients[[#This Row],[Total Quantity]]*VLOOKUP(OtherClients[[#This Row],[Part]],PartControl!$A$2:$E$564,2,FALSE)),0)</f>
        <v>106.94</v>
      </c>
    </row>
    <row r="1863" spans="1:26" ht="25.15" hidden="1" customHeight="1" x14ac:dyDescent="0.25">
      <c r="A1863" s="112">
        <v>46260.693877314814</v>
      </c>
      <c r="B1863" s="5" t="s">
        <v>344</v>
      </c>
      <c r="C1863" s="5" t="s">
        <v>17</v>
      </c>
      <c r="D1863" s="5">
        <v>717412</v>
      </c>
      <c r="E1863" s="33">
        <v>35</v>
      </c>
      <c r="F1863" s="60">
        <v>100</v>
      </c>
      <c r="G1863" s="60">
        <f>+OtherClients[[#This Row],[Boxes / Pieces]]*OtherClients[[#This Row],[Unit Quantity]]</f>
        <v>3500</v>
      </c>
      <c r="H1863" s="60" t="s">
        <v>816</v>
      </c>
      <c r="I1863" s="60" t="s">
        <v>278</v>
      </c>
      <c r="J1863" s="104"/>
      <c r="K1863" s="33" t="s">
        <v>278</v>
      </c>
      <c r="L1863" s="111"/>
      <c r="M1863" s="33" t="s">
        <v>278</v>
      </c>
      <c r="N1863" s="111"/>
      <c r="O1863" s="33" t="s">
        <v>278</v>
      </c>
      <c r="P1863" s="111"/>
      <c r="Q1863" s="33" t="s">
        <v>587</v>
      </c>
      <c r="R1863" s="111"/>
      <c r="S1863" s="33" t="s">
        <v>278</v>
      </c>
      <c r="T1863" s="111"/>
      <c r="U1863" s="33" t="s">
        <v>278</v>
      </c>
      <c r="V1863" s="111"/>
      <c r="W1863" s="59" t="s">
        <v>548</v>
      </c>
      <c r="X1863" s="33" t="str">
        <f>+VLOOKUP(OtherClients[[#This Row],[Part]],PartControl!$A$2:$E$564,5,FALSE)</f>
        <v>infasco</v>
      </c>
      <c r="Y1863" s="108">
        <f>IF(OtherClients[[#This Row],[Re-certified or New]]&lt;&gt;"Re-certified",IF(OtherClients[[#This Row],[Client]]="infasco",VLOOKUP(OtherClients[[#This Row],[Part]],PartControl!$A$2:$E$564,2,FALSE),OtherClients[[#This Row],[Total Quantity]]*VLOOKUP(OtherClients[[#This Row],[Part]],PartControl!$A$2:$E$564,2,FALSE)),0)</f>
        <v>135.07999999999998</v>
      </c>
      <c r="Z1863" s="108">
        <f>IF(OtherClients[[#This Row],[Re-certified or New]]&lt;&gt;"Re-certified",IF(OtherClients[[#This Row],[Client]]="infasco",VLOOKUP(OtherClients[[#This Row],[Part]],PartControl!$A$2:$E$564,2,FALSE),OtherClients[[#This Row],[Total Quantity]]*VLOOKUP(OtherClients[[#This Row],[Part]],PartControl!$A$2:$E$564,2,FALSE)),0)</f>
        <v>135.07999999999998</v>
      </c>
    </row>
    <row r="1864" spans="1:26" ht="25.15" hidden="1" customHeight="1" x14ac:dyDescent="0.25">
      <c r="A1864" s="112">
        <v>46260.693877314814</v>
      </c>
      <c r="B1864" s="5" t="s">
        <v>344</v>
      </c>
      <c r="C1864" s="5" t="s">
        <v>719</v>
      </c>
      <c r="D1864" s="5">
        <v>717629</v>
      </c>
      <c r="E1864" s="33">
        <v>35</v>
      </c>
      <c r="F1864" s="60">
        <v>2150</v>
      </c>
      <c r="G1864" s="60">
        <f>+OtherClients[[#This Row],[Boxes / Pieces]]*OtherClients[[#This Row],[Unit Quantity]]</f>
        <v>75250</v>
      </c>
      <c r="H1864" s="60" t="s">
        <v>816</v>
      </c>
      <c r="I1864" s="60" t="s">
        <v>278</v>
      </c>
      <c r="J1864" s="104"/>
      <c r="K1864" s="33" t="s">
        <v>278</v>
      </c>
      <c r="L1864" s="111"/>
      <c r="M1864" s="33" t="s">
        <v>278</v>
      </c>
      <c r="N1864" s="111"/>
      <c r="O1864" s="33" t="s">
        <v>278</v>
      </c>
      <c r="P1864" s="111"/>
      <c r="Q1864" s="33" t="s">
        <v>587</v>
      </c>
      <c r="R1864" s="111"/>
      <c r="S1864" s="33" t="s">
        <v>278</v>
      </c>
      <c r="T1864" s="111"/>
      <c r="U1864" s="33" t="s">
        <v>278</v>
      </c>
      <c r="V1864" s="111"/>
      <c r="W1864" s="59" t="s">
        <v>548</v>
      </c>
      <c r="X1864" s="33" t="str">
        <f>+VLOOKUP(OtherClients[[#This Row],[Part]],PartControl!$A$2:$E$564,5,FALSE)</f>
        <v>infasco</v>
      </c>
      <c r="Y1864" s="108">
        <f>IF(OtherClients[[#This Row],[Re-certified or New]]&lt;&gt;"Re-certified",IF(OtherClients[[#This Row],[Client]]="infasco",VLOOKUP(OtherClients[[#This Row],[Part]],PartControl!$A$2:$E$564,2,FALSE),OtherClients[[#This Row],[Total Quantity]]*VLOOKUP(OtherClients[[#This Row],[Part]],PartControl!$A$2:$E$564,2,FALSE)),0)</f>
        <v>106.94</v>
      </c>
      <c r="Z1864" s="108">
        <f>IF(OtherClients[[#This Row],[Re-certified or New]]&lt;&gt;"Re-certified",IF(OtherClients[[#This Row],[Client]]="infasco",VLOOKUP(OtherClients[[#This Row],[Part]],PartControl!$A$2:$E$564,2,FALSE),OtherClients[[#This Row],[Total Quantity]]*VLOOKUP(OtherClients[[#This Row],[Part]],PartControl!$A$2:$E$564,2,FALSE)),0)</f>
        <v>106.94</v>
      </c>
    </row>
    <row r="1865" spans="1:26" ht="25.15" hidden="1" customHeight="1" x14ac:dyDescent="0.25">
      <c r="A1865" s="112">
        <v>46260.693877314814</v>
      </c>
      <c r="B1865" s="5" t="s">
        <v>344</v>
      </c>
      <c r="C1865" s="5" t="s">
        <v>812</v>
      </c>
      <c r="D1865" s="5">
        <v>715984</v>
      </c>
      <c r="E1865" s="33">
        <f>37-30</f>
        <v>7</v>
      </c>
      <c r="F1865" s="60">
        <v>135</v>
      </c>
      <c r="G1865" s="60">
        <f>+OtherClients[[#This Row],[Boxes / Pieces]]*OtherClients[[#This Row],[Unit Quantity]]</f>
        <v>945</v>
      </c>
      <c r="H1865" s="60" t="s">
        <v>816</v>
      </c>
      <c r="I1865" s="60" t="s">
        <v>278</v>
      </c>
      <c r="J1865" s="104"/>
      <c r="K1865" s="33" t="s">
        <v>278</v>
      </c>
      <c r="L1865" s="111"/>
      <c r="M1865" s="33" t="s">
        <v>278</v>
      </c>
      <c r="N1865" s="111"/>
      <c r="O1865" s="33" t="s">
        <v>278</v>
      </c>
      <c r="P1865" s="111"/>
      <c r="Q1865" s="33" t="s">
        <v>587</v>
      </c>
      <c r="R1865" s="111"/>
      <c r="S1865" s="33" t="s">
        <v>278</v>
      </c>
      <c r="T1865" s="111"/>
      <c r="U1865" s="33" t="s">
        <v>278</v>
      </c>
      <c r="V1865" s="111"/>
      <c r="W1865" s="59" t="s">
        <v>548</v>
      </c>
      <c r="X1865" s="33" t="str">
        <f>+VLOOKUP(OtherClients[[#This Row],[Part]],PartControl!$A$2:$E$564,5,FALSE)</f>
        <v>Infasco</v>
      </c>
      <c r="Y1865" s="108">
        <f>IF(OtherClients[[#This Row],[Re-certified or New]]&lt;&gt;"Re-certified",IF(OtherClients[[#This Row],[Client]]="infasco",VLOOKUP(OtherClients[[#This Row],[Part]],PartControl!$A$2:$E$564,2,FALSE),OtherClients[[#This Row],[Total Quantity]]*VLOOKUP(OtherClients[[#This Row],[Part]],PartControl!$A$2:$E$564,2,FALSE)),0)</f>
        <v>106.94</v>
      </c>
      <c r="Z1865" s="108">
        <f>IF(OtherClients[[#This Row],[Re-certified or New]]&lt;&gt;"Re-certified",IF(OtherClients[[#This Row],[Client]]="infasco",VLOOKUP(OtherClients[[#This Row],[Part]],PartControl!$A$2:$E$564,2,FALSE),OtherClients[[#This Row],[Total Quantity]]*VLOOKUP(OtherClients[[#This Row],[Part]],PartControl!$A$2:$E$564,2,FALSE)),0)</f>
        <v>106.94</v>
      </c>
    </row>
    <row r="1866" spans="1:26" ht="25.15" hidden="1" customHeight="1" x14ac:dyDescent="0.25">
      <c r="A1866" s="112">
        <v>46260.693877314814</v>
      </c>
      <c r="B1866" s="5" t="s">
        <v>344</v>
      </c>
      <c r="C1866" s="5">
        <v>500009196</v>
      </c>
      <c r="D1866" s="5">
        <v>717856</v>
      </c>
      <c r="E1866" s="33">
        <v>34</v>
      </c>
      <c r="F1866" s="60">
        <v>1200</v>
      </c>
      <c r="G1866" s="60">
        <f>+OtherClients[[#This Row],[Boxes / Pieces]]*OtherClients[[#This Row],[Unit Quantity]]</f>
        <v>40800</v>
      </c>
      <c r="H1866" s="60" t="s">
        <v>816</v>
      </c>
      <c r="I1866" s="60" t="s">
        <v>278</v>
      </c>
      <c r="J1866" s="104"/>
      <c r="K1866" s="33" t="s">
        <v>278</v>
      </c>
      <c r="L1866" s="111"/>
      <c r="M1866" s="33" t="s">
        <v>278</v>
      </c>
      <c r="N1866" s="111"/>
      <c r="O1866" s="33" t="s">
        <v>278</v>
      </c>
      <c r="P1866" s="111"/>
      <c r="Q1866" s="33" t="s">
        <v>587</v>
      </c>
      <c r="R1866" s="111"/>
      <c r="S1866" s="33" t="s">
        <v>278</v>
      </c>
      <c r="T1866" s="111"/>
      <c r="U1866" s="33" t="s">
        <v>278</v>
      </c>
      <c r="V1866" s="111"/>
      <c r="W1866" s="59" t="s">
        <v>548</v>
      </c>
      <c r="X1866" s="33" t="str">
        <f>+VLOOKUP(OtherClients[[#This Row],[Part]],PartControl!$A$2:$E$564,5,FALSE)</f>
        <v>infasco</v>
      </c>
      <c r="Y1866" s="108">
        <f>IF(OtherClients[[#This Row],[Re-certified or New]]&lt;&gt;"Re-certified",IF(OtherClients[[#This Row],[Client]]="infasco",VLOOKUP(OtherClients[[#This Row],[Part]],PartControl!$A$2:$E$564,2,FALSE),OtherClients[[#This Row],[Total Quantity]]*VLOOKUP(OtherClients[[#This Row],[Part]],PartControl!$A$2:$E$564,2,FALSE)),0)</f>
        <v>29.27</v>
      </c>
      <c r="Z1866" s="108">
        <f>IF(OtherClients[[#This Row],[Re-certified or New]]&lt;&gt;"Re-certified",IF(OtherClients[[#This Row],[Client]]="infasco",VLOOKUP(OtherClients[[#This Row],[Part]],PartControl!$A$2:$E$564,2,FALSE),OtherClients[[#This Row],[Total Quantity]]*VLOOKUP(OtherClients[[#This Row],[Part]],PartControl!$A$2:$E$564,2,FALSE)),0)</f>
        <v>29.27</v>
      </c>
    </row>
    <row r="1867" spans="1:26" ht="25.15" hidden="1" customHeight="1" x14ac:dyDescent="0.25">
      <c r="A1867" s="112">
        <v>46260.693877314814</v>
      </c>
      <c r="B1867" s="5" t="s">
        <v>344</v>
      </c>
      <c r="C1867" s="5" t="s">
        <v>687</v>
      </c>
      <c r="D1867" s="5">
        <v>716648</v>
      </c>
      <c r="E1867" s="33">
        <v>25</v>
      </c>
      <c r="F1867" s="60">
        <v>280</v>
      </c>
      <c r="G1867" s="60">
        <f>+OtherClients[[#This Row],[Boxes / Pieces]]*OtherClients[[#This Row],[Unit Quantity]]</f>
        <v>7000</v>
      </c>
      <c r="H1867" s="60" t="s">
        <v>816</v>
      </c>
      <c r="I1867" s="60" t="s">
        <v>278</v>
      </c>
      <c r="J1867" s="104"/>
      <c r="K1867" s="33" t="s">
        <v>278</v>
      </c>
      <c r="L1867" s="111"/>
      <c r="M1867" s="33" t="s">
        <v>278</v>
      </c>
      <c r="N1867" s="111"/>
      <c r="O1867" s="33" t="s">
        <v>278</v>
      </c>
      <c r="P1867" s="111"/>
      <c r="Q1867" s="33" t="s">
        <v>587</v>
      </c>
      <c r="R1867" s="111"/>
      <c r="S1867" s="33" t="s">
        <v>278</v>
      </c>
      <c r="T1867" s="111"/>
      <c r="U1867" s="33" t="s">
        <v>278</v>
      </c>
      <c r="V1867" s="111"/>
      <c r="W1867" s="59" t="s">
        <v>548</v>
      </c>
      <c r="X1867" s="33" t="str">
        <f>+VLOOKUP(OtherClients[[#This Row],[Part]],PartControl!$A$2:$E$564,5,FALSE)</f>
        <v>infasco</v>
      </c>
      <c r="Y1867" s="108">
        <f>IF(OtherClients[[#This Row],[Re-certified or New]]&lt;&gt;"Re-certified",IF(OtherClients[[#This Row],[Client]]="infasco",VLOOKUP(OtherClients[[#This Row],[Part]],PartControl!$A$2:$E$564,2,FALSE),OtherClients[[#This Row],[Total Quantity]]*VLOOKUP(OtherClients[[#This Row],[Part]],PartControl!$A$2:$E$564,2,FALSE)),0)</f>
        <v>106.94</v>
      </c>
      <c r="Z1867" s="108">
        <f>IF(OtherClients[[#This Row],[Re-certified or New]]&lt;&gt;"Re-certified",IF(OtherClients[[#This Row],[Client]]="infasco",VLOOKUP(OtherClients[[#This Row],[Part]],PartControl!$A$2:$E$564,2,FALSE),OtherClients[[#This Row],[Total Quantity]]*VLOOKUP(OtherClients[[#This Row],[Part]],PartControl!$A$2:$E$564,2,FALSE)),0)</f>
        <v>106.94</v>
      </c>
    </row>
    <row r="1868" spans="1:26" ht="25.15" hidden="1" customHeight="1" x14ac:dyDescent="0.25">
      <c r="A1868" s="112">
        <v>46260.693877314814</v>
      </c>
      <c r="B1868" s="5" t="s">
        <v>344</v>
      </c>
      <c r="C1868" s="5">
        <v>11561114</v>
      </c>
      <c r="D1868" s="5">
        <v>716434</v>
      </c>
      <c r="E1868" s="33">
        <v>26</v>
      </c>
      <c r="F1868" s="60">
        <v>400</v>
      </c>
      <c r="G1868" s="60">
        <f>+OtherClients[[#This Row],[Boxes / Pieces]]*OtherClients[[#This Row],[Unit Quantity]]</f>
        <v>10400</v>
      </c>
      <c r="H1868" s="60" t="s">
        <v>816</v>
      </c>
      <c r="I1868" s="60" t="s">
        <v>278</v>
      </c>
      <c r="J1868" s="104"/>
      <c r="K1868" s="33" t="s">
        <v>278</v>
      </c>
      <c r="L1868" s="111"/>
      <c r="M1868" s="33" t="s">
        <v>278</v>
      </c>
      <c r="N1868" s="111"/>
      <c r="O1868" s="33" t="s">
        <v>278</v>
      </c>
      <c r="P1868" s="111"/>
      <c r="Q1868" s="33" t="s">
        <v>587</v>
      </c>
      <c r="R1868" s="111"/>
      <c r="S1868" s="33" t="s">
        <v>278</v>
      </c>
      <c r="T1868" s="111"/>
      <c r="U1868" s="33" t="s">
        <v>278</v>
      </c>
      <c r="V1868" s="111"/>
      <c r="W1868" s="59" t="s">
        <v>548</v>
      </c>
      <c r="X1868" s="33" t="str">
        <f>+VLOOKUP(OtherClients[[#This Row],[Part]],PartControl!$A$2:$E$564,5,FALSE)</f>
        <v>infasco</v>
      </c>
      <c r="Y1868" s="108">
        <f>IF(OtherClients[[#This Row],[Re-certified or New]]&lt;&gt;"Re-certified",IF(OtherClients[[#This Row],[Client]]="infasco",VLOOKUP(OtherClients[[#This Row],[Part]],PartControl!$A$2:$E$564,2,FALSE),OtherClients[[#This Row],[Total Quantity]]*VLOOKUP(OtherClients[[#This Row],[Part]],PartControl!$A$2:$E$564,2,FALSE)),0)</f>
        <v>106.94</v>
      </c>
      <c r="Z1868" s="108">
        <f>IF(OtherClients[[#This Row],[Re-certified or New]]&lt;&gt;"Re-certified",IF(OtherClients[[#This Row],[Client]]="infasco",VLOOKUP(OtherClients[[#This Row],[Part]],PartControl!$A$2:$E$564,2,FALSE),OtherClients[[#This Row],[Total Quantity]]*VLOOKUP(OtherClients[[#This Row],[Part]],PartControl!$A$2:$E$564,2,FALSE)),0)</f>
        <v>106.94</v>
      </c>
    </row>
    <row r="1869" spans="1:26" ht="25.15" hidden="1" customHeight="1" x14ac:dyDescent="0.25">
      <c r="A1869" s="112">
        <v>46260.693877314814</v>
      </c>
      <c r="B1869" s="5" t="s">
        <v>344</v>
      </c>
      <c r="C1869" s="5">
        <v>82253</v>
      </c>
      <c r="D1869" s="5">
        <v>716744</v>
      </c>
      <c r="E1869" s="33">
        <v>35</v>
      </c>
      <c r="F1869" s="60">
        <v>1350</v>
      </c>
      <c r="G1869" s="60">
        <f>+OtherClients[[#This Row],[Boxes / Pieces]]*OtherClients[[#This Row],[Unit Quantity]]</f>
        <v>47250</v>
      </c>
      <c r="H1869" s="60" t="s">
        <v>816</v>
      </c>
      <c r="I1869" s="60" t="s">
        <v>278</v>
      </c>
      <c r="J1869" s="104"/>
      <c r="K1869" s="33" t="s">
        <v>278</v>
      </c>
      <c r="L1869" s="111"/>
      <c r="M1869" s="33" t="s">
        <v>278</v>
      </c>
      <c r="N1869" s="111"/>
      <c r="O1869" s="33" t="s">
        <v>278</v>
      </c>
      <c r="P1869" s="111"/>
      <c r="Q1869" s="33" t="s">
        <v>587</v>
      </c>
      <c r="R1869" s="111"/>
      <c r="S1869" s="33" t="s">
        <v>278</v>
      </c>
      <c r="T1869" s="111"/>
      <c r="U1869" s="33" t="s">
        <v>278</v>
      </c>
      <c r="V1869" s="111"/>
      <c r="W1869" s="59" t="s">
        <v>548</v>
      </c>
      <c r="X1869" s="33" t="str">
        <f>+VLOOKUP(OtherClients[[#This Row],[Part]],PartControl!$A$2:$E$564,5,FALSE)</f>
        <v>infasco</v>
      </c>
      <c r="Y1869" s="108">
        <f>IF(OtherClients[[#This Row],[Re-certified or New]]&lt;&gt;"Re-certified",IF(OtherClients[[#This Row],[Client]]="infasco",VLOOKUP(OtherClients[[#This Row],[Part]],PartControl!$A$2:$E$564,2,FALSE),OtherClients[[#This Row],[Total Quantity]]*VLOOKUP(OtherClients[[#This Row],[Part]],PartControl!$A$2:$E$564,2,FALSE)),0)</f>
        <v>106.94</v>
      </c>
      <c r="Z1869" s="108">
        <f>IF(OtherClients[[#This Row],[Re-certified or New]]&lt;&gt;"Re-certified",IF(OtherClients[[#This Row],[Client]]="infasco",VLOOKUP(OtherClients[[#This Row],[Part]],PartControl!$A$2:$E$564,2,FALSE),OtherClients[[#This Row],[Total Quantity]]*VLOOKUP(OtherClients[[#This Row],[Part]],PartControl!$A$2:$E$564,2,FALSE)),0)</f>
        <v>106.94</v>
      </c>
    </row>
    <row r="1870" spans="1:26" ht="25.15" hidden="1" customHeight="1" x14ac:dyDescent="0.25">
      <c r="A1870" s="112">
        <v>46261.69358796296</v>
      </c>
      <c r="B1870" s="5" t="s">
        <v>233</v>
      </c>
      <c r="C1870" s="5" t="s">
        <v>644</v>
      </c>
      <c r="D1870" s="5">
        <v>716861</v>
      </c>
      <c r="E1870" s="33">
        <v>14</v>
      </c>
      <c r="F1870" s="60">
        <v>2200</v>
      </c>
      <c r="G1870" s="60">
        <v>30800</v>
      </c>
      <c r="H1870" s="60">
        <v>275</v>
      </c>
      <c r="I1870" s="130" t="s">
        <v>278</v>
      </c>
      <c r="J1870" s="131"/>
      <c r="K1870" s="33" t="s">
        <v>278</v>
      </c>
      <c r="L1870" s="132"/>
      <c r="M1870" s="33" t="s">
        <v>278</v>
      </c>
      <c r="N1870" s="132"/>
      <c r="O1870" s="33" t="s">
        <v>278</v>
      </c>
      <c r="P1870" s="132"/>
      <c r="Q1870" s="33" t="s">
        <v>587</v>
      </c>
      <c r="R1870" s="132"/>
      <c r="S1870" s="33" t="s">
        <v>278</v>
      </c>
      <c r="T1870" s="132"/>
      <c r="U1870" s="33" t="s">
        <v>278</v>
      </c>
      <c r="V1870" s="132"/>
      <c r="W1870" s="133" t="s">
        <v>548</v>
      </c>
      <c r="X1870" s="33" t="str">
        <f>+VLOOKUP(OtherClients[[#This Row],[Part]],PartControl!$A$2:$E$564,5,FALSE)</f>
        <v>infasco</v>
      </c>
      <c r="Y1870" s="132">
        <v>106.94</v>
      </c>
      <c r="Z1870" s="108">
        <f>IF(OtherClients[[#This Row],[Re-certified or New]]&lt;&gt;"Re-certified",IF(OtherClients[[#This Row],[Client]]="infasco",VLOOKUP(OtherClients[[#This Row],[Part]],PartControl!$A$2:$E$564,2,FALSE),OtherClients[[#This Row],[Total Quantity]]*VLOOKUP(OtherClients[[#This Row],[Part]],PartControl!$A$2:$E$564,2,FALSE)),0)</f>
        <v>106.94</v>
      </c>
    </row>
    <row r="1871" spans="1:26" ht="25.15" hidden="1" customHeight="1" x14ac:dyDescent="0.25">
      <c r="A1871" s="112">
        <v>46261.69358796296</v>
      </c>
      <c r="B1871" s="5" t="s">
        <v>233</v>
      </c>
      <c r="C1871" s="5" t="s">
        <v>668</v>
      </c>
      <c r="D1871" s="5">
        <v>715999</v>
      </c>
      <c r="E1871" s="33">
        <v>18</v>
      </c>
      <c r="F1871" s="60">
        <v>3800</v>
      </c>
      <c r="G1871" s="60">
        <f>+OtherClients[[#This Row],[Boxes / Pieces]]*OtherClients[[#This Row],[Unit Quantity]]</f>
        <v>68400</v>
      </c>
      <c r="H1871" s="60">
        <v>275</v>
      </c>
      <c r="I1871" s="130" t="s">
        <v>278</v>
      </c>
      <c r="J1871" s="131"/>
      <c r="K1871" s="33" t="s">
        <v>278</v>
      </c>
      <c r="L1871" s="132"/>
      <c r="M1871" s="33" t="s">
        <v>278</v>
      </c>
      <c r="N1871" s="132"/>
      <c r="O1871" s="33" t="s">
        <v>278</v>
      </c>
      <c r="P1871" s="132"/>
      <c r="Q1871" s="33" t="s">
        <v>587</v>
      </c>
      <c r="R1871" s="132"/>
      <c r="S1871" s="33" t="s">
        <v>278</v>
      </c>
      <c r="T1871" s="132"/>
      <c r="U1871" s="33" t="s">
        <v>278</v>
      </c>
      <c r="V1871" s="132"/>
      <c r="W1871" s="59" t="s">
        <v>633</v>
      </c>
      <c r="X1871" s="33" t="str">
        <f>+VLOOKUP(OtherClients[[#This Row],[Part]],PartControl!$A$2:$E$564,5,FALSE)</f>
        <v>infasco</v>
      </c>
      <c r="Y1871" s="108">
        <f>IF(OtherClients[[#This Row],[Re-certified or New]]&lt;&gt;"Re-certified",IF(OtherClients[[#This Row],[Client]]="infasco",VLOOKUP(OtherClients[[#This Row],[Part]],PartControl!$A$2:$E$564,2,FALSE),OtherClients[[#This Row],[Total Quantity]]*VLOOKUP(OtherClients[[#This Row],[Part]],PartControl!$A$2:$E$564,2,FALSE)),0)</f>
        <v>0</v>
      </c>
      <c r="Z1871" s="108">
        <f>IF(OtherClients[[#This Row],[Re-certified or New]]&lt;&gt;"Re-certified",IF(OtherClients[[#This Row],[Client]]="infasco",VLOOKUP(OtherClients[[#This Row],[Part]],PartControl!$A$2:$E$564,2,FALSE),OtherClients[[#This Row],[Total Quantity]]*VLOOKUP(OtherClients[[#This Row],[Part]],PartControl!$A$2:$E$564,2,FALSE)),0)</f>
        <v>0</v>
      </c>
    </row>
    <row r="1872" spans="1:26" ht="25.15" hidden="1" customHeight="1" x14ac:dyDescent="0.25">
      <c r="A1872" s="112">
        <v>46261.69358796296</v>
      </c>
      <c r="B1872" s="5" t="s">
        <v>234</v>
      </c>
      <c r="C1872" s="5" t="s">
        <v>719</v>
      </c>
      <c r="D1872" s="5">
        <v>717699</v>
      </c>
      <c r="E1872" s="33">
        <f>36-5</f>
        <v>31</v>
      </c>
      <c r="F1872" s="60">
        <v>2150</v>
      </c>
      <c r="G1872" s="60">
        <f>+OtherClients[[#This Row],[Boxes / Pieces]]*OtherClients[[#This Row],[Unit Quantity]]</f>
        <v>66650</v>
      </c>
      <c r="H1872" s="60">
        <v>275</v>
      </c>
      <c r="I1872" s="130" t="s">
        <v>278</v>
      </c>
      <c r="J1872" s="131"/>
      <c r="K1872" s="33" t="s">
        <v>278</v>
      </c>
      <c r="L1872" s="132"/>
      <c r="M1872" s="33" t="s">
        <v>278</v>
      </c>
      <c r="N1872" s="132"/>
      <c r="O1872" s="33" t="s">
        <v>278</v>
      </c>
      <c r="P1872" s="132"/>
      <c r="Q1872" s="33" t="s">
        <v>587</v>
      </c>
      <c r="R1872" s="132"/>
      <c r="S1872" s="33" t="s">
        <v>278</v>
      </c>
      <c r="T1872" s="132"/>
      <c r="U1872" s="33" t="s">
        <v>278</v>
      </c>
      <c r="V1872" s="132"/>
      <c r="W1872" s="59" t="s">
        <v>548</v>
      </c>
      <c r="X1872" s="33" t="str">
        <f>+VLOOKUP(OtherClients[[#This Row],[Part]],PartControl!$A$2:$E$564,5,FALSE)</f>
        <v>infasco</v>
      </c>
      <c r="Y1872" s="108">
        <f>IF(OtherClients[[#This Row],[Re-certified or New]]&lt;&gt;"Re-certified",IF(OtherClients[[#This Row],[Client]]="infasco",VLOOKUP(OtherClients[[#This Row],[Part]],PartControl!$A$2:$E$564,2,FALSE),OtherClients[[#This Row],[Total Quantity]]*VLOOKUP(OtherClients[[#This Row],[Part]],PartControl!$A$2:$E$564,2,FALSE)),0)</f>
        <v>106.94</v>
      </c>
      <c r="Z1872" s="108">
        <f>IF(OtherClients[[#This Row],[Re-certified or New]]&lt;&gt;"Re-certified",IF(OtherClients[[#This Row],[Client]]="infasco",VLOOKUP(OtherClients[[#This Row],[Part]],PartControl!$A$2:$E$564,2,FALSE),OtherClients[[#This Row],[Total Quantity]]*VLOOKUP(OtherClients[[#This Row],[Part]],PartControl!$A$2:$E$564,2,FALSE)),0)</f>
        <v>106.94</v>
      </c>
    </row>
    <row r="1873" spans="1:26" ht="25.15" hidden="1" customHeight="1" x14ac:dyDescent="0.25">
      <c r="A1873" s="112">
        <v>46261.69358796296</v>
      </c>
      <c r="B1873" s="5" t="s">
        <v>234</v>
      </c>
      <c r="C1873" s="5" t="s">
        <v>719</v>
      </c>
      <c r="D1873" s="5">
        <v>717638</v>
      </c>
      <c r="E1873" s="33">
        <v>6</v>
      </c>
      <c r="F1873" s="60">
        <v>2150</v>
      </c>
      <c r="G1873" s="60">
        <f>+OtherClients[[#This Row],[Boxes / Pieces]]*OtherClients[[#This Row],[Unit Quantity]]</f>
        <v>12900</v>
      </c>
      <c r="H1873" s="60">
        <v>275</v>
      </c>
      <c r="I1873" s="130" t="s">
        <v>278</v>
      </c>
      <c r="J1873" s="131"/>
      <c r="K1873" s="33" t="s">
        <v>278</v>
      </c>
      <c r="L1873" s="132"/>
      <c r="M1873" s="33" t="s">
        <v>278</v>
      </c>
      <c r="N1873" s="132"/>
      <c r="O1873" s="33" t="s">
        <v>278</v>
      </c>
      <c r="P1873" s="132"/>
      <c r="Q1873" s="33" t="s">
        <v>587</v>
      </c>
      <c r="R1873" s="132"/>
      <c r="S1873" s="33" t="s">
        <v>278</v>
      </c>
      <c r="T1873" s="132"/>
      <c r="U1873" s="33" t="s">
        <v>278</v>
      </c>
      <c r="V1873" s="132"/>
      <c r="W1873" s="59" t="s">
        <v>633</v>
      </c>
      <c r="X1873" s="33" t="str">
        <f>+VLOOKUP(OtherClients[[#This Row],[Part]],PartControl!$A$2:$E$564,5,FALSE)</f>
        <v>infasco</v>
      </c>
      <c r="Y1873" s="108">
        <f>IF(OtherClients[[#This Row],[Re-certified or New]]&lt;&gt;"Re-certified",IF(OtherClients[[#This Row],[Client]]="infasco",VLOOKUP(OtherClients[[#This Row],[Part]],PartControl!$A$2:$E$564,2,FALSE),OtherClients[[#This Row],[Total Quantity]]*VLOOKUP(OtherClients[[#This Row],[Part]],PartControl!$A$2:$E$564,2,FALSE)),0)</f>
        <v>0</v>
      </c>
      <c r="Z1873" s="108">
        <f>IF(OtherClients[[#This Row],[Re-certified or New]]&lt;&gt;"Re-certified",IF(OtherClients[[#This Row],[Client]]="infasco",VLOOKUP(OtherClients[[#This Row],[Part]],PartControl!$A$2:$E$564,2,FALSE),OtherClients[[#This Row],[Total Quantity]]*VLOOKUP(OtherClients[[#This Row],[Part]],PartControl!$A$2:$E$564,2,FALSE)),0)</f>
        <v>0</v>
      </c>
    </row>
    <row r="1874" spans="1:26" ht="25.15" hidden="1" customHeight="1" x14ac:dyDescent="0.25">
      <c r="A1874" s="112">
        <v>46261.69358796296</v>
      </c>
      <c r="B1874" s="5" t="s">
        <v>242</v>
      </c>
      <c r="C1874" s="5" t="s">
        <v>15</v>
      </c>
      <c r="D1874" s="5">
        <v>716899</v>
      </c>
      <c r="E1874" s="33">
        <f>36-14</f>
        <v>22</v>
      </c>
      <c r="F1874" s="60">
        <v>1200</v>
      </c>
      <c r="G1874" s="60">
        <f>+OtherClients[[#This Row],[Boxes / Pieces]]*OtherClients[[#This Row],[Unit Quantity]]</f>
        <v>26400</v>
      </c>
      <c r="H1874" s="60">
        <v>275</v>
      </c>
      <c r="I1874" s="130" t="s">
        <v>278</v>
      </c>
      <c r="J1874" s="131"/>
      <c r="K1874" s="33" t="s">
        <v>278</v>
      </c>
      <c r="L1874" s="132"/>
      <c r="M1874" s="33" t="s">
        <v>278</v>
      </c>
      <c r="N1874" s="132"/>
      <c r="O1874" s="33" t="s">
        <v>278</v>
      </c>
      <c r="P1874" s="132"/>
      <c r="Q1874" s="33" t="s">
        <v>587</v>
      </c>
      <c r="R1874" s="132"/>
      <c r="S1874" s="33" t="s">
        <v>278</v>
      </c>
      <c r="T1874" s="132"/>
      <c r="U1874" s="33" t="s">
        <v>278</v>
      </c>
      <c r="V1874" s="132"/>
      <c r="W1874" s="59" t="s">
        <v>548</v>
      </c>
      <c r="X1874" s="33" t="str">
        <f>+VLOOKUP(OtherClients[[#This Row],[Part]],PartControl!$A$2:$E$564,5,FALSE)</f>
        <v>infasco</v>
      </c>
      <c r="Y1874" s="108">
        <f>IF(OtherClients[[#This Row],[Re-certified or New]]&lt;&gt;"Re-certified",IF(OtherClients[[#This Row],[Client]]="infasco",VLOOKUP(OtherClients[[#This Row],[Part]],PartControl!$A$2:$E$564,2,FALSE),OtherClients[[#This Row],[Total Quantity]]*VLOOKUP(OtherClients[[#This Row],[Part]],PartControl!$A$2:$E$564,2,FALSE)),0)</f>
        <v>106.94</v>
      </c>
      <c r="Z1874" s="108">
        <f>IF(OtherClients[[#This Row],[Re-certified or New]]&lt;&gt;"Re-certified",IF(OtherClients[[#This Row],[Client]]="infasco",VLOOKUP(OtherClients[[#This Row],[Part]],PartControl!$A$2:$E$564,2,FALSE),OtherClients[[#This Row],[Total Quantity]]*VLOOKUP(OtherClients[[#This Row],[Part]],PartControl!$A$2:$E$564,2,FALSE)),0)</f>
        <v>106.94</v>
      </c>
    </row>
    <row r="1875" spans="1:26" ht="25.15" hidden="1" customHeight="1" x14ac:dyDescent="0.25">
      <c r="A1875" s="112">
        <v>46261.69358796296</v>
      </c>
      <c r="B1875" s="5" t="s">
        <v>242</v>
      </c>
      <c r="C1875" s="5" t="s">
        <v>15</v>
      </c>
      <c r="D1875" s="5">
        <v>716898</v>
      </c>
      <c r="E1875" s="33">
        <v>33</v>
      </c>
      <c r="F1875" s="60">
        <v>1200</v>
      </c>
      <c r="G1875" s="60">
        <f>+OtherClients[[#This Row],[Boxes / Pieces]]*OtherClients[[#This Row],[Unit Quantity]]</f>
        <v>39600</v>
      </c>
      <c r="H1875" s="60">
        <v>275</v>
      </c>
      <c r="I1875" s="130" t="s">
        <v>278</v>
      </c>
      <c r="J1875" s="131"/>
      <c r="K1875" s="33" t="s">
        <v>278</v>
      </c>
      <c r="L1875" s="132"/>
      <c r="M1875" s="33" t="s">
        <v>278</v>
      </c>
      <c r="N1875" s="132"/>
      <c r="O1875" s="33" t="s">
        <v>278</v>
      </c>
      <c r="P1875" s="132"/>
      <c r="Q1875" s="33" t="s">
        <v>587</v>
      </c>
      <c r="R1875" s="132"/>
      <c r="S1875" s="33" t="s">
        <v>278</v>
      </c>
      <c r="T1875" s="132"/>
      <c r="U1875" s="33" t="s">
        <v>278</v>
      </c>
      <c r="V1875" s="132"/>
      <c r="W1875" s="59" t="s">
        <v>548</v>
      </c>
      <c r="X1875" s="33" t="str">
        <f>+VLOOKUP(OtherClients[[#This Row],[Part]],PartControl!$A$2:$E$564,5,FALSE)</f>
        <v>infasco</v>
      </c>
      <c r="Y1875" s="108">
        <f>IF(OtherClients[[#This Row],[Re-certified or New]]&lt;&gt;"Re-certified",IF(OtherClients[[#This Row],[Client]]="infasco",VLOOKUP(OtherClients[[#This Row],[Part]],PartControl!$A$2:$E$564,2,FALSE),OtherClients[[#This Row],[Total Quantity]]*VLOOKUP(OtherClients[[#This Row],[Part]],PartControl!$A$2:$E$564,2,FALSE)),0)</f>
        <v>106.94</v>
      </c>
      <c r="Z1875" s="108">
        <f>IF(OtherClients[[#This Row],[Re-certified or New]]&lt;&gt;"Re-certified",IF(OtherClients[[#This Row],[Client]]="infasco",VLOOKUP(OtherClients[[#This Row],[Part]],PartControl!$A$2:$E$564,2,FALSE),OtherClients[[#This Row],[Total Quantity]]*VLOOKUP(OtherClients[[#This Row],[Part]],PartControl!$A$2:$E$564,2,FALSE)),0)</f>
        <v>106.94</v>
      </c>
    </row>
    <row r="1876" spans="1:26" ht="25.15" hidden="1" customHeight="1" x14ac:dyDescent="0.25">
      <c r="A1876" s="112">
        <v>46261.69358796296</v>
      </c>
      <c r="B1876" s="5" t="s">
        <v>242</v>
      </c>
      <c r="C1876" s="5" t="s">
        <v>15</v>
      </c>
      <c r="D1876" s="5">
        <v>716432</v>
      </c>
      <c r="E1876" s="33">
        <v>19</v>
      </c>
      <c r="F1876" s="60">
        <v>1200</v>
      </c>
      <c r="G1876" s="60">
        <f>+OtherClients[[#This Row],[Boxes / Pieces]]*OtherClients[[#This Row],[Unit Quantity]]</f>
        <v>22800</v>
      </c>
      <c r="H1876" s="60">
        <v>275</v>
      </c>
      <c r="I1876" s="130" t="s">
        <v>278</v>
      </c>
      <c r="J1876" s="131"/>
      <c r="K1876" s="33" t="s">
        <v>278</v>
      </c>
      <c r="L1876" s="132"/>
      <c r="M1876" s="33" t="s">
        <v>278</v>
      </c>
      <c r="N1876" s="132"/>
      <c r="O1876" s="33" t="s">
        <v>278</v>
      </c>
      <c r="P1876" s="132"/>
      <c r="Q1876" s="33" t="s">
        <v>587</v>
      </c>
      <c r="R1876" s="132"/>
      <c r="S1876" s="33" t="s">
        <v>278</v>
      </c>
      <c r="T1876" s="132"/>
      <c r="U1876" s="33" t="s">
        <v>278</v>
      </c>
      <c r="V1876" s="132"/>
      <c r="W1876" s="59" t="s">
        <v>633</v>
      </c>
      <c r="X1876" s="33" t="str">
        <f>+VLOOKUP(OtherClients[[#This Row],[Part]],PartControl!$A$2:$E$564,5,FALSE)</f>
        <v>infasco</v>
      </c>
      <c r="Y1876" s="108">
        <f>IF(OtherClients[[#This Row],[Re-certified or New]]&lt;&gt;"Re-certified",IF(OtherClients[[#This Row],[Client]]="infasco",VLOOKUP(OtherClients[[#This Row],[Part]],PartControl!$A$2:$E$564,2,FALSE),OtherClients[[#This Row],[Total Quantity]]*VLOOKUP(OtherClients[[#This Row],[Part]],PartControl!$A$2:$E$564,2,FALSE)),0)</f>
        <v>0</v>
      </c>
      <c r="Z1876" s="108">
        <f>IF(OtherClients[[#This Row],[Re-certified or New]]&lt;&gt;"Re-certified",IF(OtherClients[[#This Row],[Client]]="infasco",VLOOKUP(OtherClients[[#This Row],[Part]],PartControl!$A$2:$E$564,2,FALSE),OtherClients[[#This Row],[Total Quantity]]*VLOOKUP(OtherClients[[#This Row],[Part]],PartControl!$A$2:$E$564,2,FALSE)),0)</f>
        <v>0</v>
      </c>
    </row>
    <row r="1877" spans="1:26" ht="25.15" hidden="1" customHeight="1" x14ac:dyDescent="0.25">
      <c r="A1877" s="112">
        <v>46261.69358796296</v>
      </c>
      <c r="B1877" s="5" t="s">
        <v>252</v>
      </c>
      <c r="C1877" s="5" t="s">
        <v>698</v>
      </c>
      <c r="D1877" s="5">
        <v>716234</v>
      </c>
      <c r="E1877" s="33">
        <f>36-12</f>
        <v>24</v>
      </c>
      <c r="F1877" s="60">
        <v>3000</v>
      </c>
      <c r="G1877" s="60">
        <f>+OtherClients[[#This Row],[Boxes / Pieces]]*OtherClients[[#This Row],[Unit Quantity]]</f>
        <v>72000</v>
      </c>
      <c r="H1877" s="60">
        <v>275</v>
      </c>
      <c r="I1877" s="130" t="s">
        <v>278</v>
      </c>
      <c r="J1877" s="131"/>
      <c r="K1877" s="33" t="s">
        <v>278</v>
      </c>
      <c r="L1877" s="132"/>
      <c r="M1877" s="33" t="s">
        <v>278</v>
      </c>
      <c r="N1877" s="132"/>
      <c r="O1877" s="33" t="s">
        <v>278</v>
      </c>
      <c r="P1877" s="132"/>
      <c r="Q1877" s="33" t="s">
        <v>587</v>
      </c>
      <c r="R1877" s="132"/>
      <c r="S1877" s="33" t="s">
        <v>278</v>
      </c>
      <c r="T1877" s="132"/>
      <c r="U1877" s="33" t="s">
        <v>278</v>
      </c>
      <c r="V1877" s="132"/>
      <c r="W1877" s="59" t="s">
        <v>548</v>
      </c>
      <c r="X1877" s="33" t="str">
        <f>+VLOOKUP(OtherClients[[#This Row],[Part]],PartControl!$A$2:$E$564,5,FALSE)</f>
        <v>infasco</v>
      </c>
      <c r="Y1877" s="108">
        <f>IF(OtherClients[[#This Row],[Re-certified or New]]&lt;&gt;"Re-certified",IF(OtherClients[[#This Row],[Client]]="infasco",VLOOKUP(OtherClients[[#This Row],[Part]],PartControl!$A$2:$E$564,2,FALSE),OtherClients[[#This Row],[Total Quantity]]*VLOOKUP(OtherClients[[#This Row],[Part]],PartControl!$A$2:$E$564,2,FALSE)),0)</f>
        <v>106.94</v>
      </c>
      <c r="Z1877" s="108">
        <f>IF(OtherClients[[#This Row],[Re-certified or New]]&lt;&gt;"Re-certified",IF(OtherClients[[#This Row],[Client]]="infasco",VLOOKUP(OtherClients[[#This Row],[Part]],PartControl!$A$2:$E$564,2,FALSE),OtherClients[[#This Row],[Total Quantity]]*VLOOKUP(OtherClients[[#This Row],[Part]],PartControl!$A$2:$E$564,2,FALSE)),0)</f>
        <v>106.94</v>
      </c>
    </row>
    <row r="1878" spans="1:26" ht="25.15" hidden="1" customHeight="1" x14ac:dyDescent="0.25">
      <c r="A1878" s="112">
        <v>46261.69358796296</v>
      </c>
      <c r="B1878" s="5" t="s">
        <v>252</v>
      </c>
      <c r="C1878" s="5" t="s">
        <v>698</v>
      </c>
      <c r="D1878" s="5">
        <v>716235</v>
      </c>
      <c r="E1878" s="33">
        <v>40</v>
      </c>
      <c r="F1878" s="60">
        <v>3000</v>
      </c>
      <c r="G1878" s="60">
        <f>+OtherClients[[#This Row],[Boxes / Pieces]]*OtherClients[[#This Row],[Unit Quantity]]</f>
        <v>120000</v>
      </c>
      <c r="H1878" s="60">
        <v>275</v>
      </c>
      <c r="I1878" s="130" t="s">
        <v>278</v>
      </c>
      <c r="J1878" s="131"/>
      <c r="K1878" s="33" t="s">
        <v>278</v>
      </c>
      <c r="L1878" s="132"/>
      <c r="M1878" s="33" t="s">
        <v>278</v>
      </c>
      <c r="N1878" s="132"/>
      <c r="O1878" s="33" t="s">
        <v>278</v>
      </c>
      <c r="P1878" s="132"/>
      <c r="Q1878" s="33" t="s">
        <v>587</v>
      </c>
      <c r="R1878" s="132"/>
      <c r="S1878" s="33" t="s">
        <v>278</v>
      </c>
      <c r="T1878" s="132"/>
      <c r="U1878" s="33" t="s">
        <v>278</v>
      </c>
      <c r="V1878" s="132"/>
      <c r="W1878" s="59" t="s">
        <v>633</v>
      </c>
      <c r="X1878" s="33" t="str">
        <f>+VLOOKUP(OtherClients[[#This Row],[Part]],PartControl!$A$2:$E$564,5,FALSE)</f>
        <v>infasco</v>
      </c>
      <c r="Y1878" s="108">
        <f>IF(OtherClients[[#This Row],[Re-certified or New]]&lt;&gt;"Re-certified",IF(OtherClients[[#This Row],[Client]]="infasco",VLOOKUP(OtherClients[[#This Row],[Part]],PartControl!$A$2:$E$564,2,FALSE),OtherClients[[#This Row],[Total Quantity]]*VLOOKUP(OtherClients[[#This Row],[Part]],PartControl!$A$2:$E$564,2,FALSE)),0)</f>
        <v>0</v>
      </c>
      <c r="Z1878" s="108">
        <f>IF(OtherClients[[#This Row],[Re-certified or New]]&lt;&gt;"Re-certified",IF(OtherClients[[#This Row],[Client]]="infasco",VLOOKUP(OtherClients[[#This Row],[Part]],PartControl!$A$2:$E$564,2,FALSE),OtherClients[[#This Row],[Total Quantity]]*VLOOKUP(OtherClients[[#This Row],[Part]],PartControl!$A$2:$E$564,2,FALSE)),0)</f>
        <v>0</v>
      </c>
    </row>
    <row r="1879" spans="1:26" ht="25.15" hidden="1" customHeight="1" x14ac:dyDescent="0.25">
      <c r="A1879" s="112">
        <v>46261.69358796296</v>
      </c>
      <c r="B1879" s="5" t="s">
        <v>232</v>
      </c>
      <c r="C1879" s="5">
        <v>11561645</v>
      </c>
      <c r="D1879" s="5">
        <v>716906</v>
      </c>
      <c r="E1879" s="33">
        <f>21-6</f>
        <v>15</v>
      </c>
      <c r="F1879" s="60">
        <v>4000</v>
      </c>
      <c r="G1879" s="60">
        <f>+OtherClients[[#This Row],[Boxes / Pieces]]*OtherClients[[#This Row],[Unit Quantity]]</f>
        <v>60000</v>
      </c>
      <c r="H1879" s="60">
        <v>275</v>
      </c>
      <c r="I1879" s="130" t="s">
        <v>278</v>
      </c>
      <c r="J1879" s="131"/>
      <c r="K1879" s="33" t="s">
        <v>278</v>
      </c>
      <c r="L1879" s="132"/>
      <c r="M1879" s="33" t="s">
        <v>278</v>
      </c>
      <c r="N1879" s="132"/>
      <c r="O1879" s="33" t="s">
        <v>278</v>
      </c>
      <c r="P1879" s="132"/>
      <c r="Q1879" s="33" t="s">
        <v>587</v>
      </c>
      <c r="R1879" s="132"/>
      <c r="S1879" s="33" t="s">
        <v>278</v>
      </c>
      <c r="T1879" s="132"/>
      <c r="U1879" s="33" t="s">
        <v>278</v>
      </c>
      <c r="V1879" s="132"/>
      <c r="W1879" s="59" t="s">
        <v>633</v>
      </c>
      <c r="X1879" s="33" t="str">
        <f>+VLOOKUP(OtherClients[[#This Row],[Part]],PartControl!$A$2:$E$564,5,FALSE)</f>
        <v>infasco</v>
      </c>
      <c r="Y1879" s="108">
        <f>IF(OtherClients[[#This Row],[Re-certified or New]]&lt;&gt;"Re-certified",IF(OtherClients[[#This Row],[Client]]="infasco",VLOOKUP(OtherClients[[#This Row],[Part]],PartControl!$A$2:$E$564,2,FALSE),OtherClients[[#This Row],[Total Quantity]]*VLOOKUP(OtherClients[[#This Row],[Part]],PartControl!$A$2:$E$564,2,FALSE)),0)</f>
        <v>0</v>
      </c>
      <c r="Z1879" s="108">
        <f>IF(OtherClients[[#This Row],[Re-certified or New]]&lt;&gt;"Re-certified",IF(OtherClients[[#This Row],[Client]]="infasco",VLOOKUP(OtherClients[[#This Row],[Part]],PartControl!$A$2:$E$564,2,FALSE),OtherClients[[#This Row],[Total Quantity]]*VLOOKUP(OtherClients[[#This Row],[Part]],PartControl!$A$2:$E$564,2,FALSE)),0)</f>
        <v>0</v>
      </c>
    </row>
    <row r="1880" spans="1:26" ht="25.15" hidden="1" customHeight="1" x14ac:dyDescent="0.25">
      <c r="A1880" s="112">
        <v>46261.69358796296</v>
      </c>
      <c r="B1880" s="5" t="s">
        <v>238</v>
      </c>
      <c r="C1880" s="5" t="s">
        <v>833</v>
      </c>
      <c r="D1880" s="5">
        <v>717268</v>
      </c>
      <c r="E1880" s="33">
        <f>36-29</f>
        <v>7</v>
      </c>
      <c r="F1880" s="60">
        <v>1500</v>
      </c>
      <c r="G1880" s="60">
        <f>+OtherClients[[#This Row],[Boxes / Pieces]]*OtherClients[[#This Row],[Unit Quantity]]</f>
        <v>10500</v>
      </c>
      <c r="H1880" s="60">
        <v>275</v>
      </c>
      <c r="I1880" s="130" t="s">
        <v>278</v>
      </c>
      <c r="J1880" s="131"/>
      <c r="K1880" s="33" t="s">
        <v>278</v>
      </c>
      <c r="L1880" s="132"/>
      <c r="M1880" s="33" t="s">
        <v>278</v>
      </c>
      <c r="N1880" s="132"/>
      <c r="O1880" s="33" t="s">
        <v>278</v>
      </c>
      <c r="P1880" s="132"/>
      <c r="Q1880" s="33" t="s">
        <v>587</v>
      </c>
      <c r="R1880" s="132"/>
      <c r="S1880" s="33" t="s">
        <v>278</v>
      </c>
      <c r="T1880" s="132"/>
      <c r="U1880" s="33" t="s">
        <v>278</v>
      </c>
      <c r="V1880" s="132"/>
      <c r="W1880" s="59" t="s">
        <v>548</v>
      </c>
      <c r="X1880" s="33" t="str">
        <f>+VLOOKUP(OtherClients[[#This Row],[Part]],PartControl!$A$2:$E$564,5,FALSE)</f>
        <v>infasco</v>
      </c>
      <c r="Y1880" s="108">
        <f>IF(OtherClients[[#This Row],[Re-certified or New]]&lt;&gt;"Re-certified",IF(OtherClients[[#This Row],[Client]]="infasco",VLOOKUP(OtherClients[[#This Row],[Part]],PartControl!$A$2:$E$564,2,FALSE),OtherClients[[#This Row],[Total Quantity]]*VLOOKUP(OtherClients[[#This Row],[Part]],PartControl!$A$2:$E$564,2,FALSE)),0)</f>
        <v>106.94</v>
      </c>
      <c r="Z1880" s="108">
        <f>IF(OtherClients[[#This Row],[Re-certified or New]]&lt;&gt;"Re-certified",IF(OtherClients[[#This Row],[Client]]="infasco",VLOOKUP(OtherClients[[#This Row],[Part]],PartControl!$A$2:$E$564,2,FALSE),OtherClients[[#This Row],[Total Quantity]]*VLOOKUP(OtherClients[[#This Row],[Part]],PartControl!$A$2:$E$564,2,FALSE)),0)</f>
        <v>106.94</v>
      </c>
    </row>
    <row r="1881" spans="1:26" ht="25.15" hidden="1" customHeight="1" x14ac:dyDescent="0.25">
      <c r="A1881" s="112">
        <v>46261.69358796296</v>
      </c>
      <c r="B1881" s="5" t="s">
        <v>238</v>
      </c>
      <c r="C1881" s="5" t="s">
        <v>833</v>
      </c>
      <c r="D1881" s="5">
        <v>717262</v>
      </c>
      <c r="E1881" s="33">
        <v>36</v>
      </c>
      <c r="F1881" s="60">
        <v>1500</v>
      </c>
      <c r="G1881" s="60">
        <f>+OtherClients[[#This Row],[Boxes / Pieces]]*OtherClients[[#This Row],[Unit Quantity]]</f>
        <v>54000</v>
      </c>
      <c r="H1881" s="60">
        <v>275</v>
      </c>
      <c r="I1881" s="130" t="s">
        <v>278</v>
      </c>
      <c r="J1881" s="131"/>
      <c r="K1881" s="33" t="s">
        <v>278</v>
      </c>
      <c r="L1881" s="132"/>
      <c r="M1881" s="33" t="s">
        <v>278</v>
      </c>
      <c r="N1881" s="132"/>
      <c r="O1881" s="33" t="s">
        <v>278</v>
      </c>
      <c r="P1881" s="132"/>
      <c r="Q1881" s="33" t="s">
        <v>587</v>
      </c>
      <c r="R1881" s="132"/>
      <c r="S1881" s="33" t="s">
        <v>278</v>
      </c>
      <c r="T1881" s="132"/>
      <c r="U1881" s="33" t="s">
        <v>278</v>
      </c>
      <c r="V1881" s="132"/>
      <c r="W1881" s="59" t="s">
        <v>548</v>
      </c>
      <c r="X1881" s="33" t="str">
        <f>+VLOOKUP(OtherClients[[#This Row],[Part]],PartControl!$A$2:$E$564,5,FALSE)</f>
        <v>infasco</v>
      </c>
      <c r="Y1881" s="108">
        <f>IF(OtherClients[[#This Row],[Re-certified or New]]&lt;&gt;"Re-certified",IF(OtherClients[[#This Row],[Client]]="infasco",VLOOKUP(OtherClients[[#This Row],[Part]],PartControl!$A$2:$E$564,2,FALSE),OtherClients[[#This Row],[Total Quantity]]*VLOOKUP(OtherClients[[#This Row],[Part]],PartControl!$A$2:$E$564,2,FALSE)),0)</f>
        <v>106.94</v>
      </c>
      <c r="Z1881" s="108">
        <f>IF(OtherClients[[#This Row],[Re-certified or New]]&lt;&gt;"Re-certified",IF(OtherClients[[#This Row],[Client]]="infasco",VLOOKUP(OtherClients[[#This Row],[Part]],PartControl!$A$2:$E$564,2,FALSE),OtherClients[[#This Row],[Total Quantity]]*VLOOKUP(OtherClients[[#This Row],[Part]],PartControl!$A$2:$E$564,2,FALSE)),0)</f>
        <v>106.94</v>
      </c>
    </row>
    <row r="1882" spans="1:26" ht="25.15" hidden="1" customHeight="1" x14ac:dyDescent="0.25">
      <c r="A1882" s="112">
        <v>46261.69358796296</v>
      </c>
      <c r="B1882" s="5" t="s">
        <v>238</v>
      </c>
      <c r="C1882" s="5" t="s">
        <v>833</v>
      </c>
      <c r="D1882" s="5">
        <v>717267</v>
      </c>
      <c r="E1882" s="33">
        <v>9</v>
      </c>
      <c r="F1882" s="60">
        <v>1500</v>
      </c>
      <c r="G1882" s="60">
        <f>+OtherClients[[#This Row],[Boxes / Pieces]]*OtherClients[[#This Row],[Unit Quantity]]</f>
        <v>13500</v>
      </c>
      <c r="H1882" s="60">
        <v>275</v>
      </c>
      <c r="I1882" s="130" t="s">
        <v>278</v>
      </c>
      <c r="J1882" s="131"/>
      <c r="K1882" s="33" t="s">
        <v>278</v>
      </c>
      <c r="L1882" s="132"/>
      <c r="M1882" s="33" t="s">
        <v>278</v>
      </c>
      <c r="N1882" s="132"/>
      <c r="O1882" s="33" t="s">
        <v>278</v>
      </c>
      <c r="P1882" s="132"/>
      <c r="Q1882" s="33" t="s">
        <v>587</v>
      </c>
      <c r="R1882" s="132"/>
      <c r="S1882" s="33" t="s">
        <v>278</v>
      </c>
      <c r="T1882" s="132"/>
      <c r="U1882" s="33" t="s">
        <v>278</v>
      </c>
      <c r="V1882" s="132"/>
      <c r="W1882" s="59" t="s">
        <v>633</v>
      </c>
      <c r="X1882" s="33" t="str">
        <f>+VLOOKUP(OtherClients[[#This Row],[Part]],PartControl!$A$2:$E$564,5,FALSE)</f>
        <v>infasco</v>
      </c>
      <c r="Y1882" s="108">
        <f>IF(OtherClients[[#This Row],[Re-certified or New]]&lt;&gt;"Re-certified",IF(OtherClients[[#This Row],[Client]]="infasco",VLOOKUP(OtherClients[[#This Row],[Part]],PartControl!$A$2:$E$564,2,FALSE),OtherClients[[#This Row],[Total Quantity]]*VLOOKUP(OtherClients[[#This Row],[Part]],PartControl!$A$2:$E$564,2,FALSE)),0)</f>
        <v>0</v>
      </c>
      <c r="Z1882" s="108">
        <f>IF(OtherClients[[#This Row],[Re-certified or New]]&lt;&gt;"Re-certified",IF(OtherClients[[#This Row],[Client]]="infasco",VLOOKUP(OtherClients[[#This Row],[Part]],PartControl!$A$2:$E$564,2,FALSE),OtherClients[[#This Row],[Total Quantity]]*VLOOKUP(OtherClients[[#This Row],[Part]],PartControl!$A$2:$E$564,2,FALSE)),0)</f>
        <v>0</v>
      </c>
    </row>
    <row r="1883" spans="1:26" ht="25.15" hidden="1" customHeight="1" x14ac:dyDescent="0.25">
      <c r="A1883" s="112">
        <v>46261.69358796296</v>
      </c>
      <c r="B1883" s="5" t="s">
        <v>239</v>
      </c>
      <c r="C1883" s="5" t="s">
        <v>687</v>
      </c>
      <c r="D1883" s="5">
        <v>716642</v>
      </c>
      <c r="E1883" s="33">
        <f>36-16</f>
        <v>20</v>
      </c>
      <c r="F1883" s="60">
        <v>280</v>
      </c>
      <c r="G1883" s="60">
        <f>+OtherClients[[#This Row],[Boxes / Pieces]]*OtherClients[[#This Row],[Unit Quantity]]</f>
        <v>5600</v>
      </c>
      <c r="H1883" s="60">
        <v>290</v>
      </c>
      <c r="I1883" s="130" t="s">
        <v>278</v>
      </c>
      <c r="J1883" s="131"/>
      <c r="K1883" s="33" t="s">
        <v>278</v>
      </c>
      <c r="L1883" s="132"/>
      <c r="M1883" s="33" t="s">
        <v>278</v>
      </c>
      <c r="N1883" s="132"/>
      <c r="O1883" s="33" t="s">
        <v>278</v>
      </c>
      <c r="P1883" s="132"/>
      <c r="Q1883" s="33" t="s">
        <v>587</v>
      </c>
      <c r="R1883" s="132"/>
      <c r="S1883" s="33" t="s">
        <v>278</v>
      </c>
      <c r="T1883" s="132"/>
      <c r="U1883" s="33" t="s">
        <v>278</v>
      </c>
      <c r="V1883" s="132"/>
      <c r="W1883" s="59" t="s">
        <v>548</v>
      </c>
      <c r="X1883" s="33" t="str">
        <f>+VLOOKUP(OtherClients[[#This Row],[Part]],PartControl!$A$2:$E$564,5,FALSE)</f>
        <v>infasco</v>
      </c>
      <c r="Y1883" s="108">
        <f>IF(OtherClients[[#This Row],[Re-certified or New]]&lt;&gt;"Re-certified",IF(OtherClients[[#This Row],[Client]]="infasco",VLOOKUP(OtherClients[[#This Row],[Part]],PartControl!$A$2:$E$564,2,FALSE),OtherClients[[#This Row],[Total Quantity]]*VLOOKUP(OtherClients[[#This Row],[Part]],PartControl!$A$2:$E$564,2,FALSE)),0)</f>
        <v>106.94</v>
      </c>
      <c r="Z1883" s="108">
        <f>IF(OtherClients[[#This Row],[Re-certified or New]]&lt;&gt;"Re-certified",IF(OtherClients[[#This Row],[Client]]="infasco",VLOOKUP(OtherClients[[#This Row],[Part]],PartControl!$A$2:$E$564,2,FALSE),OtherClients[[#This Row],[Total Quantity]]*VLOOKUP(OtherClients[[#This Row],[Part]],PartControl!$A$2:$E$564,2,FALSE)),0)</f>
        <v>106.94</v>
      </c>
    </row>
    <row r="1884" spans="1:26" ht="25.15" hidden="1" customHeight="1" x14ac:dyDescent="0.25">
      <c r="A1884" s="112">
        <v>46261.69358796296</v>
      </c>
      <c r="B1884" s="5" t="s">
        <v>239</v>
      </c>
      <c r="C1884" s="5" t="s">
        <v>687</v>
      </c>
      <c r="D1884" s="5">
        <v>716640</v>
      </c>
      <c r="E1884" s="33">
        <v>47</v>
      </c>
      <c r="F1884" s="60">
        <v>280</v>
      </c>
      <c r="G1884" s="60">
        <f>+OtherClients[[#This Row],[Boxes / Pieces]]*OtherClients[[#This Row],[Unit Quantity]]</f>
        <v>13160</v>
      </c>
      <c r="H1884" s="60">
        <v>290</v>
      </c>
      <c r="I1884" s="130" t="s">
        <v>278</v>
      </c>
      <c r="J1884" s="131"/>
      <c r="K1884" s="33" t="s">
        <v>278</v>
      </c>
      <c r="L1884" s="132"/>
      <c r="M1884" s="33" t="s">
        <v>278</v>
      </c>
      <c r="N1884" s="132"/>
      <c r="O1884" s="33" t="s">
        <v>278</v>
      </c>
      <c r="P1884" s="132"/>
      <c r="Q1884" s="33" t="s">
        <v>587</v>
      </c>
      <c r="R1884" s="132"/>
      <c r="S1884" s="33" t="s">
        <v>278</v>
      </c>
      <c r="T1884" s="132"/>
      <c r="U1884" s="33" t="s">
        <v>278</v>
      </c>
      <c r="V1884" s="132"/>
      <c r="W1884" s="59" t="s">
        <v>548</v>
      </c>
      <c r="X1884" s="33" t="str">
        <f>+VLOOKUP(OtherClients[[#This Row],[Part]],PartControl!$A$2:$E$564,5,FALSE)</f>
        <v>infasco</v>
      </c>
      <c r="Y1884" s="108">
        <f>IF(OtherClients[[#This Row],[Re-certified or New]]&lt;&gt;"Re-certified",IF(OtherClients[[#This Row],[Client]]="infasco",VLOOKUP(OtherClients[[#This Row],[Part]],PartControl!$A$2:$E$564,2,FALSE),OtherClients[[#This Row],[Total Quantity]]*VLOOKUP(OtherClients[[#This Row],[Part]],PartControl!$A$2:$E$564,2,FALSE)),0)</f>
        <v>106.94</v>
      </c>
      <c r="Z1884" s="108">
        <f>IF(OtherClients[[#This Row],[Re-certified or New]]&lt;&gt;"Re-certified",IF(OtherClients[[#This Row],[Client]]="infasco",VLOOKUP(OtherClients[[#This Row],[Part]],PartControl!$A$2:$E$564,2,FALSE),OtherClients[[#This Row],[Total Quantity]]*VLOOKUP(OtherClients[[#This Row],[Part]],PartControl!$A$2:$E$564,2,FALSE)),0)</f>
        <v>106.94</v>
      </c>
    </row>
    <row r="1885" spans="1:26" ht="25.15" hidden="1" customHeight="1" x14ac:dyDescent="0.25">
      <c r="A1885" s="112">
        <v>46261.69358796296</v>
      </c>
      <c r="B1885" s="5" t="s">
        <v>239</v>
      </c>
      <c r="C1885" s="5" t="s">
        <v>703</v>
      </c>
      <c r="D1885" s="5">
        <v>717037</v>
      </c>
      <c r="E1885" s="33">
        <v>30</v>
      </c>
      <c r="F1885" s="60">
        <v>700</v>
      </c>
      <c r="G1885" s="60">
        <f>+OtherClients[[#This Row],[Boxes / Pieces]]*OtherClients[[#This Row],[Unit Quantity]]</f>
        <v>21000</v>
      </c>
      <c r="H1885" s="60">
        <v>290</v>
      </c>
      <c r="I1885" s="130" t="s">
        <v>278</v>
      </c>
      <c r="J1885" s="131"/>
      <c r="K1885" s="33" t="s">
        <v>278</v>
      </c>
      <c r="L1885" s="132"/>
      <c r="M1885" s="33" t="s">
        <v>278</v>
      </c>
      <c r="N1885" s="132"/>
      <c r="O1885" s="33" t="s">
        <v>278</v>
      </c>
      <c r="P1885" s="132"/>
      <c r="Q1885" s="33" t="s">
        <v>587</v>
      </c>
      <c r="R1885" s="132"/>
      <c r="S1885" s="33" t="s">
        <v>278</v>
      </c>
      <c r="T1885" s="132"/>
      <c r="U1885" s="33" t="s">
        <v>278</v>
      </c>
      <c r="V1885" s="132"/>
      <c r="W1885" s="59" t="s">
        <v>548</v>
      </c>
      <c r="X1885" s="33" t="str">
        <f>+VLOOKUP(OtherClients[[#This Row],[Part]],PartControl!$A$2:$E$564,5,FALSE)</f>
        <v>infasco</v>
      </c>
      <c r="Y1885" s="108">
        <f>IF(OtherClients[[#This Row],[Re-certified or New]]&lt;&gt;"Re-certified",IF(OtherClients[[#This Row],[Client]]="infasco",VLOOKUP(OtherClients[[#This Row],[Part]],PartControl!$A$2:$E$564,2,FALSE),OtherClients[[#This Row],[Total Quantity]]*VLOOKUP(OtherClients[[#This Row],[Part]],PartControl!$A$2:$E$564,2,FALSE)),0)</f>
        <v>106.94</v>
      </c>
      <c r="Z1885" s="108">
        <f>IF(OtherClients[[#This Row],[Re-certified or New]]&lt;&gt;"Re-certified",IF(OtherClients[[#This Row],[Client]]="infasco",VLOOKUP(OtherClients[[#This Row],[Part]],PartControl!$A$2:$E$564,2,FALSE),OtherClients[[#This Row],[Total Quantity]]*VLOOKUP(OtherClients[[#This Row],[Part]],PartControl!$A$2:$E$564,2,FALSE)),0)</f>
        <v>106.94</v>
      </c>
    </row>
    <row r="1886" spans="1:26" ht="25.15" hidden="1" customHeight="1" x14ac:dyDescent="0.25">
      <c r="A1886" s="112">
        <v>46261.69358796296</v>
      </c>
      <c r="B1886" s="5" t="s">
        <v>239</v>
      </c>
      <c r="C1886" s="5" t="s">
        <v>705</v>
      </c>
      <c r="D1886" s="5">
        <v>716126</v>
      </c>
      <c r="E1886" s="33">
        <v>6</v>
      </c>
      <c r="F1886" s="60">
        <v>450</v>
      </c>
      <c r="G1886" s="60">
        <f>+OtherClients[[#This Row],[Boxes / Pieces]]*OtherClients[[#This Row],[Unit Quantity]]</f>
        <v>2700</v>
      </c>
      <c r="H1886" s="60">
        <v>290</v>
      </c>
      <c r="I1886" s="130" t="s">
        <v>278</v>
      </c>
      <c r="J1886" s="131"/>
      <c r="K1886" s="33" t="s">
        <v>278</v>
      </c>
      <c r="L1886" s="132"/>
      <c r="M1886" s="33" t="s">
        <v>278</v>
      </c>
      <c r="N1886" s="132"/>
      <c r="O1886" s="33" t="s">
        <v>278</v>
      </c>
      <c r="P1886" s="132"/>
      <c r="Q1886" s="33" t="s">
        <v>587</v>
      </c>
      <c r="R1886" s="132"/>
      <c r="S1886" s="33" t="s">
        <v>278</v>
      </c>
      <c r="T1886" s="132"/>
      <c r="U1886" s="33" t="s">
        <v>278</v>
      </c>
      <c r="V1886" s="132"/>
      <c r="W1886" s="59" t="s">
        <v>633</v>
      </c>
      <c r="X1886" s="33" t="str">
        <f>+VLOOKUP(OtherClients[[#This Row],[Part]],PartControl!$A$2:$E$564,5,FALSE)</f>
        <v>infasco</v>
      </c>
      <c r="Y1886" s="108">
        <f>IF(OtherClients[[#This Row],[Re-certified or New]]&lt;&gt;"Re-certified",IF(OtherClients[[#This Row],[Client]]="infasco",VLOOKUP(OtherClients[[#This Row],[Part]],PartControl!$A$2:$E$564,2,FALSE),OtherClients[[#This Row],[Total Quantity]]*VLOOKUP(OtherClients[[#This Row],[Part]],PartControl!$A$2:$E$564,2,FALSE)),0)</f>
        <v>0</v>
      </c>
      <c r="Z1886" s="108">
        <f>IF(OtherClients[[#This Row],[Re-certified or New]]&lt;&gt;"Re-certified",IF(OtherClients[[#This Row],[Client]]="infasco",VLOOKUP(OtherClients[[#This Row],[Part]],PartControl!$A$2:$E$564,2,FALSE),OtherClients[[#This Row],[Total Quantity]]*VLOOKUP(OtherClients[[#This Row],[Part]],PartControl!$A$2:$E$564,2,FALSE)),0)</f>
        <v>0</v>
      </c>
    </row>
    <row r="1887" spans="1:26" ht="25.15" hidden="1" customHeight="1" x14ac:dyDescent="0.25">
      <c r="A1887" s="112">
        <v>46261.69358796296</v>
      </c>
      <c r="B1887" s="5" t="s">
        <v>236</v>
      </c>
      <c r="C1887" s="5" t="s">
        <v>659</v>
      </c>
      <c r="D1887" s="5">
        <v>716236</v>
      </c>
      <c r="E1887" s="33">
        <f>41-14</f>
        <v>27</v>
      </c>
      <c r="F1887" s="60">
        <v>3000</v>
      </c>
      <c r="G1887" s="60">
        <f>+OtherClients[[#This Row],[Boxes / Pieces]]*OtherClients[[#This Row],[Unit Quantity]]</f>
        <v>81000</v>
      </c>
      <c r="H1887" s="60">
        <v>290</v>
      </c>
      <c r="I1887" s="130" t="s">
        <v>278</v>
      </c>
      <c r="J1887" s="131"/>
      <c r="K1887" s="33" t="s">
        <v>278</v>
      </c>
      <c r="L1887" s="132"/>
      <c r="M1887" s="33" t="s">
        <v>278</v>
      </c>
      <c r="N1887" s="132"/>
      <c r="O1887" s="33" t="s">
        <v>278</v>
      </c>
      <c r="P1887" s="132"/>
      <c r="Q1887" s="33" t="s">
        <v>587</v>
      </c>
      <c r="R1887" s="132"/>
      <c r="S1887" s="33" t="s">
        <v>278</v>
      </c>
      <c r="T1887" s="132"/>
      <c r="U1887" s="33" t="s">
        <v>278</v>
      </c>
      <c r="V1887" s="132"/>
      <c r="W1887" s="59" t="s">
        <v>548</v>
      </c>
      <c r="X1887" s="33" t="str">
        <f>+VLOOKUP(OtherClients[[#This Row],[Part]],PartControl!$A$2:$E$564,5,FALSE)</f>
        <v>infasco</v>
      </c>
      <c r="Y1887" s="108">
        <f>IF(OtherClients[[#This Row],[Re-certified or New]]&lt;&gt;"Re-certified",IF(OtherClients[[#This Row],[Client]]="infasco",VLOOKUP(OtherClients[[#This Row],[Part]],PartControl!$A$2:$E$564,2,FALSE),OtherClients[[#This Row],[Total Quantity]]*VLOOKUP(OtherClients[[#This Row],[Part]],PartControl!$A$2:$E$564,2,FALSE)),0)</f>
        <v>106.94</v>
      </c>
      <c r="Z1887" s="108">
        <f>IF(OtherClients[[#This Row],[Re-certified or New]]&lt;&gt;"Re-certified",IF(OtherClients[[#This Row],[Client]]="infasco",VLOOKUP(OtherClients[[#This Row],[Part]],PartControl!$A$2:$E$564,2,FALSE),OtherClients[[#This Row],[Total Quantity]]*VLOOKUP(OtherClients[[#This Row],[Part]],PartControl!$A$2:$E$564,2,FALSE)),0)</f>
        <v>106.94</v>
      </c>
    </row>
    <row r="1888" spans="1:26" ht="25.15" hidden="1" customHeight="1" x14ac:dyDescent="0.25">
      <c r="A1888" s="112">
        <v>46261.69358796296</v>
      </c>
      <c r="B1888" s="5" t="s">
        <v>236</v>
      </c>
      <c r="C1888" s="5">
        <v>11546391</v>
      </c>
      <c r="D1888" s="5">
        <v>715798</v>
      </c>
      <c r="E1888" s="33">
        <v>1</v>
      </c>
      <c r="F1888" s="60">
        <v>4500</v>
      </c>
      <c r="G1888" s="60">
        <f>+OtherClients[[#This Row],[Boxes / Pieces]]*OtherClients[[#This Row],[Unit Quantity]]</f>
        <v>4500</v>
      </c>
      <c r="H1888" s="60">
        <v>290</v>
      </c>
      <c r="I1888" s="130" t="s">
        <v>278</v>
      </c>
      <c r="J1888" s="131"/>
      <c r="K1888" s="33" t="s">
        <v>278</v>
      </c>
      <c r="L1888" s="132"/>
      <c r="M1888" s="33" t="s">
        <v>278</v>
      </c>
      <c r="N1888" s="132"/>
      <c r="O1888" s="33" t="s">
        <v>278</v>
      </c>
      <c r="P1888" s="132"/>
      <c r="Q1888" s="33" t="s">
        <v>587</v>
      </c>
      <c r="R1888" s="132"/>
      <c r="S1888" s="33" t="s">
        <v>278</v>
      </c>
      <c r="T1888" s="132"/>
      <c r="U1888" s="33" t="s">
        <v>278</v>
      </c>
      <c r="V1888" s="132"/>
      <c r="W1888" s="59" t="s">
        <v>633</v>
      </c>
      <c r="X1888" s="33" t="str">
        <f>+VLOOKUP(OtherClients[[#This Row],[Part]],PartControl!$A$2:$E$564,5,FALSE)</f>
        <v>infasco</v>
      </c>
      <c r="Y1888" s="108">
        <f>IF(OtherClients[[#This Row],[Re-certified or New]]&lt;&gt;"Re-certified",IF(OtherClients[[#This Row],[Client]]="infasco",VLOOKUP(OtherClients[[#This Row],[Part]],PartControl!$A$2:$E$564,2,FALSE),OtherClients[[#This Row],[Total Quantity]]*VLOOKUP(OtherClients[[#This Row],[Part]],PartControl!$A$2:$E$564,2,FALSE)),0)</f>
        <v>0</v>
      </c>
      <c r="Z1888" s="108">
        <f>IF(OtherClients[[#This Row],[Re-certified or New]]&lt;&gt;"Re-certified",IF(OtherClients[[#This Row],[Client]]="infasco",VLOOKUP(OtherClients[[#This Row],[Part]],PartControl!$A$2:$E$564,2,FALSE),OtherClients[[#This Row],[Total Quantity]]*VLOOKUP(OtherClients[[#This Row],[Part]],PartControl!$A$2:$E$564,2,FALSE)),0)</f>
        <v>0</v>
      </c>
    </row>
    <row r="1889" spans="1:26" ht="25.15" hidden="1" customHeight="1" x14ac:dyDescent="0.25">
      <c r="A1889" s="112">
        <v>46261.69358796296</v>
      </c>
      <c r="B1889" s="5" t="s">
        <v>237</v>
      </c>
      <c r="C1889" s="5" t="s">
        <v>703</v>
      </c>
      <c r="D1889" s="5">
        <v>716380</v>
      </c>
      <c r="E1889" s="33">
        <f>36-2</f>
        <v>34</v>
      </c>
      <c r="F1889" s="60">
        <v>700</v>
      </c>
      <c r="G1889" s="60">
        <f>+OtherClients[[#This Row],[Boxes / Pieces]]*OtherClients[[#This Row],[Unit Quantity]]</f>
        <v>23800</v>
      </c>
      <c r="H1889" s="60">
        <v>290</v>
      </c>
      <c r="I1889" s="130" t="s">
        <v>278</v>
      </c>
      <c r="J1889" s="131"/>
      <c r="K1889" s="33" t="s">
        <v>278</v>
      </c>
      <c r="L1889" s="132"/>
      <c r="M1889" s="33" t="s">
        <v>278</v>
      </c>
      <c r="N1889" s="132"/>
      <c r="O1889" s="33" t="s">
        <v>278</v>
      </c>
      <c r="P1889" s="132"/>
      <c r="Q1889" s="33" t="s">
        <v>587</v>
      </c>
      <c r="R1889" s="132"/>
      <c r="S1889" s="33" t="s">
        <v>278</v>
      </c>
      <c r="T1889" s="132"/>
      <c r="U1889" s="33" t="s">
        <v>278</v>
      </c>
      <c r="V1889" s="132"/>
      <c r="W1889" s="59" t="s">
        <v>548</v>
      </c>
      <c r="X1889" s="33" t="str">
        <f>+VLOOKUP(OtherClients[[#This Row],[Part]],PartControl!$A$2:$E$564,5,FALSE)</f>
        <v>infasco</v>
      </c>
      <c r="Y1889" s="108">
        <f>IF(OtherClients[[#This Row],[Re-certified or New]]&lt;&gt;"Re-certified",IF(OtherClients[[#This Row],[Client]]="infasco",VLOOKUP(OtherClients[[#This Row],[Part]],PartControl!$A$2:$E$564,2,FALSE),OtherClients[[#This Row],[Total Quantity]]*VLOOKUP(OtherClients[[#This Row],[Part]],PartControl!$A$2:$E$564,2,FALSE)),0)</f>
        <v>106.94</v>
      </c>
      <c r="Z1889" s="108">
        <f>IF(OtherClients[[#This Row],[Re-certified or New]]&lt;&gt;"Re-certified",IF(OtherClients[[#This Row],[Client]]="infasco",VLOOKUP(OtherClients[[#This Row],[Part]],PartControl!$A$2:$E$564,2,FALSE),OtherClients[[#This Row],[Total Quantity]]*VLOOKUP(OtherClients[[#This Row],[Part]],PartControl!$A$2:$E$564,2,FALSE)),0)</f>
        <v>106.94</v>
      </c>
    </row>
    <row r="1890" spans="1:26" ht="25.15" hidden="1" customHeight="1" x14ac:dyDescent="0.25">
      <c r="A1890" s="112">
        <v>46261.69358796296</v>
      </c>
      <c r="B1890" s="5" t="s">
        <v>237</v>
      </c>
      <c r="C1890" s="5" t="s">
        <v>703</v>
      </c>
      <c r="D1890" s="5">
        <v>717039</v>
      </c>
      <c r="E1890" s="33">
        <v>36</v>
      </c>
      <c r="F1890" s="60">
        <v>700</v>
      </c>
      <c r="G1890" s="60">
        <f>+OtherClients[[#This Row],[Boxes / Pieces]]*OtherClients[[#This Row],[Unit Quantity]]</f>
        <v>25200</v>
      </c>
      <c r="H1890" s="60">
        <v>290</v>
      </c>
      <c r="I1890" s="130" t="s">
        <v>278</v>
      </c>
      <c r="J1890" s="131"/>
      <c r="K1890" s="33" t="s">
        <v>278</v>
      </c>
      <c r="L1890" s="132"/>
      <c r="M1890" s="33" t="s">
        <v>278</v>
      </c>
      <c r="N1890" s="132"/>
      <c r="O1890" s="33" t="s">
        <v>278</v>
      </c>
      <c r="P1890" s="132"/>
      <c r="Q1890" s="33" t="s">
        <v>587</v>
      </c>
      <c r="R1890" s="132"/>
      <c r="S1890" s="33" t="s">
        <v>278</v>
      </c>
      <c r="T1890" s="132"/>
      <c r="U1890" s="33" t="s">
        <v>278</v>
      </c>
      <c r="V1890" s="132"/>
      <c r="W1890" s="59" t="s">
        <v>548</v>
      </c>
      <c r="X1890" s="33" t="str">
        <f>+VLOOKUP(OtherClients[[#This Row],[Part]],PartControl!$A$2:$E$564,5,FALSE)</f>
        <v>infasco</v>
      </c>
      <c r="Y1890" s="108">
        <f>IF(OtherClients[[#This Row],[Re-certified or New]]&lt;&gt;"Re-certified",IF(OtherClients[[#This Row],[Client]]="infasco",VLOOKUP(OtherClients[[#This Row],[Part]],PartControl!$A$2:$E$564,2,FALSE),OtherClients[[#This Row],[Total Quantity]]*VLOOKUP(OtherClients[[#This Row],[Part]],PartControl!$A$2:$E$564,2,FALSE)),0)</f>
        <v>106.94</v>
      </c>
      <c r="Z1890" s="108">
        <f>IF(OtherClients[[#This Row],[Re-certified or New]]&lt;&gt;"Re-certified",IF(OtherClients[[#This Row],[Client]]="infasco",VLOOKUP(OtherClients[[#This Row],[Part]],PartControl!$A$2:$E$564,2,FALSE),OtherClients[[#This Row],[Total Quantity]]*VLOOKUP(OtherClients[[#This Row],[Part]],PartControl!$A$2:$E$564,2,FALSE)),0)</f>
        <v>106.94</v>
      </c>
    </row>
    <row r="1891" spans="1:26" ht="25.15" hidden="1" customHeight="1" x14ac:dyDescent="0.25">
      <c r="A1891" s="112">
        <v>46261.69358796296</v>
      </c>
      <c r="B1891" s="5" t="s">
        <v>237</v>
      </c>
      <c r="C1891" s="5" t="s">
        <v>703</v>
      </c>
      <c r="D1891" s="5">
        <v>717032</v>
      </c>
      <c r="E1891" s="33">
        <v>36</v>
      </c>
      <c r="F1891" s="60">
        <v>700</v>
      </c>
      <c r="G1891" s="60">
        <f>+OtherClients[[#This Row],[Boxes / Pieces]]*OtherClients[[#This Row],[Unit Quantity]]</f>
        <v>25200</v>
      </c>
      <c r="H1891" s="60">
        <v>290</v>
      </c>
      <c r="I1891" s="130" t="s">
        <v>278</v>
      </c>
      <c r="J1891" s="131"/>
      <c r="K1891" s="33" t="s">
        <v>278</v>
      </c>
      <c r="L1891" s="132"/>
      <c r="M1891" s="33" t="s">
        <v>278</v>
      </c>
      <c r="N1891" s="132"/>
      <c r="O1891" s="33" t="s">
        <v>278</v>
      </c>
      <c r="P1891" s="132"/>
      <c r="Q1891" s="33" t="s">
        <v>587</v>
      </c>
      <c r="R1891" s="132"/>
      <c r="S1891" s="33" t="s">
        <v>278</v>
      </c>
      <c r="T1891" s="132"/>
      <c r="U1891" s="33" t="s">
        <v>278</v>
      </c>
      <c r="V1891" s="132"/>
      <c r="W1891" s="59" t="s">
        <v>548</v>
      </c>
      <c r="X1891" s="33" t="str">
        <f>+VLOOKUP(OtherClients[[#This Row],[Part]],PartControl!$A$2:$E$564,5,FALSE)</f>
        <v>infasco</v>
      </c>
      <c r="Y1891" s="108">
        <f>IF(OtherClients[[#This Row],[Re-certified or New]]&lt;&gt;"Re-certified",IF(OtherClients[[#This Row],[Client]]="infasco",VLOOKUP(OtherClients[[#This Row],[Part]],PartControl!$A$2:$E$564,2,FALSE),OtherClients[[#This Row],[Total Quantity]]*VLOOKUP(OtherClients[[#This Row],[Part]],PartControl!$A$2:$E$564,2,FALSE)),0)</f>
        <v>106.94</v>
      </c>
      <c r="Z1891" s="108">
        <f>IF(OtherClients[[#This Row],[Re-certified or New]]&lt;&gt;"Re-certified",IF(OtherClients[[#This Row],[Client]]="infasco",VLOOKUP(OtherClients[[#This Row],[Part]],PartControl!$A$2:$E$564,2,FALSE),OtherClients[[#This Row],[Total Quantity]]*VLOOKUP(OtherClients[[#This Row],[Part]],PartControl!$A$2:$E$564,2,FALSE)),0)</f>
        <v>106.94</v>
      </c>
    </row>
    <row r="1892" spans="1:26" ht="25.15" hidden="1" customHeight="1" x14ac:dyDescent="0.25">
      <c r="A1892" s="112">
        <v>46261.69358796296</v>
      </c>
      <c r="B1892" s="5" t="s">
        <v>237</v>
      </c>
      <c r="C1892" s="5" t="s">
        <v>703</v>
      </c>
      <c r="D1892" s="5">
        <v>717031</v>
      </c>
      <c r="E1892" s="33">
        <v>36</v>
      </c>
      <c r="F1892" s="60">
        <v>700</v>
      </c>
      <c r="G1892" s="60">
        <f>+OtherClients[[#This Row],[Boxes / Pieces]]*OtherClients[[#This Row],[Unit Quantity]]</f>
        <v>25200</v>
      </c>
      <c r="H1892" s="60">
        <v>290</v>
      </c>
      <c r="I1892" s="130" t="s">
        <v>278</v>
      </c>
      <c r="J1892" s="131"/>
      <c r="K1892" s="33" t="s">
        <v>278</v>
      </c>
      <c r="L1892" s="132"/>
      <c r="M1892" s="33" t="s">
        <v>278</v>
      </c>
      <c r="N1892" s="132"/>
      <c r="O1892" s="33" t="s">
        <v>278</v>
      </c>
      <c r="P1892" s="132"/>
      <c r="Q1892" s="33" t="s">
        <v>587</v>
      </c>
      <c r="R1892" s="132"/>
      <c r="S1892" s="33" t="s">
        <v>278</v>
      </c>
      <c r="T1892" s="132"/>
      <c r="U1892" s="33" t="s">
        <v>278</v>
      </c>
      <c r="V1892" s="132"/>
      <c r="W1892" s="59" t="s">
        <v>548</v>
      </c>
      <c r="X1892" s="33" t="str">
        <f>+VLOOKUP(OtherClients[[#This Row],[Part]],PartControl!$A$2:$E$564,5,FALSE)</f>
        <v>infasco</v>
      </c>
      <c r="Y1892" s="108">
        <f>IF(OtherClients[[#This Row],[Re-certified or New]]&lt;&gt;"Re-certified",IF(OtherClients[[#This Row],[Client]]="infasco",VLOOKUP(OtherClients[[#This Row],[Part]],PartControl!$A$2:$E$564,2,FALSE),OtherClients[[#This Row],[Total Quantity]]*VLOOKUP(OtherClients[[#This Row],[Part]],PartControl!$A$2:$E$564,2,FALSE)),0)</f>
        <v>106.94</v>
      </c>
      <c r="Z1892" s="108">
        <f>IF(OtherClients[[#This Row],[Re-certified or New]]&lt;&gt;"Re-certified",IF(OtherClients[[#This Row],[Client]]="infasco",VLOOKUP(OtherClients[[#This Row],[Part]],PartControl!$A$2:$E$564,2,FALSE),OtherClients[[#This Row],[Total Quantity]]*VLOOKUP(OtherClients[[#This Row],[Part]],PartControl!$A$2:$E$564,2,FALSE)),0)</f>
        <v>106.94</v>
      </c>
    </row>
    <row r="1893" spans="1:26" ht="25.15" hidden="1" customHeight="1" x14ac:dyDescent="0.25">
      <c r="A1893" s="112">
        <v>46261.69358796296</v>
      </c>
      <c r="B1893" s="5" t="s">
        <v>240</v>
      </c>
      <c r="C1893" s="5" t="s">
        <v>645</v>
      </c>
      <c r="D1893" s="5">
        <v>716892</v>
      </c>
      <c r="E1893" s="33">
        <f>36-15</f>
        <v>21</v>
      </c>
      <c r="F1893" s="60">
        <v>1000</v>
      </c>
      <c r="G1893" s="60">
        <f>+OtherClients[[#This Row],[Boxes / Pieces]]*OtherClients[[#This Row],[Unit Quantity]]</f>
        <v>21000</v>
      </c>
      <c r="H1893" s="60">
        <v>290</v>
      </c>
      <c r="I1893" s="130" t="s">
        <v>278</v>
      </c>
      <c r="J1893" s="131"/>
      <c r="K1893" s="33" t="s">
        <v>278</v>
      </c>
      <c r="L1893" s="132"/>
      <c r="M1893" s="33" t="s">
        <v>278</v>
      </c>
      <c r="N1893" s="132"/>
      <c r="O1893" s="33" t="s">
        <v>278</v>
      </c>
      <c r="P1893" s="132"/>
      <c r="Q1893" s="33" t="s">
        <v>587</v>
      </c>
      <c r="R1893" s="132"/>
      <c r="S1893" s="33" t="s">
        <v>278</v>
      </c>
      <c r="T1893" s="132"/>
      <c r="U1893" s="33" t="s">
        <v>278</v>
      </c>
      <c r="V1893" s="132"/>
      <c r="W1893" s="59" t="s">
        <v>548</v>
      </c>
      <c r="X1893" s="33" t="str">
        <f>+VLOOKUP(OtherClients[[#This Row],[Part]],PartControl!$A$2:$E$564,5,FALSE)</f>
        <v>infasco</v>
      </c>
      <c r="Y1893" s="108">
        <f>IF(OtherClients[[#This Row],[Re-certified or New]]&lt;&gt;"Re-certified",IF(OtherClients[[#This Row],[Client]]="infasco",VLOOKUP(OtherClients[[#This Row],[Part]],PartControl!$A$2:$E$564,2,FALSE),OtherClients[[#This Row],[Total Quantity]]*VLOOKUP(OtherClients[[#This Row],[Part]],PartControl!$A$2:$E$564,2,FALSE)),0)</f>
        <v>106.94</v>
      </c>
      <c r="Z1893" s="108">
        <f>IF(OtherClients[[#This Row],[Re-certified or New]]&lt;&gt;"Re-certified",IF(OtherClients[[#This Row],[Client]]="infasco",VLOOKUP(OtherClients[[#This Row],[Part]],PartControl!$A$2:$E$564,2,FALSE),OtherClients[[#This Row],[Total Quantity]]*VLOOKUP(OtherClients[[#This Row],[Part]],PartControl!$A$2:$E$564,2,FALSE)),0)</f>
        <v>106.94</v>
      </c>
    </row>
    <row r="1894" spans="1:26" ht="25.15" hidden="1" customHeight="1" x14ac:dyDescent="0.25">
      <c r="A1894" s="112">
        <v>46261.69358796296</v>
      </c>
      <c r="B1894" s="5" t="s">
        <v>240</v>
      </c>
      <c r="C1894" s="5" t="s">
        <v>645</v>
      </c>
      <c r="D1894" s="5">
        <v>716888</v>
      </c>
      <c r="E1894" s="33">
        <v>14</v>
      </c>
      <c r="F1894" s="60">
        <v>1000</v>
      </c>
      <c r="G1894" s="60">
        <f>+OtherClients[[#This Row],[Boxes / Pieces]]*OtherClients[[#This Row],[Unit Quantity]]</f>
        <v>14000</v>
      </c>
      <c r="H1894" s="60">
        <v>290</v>
      </c>
      <c r="I1894" s="130" t="s">
        <v>278</v>
      </c>
      <c r="J1894" s="131"/>
      <c r="K1894" s="33" t="s">
        <v>278</v>
      </c>
      <c r="L1894" s="132"/>
      <c r="M1894" s="33" t="s">
        <v>278</v>
      </c>
      <c r="N1894" s="132"/>
      <c r="O1894" s="33" t="s">
        <v>278</v>
      </c>
      <c r="P1894" s="132"/>
      <c r="Q1894" s="33" t="s">
        <v>587</v>
      </c>
      <c r="R1894" s="132"/>
      <c r="S1894" s="33" t="s">
        <v>278</v>
      </c>
      <c r="T1894" s="132"/>
      <c r="U1894" s="33" t="s">
        <v>278</v>
      </c>
      <c r="V1894" s="132"/>
      <c r="W1894" s="59" t="s">
        <v>548</v>
      </c>
      <c r="X1894" s="33" t="str">
        <f>+VLOOKUP(OtherClients[[#This Row],[Part]],PartControl!$A$2:$E$564,5,FALSE)</f>
        <v>infasco</v>
      </c>
      <c r="Y1894" s="108">
        <f>IF(OtherClients[[#This Row],[Re-certified or New]]&lt;&gt;"Re-certified",IF(OtherClients[[#This Row],[Client]]="infasco",VLOOKUP(OtherClients[[#This Row],[Part]],PartControl!$A$2:$E$564,2,FALSE),OtherClients[[#This Row],[Total Quantity]]*VLOOKUP(OtherClients[[#This Row],[Part]],PartControl!$A$2:$E$564,2,FALSE)),0)</f>
        <v>106.94</v>
      </c>
      <c r="Z1894" s="108">
        <f>IF(OtherClients[[#This Row],[Re-certified or New]]&lt;&gt;"Re-certified",IF(OtherClients[[#This Row],[Client]]="infasco",VLOOKUP(OtherClients[[#This Row],[Part]],PartControl!$A$2:$E$564,2,FALSE),OtherClients[[#This Row],[Total Quantity]]*VLOOKUP(OtherClients[[#This Row],[Part]],PartControl!$A$2:$E$564,2,FALSE)),0)</f>
        <v>106.94</v>
      </c>
    </row>
    <row r="1895" spans="1:26" ht="25.15" hidden="1" customHeight="1" x14ac:dyDescent="0.25">
      <c r="A1895" s="112">
        <v>46261.69358796296</v>
      </c>
      <c r="B1895" s="5" t="s">
        <v>240</v>
      </c>
      <c r="C1895" s="5" t="s">
        <v>645</v>
      </c>
      <c r="D1895" s="5">
        <v>716886</v>
      </c>
      <c r="E1895" s="33">
        <v>16</v>
      </c>
      <c r="F1895" s="60">
        <v>1000</v>
      </c>
      <c r="G1895" s="60">
        <f>+OtherClients[[#This Row],[Boxes / Pieces]]*OtherClients[[#This Row],[Unit Quantity]]</f>
        <v>16000</v>
      </c>
      <c r="H1895" s="60">
        <v>290</v>
      </c>
      <c r="I1895" s="130" t="s">
        <v>278</v>
      </c>
      <c r="J1895" s="131"/>
      <c r="K1895" s="33" t="s">
        <v>278</v>
      </c>
      <c r="L1895" s="132"/>
      <c r="M1895" s="33" t="s">
        <v>278</v>
      </c>
      <c r="N1895" s="132"/>
      <c r="O1895" s="33" t="s">
        <v>278</v>
      </c>
      <c r="P1895" s="132"/>
      <c r="Q1895" s="33" t="s">
        <v>587</v>
      </c>
      <c r="R1895" s="132"/>
      <c r="S1895" s="33" t="s">
        <v>278</v>
      </c>
      <c r="T1895" s="132"/>
      <c r="U1895" s="33" t="s">
        <v>278</v>
      </c>
      <c r="V1895" s="132"/>
      <c r="W1895" s="59" t="s">
        <v>548</v>
      </c>
      <c r="X1895" s="33" t="str">
        <f>+VLOOKUP(OtherClients[[#This Row],[Part]],PartControl!$A$2:$E$564,5,FALSE)</f>
        <v>infasco</v>
      </c>
      <c r="Y1895" s="108">
        <f>IF(OtherClients[[#This Row],[Re-certified or New]]&lt;&gt;"Re-certified",IF(OtherClients[[#This Row],[Client]]="infasco",VLOOKUP(OtherClients[[#This Row],[Part]],PartControl!$A$2:$E$564,2,FALSE),OtherClients[[#This Row],[Total Quantity]]*VLOOKUP(OtherClients[[#This Row],[Part]],PartControl!$A$2:$E$564,2,FALSE)),0)</f>
        <v>106.94</v>
      </c>
      <c r="Z1895" s="108">
        <f>IF(OtherClients[[#This Row],[Re-certified or New]]&lt;&gt;"Re-certified",IF(OtherClients[[#This Row],[Client]]="infasco",VLOOKUP(OtherClients[[#This Row],[Part]],PartControl!$A$2:$E$564,2,FALSE),OtherClients[[#This Row],[Total Quantity]]*VLOOKUP(OtherClients[[#This Row],[Part]],PartControl!$A$2:$E$564,2,FALSE)),0)</f>
        <v>106.94</v>
      </c>
    </row>
    <row r="1896" spans="1:26" ht="25.15" hidden="1" customHeight="1" x14ac:dyDescent="0.25">
      <c r="A1896" s="112">
        <v>46261.69358796296</v>
      </c>
      <c r="B1896" s="5" t="s">
        <v>240</v>
      </c>
      <c r="C1896" s="5" t="s">
        <v>565</v>
      </c>
      <c r="D1896" s="5">
        <v>716488</v>
      </c>
      <c r="E1896" s="33">
        <v>1</v>
      </c>
      <c r="F1896" s="60">
        <v>20000</v>
      </c>
      <c r="G1896" s="60">
        <f>+OtherClients[[#This Row],[Boxes / Pieces]]*OtherClients[[#This Row],[Unit Quantity]]</f>
        <v>20000</v>
      </c>
      <c r="H1896" s="60">
        <v>290</v>
      </c>
      <c r="I1896" s="130" t="s">
        <v>278</v>
      </c>
      <c r="J1896" s="131"/>
      <c r="K1896" s="33" t="s">
        <v>278</v>
      </c>
      <c r="L1896" s="132"/>
      <c r="M1896" s="33" t="s">
        <v>278</v>
      </c>
      <c r="N1896" s="132"/>
      <c r="O1896" s="33" t="s">
        <v>278</v>
      </c>
      <c r="P1896" s="132"/>
      <c r="Q1896" s="33" t="s">
        <v>587</v>
      </c>
      <c r="R1896" s="132"/>
      <c r="S1896" s="33" t="s">
        <v>278</v>
      </c>
      <c r="T1896" s="132"/>
      <c r="U1896" s="33" t="s">
        <v>278</v>
      </c>
      <c r="V1896" s="132"/>
      <c r="W1896" s="59" t="s">
        <v>548</v>
      </c>
      <c r="X1896" s="33" t="str">
        <f>+VLOOKUP(OtherClients[[#This Row],[Part]],PartControl!$A$2:$E$564,5,FALSE)</f>
        <v>Infasco</v>
      </c>
      <c r="Y1896" s="108">
        <f>IF(OtherClients[[#This Row],[Re-certified or New]]&lt;&gt;"Re-certified",IF(OtherClients[[#This Row],[Client]]="infasco",VLOOKUP(OtherClients[[#This Row],[Part]],PartControl!$A$2:$E$564,2,FALSE),OtherClients[[#This Row],[Total Quantity]]*VLOOKUP(OtherClients[[#This Row],[Part]],PartControl!$A$2:$E$564,2,FALSE)),0)</f>
        <v>106.94</v>
      </c>
      <c r="Z1896" s="108">
        <f>IF(OtherClients[[#This Row],[Re-certified or New]]&lt;&gt;"Re-certified",IF(OtherClients[[#This Row],[Client]]="infasco",VLOOKUP(OtherClients[[#This Row],[Part]],PartControl!$A$2:$E$564,2,FALSE),OtherClients[[#This Row],[Total Quantity]]*VLOOKUP(OtherClients[[#This Row],[Part]],PartControl!$A$2:$E$564,2,FALSE)),0)</f>
        <v>106.94</v>
      </c>
    </row>
    <row r="1897" spans="1:26" ht="25.15" hidden="1" customHeight="1" x14ac:dyDescent="0.25">
      <c r="A1897" s="112">
        <v>46261.69358796296</v>
      </c>
      <c r="B1897" s="5" t="s">
        <v>250</v>
      </c>
      <c r="C1897" s="5" t="s">
        <v>703</v>
      </c>
      <c r="D1897" s="5">
        <v>716372</v>
      </c>
      <c r="E1897" s="33">
        <f>36-26</f>
        <v>10</v>
      </c>
      <c r="F1897" s="60">
        <v>700</v>
      </c>
      <c r="G1897" s="60">
        <f>+OtherClients[[#This Row],[Boxes / Pieces]]*OtherClients[[#This Row],[Unit Quantity]]</f>
        <v>7000</v>
      </c>
      <c r="H1897" s="60">
        <v>290</v>
      </c>
      <c r="I1897" s="130" t="s">
        <v>278</v>
      </c>
      <c r="J1897" s="131"/>
      <c r="K1897" s="33" t="s">
        <v>278</v>
      </c>
      <c r="L1897" s="132"/>
      <c r="M1897" s="33" t="s">
        <v>278</v>
      </c>
      <c r="N1897" s="132"/>
      <c r="O1897" s="33" t="s">
        <v>278</v>
      </c>
      <c r="P1897" s="132"/>
      <c r="Q1897" s="33" t="s">
        <v>587</v>
      </c>
      <c r="R1897" s="132"/>
      <c r="S1897" s="33" t="s">
        <v>278</v>
      </c>
      <c r="T1897" s="132"/>
      <c r="U1897" s="33" t="s">
        <v>278</v>
      </c>
      <c r="V1897" s="132"/>
      <c r="W1897" s="59" t="s">
        <v>548</v>
      </c>
      <c r="X1897" s="33" t="str">
        <f>+VLOOKUP(OtherClients[[#This Row],[Part]],PartControl!$A$2:$E$564,5,FALSE)</f>
        <v>infasco</v>
      </c>
      <c r="Y1897" s="108">
        <f>IF(OtherClients[[#This Row],[Re-certified or New]]&lt;&gt;"Re-certified",IF(OtherClients[[#This Row],[Client]]="infasco",VLOOKUP(OtherClients[[#This Row],[Part]],PartControl!$A$2:$E$564,2,FALSE),OtherClients[[#This Row],[Total Quantity]]*VLOOKUP(OtherClients[[#This Row],[Part]],PartControl!$A$2:$E$564,2,FALSE)),0)</f>
        <v>106.94</v>
      </c>
      <c r="Z1897" s="108">
        <f>IF(OtherClients[[#This Row],[Re-certified or New]]&lt;&gt;"Re-certified",IF(OtherClients[[#This Row],[Client]]="infasco",VLOOKUP(OtherClients[[#This Row],[Part]],PartControl!$A$2:$E$564,2,FALSE),OtherClients[[#This Row],[Total Quantity]]*VLOOKUP(OtherClients[[#This Row],[Part]],PartControl!$A$2:$E$564,2,FALSE)),0)</f>
        <v>106.94</v>
      </c>
    </row>
    <row r="1898" spans="1:26" ht="25.15" hidden="1" customHeight="1" x14ac:dyDescent="0.25">
      <c r="A1898" s="112">
        <v>46261.69358796296</v>
      </c>
      <c r="B1898" s="5" t="s">
        <v>250</v>
      </c>
      <c r="C1898" s="5" t="s">
        <v>703</v>
      </c>
      <c r="D1898" s="5">
        <v>717036</v>
      </c>
      <c r="E1898" s="33">
        <v>27</v>
      </c>
      <c r="F1898" s="60">
        <v>700</v>
      </c>
      <c r="G1898" s="60">
        <f>+OtherClients[[#This Row],[Boxes / Pieces]]*OtherClients[[#This Row],[Unit Quantity]]</f>
        <v>18900</v>
      </c>
      <c r="H1898" s="60">
        <v>290</v>
      </c>
      <c r="I1898" s="130" t="s">
        <v>278</v>
      </c>
      <c r="J1898" s="131"/>
      <c r="K1898" s="33" t="s">
        <v>278</v>
      </c>
      <c r="L1898" s="132"/>
      <c r="M1898" s="33" t="s">
        <v>278</v>
      </c>
      <c r="N1898" s="132"/>
      <c r="O1898" s="33" t="s">
        <v>278</v>
      </c>
      <c r="P1898" s="132"/>
      <c r="Q1898" s="33" t="s">
        <v>587</v>
      </c>
      <c r="R1898" s="132"/>
      <c r="S1898" s="33" t="s">
        <v>278</v>
      </c>
      <c r="T1898" s="132"/>
      <c r="U1898" s="33" t="s">
        <v>278</v>
      </c>
      <c r="V1898" s="132"/>
      <c r="W1898" s="59" t="s">
        <v>633</v>
      </c>
      <c r="X1898" s="33" t="str">
        <f>+VLOOKUP(OtherClients[[#This Row],[Part]],PartControl!$A$2:$E$564,5,FALSE)</f>
        <v>infasco</v>
      </c>
      <c r="Y1898" s="108">
        <f>IF(OtherClients[[#This Row],[Re-certified or New]]&lt;&gt;"Re-certified",IF(OtherClients[[#This Row],[Client]]="infasco",VLOOKUP(OtherClients[[#This Row],[Part]],PartControl!$A$2:$E$564,2,FALSE),OtherClients[[#This Row],[Total Quantity]]*VLOOKUP(OtherClients[[#This Row],[Part]],PartControl!$A$2:$E$564,2,FALSE)),0)</f>
        <v>0</v>
      </c>
      <c r="Z1898" s="108">
        <f>IF(OtherClients[[#This Row],[Re-certified or New]]&lt;&gt;"Re-certified",IF(OtherClients[[#This Row],[Client]]="infasco",VLOOKUP(OtherClients[[#This Row],[Part]],PartControl!$A$2:$E$564,2,FALSE),OtherClients[[#This Row],[Total Quantity]]*VLOOKUP(OtherClients[[#This Row],[Part]],PartControl!$A$2:$E$564,2,FALSE)),0)</f>
        <v>0</v>
      </c>
    </row>
    <row r="1899" spans="1:26" ht="25.15" hidden="1" customHeight="1" x14ac:dyDescent="0.25">
      <c r="A1899" s="112">
        <v>46261.69358796296</v>
      </c>
      <c r="B1899" s="5" t="s">
        <v>245</v>
      </c>
      <c r="C1899" s="5" t="s">
        <v>719</v>
      </c>
      <c r="D1899" s="5">
        <v>717696</v>
      </c>
      <c r="E1899" s="33">
        <f>25-5</f>
        <v>20</v>
      </c>
      <c r="F1899" s="60">
        <v>2150</v>
      </c>
      <c r="G1899" s="60">
        <f>+OtherClients[[#This Row],[Boxes / Pieces]]*OtherClients[[#This Row],[Unit Quantity]]</f>
        <v>43000</v>
      </c>
      <c r="H1899" s="60">
        <v>292</v>
      </c>
      <c r="I1899" s="130" t="s">
        <v>278</v>
      </c>
      <c r="J1899" s="131"/>
      <c r="K1899" s="33" t="s">
        <v>278</v>
      </c>
      <c r="L1899" s="132"/>
      <c r="M1899" s="33" t="s">
        <v>278</v>
      </c>
      <c r="N1899" s="132"/>
      <c r="O1899" s="33" t="s">
        <v>278</v>
      </c>
      <c r="P1899" s="132"/>
      <c r="Q1899" s="33" t="s">
        <v>587</v>
      </c>
      <c r="R1899" s="132"/>
      <c r="S1899" s="33" t="s">
        <v>278</v>
      </c>
      <c r="T1899" s="132"/>
      <c r="U1899" s="33" t="s">
        <v>278</v>
      </c>
      <c r="V1899" s="132"/>
      <c r="W1899" s="59" t="s">
        <v>633</v>
      </c>
      <c r="X1899" s="33" t="str">
        <f>+VLOOKUP(OtherClients[[#This Row],[Part]],PartControl!$A$2:$E$564,5,FALSE)</f>
        <v>infasco</v>
      </c>
      <c r="Y1899" s="108">
        <f>IF(OtherClients[[#This Row],[Re-certified or New]]&lt;&gt;"Re-certified",IF(OtherClients[[#This Row],[Client]]="infasco",VLOOKUP(OtherClients[[#This Row],[Part]],PartControl!$A$2:$E$564,2,FALSE),OtherClients[[#This Row],[Total Quantity]]*VLOOKUP(OtherClients[[#This Row],[Part]],PartControl!$A$2:$E$564,2,FALSE)),0)</f>
        <v>0</v>
      </c>
      <c r="Z1899" s="108">
        <f>IF(OtherClients[[#This Row],[Re-certified or New]]&lt;&gt;"Re-certified",IF(OtherClients[[#This Row],[Client]]="infasco",VLOOKUP(OtherClients[[#This Row],[Part]],PartControl!$A$2:$E$564,2,FALSE),OtherClients[[#This Row],[Total Quantity]]*VLOOKUP(OtherClients[[#This Row],[Part]],PartControl!$A$2:$E$564,2,FALSE)),0)</f>
        <v>0</v>
      </c>
    </row>
    <row r="1900" spans="1:26" ht="25.15" hidden="1" customHeight="1" x14ac:dyDescent="0.25">
      <c r="A1900" s="112">
        <v>46261.69358796296</v>
      </c>
      <c r="B1900" s="5" t="s">
        <v>243</v>
      </c>
      <c r="C1900" s="5">
        <v>7151143403</v>
      </c>
      <c r="D1900" s="5">
        <v>716905</v>
      </c>
      <c r="E1900" s="33">
        <f>34-12</f>
        <v>22</v>
      </c>
      <c r="F1900" s="60">
        <v>1750</v>
      </c>
      <c r="G1900" s="60">
        <f>+OtherClients[[#This Row],[Boxes / Pieces]]*OtherClients[[#This Row],[Unit Quantity]]</f>
        <v>38500</v>
      </c>
      <c r="H1900" s="60">
        <v>292</v>
      </c>
      <c r="I1900" s="130" t="s">
        <v>278</v>
      </c>
      <c r="J1900" s="131"/>
      <c r="K1900" s="33" t="s">
        <v>278</v>
      </c>
      <c r="L1900" s="132"/>
      <c r="M1900" s="33" t="s">
        <v>278</v>
      </c>
      <c r="N1900" s="132"/>
      <c r="O1900" s="33" t="s">
        <v>278</v>
      </c>
      <c r="P1900" s="132"/>
      <c r="Q1900" s="33" t="s">
        <v>587</v>
      </c>
      <c r="R1900" s="132"/>
      <c r="S1900" s="33" t="s">
        <v>278</v>
      </c>
      <c r="T1900" s="132"/>
      <c r="U1900" s="33" t="s">
        <v>278</v>
      </c>
      <c r="V1900" s="132"/>
      <c r="W1900" s="59" t="s">
        <v>548</v>
      </c>
      <c r="X1900" s="33" t="str">
        <f>+VLOOKUP(OtherClients[[#This Row],[Part]],PartControl!$A$2:$E$564,5,FALSE)</f>
        <v>infasco</v>
      </c>
      <c r="Y1900" s="108">
        <f>IF(OtherClients[[#This Row],[Re-certified or New]]&lt;&gt;"Re-certified",IF(OtherClients[[#This Row],[Client]]="infasco",VLOOKUP(OtherClients[[#This Row],[Part]],PartControl!$A$2:$E$564,2,FALSE),OtherClients[[#This Row],[Total Quantity]]*VLOOKUP(OtherClients[[#This Row],[Part]],PartControl!$A$2:$E$564,2,FALSE)),0)</f>
        <v>106.94</v>
      </c>
      <c r="Z1900" s="108">
        <f>IF(OtherClients[[#This Row],[Re-certified or New]]&lt;&gt;"Re-certified",IF(OtherClients[[#This Row],[Client]]="infasco",VLOOKUP(OtherClients[[#This Row],[Part]],PartControl!$A$2:$E$564,2,FALSE),OtherClients[[#This Row],[Total Quantity]]*VLOOKUP(OtherClients[[#This Row],[Part]],PartControl!$A$2:$E$564,2,FALSE)),0)</f>
        <v>106.94</v>
      </c>
    </row>
    <row r="1901" spans="1:26" ht="25.15" hidden="1" customHeight="1" x14ac:dyDescent="0.25">
      <c r="A1901" s="112">
        <v>46261.69358796296</v>
      </c>
      <c r="B1901" s="5" t="s">
        <v>243</v>
      </c>
      <c r="C1901" s="5" t="s">
        <v>718</v>
      </c>
      <c r="D1901" s="5">
        <v>716900</v>
      </c>
      <c r="E1901" s="33">
        <v>10</v>
      </c>
      <c r="F1901" s="60">
        <v>3500</v>
      </c>
      <c r="G1901" s="60">
        <f>+OtherClients[[#This Row],[Boxes / Pieces]]*OtherClients[[#This Row],[Unit Quantity]]</f>
        <v>35000</v>
      </c>
      <c r="H1901" s="60">
        <v>292</v>
      </c>
      <c r="I1901" s="130" t="s">
        <v>278</v>
      </c>
      <c r="J1901" s="131"/>
      <c r="K1901" s="33" t="s">
        <v>278</v>
      </c>
      <c r="L1901" s="132"/>
      <c r="M1901" s="33" t="s">
        <v>278</v>
      </c>
      <c r="N1901" s="132"/>
      <c r="O1901" s="33" t="s">
        <v>278</v>
      </c>
      <c r="P1901" s="132"/>
      <c r="Q1901" s="33" t="s">
        <v>587</v>
      </c>
      <c r="R1901" s="132"/>
      <c r="S1901" s="33" t="s">
        <v>278</v>
      </c>
      <c r="T1901" s="132"/>
      <c r="U1901" s="33" t="s">
        <v>278</v>
      </c>
      <c r="V1901" s="132"/>
      <c r="W1901" s="59" t="s">
        <v>633</v>
      </c>
      <c r="X1901" s="33" t="str">
        <f>+VLOOKUP(OtherClients[[#This Row],[Part]],PartControl!$A$2:$E$564,5,FALSE)</f>
        <v>infasco</v>
      </c>
      <c r="Y1901" s="108">
        <f>IF(OtherClients[[#This Row],[Re-certified or New]]&lt;&gt;"Re-certified",IF(OtherClients[[#This Row],[Client]]="infasco",VLOOKUP(OtherClients[[#This Row],[Part]],PartControl!$A$2:$E$564,2,FALSE),OtherClients[[#This Row],[Total Quantity]]*VLOOKUP(OtherClients[[#This Row],[Part]],PartControl!$A$2:$E$564,2,FALSE)),0)</f>
        <v>0</v>
      </c>
      <c r="Z1901" s="108">
        <f>IF(OtherClients[[#This Row],[Re-certified or New]]&lt;&gt;"Re-certified",IF(OtherClients[[#This Row],[Client]]="infasco",VLOOKUP(OtherClients[[#This Row],[Part]],PartControl!$A$2:$E$564,2,FALSE),OtherClients[[#This Row],[Total Quantity]]*VLOOKUP(OtherClients[[#This Row],[Part]],PartControl!$A$2:$E$564,2,FALSE)),0)</f>
        <v>0</v>
      </c>
    </row>
    <row r="1902" spans="1:26" ht="25.15" hidden="1" customHeight="1" x14ac:dyDescent="0.25">
      <c r="A1902" s="112">
        <v>46261.69358796296</v>
      </c>
      <c r="B1902" s="5" t="s">
        <v>623</v>
      </c>
      <c r="C1902" s="5" t="s">
        <v>703</v>
      </c>
      <c r="D1902" s="5">
        <v>717038</v>
      </c>
      <c r="E1902" s="33">
        <v>36</v>
      </c>
      <c r="F1902" s="60">
        <v>700</v>
      </c>
      <c r="G1902" s="60">
        <f>+OtherClients[[#This Row],[Boxes / Pieces]]*OtherClients[[#This Row],[Unit Quantity]]</f>
        <v>25200</v>
      </c>
      <c r="H1902" s="60">
        <v>292</v>
      </c>
      <c r="I1902" s="130" t="s">
        <v>278</v>
      </c>
      <c r="J1902" s="131"/>
      <c r="K1902" s="33" t="s">
        <v>278</v>
      </c>
      <c r="L1902" s="132"/>
      <c r="M1902" s="33" t="s">
        <v>278</v>
      </c>
      <c r="N1902" s="132"/>
      <c r="O1902" s="33" t="s">
        <v>278</v>
      </c>
      <c r="P1902" s="132"/>
      <c r="Q1902" s="33" t="s">
        <v>587</v>
      </c>
      <c r="R1902" s="132"/>
      <c r="S1902" s="33" t="s">
        <v>278</v>
      </c>
      <c r="T1902" s="132"/>
      <c r="U1902" s="33" t="s">
        <v>278</v>
      </c>
      <c r="V1902" s="132"/>
      <c r="W1902" s="59" t="s">
        <v>548</v>
      </c>
      <c r="X1902" s="33" t="str">
        <f>+VLOOKUP(OtherClients[[#This Row],[Part]],PartControl!$A$2:$E$564,5,FALSE)</f>
        <v>infasco</v>
      </c>
      <c r="Y1902" s="108">
        <f>IF(OtherClients[[#This Row],[Re-certified or New]]&lt;&gt;"Re-certified",IF(OtherClients[[#This Row],[Client]]="infasco",VLOOKUP(OtherClients[[#This Row],[Part]],PartControl!$A$2:$E$564,2,FALSE),OtherClients[[#This Row],[Total Quantity]]*VLOOKUP(OtherClients[[#This Row],[Part]],PartControl!$A$2:$E$564,2,FALSE)),0)</f>
        <v>106.94</v>
      </c>
      <c r="Z1902" s="108">
        <f>IF(OtherClients[[#This Row],[Re-certified or New]]&lt;&gt;"Re-certified",IF(OtherClients[[#This Row],[Client]]="infasco",VLOOKUP(OtherClients[[#This Row],[Part]],PartControl!$A$2:$E$564,2,FALSE),OtherClients[[#This Row],[Total Quantity]]*VLOOKUP(OtherClients[[#This Row],[Part]],PartControl!$A$2:$E$564,2,FALSE)),0)</f>
        <v>106.94</v>
      </c>
    </row>
    <row r="1903" spans="1:26" ht="25.15" hidden="1" customHeight="1" x14ac:dyDescent="0.25">
      <c r="A1903" s="112">
        <v>46261.69358796296</v>
      </c>
      <c r="B1903" s="5" t="s">
        <v>623</v>
      </c>
      <c r="C1903" s="5" t="s">
        <v>703</v>
      </c>
      <c r="D1903" s="5">
        <v>717033</v>
      </c>
      <c r="E1903" s="33">
        <v>30</v>
      </c>
      <c r="F1903" s="60">
        <v>700</v>
      </c>
      <c r="G1903" s="60">
        <f>+OtherClients[[#This Row],[Boxes / Pieces]]*OtherClients[[#This Row],[Unit Quantity]]</f>
        <v>21000</v>
      </c>
      <c r="H1903" s="60">
        <v>292</v>
      </c>
      <c r="I1903" s="130" t="s">
        <v>278</v>
      </c>
      <c r="J1903" s="131"/>
      <c r="K1903" s="33" t="s">
        <v>278</v>
      </c>
      <c r="L1903" s="132"/>
      <c r="M1903" s="33" t="s">
        <v>278</v>
      </c>
      <c r="N1903" s="132"/>
      <c r="O1903" s="33" t="s">
        <v>278</v>
      </c>
      <c r="P1903" s="132"/>
      <c r="Q1903" s="33" t="s">
        <v>587</v>
      </c>
      <c r="R1903" s="132"/>
      <c r="S1903" s="33" t="s">
        <v>278</v>
      </c>
      <c r="T1903" s="132"/>
      <c r="U1903" s="33" t="s">
        <v>278</v>
      </c>
      <c r="V1903" s="132"/>
      <c r="W1903" s="59" t="s">
        <v>633</v>
      </c>
      <c r="X1903" s="33" t="str">
        <f>+VLOOKUP(OtherClients[[#This Row],[Part]],PartControl!$A$2:$E$564,5,FALSE)</f>
        <v>infasco</v>
      </c>
      <c r="Y1903" s="108">
        <f>IF(OtherClients[[#This Row],[Re-certified or New]]&lt;&gt;"Re-certified",IF(OtherClients[[#This Row],[Client]]="infasco",VLOOKUP(OtherClients[[#This Row],[Part]],PartControl!$A$2:$E$564,2,FALSE),OtherClients[[#This Row],[Total Quantity]]*VLOOKUP(OtherClients[[#This Row],[Part]],PartControl!$A$2:$E$564,2,FALSE)),0)</f>
        <v>0</v>
      </c>
      <c r="Z1903" s="108">
        <f>IF(OtherClients[[#This Row],[Re-certified or New]]&lt;&gt;"Re-certified",IF(OtherClients[[#This Row],[Client]]="infasco",VLOOKUP(OtherClients[[#This Row],[Part]],PartControl!$A$2:$E$564,2,FALSE),OtherClients[[#This Row],[Total Quantity]]*VLOOKUP(OtherClients[[#This Row],[Part]],PartControl!$A$2:$E$564,2,FALSE)),0)</f>
        <v>0</v>
      </c>
    </row>
    <row r="1904" spans="1:26" ht="25.15" hidden="1" customHeight="1" x14ac:dyDescent="0.25">
      <c r="A1904" s="112">
        <v>46261.69358796296</v>
      </c>
      <c r="B1904" s="113" t="s">
        <v>624</v>
      </c>
      <c r="C1904" s="113" t="s">
        <v>705</v>
      </c>
      <c r="D1904" s="113">
        <v>716128</v>
      </c>
      <c r="E1904" s="114">
        <v>20</v>
      </c>
      <c r="F1904" s="115">
        <v>450</v>
      </c>
      <c r="G1904" s="115">
        <f>+OtherClients[[#This Row],[Boxes / Pieces]]*OtherClients[[#This Row],[Unit Quantity]]</f>
        <v>9000</v>
      </c>
      <c r="H1904" s="60">
        <v>292</v>
      </c>
      <c r="I1904" s="130" t="s">
        <v>278</v>
      </c>
      <c r="J1904" s="131"/>
      <c r="K1904" s="33" t="s">
        <v>278</v>
      </c>
      <c r="L1904" s="132"/>
      <c r="M1904" s="33" t="s">
        <v>278</v>
      </c>
      <c r="N1904" s="132"/>
      <c r="O1904" s="33" t="s">
        <v>278</v>
      </c>
      <c r="P1904" s="132"/>
      <c r="Q1904" s="33" t="s">
        <v>587</v>
      </c>
      <c r="R1904" s="132"/>
      <c r="S1904" s="33" t="s">
        <v>278</v>
      </c>
      <c r="T1904" s="132"/>
      <c r="U1904" s="33" t="s">
        <v>278</v>
      </c>
      <c r="V1904" s="132"/>
      <c r="W1904" s="59" t="s">
        <v>548</v>
      </c>
      <c r="X1904" s="33" t="str">
        <f>+VLOOKUP(OtherClients[[#This Row],[Part]],PartControl!$A$2:$E$564,5,FALSE)</f>
        <v>infasco</v>
      </c>
      <c r="Y1904" s="108">
        <f>IF(OtherClients[[#This Row],[Re-certified or New]]&lt;&gt;"Re-certified",IF(OtherClients[[#This Row],[Client]]="infasco",VLOOKUP(OtherClients[[#This Row],[Part]],PartControl!$A$2:$E$564,2,FALSE),OtherClients[[#This Row],[Total Quantity]]*VLOOKUP(OtherClients[[#This Row],[Part]],PartControl!$A$2:$E$564,2,FALSE)),0)</f>
        <v>106.94</v>
      </c>
      <c r="Z1904" s="108">
        <f>IF(OtherClients[[#This Row],[Re-certified or New]]&lt;&gt;"Re-certified",IF(OtherClients[[#This Row],[Client]]="infasco",VLOOKUP(OtherClients[[#This Row],[Part]],PartControl!$A$2:$E$564,2,FALSE),OtherClients[[#This Row],[Total Quantity]]*VLOOKUP(OtherClients[[#This Row],[Part]],PartControl!$A$2:$E$564,2,FALSE)),0)</f>
        <v>106.94</v>
      </c>
    </row>
    <row r="1905" spans="1:26" ht="25.15" hidden="1" customHeight="1" x14ac:dyDescent="0.25">
      <c r="A1905" s="112">
        <v>46261.69358796296</v>
      </c>
      <c r="B1905" s="5" t="s">
        <v>624</v>
      </c>
      <c r="C1905" s="5" t="s">
        <v>703</v>
      </c>
      <c r="D1905" s="5">
        <v>717044</v>
      </c>
      <c r="E1905" s="33">
        <v>36</v>
      </c>
      <c r="F1905" s="60">
        <v>700</v>
      </c>
      <c r="G1905" s="60">
        <f>+OtherClients[[#This Row],[Boxes / Pieces]]*OtherClients[[#This Row],[Unit Quantity]]</f>
        <v>25200</v>
      </c>
      <c r="H1905" s="60">
        <v>292</v>
      </c>
      <c r="I1905" s="130" t="s">
        <v>278</v>
      </c>
      <c r="J1905" s="131"/>
      <c r="K1905" s="33" t="s">
        <v>278</v>
      </c>
      <c r="L1905" s="132"/>
      <c r="M1905" s="33" t="s">
        <v>278</v>
      </c>
      <c r="N1905" s="132"/>
      <c r="O1905" s="33" t="s">
        <v>278</v>
      </c>
      <c r="P1905" s="132"/>
      <c r="Q1905" s="33" t="s">
        <v>587</v>
      </c>
      <c r="R1905" s="132"/>
      <c r="S1905" s="33" t="s">
        <v>278</v>
      </c>
      <c r="T1905" s="132"/>
      <c r="U1905" s="33" t="s">
        <v>278</v>
      </c>
      <c r="V1905" s="132"/>
      <c r="W1905" s="59" t="s">
        <v>548</v>
      </c>
      <c r="X1905" s="33" t="str">
        <f>+VLOOKUP(OtherClients[[#This Row],[Part]],PartControl!$A$2:$E$564,5,FALSE)</f>
        <v>infasco</v>
      </c>
      <c r="Y1905" s="108">
        <f>IF(OtherClients[[#This Row],[Re-certified or New]]&lt;&gt;"Re-certified",IF(OtherClients[[#This Row],[Client]]="infasco",VLOOKUP(OtherClients[[#This Row],[Part]],PartControl!$A$2:$E$564,2,FALSE),OtherClients[[#This Row],[Total Quantity]]*VLOOKUP(OtherClients[[#This Row],[Part]],PartControl!$A$2:$E$564,2,FALSE)),0)</f>
        <v>106.94</v>
      </c>
      <c r="Z1905" s="108">
        <f>IF(OtherClients[[#This Row],[Re-certified or New]]&lt;&gt;"Re-certified",IF(OtherClients[[#This Row],[Client]]="infasco",VLOOKUP(OtherClients[[#This Row],[Part]],PartControl!$A$2:$E$564,2,FALSE),OtherClients[[#This Row],[Total Quantity]]*VLOOKUP(OtherClients[[#This Row],[Part]],PartControl!$A$2:$E$564,2,FALSE)),0)</f>
        <v>106.94</v>
      </c>
    </row>
    <row r="1906" spans="1:26" ht="25.15" hidden="1" customHeight="1" x14ac:dyDescent="0.25">
      <c r="A1906" s="112">
        <v>46261.69358796296</v>
      </c>
      <c r="B1906" s="5" t="s">
        <v>624</v>
      </c>
      <c r="C1906" s="5" t="s">
        <v>703</v>
      </c>
      <c r="D1906" s="5">
        <v>717035</v>
      </c>
      <c r="E1906" s="33">
        <v>36</v>
      </c>
      <c r="F1906" s="60">
        <v>700</v>
      </c>
      <c r="G1906" s="60">
        <f>+OtherClients[[#This Row],[Boxes / Pieces]]*OtherClients[[#This Row],[Unit Quantity]]</f>
        <v>25200</v>
      </c>
      <c r="H1906" s="60">
        <v>292</v>
      </c>
      <c r="I1906" s="130" t="s">
        <v>278</v>
      </c>
      <c r="J1906" s="131"/>
      <c r="K1906" s="33" t="s">
        <v>278</v>
      </c>
      <c r="L1906" s="132"/>
      <c r="M1906" s="33" t="s">
        <v>278</v>
      </c>
      <c r="N1906" s="132"/>
      <c r="O1906" s="33" t="s">
        <v>278</v>
      </c>
      <c r="P1906" s="132"/>
      <c r="Q1906" s="33" t="s">
        <v>587</v>
      </c>
      <c r="R1906" s="132"/>
      <c r="S1906" s="33" t="s">
        <v>278</v>
      </c>
      <c r="T1906" s="132"/>
      <c r="U1906" s="33" t="s">
        <v>278</v>
      </c>
      <c r="V1906" s="132"/>
      <c r="W1906" s="59" t="s">
        <v>548</v>
      </c>
      <c r="X1906" s="33" t="str">
        <f>+VLOOKUP(OtherClients[[#This Row],[Part]],PartControl!$A$2:$E$564,5,FALSE)</f>
        <v>infasco</v>
      </c>
      <c r="Y1906" s="108">
        <f>IF(OtherClients[[#This Row],[Re-certified or New]]&lt;&gt;"Re-certified",IF(OtherClients[[#This Row],[Client]]="infasco",VLOOKUP(OtherClients[[#This Row],[Part]],PartControl!$A$2:$E$564,2,FALSE),OtherClients[[#This Row],[Total Quantity]]*VLOOKUP(OtherClients[[#This Row],[Part]],PartControl!$A$2:$E$564,2,FALSE)),0)</f>
        <v>106.94</v>
      </c>
      <c r="Z1906" s="108">
        <f>IF(OtherClients[[#This Row],[Re-certified or New]]&lt;&gt;"Re-certified",IF(OtherClients[[#This Row],[Client]]="infasco",VLOOKUP(OtherClients[[#This Row],[Part]],PartControl!$A$2:$E$564,2,FALSE),OtherClients[[#This Row],[Total Quantity]]*VLOOKUP(OtherClients[[#This Row],[Part]],PartControl!$A$2:$E$564,2,FALSE)),0)</f>
        <v>106.94</v>
      </c>
    </row>
    <row r="1907" spans="1:26" ht="25.15" hidden="1" customHeight="1" x14ac:dyDescent="0.25">
      <c r="A1907" s="112">
        <v>46261.69358796296</v>
      </c>
      <c r="B1907" s="5" t="s">
        <v>624</v>
      </c>
      <c r="C1907" s="5" t="s">
        <v>703</v>
      </c>
      <c r="D1907" s="5">
        <v>717034</v>
      </c>
      <c r="E1907" s="33">
        <v>30</v>
      </c>
      <c r="F1907" s="60">
        <v>700</v>
      </c>
      <c r="G1907" s="60">
        <f>+OtherClients[[#This Row],[Boxes / Pieces]]*OtherClients[[#This Row],[Unit Quantity]]</f>
        <v>21000</v>
      </c>
      <c r="H1907" s="60">
        <v>292</v>
      </c>
      <c r="I1907" s="130" t="s">
        <v>278</v>
      </c>
      <c r="J1907" s="131"/>
      <c r="K1907" s="33" t="s">
        <v>278</v>
      </c>
      <c r="L1907" s="132"/>
      <c r="M1907" s="33" t="s">
        <v>278</v>
      </c>
      <c r="N1907" s="132"/>
      <c r="O1907" s="33" t="s">
        <v>278</v>
      </c>
      <c r="P1907" s="132"/>
      <c r="Q1907" s="33" t="s">
        <v>587</v>
      </c>
      <c r="R1907" s="132"/>
      <c r="S1907" s="33" t="s">
        <v>278</v>
      </c>
      <c r="T1907" s="132"/>
      <c r="U1907" s="33" t="s">
        <v>278</v>
      </c>
      <c r="V1907" s="132"/>
      <c r="W1907" s="59" t="s">
        <v>548</v>
      </c>
      <c r="X1907" s="33" t="str">
        <f>+VLOOKUP(OtherClients[[#This Row],[Part]],PartControl!$A$2:$E$564,5,FALSE)</f>
        <v>infasco</v>
      </c>
      <c r="Y1907" s="108">
        <f>IF(OtherClients[[#This Row],[Re-certified or New]]&lt;&gt;"Re-certified",IF(OtherClients[[#This Row],[Client]]="infasco",VLOOKUP(OtherClients[[#This Row],[Part]],PartControl!$A$2:$E$564,2,FALSE),OtherClients[[#This Row],[Total Quantity]]*VLOOKUP(OtherClients[[#This Row],[Part]],PartControl!$A$2:$E$564,2,FALSE)),0)</f>
        <v>106.94</v>
      </c>
      <c r="Z1907" s="108">
        <f>IF(OtherClients[[#This Row],[Re-certified or New]]&lt;&gt;"Re-certified",IF(OtherClients[[#This Row],[Client]]="infasco",VLOOKUP(OtherClients[[#This Row],[Part]],PartControl!$A$2:$E$564,2,FALSE),OtherClients[[#This Row],[Total Quantity]]*VLOOKUP(OtherClients[[#This Row],[Part]],PartControl!$A$2:$E$564,2,FALSE)),0)</f>
        <v>106.94</v>
      </c>
    </row>
    <row r="1908" spans="1:26" ht="25.15" hidden="1" customHeight="1" x14ac:dyDescent="0.25">
      <c r="A1908" s="112">
        <v>46261.69358796296</v>
      </c>
      <c r="B1908" s="5" t="s">
        <v>244</v>
      </c>
      <c r="C1908" s="5" t="s">
        <v>719</v>
      </c>
      <c r="D1908" s="5">
        <v>717630</v>
      </c>
      <c r="E1908" s="33">
        <f>25-5</f>
        <v>20</v>
      </c>
      <c r="F1908" s="60">
        <v>2150</v>
      </c>
      <c r="G1908" s="60">
        <f>+OtherClients[[#This Row],[Boxes / Pieces]]*OtherClients[[#This Row],[Unit Quantity]]</f>
        <v>43000</v>
      </c>
      <c r="H1908" s="60">
        <v>292</v>
      </c>
      <c r="I1908" s="130" t="s">
        <v>278</v>
      </c>
      <c r="J1908" s="131"/>
      <c r="K1908" s="33" t="s">
        <v>278</v>
      </c>
      <c r="L1908" s="132"/>
      <c r="M1908" s="33" t="s">
        <v>278</v>
      </c>
      <c r="N1908" s="132"/>
      <c r="O1908" s="33" t="s">
        <v>278</v>
      </c>
      <c r="P1908" s="132"/>
      <c r="Q1908" s="33" t="s">
        <v>587</v>
      </c>
      <c r="R1908" s="132"/>
      <c r="S1908" s="33" t="s">
        <v>278</v>
      </c>
      <c r="T1908" s="132"/>
      <c r="U1908" s="33" t="s">
        <v>278</v>
      </c>
      <c r="V1908" s="132"/>
      <c r="W1908" s="59" t="s">
        <v>633</v>
      </c>
      <c r="X1908" s="33" t="str">
        <f>+VLOOKUP(OtherClients[[#This Row],[Part]],PartControl!$A$2:$E$564,5,FALSE)</f>
        <v>infasco</v>
      </c>
      <c r="Y1908" s="108">
        <f>IF(OtherClients[[#This Row],[Re-certified or New]]&lt;&gt;"Re-certified",IF(OtherClients[[#This Row],[Client]]="infasco",VLOOKUP(OtherClients[[#This Row],[Part]],PartControl!$A$2:$E$564,2,FALSE),OtherClients[[#This Row],[Total Quantity]]*VLOOKUP(OtherClients[[#This Row],[Part]],PartControl!$A$2:$E$564,2,FALSE)),0)</f>
        <v>0</v>
      </c>
      <c r="Z1908" s="108">
        <f>IF(OtherClients[[#This Row],[Re-certified or New]]&lt;&gt;"Re-certified",IF(OtherClients[[#This Row],[Client]]="infasco",VLOOKUP(OtherClients[[#This Row],[Part]],PartControl!$A$2:$E$564,2,FALSE),OtherClients[[#This Row],[Total Quantity]]*VLOOKUP(OtherClients[[#This Row],[Part]],PartControl!$A$2:$E$564,2,FALSE)),0)</f>
        <v>0</v>
      </c>
    </row>
    <row r="1909" spans="1:26" ht="25.15" hidden="1" customHeight="1" x14ac:dyDescent="0.25">
      <c r="A1909" s="112">
        <v>46261.69358796296</v>
      </c>
      <c r="B1909" s="5" t="s">
        <v>251</v>
      </c>
      <c r="C1909" s="5" t="s">
        <v>703</v>
      </c>
      <c r="D1909" s="5">
        <v>717042</v>
      </c>
      <c r="E1909" s="33">
        <v>12</v>
      </c>
      <c r="F1909" s="60">
        <v>700</v>
      </c>
      <c r="G1909" s="60">
        <f>+OtherClients[[#This Row],[Boxes / Pieces]]*OtherClients[[#This Row],[Unit Quantity]]</f>
        <v>8400</v>
      </c>
      <c r="H1909" s="60">
        <v>292</v>
      </c>
      <c r="I1909" s="130" t="s">
        <v>278</v>
      </c>
      <c r="J1909" s="131"/>
      <c r="K1909" s="33" t="s">
        <v>278</v>
      </c>
      <c r="L1909" s="132"/>
      <c r="M1909" s="33" t="s">
        <v>278</v>
      </c>
      <c r="N1909" s="132"/>
      <c r="O1909" s="33" t="s">
        <v>278</v>
      </c>
      <c r="P1909" s="132"/>
      <c r="Q1909" s="33" t="s">
        <v>587</v>
      </c>
      <c r="R1909" s="132"/>
      <c r="S1909" s="33" t="s">
        <v>278</v>
      </c>
      <c r="T1909" s="132"/>
      <c r="U1909" s="33" t="s">
        <v>278</v>
      </c>
      <c r="V1909" s="132"/>
      <c r="W1909" s="59" t="s">
        <v>548</v>
      </c>
      <c r="X1909" s="33" t="str">
        <f>+VLOOKUP(OtherClients[[#This Row],[Part]],PartControl!$A$2:$E$564,5,FALSE)</f>
        <v>infasco</v>
      </c>
      <c r="Y1909" s="108">
        <f>IF(OtherClients[[#This Row],[Re-certified or New]]&lt;&gt;"Re-certified",IF(OtherClients[[#This Row],[Client]]="infasco",VLOOKUP(OtherClients[[#This Row],[Part]],PartControl!$A$2:$E$564,2,FALSE),OtherClients[[#This Row],[Total Quantity]]*VLOOKUP(OtherClients[[#This Row],[Part]],PartControl!$A$2:$E$564,2,FALSE)),0)</f>
        <v>106.94</v>
      </c>
      <c r="Z1909" s="108">
        <f>IF(OtherClients[[#This Row],[Re-certified or New]]&lt;&gt;"Re-certified",IF(OtherClients[[#This Row],[Client]]="infasco",VLOOKUP(OtherClients[[#This Row],[Part]],PartControl!$A$2:$E$564,2,FALSE),OtherClients[[#This Row],[Total Quantity]]*VLOOKUP(OtherClients[[#This Row],[Part]],PartControl!$A$2:$E$564,2,FALSE)),0)</f>
        <v>106.94</v>
      </c>
    </row>
    <row r="1910" spans="1:26" ht="25.15" hidden="1" customHeight="1" x14ac:dyDescent="0.25">
      <c r="A1910" s="112">
        <v>46261.69358796296</v>
      </c>
      <c r="B1910" s="5" t="s">
        <v>251</v>
      </c>
      <c r="C1910" s="5" t="s">
        <v>703</v>
      </c>
      <c r="D1910" s="5">
        <v>717043</v>
      </c>
      <c r="E1910" s="33">
        <f>24+5</f>
        <v>29</v>
      </c>
      <c r="F1910" s="60">
        <v>700</v>
      </c>
      <c r="G1910" s="60">
        <f>+OtherClients[[#This Row],[Boxes / Pieces]]*OtherClients[[#This Row],[Unit Quantity]]</f>
        <v>20300</v>
      </c>
      <c r="H1910" s="60">
        <v>292</v>
      </c>
      <c r="I1910" s="130" t="s">
        <v>278</v>
      </c>
      <c r="J1910" s="131"/>
      <c r="K1910" s="33" t="s">
        <v>278</v>
      </c>
      <c r="L1910" s="132"/>
      <c r="M1910" s="33" t="s">
        <v>278</v>
      </c>
      <c r="N1910" s="132"/>
      <c r="O1910" s="33" t="s">
        <v>278</v>
      </c>
      <c r="P1910" s="132"/>
      <c r="Q1910" s="33" t="s">
        <v>587</v>
      </c>
      <c r="R1910" s="132"/>
      <c r="S1910" s="33" t="s">
        <v>278</v>
      </c>
      <c r="T1910" s="132"/>
      <c r="U1910" s="33" t="s">
        <v>278</v>
      </c>
      <c r="V1910" s="132"/>
      <c r="W1910" s="59" t="s">
        <v>633</v>
      </c>
      <c r="X1910" s="33" t="str">
        <f>+VLOOKUP(OtherClients[[#This Row],[Part]],PartControl!$A$2:$E$564,5,FALSE)</f>
        <v>infasco</v>
      </c>
      <c r="Y1910" s="108">
        <f>IF(OtherClients[[#This Row],[Re-certified or New]]&lt;&gt;"Re-certified",IF(OtherClients[[#This Row],[Client]]="infasco",VLOOKUP(OtherClients[[#This Row],[Part]],PartControl!$A$2:$E$564,2,FALSE),OtherClients[[#This Row],[Total Quantity]]*VLOOKUP(OtherClients[[#This Row],[Part]],PartControl!$A$2:$E$564,2,FALSE)),0)</f>
        <v>0</v>
      </c>
      <c r="Z1910" s="108">
        <f>IF(OtherClients[[#This Row],[Re-certified or New]]&lt;&gt;"Re-certified",IF(OtherClients[[#This Row],[Client]]="infasco",VLOOKUP(OtherClients[[#This Row],[Part]],PartControl!$A$2:$E$564,2,FALSE),OtherClients[[#This Row],[Total Quantity]]*VLOOKUP(OtherClients[[#This Row],[Part]],PartControl!$A$2:$E$564,2,FALSE)),0)</f>
        <v>0</v>
      </c>
    </row>
    <row r="1911" spans="1:26" ht="25.15" hidden="1" customHeight="1" x14ac:dyDescent="0.25">
      <c r="A1911" s="112">
        <v>46261.69358796296</v>
      </c>
      <c r="B1911" s="5" t="s">
        <v>249</v>
      </c>
      <c r="C1911" s="5">
        <v>11612078</v>
      </c>
      <c r="D1911" s="5">
        <v>708878</v>
      </c>
      <c r="E1911" s="33">
        <v>13</v>
      </c>
      <c r="F1911" s="60">
        <v>1850</v>
      </c>
      <c r="G1911" s="60">
        <f>+OtherClients[[#This Row],[Boxes / Pieces]]*OtherClients[[#This Row],[Unit Quantity]]</f>
        <v>24050</v>
      </c>
      <c r="H1911" s="60">
        <v>4</v>
      </c>
      <c r="I1911" s="130" t="s">
        <v>278</v>
      </c>
      <c r="J1911" s="131"/>
      <c r="K1911" s="33" t="s">
        <v>278</v>
      </c>
      <c r="L1911" s="132"/>
      <c r="M1911" s="33" t="s">
        <v>278</v>
      </c>
      <c r="N1911" s="132"/>
      <c r="O1911" s="33" t="s">
        <v>278</v>
      </c>
      <c r="P1911" s="132"/>
      <c r="Q1911" s="33" t="s">
        <v>587</v>
      </c>
      <c r="R1911" s="132"/>
      <c r="S1911" s="33" t="s">
        <v>278</v>
      </c>
      <c r="T1911" s="132"/>
      <c r="U1911" s="33" t="s">
        <v>278</v>
      </c>
      <c r="V1911" s="132"/>
      <c r="W1911" s="59" t="s">
        <v>548</v>
      </c>
      <c r="X1911" s="33" t="str">
        <f>+VLOOKUP(OtherClients[[#This Row],[Part]],PartControl!$A$2:$E$564,5,FALSE)</f>
        <v>infasco</v>
      </c>
      <c r="Y1911" s="108">
        <f>IF(OtherClients[[#This Row],[Re-certified or New]]&lt;&gt;"Re-certified",IF(OtherClients[[#This Row],[Client]]="infasco",VLOOKUP(OtherClients[[#This Row],[Part]],PartControl!$A$2:$E$564,2,FALSE),OtherClients[[#This Row],[Total Quantity]]*VLOOKUP(OtherClients[[#This Row],[Part]],PartControl!$A$2:$E$564,2,FALSE)),0)</f>
        <v>247.64</v>
      </c>
      <c r="Z1911" s="108">
        <f>IF(OtherClients[[#This Row],[Re-certified or New]]&lt;&gt;"Re-certified",IF(OtherClients[[#This Row],[Client]]="infasco",VLOOKUP(OtherClients[[#This Row],[Part]],PartControl!$A$2:$E$564,2,FALSE),OtherClients[[#This Row],[Total Quantity]]*VLOOKUP(OtherClients[[#This Row],[Part]],PartControl!$A$2:$E$564,2,FALSE)),0)</f>
        <v>247.64</v>
      </c>
    </row>
    <row r="1912" spans="1:26" ht="25.15" hidden="1" customHeight="1" x14ac:dyDescent="0.25">
      <c r="A1912" s="112">
        <v>46261.69358796296</v>
      </c>
      <c r="B1912" s="5" t="s">
        <v>249</v>
      </c>
      <c r="C1912" s="5">
        <v>11612078</v>
      </c>
      <c r="D1912" s="5">
        <v>718161</v>
      </c>
      <c r="E1912" s="33">
        <v>9</v>
      </c>
      <c r="F1912" s="60">
        <v>1850</v>
      </c>
      <c r="G1912" s="60">
        <f>+OtherClients[[#This Row],[Boxes / Pieces]]*OtherClients[[#This Row],[Unit Quantity]]</f>
        <v>16650</v>
      </c>
      <c r="H1912" s="60">
        <v>4</v>
      </c>
      <c r="I1912" s="130" t="s">
        <v>278</v>
      </c>
      <c r="J1912" s="131"/>
      <c r="K1912" s="33" t="s">
        <v>278</v>
      </c>
      <c r="L1912" s="132"/>
      <c r="M1912" s="33" t="s">
        <v>278</v>
      </c>
      <c r="N1912" s="132"/>
      <c r="O1912" s="33" t="s">
        <v>278</v>
      </c>
      <c r="P1912" s="132"/>
      <c r="Q1912" s="33" t="s">
        <v>587</v>
      </c>
      <c r="R1912" s="132"/>
      <c r="S1912" s="33" t="s">
        <v>278</v>
      </c>
      <c r="T1912" s="132"/>
      <c r="U1912" s="33" t="s">
        <v>278</v>
      </c>
      <c r="V1912" s="132"/>
      <c r="W1912" s="59" t="s">
        <v>633</v>
      </c>
      <c r="X1912" s="33" t="str">
        <f>+VLOOKUP(OtherClients[[#This Row],[Part]],PartControl!$A$2:$E$564,5,FALSE)</f>
        <v>infasco</v>
      </c>
      <c r="Y1912" s="108">
        <f>IF(OtherClients[[#This Row],[Re-certified or New]]&lt;&gt;"Re-certified",IF(OtherClients[[#This Row],[Client]]="infasco",VLOOKUP(OtherClients[[#This Row],[Part]],PartControl!$A$2:$E$564,2,FALSE),OtherClients[[#This Row],[Total Quantity]]*VLOOKUP(OtherClients[[#This Row],[Part]],PartControl!$A$2:$E$564,2,FALSE)),0)</f>
        <v>0</v>
      </c>
      <c r="Z1912" s="108">
        <f>IF(OtherClients[[#This Row],[Re-certified or New]]&lt;&gt;"Re-certified",IF(OtherClients[[#This Row],[Client]]="infasco",VLOOKUP(OtherClients[[#This Row],[Part]],PartControl!$A$2:$E$564,2,FALSE),OtherClients[[#This Row],[Total Quantity]]*VLOOKUP(OtherClients[[#This Row],[Part]],PartControl!$A$2:$E$564,2,FALSE)),0)</f>
        <v>0</v>
      </c>
    </row>
    <row r="1913" spans="1:26" ht="25.15" hidden="1" customHeight="1" x14ac:dyDescent="0.25">
      <c r="A1913" s="112">
        <v>46261.69358796296</v>
      </c>
      <c r="B1913" s="5" t="s">
        <v>246</v>
      </c>
      <c r="C1913" s="5" t="s">
        <v>732</v>
      </c>
      <c r="D1913" s="5">
        <v>710832</v>
      </c>
      <c r="E1913" s="33">
        <v>13</v>
      </c>
      <c r="F1913" s="60">
        <v>1000</v>
      </c>
      <c r="G1913" s="60">
        <f>+OtherClients[[#This Row],[Boxes / Pieces]]*OtherClients[[#This Row],[Unit Quantity]]</f>
        <v>13000</v>
      </c>
      <c r="H1913" s="60">
        <v>272</v>
      </c>
      <c r="I1913" s="130" t="s">
        <v>278</v>
      </c>
      <c r="J1913" s="131"/>
      <c r="K1913" s="33" t="s">
        <v>278</v>
      </c>
      <c r="L1913" s="132"/>
      <c r="M1913" s="33" t="s">
        <v>278</v>
      </c>
      <c r="N1913" s="132"/>
      <c r="O1913" s="33" t="s">
        <v>278</v>
      </c>
      <c r="P1913" s="132"/>
      <c r="Q1913" s="33" t="s">
        <v>587</v>
      </c>
      <c r="R1913" s="132"/>
      <c r="S1913" s="33" t="s">
        <v>278</v>
      </c>
      <c r="T1913" s="132"/>
      <c r="U1913" s="33" t="s">
        <v>278</v>
      </c>
      <c r="V1913" s="132"/>
      <c r="W1913" s="59" t="s">
        <v>548</v>
      </c>
      <c r="X1913" s="33" t="str">
        <f>+VLOOKUP(OtherClients[[#This Row],[Part]],PartControl!$A$2:$E$564,5,FALSE)</f>
        <v>infasco</v>
      </c>
      <c r="Y1913" s="108">
        <f>IF(OtherClients[[#This Row],[Re-certified or New]]&lt;&gt;"Re-certified",IF(OtherClients[[#This Row],[Client]]="infasco",VLOOKUP(OtherClients[[#This Row],[Part]],PartControl!$A$2:$E$564,2,FALSE),OtherClients[[#This Row],[Total Quantity]]*VLOOKUP(OtherClients[[#This Row],[Part]],PartControl!$A$2:$E$564,2,FALSE)),0)</f>
        <v>213.88</v>
      </c>
      <c r="Z1913" s="108">
        <f>IF(OtherClients[[#This Row],[Re-certified or New]]&lt;&gt;"Re-certified",IF(OtherClients[[#This Row],[Client]]="infasco",VLOOKUP(OtherClients[[#This Row],[Part]],PartControl!$A$2:$E$564,2,FALSE),OtherClients[[#This Row],[Total Quantity]]*VLOOKUP(OtherClients[[#This Row],[Part]],PartControl!$A$2:$E$564,2,FALSE)),0)</f>
        <v>213.88</v>
      </c>
    </row>
    <row r="1914" spans="1:26" ht="25.15" hidden="1" customHeight="1" x14ac:dyDescent="0.25">
      <c r="A1914" s="112">
        <v>46261.69358796296</v>
      </c>
      <c r="B1914" s="5" t="s">
        <v>246</v>
      </c>
      <c r="C1914" s="5" t="s">
        <v>732</v>
      </c>
      <c r="D1914" s="5">
        <v>710831</v>
      </c>
      <c r="E1914" s="33">
        <v>28</v>
      </c>
      <c r="F1914" s="60">
        <v>1000</v>
      </c>
      <c r="G1914" s="60">
        <f>+OtherClients[[#This Row],[Boxes / Pieces]]*OtherClients[[#This Row],[Unit Quantity]]</f>
        <v>28000</v>
      </c>
      <c r="H1914" s="60">
        <v>272</v>
      </c>
      <c r="I1914" s="130" t="s">
        <v>278</v>
      </c>
      <c r="J1914" s="131"/>
      <c r="K1914" s="33" t="s">
        <v>278</v>
      </c>
      <c r="L1914" s="132"/>
      <c r="M1914" s="33" t="s">
        <v>278</v>
      </c>
      <c r="N1914" s="132"/>
      <c r="O1914" s="33" t="s">
        <v>278</v>
      </c>
      <c r="P1914" s="132"/>
      <c r="Q1914" s="33" t="s">
        <v>587</v>
      </c>
      <c r="R1914" s="132"/>
      <c r="S1914" s="33" t="s">
        <v>278</v>
      </c>
      <c r="T1914" s="132"/>
      <c r="U1914" s="33" t="s">
        <v>278</v>
      </c>
      <c r="V1914" s="132"/>
      <c r="W1914" s="59" t="s">
        <v>548</v>
      </c>
      <c r="X1914" s="33" t="str">
        <f>+VLOOKUP(OtherClients[[#This Row],[Part]],PartControl!$A$2:$E$564,5,FALSE)</f>
        <v>infasco</v>
      </c>
      <c r="Y1914" s="108">
        <f>IF(OtherClients[[#This Row],[Re-certified or New]]&lt;&gt;"Re-certified",IF(OtherClients[[#This Row],[Client]]="infasco",VLOOKUP(OtherClients[[#This Row],[Part]],PartControl!$A$2:$E$564,2,FALSE),OtherClients[[#This Row],[Total Quantity]]*VLOOKUP(OtherClients[[#This Row],[Part]],PartControl!$A$2:$E$564,2,FALSE)),0)</f>
        <v>213.88</v>
      </c>
      <c r="Z1914" s="108">
        <f>IF(OtherClients[[#This Row],[Re-certified or New]]&lt;&gt;"Re-certified",IF(OtherClients[[#This Row],[Client]]="infasco",VLOOKUP(OtherClients[[#This Row],[Part]],PartControl!$A$2:$E$564,2,FALSE),OtherClients[[#This Row],[Total Quantity]]*VLOOKUP(OtherClients[[#This Row],[Part]],PartControl!$A$2:$E$564,2,FALSE)),0)</f>
        <v>213.88</v>
      </c>
    </row>
    <row r="1915" spans="1:26" ht="25.15" hidden="1" customHeight="1" x14ac:dyDescent="0.25">
      <c r="A1915" s="112">
        <v>46261.69358796296</v>
      </c>
      <c r="B1915" s="5" t="s">
        <v>636</v>
      </c>
      <c r="C1915" s="5" t="s">
        <v>703</v>
      </c>
      <c r="D1915" s="5">
        <v>716379</v>
      </c>
      <c r="E1915" s="33">
        <f>36-17</f>
        <v>19</v>
      </c>
      <c r="F1915" s="60">
        <v>700</v>
      </c>
      <c r="G1915" s="60">
        <f>+OtherClients[[#This Row],[Boxes / Pieces]]*OtherClients[[#This Row],[Unit Quantity]]</f>
        <v>13300</v>
      </c>
      <c r="H1915" s="60">
        <v>280</v>
      </c>
      <c r="I1915" s="130" t="s">
        <v>278</v>
      </c>
      <c r="J1915" s="131"/>
      <c r="K1915" s="33" t="s">
        <v>278</v>
      </c>
      <c r="L1915" s="132"/>
      <c r="M1915" s="33" t="s">
        <v>278</v>
      </c>
      <c r="N1915" s="132"/>
      <c r="O1915" s="33" t="s">
        <v>278</v>
      </c>
      <c r="P1915" s="132"/>
      <c r="Q1915" s="33" t="s">
        <v>587</v>
      </c>
      <c r="R1915" s="132"/>
      <c r="S1915" s="33" t="s">
        <v>278</v>
      </c>
      <c r="T1915" s="132"/>
      <c r="U1915" s="33" t="s">
        <v>278</v>
      </c>
      <c r="V1915" s="132"/>
      <c r="W1915" s="59" t="s">
        <v>548</v>
      </c>
      <c r="X1915" s="33" t="str">
        <f>+VLOOKUP(OtherClients[[#This Row],[Part]],PartControl!$A$2:$E$564,5,FALSE)</f>
        <v>infasco</v>
      </c>
      <c r="Y1915" s="108">
        <f>IF(OtherClients[[#This Row],[Re-certified or New]]&lt;&gt;"Re-certified",IF(OtherClients[[#This Row],[Client]]="infasco",VLOOKUP(OtherClients[[#This Row],[Part]],PartControl!$A$2:$E$564,2,FALSE),OtherClients[[#This Row],[Total Quantity]]*VLOOKUP(OtherClients[[#This Row],[Part]],PartControl!$A$2:$E$564,2,FALSE)),0)</f>
        <v>106.94</v>
      </c>
      <c r="Z1915" s="108">
        <f>IF(OtherClients[[#This Row],[Re-certified or New]]&lt;&gt;"Re-certified",IF(OtherClients[[#This Row],[Client]]="infasco",VLOOKUP(OtherClients[[#This Row],[Part]],PartControl!$A$2:$E$564,2,FALSE),OtherClients[[#This Row],[Total Quantity]]*VLOOKUP(OtherClients[[#This Row],[Part]],PartControl!$A$2:$E$564,2,FALSE)),0)</f>
        <v>106.94</v>
      </c>
    </row>
    <row r="1916" spans="1:26" ht="25.15" hidden="1" customHeight="1" x14ac:dyDescent="0.25">
      <c r="A1916" s="112">
        <v>46261.69358796296</v>
      </c>
      <c r="B1916" s="5" t="s">
        <v>636</v>
      </c>
      <c r="C1916" s="5" t="s">
        <v>703</v>
      </c>
      <c r="D1916" s="5">
        <v>717040</v>
      </c>
      <c r="E1916" s="33">
        <v>20</v>
      </c>
      <c r="F1916" s="60">
        <v>700</v>
      </c>
      <c r="G1916" s="60">
        <f>+OtherClients[[#This Row],[Boxes / Pieces]]*OtherClients[[#This Row],[Unit Quantity]]</f>
        <v>14000</v>
      </c>
      <c r="H1916" s="60">
        <v>280</v>
      </c>
      <c r="I1916" s="130" t="s">
        <v>278</v>
      </c>
      <c r="J1916" s="131"/>
      <c r="K1916" s="33" t="s">
        <v>278</v>
      </c>
      <c r="L1916" s="132"/>
      <c r="M1916" s="33" t="s">
        <v>278</v>
      </c>
      <c r="N1916" s="132"/>
      <c r="O1916" s="33" t="s">
        <v>278</v>
      </c>
      <c r="P1916" s="132"/>
      <c r="Q1916" s="33" t="s">
        <v>587</v>
      </c>
      <c r="R1916" s="132"/>
      <c r="S1916" s="33" t="s">
        <v>278</v>
      </c>
      <c r="T1916" s="132"/>
      <c r="U1916" s="33" t="s">
        <v>278</v>
      </c>
      <c r="V1916" s="132"/>
      <c r="W1916" s="59" t="s">
        <v>633</v>
      </c>
      <c r="X1916" s="33" t="str">
        <f>+VLOOKUP(OtherClients[[#This Row],[Part]],PartControl!$A$2:$E$564,5,FALSE)</f>
        <v>infasco</v>
      </c>
      <c r="Y1916" s="108">
        <f>IF(OtherClients[[#This Row],[Re-certified or New]]&lt;&gt;"Re-certified",IF(OtherClients[[#This Row],[Client]]="infasco",VLOOKUP(OtherClients[[#This Row],[Part]],PartControl!$A$2:$E$564,2,FALSE),OtherClients[[#This Row],[Total Quantity]]*VLOOKUP(OtherClients[[#This Row],[Part]],PartControl!$A$2:$E$564,2,FALSE)),0)</f>
        <v>0</v>
      </c>
      <c r="Z1916" s="108">
        <f>IF(OtherClients[[#This Row],[Re-certified or New]]&lt;&gt;"Re-certified",IF(OtherClients[[#This Row],[Client]]="infasco",VLOOKUP(OtherClients[[#This Row],[Part]],PartControl!$A$2:$E$564,2,FALSE),OtherClients[[#This Row],[Total Quantity]]*VLOOKUP(OtherClients[[#This Row],[Part]],PartControl!$A$2:$E$564,2,FALSE)),0)</f>
        <v>0</v>
      </c>
    </row>
    <row r="1917" spans="1:26" ht="25.15" hidden="1" customHeight="1" x14ac:dyDescent="0.25">
      <c r="A1917" s="112">
        <v>46261.69358796296</v>
      </c>
      <c r="B1917" s="5" t="s">
        <v>637</v>
      </c>
      <c r="C1917" s="5">
        <v>11546448</v>
      </c>
      <c r="D1917" s="5">
        <v>716857</v>
      </c>
      <c r="E1917" s="33">
        <f>22-14</f>
        <v>8</v>
      </c>
      <c r="F1917" s="60">
        <v>3300</v>
      </c>
      <c r="G1917" s="60">
        <f>+OtherClients[[#This Row],[Boxes / Pieces]]*OtherClients[[#This Row],[Unit Quantity]]</f>
        <v>26400</v>
      </c>
      <c r="H1917" s="60">
        <v>280</v>
      </c>
      <c r="I1917" s="130" t="s">
        <v>278</v>
      </c>
      <c r="J1917" s="131"/>
      <c r="K1917" s="33" t="s">
        <v>278</v>
      </c>
      <c r="L1917" s="132"/>
      <c r="M1917" s="33" t="s">
        <v>278</v>
      </c>
      <c r="N1917" s="132"/>
      <c r="O1917" s="33" t="s">
        <v>278</v>
      </c>
      <c r="P1917" s="132"/>
      <c r="Q1917" s="33" t="s">
        <v>587</v>
      </c>
      <c r="R1917" s="132"/>
      <c r="S1917" s="33" t="s">
        <v>278</v>
      </c>
      <c r="T1917" s="132"/>
      <c r="U1917" s="33" t="s">
        <v>278</v>
      </c>
      <c r="V1917" s="132"/>
      <c r="W1917" s="59" t="s">
        <v>548</v>
      </c>
      <c r="X1917" s="33" t="str">
        <f>+VLOOKUP(OtherClients[[#This Row],[Part]],PartControl!$A$2:$E$564,5,FALSE)</f>
        <v>Infasco</v>
      </c>
      <c r="Y1917" s="108">
        <f>IF(OtherClients[[#This Row],[Re-certified or New]]&lt;&gt;"Re-certified",IF(OtherClients[[#This Row],[Client]]="infasco",VLOOKUP(OtherClients[[#This Row],[Part]],PartControl!$A$2:$E$564,2,FALSE),OtherClients[[#This Row],[Total Quantity]]*VLOOKUP(OtherClients[[#This Row],[Part]],PartControl!$A$2:$E$564,2,FALSE)),0)</f>
        <v>106.94</v>
      </c>
      <c r="Z1917" s="108">
        <f>IF(OtherClients[[#This Row],[Re-certified or New]]&lt;&gt;"Re-certified",IF(OtherClients[[#This Row],[Client]]="infasco",VLOOKUP(OtherClients[[#This Row],[Part]],PartControl!$A$2:$E$564,2,FALSE),OtherClients[[#This Row],[Total Quantity]]*VLOOKUP(OtherClients[[#This Row],[Part]],PartControl!$A$2:$E$564,2,FALSE)),0)</f>
        <v>106.94</v>
      </c>
    </row>
    <row r="1918" spans="1:26" ht="25.15" hidden="1" customHeight="1" x14ac:dyDescent="0.25">
      <c r="A1918" s="112">
        <v>46261.69358796296</v>
      </c>
      <c r="B1918" s="5" t="s">
        <v>637</v>
      </c>
      <c r="C1918" s="5">
        <v>11546448</v>
      </c>
      <c r="D1918" s="5">
        <v>7116854</v>
      </c>
      <c r="E1918" s="33">
        <v>34</v>
      </c>
      <c r="F1918" s="60">
        <v>3300</v>
      </c>
      <c r="G1918" s="60">
        <f>+OtherClients[[#This Row],[Boxes / Pieces]]*OtherClients[[#This Row],[Unit Quantity]]</f>
        <v>112200</v>
      </c>
      <c r="H1918" s="60">
        <v>280</v>
      </c>
      <c r="I1918" s="130" t="s">
        <v>278</v>
      </c>
      <c r="J1918" s="131"/>
      <c r="K1918" s="33" t="s">
        <v>278</v>
      </c>
      <c r="L1918" s="132"/>
      <c r="M1918" s="33" t="s">
        <v>278</v>
      </c>
      <c r="N1918" s="132"/>
      <c r="O1918" s="33" t="s">
        <v>278</v>
      </c>
      <c r="P1918" s="132"/>
      <c r="Q1918" s="33" t="s">
        <v>587</v>
      </c>
      <c r="R1918" s="132"/>
      <c r="S1918" s="33" t="s">
        <v>278</v>
      </c>
      <c r="T1918" s="132"/>
      <c r="U1918" s="33" t="s">
        <v>278</v>
      </c>
      <c r="V1918" s="132"/>
      <c r="W1918" s="59" t="s">
        <v>548</v>
      </c>
      <c r="X1918" s="33" t="str">
        <f>+VLOOKUP(OtherClients[[#This Row],[Part]],PartControl!$A$2:$E$564,5,FALSE)</f>
        <v>Infasco</v>
      </c>
      <c r="Y1918" s="108">
        <f>IF(OtherClients[[#This Row],[Re-certified or New]]&lt;&gt;"Re-certified",IF(OtherClients[[#This Row],[Client]]="infasco",VLOOKUP(OtherClients[[#This Row],[Part]],PartControl!$A$2:$E$564,2,FALSE),OtherClients[[#This Row],[Total Quantity]]*VLOOKUP(OtherClients[[#This Row],[Part]],PartControl!$A$2:$E$564,2,FALSE)),0)</f>
        <v>106.94</v>
      </c>
      <c r="Z1918" s="108">
        <f>IF(OtherClients[[#This Row],[Re-certified or New]]&lt;&gt;"Re-certified",IF(OtherClients[[#This Row],[Client]]="infasco",VLOOKUP(OtherClients[[#This Row],[Part]],PartControl!$A$2:$E$564,2,FALSE),OtherClients[[#This Row],[Total Quantity]]*VLOOKUP(OtherClients[[#This Row],[Part]],PartControl!$A$2:$E$564,2,FALSE)),0)</f>
        <v>106.94</v>
      </c>
    </row>
    <row r="1919" spans="1:26" ht="25.15" hidden="1" customHeight="1" x14ac:dyDescent="0.25">
      <c r="A1919" s="112">
        <v>46261.69358796296</v>
      </c>
      <c r="B1919" s="5" t="s">
        <v>637</v>
      </c>
      <c r="C1919" s="5">
        <v>11561645</v>
      </c>
      <c r="D1919" s="5">
        <v>716907</v>
      </c>
      <c r="E1919" s="33">
        <v>20</v>
      </c>
      <c r="F1919" s="60">
        <v>4000</v>
      </c>
      <c r="G1919" s="60">
        <f>+OtherClients[[#This Row],[Boxes / Pieces]]*OtherClients[[#This Row],[Unit Quantity]]</f>
        <v>80000</v>
      </c>
      <c r="H1919" s="60">
        <v>280</v>
      </c>
      <c r="I1919" s="130" t="s">
        <v>278</v>
      </c>
      <c r="J1919" s="131"/>
      <c r="K1919" s="33" t="s">
        <v>278</v>
      </c>
      <c r="L1919" s="132"/>
      <c r="M1919" s="33" t="s">
        <v>278</v>
      </c>
      <c r="N1919" s="132"/>
      <c r="O1919" s="33" t="s">
        <v>278</v>
      </c>
      <c r="P1919" s="132"/>
      <c r="Q1919" s="33" t="s">
        <v>587</v>
      </c>
      <c r="R1919" s="132"/>
      <c r="S1919" s="33" t="s">
        <v>278</v>
      </c>
      <c r="T1919" s="132"/>
      <c r="U1919" s="33" t="s">
        <v>278</v>
      </c>
      <c r="V1919" s="132"/>
      <c r="W1919" s="59" t="s">
        <v>633</v>
      </c>
      <c r="X1919" s="33" t="str">
        <f>+VLOOKUP(OtherClients[[#This Row],[Part]],PartControl!$A$2:$E$564,5,FALSE)</f>
        <v>infasco</v>
      </c>
      <c r="Y1919" s="108">
        <f>IF(OtherClients[[#This Row],[Re-certified or New]]&lt;&gt;"Re-certified",IF(OtherClients[[#This Row],[Client]]="infasco",VLOOKUP(OtherClients[[#This Row],[Part]],PartControl!$A$2:$E$564,2,FALSE),OtherClients[[#This Row],[Total Quantity]]*VLOOKUP(OtherClients[[#This Row],[Part]],PartControl!$A$2:$E$564,2,FALSE)),0)</f>
        <v>0</v>
      </c>
      <c r="Z1919" s="108">
        <f>IF(OtherClients[[#This Row],[Re-certified or New]]&lt;&gt;"Re-certified",IF(OtherClients[[#This Row],[Client]]="infasco",VLOOKUP(OtherClients[[#This Row],[Part]],PartControl!$A$2:$E$564,2,FALSE),OtherClients[[#This Row],[Total Quantity]]*VLOOKUP(OtherClients[[#This Row],[Part]],PartControl!$A$2:$E$564,2,FALSE)),0)</f>
        <v>0</v>
      </c>
    </row>
    <row r="1920" spans="1:26" ht="25.15" hidden="1" customHeight="1" x14ac:dyDescent="0.25">
      <c r="A1920" s="112">
        <v>46261.69358796296</v>
      </c>
      <c r="B1920" s="5" t="s">
        <v>357</v>
      </c>
      <c r="C1920" s="5">
        <v>11546448</v>
      </c>
      <c r="D1920" s="5">
        <v>716856</v>
      </c>
      <c r="E1920" s="33">
        <v>28</v>
      </c>
      <c r="F1920" s="60">
        <v>3300</v>
      </c>
      <c r="G1920" s="60">
        <f>+OtherClients[[#This Row],[Boxes / Pieces]]*OtherClients[[#This Row],[Unit Quantity]]</f>
        <v>92400</v>
      </c>
      <c r="H1920" s="60">
        <v>280</v>
      </c>
      <c r="I1920" s="130" t="s">
        <v>278</v>
      </c>
      <c r="J1920" s="131"/>
      <c r="K1920" s="33" t="s">
        <v>278</v>
      </c>
      <c r="L1920" s="132"/>
      <c r="M1920" s="33" t="s">
        <v>278</v>
      </c>
      <c r="N1920" s="132"/>
      <c r="O1920" s="33" t="s">
        <v>278</v>
      </c>
      <c r="P1920" s="132"/>
      <c r="Q1920" s="33" t="s">
        <v>587</v>
      </c>
      <c r="R1920" s="132"/>
      <c r="S1920" s="33" t="s">
        <v>278</v>
      </c>
      <c r="T1920" s="132"/>
      <c r="U1920" s="33" t="s">
        <v>278</v>
      </c>
      <c r="V1920" s="132"/>
      <c r="W1920" s="59" t="s">
        <v>548</v>
      </c>
      <c r="X1920" s="33" t="str">
        <f>+VLOOKUP(OtherClients[[#This Row],[Part]],PartControl!$A$2:$E$564,5,FALSE)</f>
        <v>Infasco</v>
      </c>
      <c r="Y1920" s="108">
        <f>IF(OtherClients[[#This Row],[Re-certified or New]]&lt;&gt;"Re-certified",IF(OtherClients[[#This Row],[Client]]="infasco",VLOOKUP(OtherClients[[#This Row],[Part]],PartControl!$A$2:$E$564,2,FALSE),OtherClients[[#This Row],[Total Quantity]]*VLOOKUP(OtherClients[[#This Row],[Part]],PartControl!$A$2:$E$564,2,FALSE)),0)</f>
        <v>106.94</v>
      </c>
      <c r="Z1920" s="108">
        <f>IF(OtherClients[[#This Row],[Re-certified or New]]&lt;&gt;"Re-certified",IF(OtherClients[[#This Row],[Client]]="infasco",VLOOKUP(OtherClients[[#This Row],[Part]],PartControl!$A$2:$E$564,2,FALSE),OtherClients[[#This Row],[Total Quantity]]*VLOOKUP(OtherClients[[#This Row],[Part]],PartControl!$A$2:$E$564,2,FALSE)),0)</f>
        <v>106.94</v>
      </c>
    </row>
    <row r="1921" spans="1:26" ht="25.15" hidden="1" customHeight="1" x14ac:dyDescent="0.25">
      <c r="A1921" s="112">
        <v>46261.69358796296</v>
      </c>
      <c r="B1921" s="5" t="s">
        <v>357</v>
      </c>
      <c r="C1921" s="5">
        <v>11546448</v>
      </c>
      <c r="D1921" s="5">
        <v>716855</v>
      </c>
      <c r="E1921" s="33">
        <v>27</v>
      </c>
      <c r="F1921" s="60">
        <v>3300</v>
      </c>
      <c r="G1921" s="60">
        <f>+OtherClients[[#This Row],[Boxes / Pieces]]*OtherClients[[#This Row],[Unit Quantity]]</f>
        <v>89100</v>
      </c>
      <c r="H1921" s="60">
        <v>280</v>
      </c>
      <c r="I1921" s="130" t="s">
        <v>278</v>
      </c>
      <c r="J1921" s="131"/>
      <c r="K1921" s="33" t="s">
        <v>278</v>
      </c>
      <c r="L1921" s="132"/>
      <c r="M1921" s="33" t="s">
        <v>278</v>
      </c>
      <c r="N1921" s="132"/>
      <c r="O1921" s="33" t="s">
        <v>278</v>
      </c>
      <c r="P1921" s="132"/>
      <c r="Q1921" s="33" t="s">
        <v>587</v>
      </c>
      <c r="R1921" s="132"/>
      <c r="S1921" s="33" t="s">
        <v>278</v>
      </c>
      <c r="T1921" s="132"/>
      <c r="U1921" s="33" t="s">
        <v>278</v>
      </c>
      <c r="V1921" s="132"/>
      <c r="W1921" s="59" t="s">
        <v>633</v>
      </c>
      <c r="X1921" s="33" t="str">
        <f>+VLOOKUP(OtherClients[[#This Row],[Part]],PartControl!$A$2:$E$564,5,FALSE)</f>
        <v>Infasco</v>
      </c>
      <c r="Y1921" s="108">
        <f>IF(OtherClients[[#This Row],[Re-certified or New]]&lt;&gt;"Re-certified",IF(OtherClients[[#This Row],[Client]]="infasco",VLOOKUP(OtherClients[[#This Row],[Part]],PartControl!$A$2:$E$564,2,FALSE),OtherClients[[#This Row],[Total Quantity]]*VLOOKUP(OtherClients[[#This Row],[Part]],PartControl!$A$2:$E$564,2,FALSE)),0)</f>
        <v>0</v>
      </c>
      <c r="Z1921" s="108">
        <f>IF(OtherClients[[#This Row],[Re-certified or New]]&lt;&gt;"Re-certified",IF(OtherClients[[#This Row],[Client]]="infasco",VLOOKUP(OtherClients[[#This Row],[Part]],PartControl!$A$2:$E$564,2,FALSE),OtherClients[[#This Row],[Total Quantity]]*VLOOKUP(OtherClients[[#This Row],[Part]],PartControl!$A$2:$E$564,2,FALSE)),0)</f>
        <v>0</v>
      </c>
    </row>
    <row r="1922" spans="1:26" ht="25.15" hidden="1" customHeight="1" x14ac:dyDescent="0.25">
      <c r="A1922" s="112">
        <v>46261.69358796296</v>
      </c>
      <c r="B1922" s="5" t="s">
        <v>635</v>
      </c>
      <c r="C1922" s="5">
        <v>11546456</v>
      </c>
      <c r="D1922" s="5">
        <v>717073</v>
      </c>
      <c r="E1922" s="33">
        <f>32-24</f>
        <v>8</v>
      </c>
      <c r="F1922" s="60">
        <v>2700</v>
      </c>
      <c r="G1922" s="60">
        <f>+OtherClients[[#This Row],[Boxes / Pieces]]*OtherClients[[#This Row],[Unit Quantity]]</f>
        <v>21600</v>
      </c>
      <c r="H1922" s="60">
        <v>280</v>
      </c>
      <c r="I1922" s="130" t="s">
        <v>278</v>
      </c>
      <c r="J1922" s="131"/>
      <c r="K1922" s="33" t="s">
        <v>278</v>
      </c>
      <c r="L1922" s="132"/>
      <c r="M1922" s="33" t="s">
        <v>278</v>
      </c>
      <c r="N1922" s="132"/>
      <c r="O1922" s="33" t="s">
        <v>278</v>
      </c>
      <c r="P1922" s="132"/>
      <c r="Q1922" s="33" t="s">
        <v>587</v>
      </c>
      <c r="R1922" s="132"/>
      <c r="S1922" s="33" t="s">
        <v>278</v>
      </c>
      <c r="T1922" s="132"/>
      <c r="U1922" s="33" t="s">
        <v>278</v>
      </c>
      <c r="V1922" s="132"/>
      <c r="W1922" s="59" t="s">
        <v>548</v>
      </c>
      <c r="X1922" s="33" t="str">
        <f>+VLOOKUP(OtherClients[[#This Row],[Part]],PartControl!$A$2:$E$564,5,FALSE)</f>
        <v>INFASCO</v>
      </c>
      <c r="Y1922" s="108">
        <f>IF(OtherClients[[#This Row],[Re-certified or New]]&lt;&gt;"Re-certified",IF(OtherClients[[#This Row],[Client]]="infasco",VLOOKUP(OtherClients[[#This Row],[Part]],PartControl!$A$2:$E$564,2,FALSE),OtherClients[[#This Row],[Total Quantity]]*VLOOKUP(OtherClients[[#This Row],[Part]],PartControl!$A$2:$E$564,2,FALSE)),0)</f>
        <v>106.94</v>
      </c>
      <c r="Z1922" s="108">
        <f>IF(OtherClients[[#This Row],[Re-certified or New]]&lt;&gt;"Re-certified",IF(OtherClients[[#This Row],[Client]]="infasco",VLOOKUP(OtherClients[[#This Row],[Part]],PartControl!$A$2:$E$564,2,FALSE),OtherClients[[#This Row],[Total Quantity]]*VLOOKUP(OtherClients[[#This Row],[Part]],PartControl!$A$2:$E$564,2,FALSE)),0)</f>
        <v>106.94</v>
      </c>
    </row>
    <row r="1923" spans="1:26" ht="25.15" hidden="1" customHeight="1" x14ac:dyDescent="0.25">
      <c r="A1923" s="112">
        <v>46261.69358796296</v>
      </c>
      <c r="B1923" s="5" t="s">
        <v>635</v>
      </c>
      <c r="C1923" s="5" t="s">
        <v>718</v>
      </c>
      <c r="D1923" s="5">
        <v>716901</v>
      </c>
      <c r="E1923" s="33">
        <v>10</v>
      </c>
      <c r="F1923" s="60">
        <v>3500</v>
      </c>
      <c r="G1923" s="60">
        <f>+OtherClients[[#This Row],[Boxes / Pieces]]*OtherClients[[#This Row],[Unit Quantity]]</f>
        <v>35000</v>
      </c>
      <c r="H1923" s="60">
        <v>280</v>
      </c>
      <c r="I1923" s="130" t="s">
        <v>278</v>
      </c>
      <c r="J1923" s="131"/>
      <c r="K1923" s="33" t="s">
        <v>278</v>
      </c>
      <c r="L1923" s="132"/>
      <c r="M1923" s="33" t="s">
        <v>278</v>
      </c>
      <c r="N1923" s="132"/>
      <c r="O1923" s="33" t="s">
        <v>278</v>
      </c>
      <c r="P1923" s="132"/>
      <c r="Q1923" s="33" t="s">
        <v>587</v>
      </c>
      <c r="R1923" s="132"/>
      <c r="S1923" s="33" t="s">
        <v>278</v>
      </c>
      <c r="T1923" s="132"/>
      <c r="U1923" s="33" t="s">
        <v>278</v>
      </c>
      <c r="V1923" s="132"/>
      <c r="W1923" s="59" t="s">
        <v>633</v>
      </c>
      <c r="X1923" s="33" t="str">
        <f>+VLOOKUP(OtherClients[[#This Row],[Part]],PartControl!$A$2:$E$564,5,FALSE)</f>
        <v>infasco</v>
      </c>
      <c r="Y1923" s="108">
        <f>IF(OtherClients[[#This Row],[Re-certified or New]]&lt;&gt;"Re-certified",IF(OtherClients[[#This Row],[Client]]="infasco",VLOOKUP(OtherClients[[#This Row],[Part]],PartControl!$A$2:$E$564,2,FALSE),OtherClients[[#This Row],[Total Quantity]]*VLOOKUP(OtherClients[[#This Row],[Part]],PartControl!$A$2:$E$564,2,FALSE)),0)</f>
        <v>0</v>
      </c>
      <c r="Z1923" s="108">
        <f>IF(OtherClients[[#This Row],[Re-certified or New]]&lt;&gt;"Re-certified",IF(OtherClients[[#This Row],[Client]]="infasco",VLOOKUP(OtherClients[[#This Row],[Part]],PartControl!$A$2:$E$564,2,FALSE),OtherClients[[#This Row],[Total Quantity]]*VLOOKUP(OtherClients[[#This Row],[Part]],PartControl!$A$2:$E$564,2,FALSE)),0)</f>
        <v>0</v>
      </c>
    </row>
    <row r="1924" spans="1:26" ht="25.15" hidden="1" customHeight="1" x14ac:dyDescent="0.25">
      <c r="A1924" s="112">
        <v>46261.69358796296</v>
      </c>
      <c r="B1924" s="5" t="s">
        <v>634</v>
      </c>
      <c r="C1924" s="5" t="s">
        <v>848</v>
      </c>
      <c r="D1924" s="5">
        <v>717111</v>
      </c>
      <c r="E1924" s="33">
        <f>26-17</f>
        <v>9</v>
      </c>
      <c r="F1924" s="60">
        <v>3200</v>
      </c>
      <c r="G1924" s="60">
        <f>+OtherClients[[#This Row],[Boxes / Pieces]]*OtherClients[[#This Row],[Unit Quantity]]</f>
        <v>28800</v>
      </c>
      <c r="H1924" s="60">
        <v>280</v>
      </c>
      <c r="I1924" s="130" t="s">
        <v>278</v>
      </c>
      <c r="J1924" s="131"/>
      <c r="K1924" s="33" t="s">
        <v>278</v>
      </c>
      <c r="L1924" s="132"/>
      <c r="M1924" s="33" t="s">
        <v>278</v>
      </c>
      <c r="N1924" s="132"/>
      <c r="O1924" s="33" t="s">
        <v>278</v>
      </c>
      <c r="P1924" s="132"/>
      <c r="Q1924" s="33" t="s">
        <v>587</v>
      </c>
      <c r="R1924" s="132"/>
      <c r="S1924" s="33" t="s">
        <v>278</v>
      </c>
      <c r="T1924" s="132"/>
      <c r="U1924" s="33" t="s">
        <v>278</v>
      </c>
      <c r="V1924" s="132"/>
      <c r="W1924" s="59" t="s">
        <v>548</v>
      </c>
      <c r="X1924" s="33" t="str">
        <f>+VLOOKUP(OtherClients[[#This Row],[Part]],PartControl!$A$2:$E$564,5,FALSE)</f>
        <v>infasco</v>
      </c>
      <c r="Y1924" s="108">
        <f>IF(OtherClients[[#This Row],[Re-certified or New]]&lt;&gt;"Re-certified",IF(OtherClients[[#This Row],[Client]]="infasco",VLOOKUP(OtherClients[[#This Row],[Part]],PartControl!$A$2:$E$564,2,FALSE),OtherClients[[#This Row],[Total Quantity]]*VLOOKUP(OtherClients[[#This Row],[Part]],PartControl!$A$2:$E$564,2,FALSE)),0)</f>
        <v>106.94</v>
      </c>
      <c r="Z1924" s="108">
        <f>IF(OtherClients[[#This Row],[Re-certified or New]]&lt;&gt;"Re-certified",IF(OtherClients[[#This Row],[Client]]="infasco",VLOOKUP(OtherClients[[#This Row],[Part]],PartControl!$A$2:$E$564,2,FALSE),OtherClients[[#This Row],[Total Quantity]]*VLOOKUP(OtherClients[[#This Row],[Part]],PartControl!$A$2:$E$564,2,FALSE)),0)</f>
        <v>106.94</v>
      </c>
    </row>
    <row r="1925" spans="1:26" ht="25.15" hidden="1" customHeight="1" x14ac:dyDescent="0.25">
      <c r="A1925" s="112">
        <v>46261.69358796296</v>
      </c>
      <c r="B1925" s="5" t="s">
        <v>634</v>
      </c>
      <c r="C1925" s="5" t="s">
        <v>848</v>
      </c>
      <c r="D1925" s="5">
        <v>716775</v>
      </c>
      <c r="E1925" s="33">
        <v>7</v>
      </c>
      <c r="F1925" s="60">
        <v>3200</v>
      </c>
      <c r="G1925" s="60">
        <f>+OtherClients[[#This Row],[Boxes / Pieces]]*OtherClients[[#This Row],[Unit Quantity]]</f>
        <v>22400</v>
      </c>
      <c r="H1925" s="60">
        <v>280</v>
      </c>
      <c r="I1925" s="130" t="s">
        <v>278</v>
      </c>
      <c r="J1925" s="131"/>
      <c r="K1925" s="33" t="s">
        <v>278</v>
      </c>
      <c r="L1925" s="132"/>
      <c r="M1925" s="33" t="s">
        <v>278</v>
      </c>
      <c r="N1925" s="132"/>
      <c r="O1925" s="33" t="s">
        <v>278</v>
      </c>
      <c r="P1925" s="132"/>
      <c r="Q1925" s="33" t="s">
        <v>587</v>
      </c>
      <c r="R1925" s="132"/>
      <c r="S1925" s="33" t="s">
        <v>278</v>
      </c>
      <c r="T1925" s="132"/>
      <c r="U1925" s="33" t="s">
        <v>278</v>
      </c>
      <c r="V1925" s="132"/>
      <c r="W1925" s="59" t="s">
        <v>633</v>
      </c>
      <c r="X1925" s="33" t="str">
        <f>+VLOOKUP(OtherClients[[#This Row],[Part]],PartControl!$A$2:$E$564,5,FALSE)</f>
        <v>infasco</v>
      </c>
      <c r="Y1925" s="108">
        <f>IF(OtherClients[[#This Row],[Re-certified or New]]&lt;&gt;"Re-certified",IF(OtherClients[[#This Row],[Client]]="infasco",VLOOKUP(OtherClients[[#This Row],[Part]],PartControl!$A$2:$E$564,2,FALSE),OtherClients[[#This Row],[Total Quantity]]*VLOOKUP(OtherClients[[#This Row],[Part]],PartControl!$A$2:$E$564,2,FALSE)),0)</f>
        <v>0</v>
      </c>
      <c r="Z1925" s="108">
        <f>IF(OtherClients[[#This Row],[Re-certified or New]]&lt;&gt;"Re-certified",IF(OtherClients[[#This Row],[Client]]="infasco",VLOOKUP(OtherClients[[#This Row],[Part]],PartControl!$A$2:$E$564,2,FALSE),OtherClients[[#This Row],[Total Quantity]]*VLOOKUP(OtherClients[[#This Row],[Part]],PartControl!$A$2:$E$564,2,FALSE)),0)</f>
        <v>0</v>
      </c>
    </row>
    <row r="1926" spans="1:26" ht="25.15" hidden="1" customHeight="1" x14ac:dyDescent="0.25">
      <c r="A1926" s="112">
        <v>46261.69358796296</v>
      </c>
      <c r="B1926" s="5" t="s">
        <v>834</v>
      </c>
      <c r="C1926" s="5" t="s">
        <v>719</v>
      </c>
      <c r="D1926" s="5">
        <v>717700</v>
      </c>
      <c r="E1926" s="33">
        <f>18-15</f>
        <v>3</v>
      </c>
      <c r="F1926" s="60">
        <v>2150</v>
      </c>
      <c r="G1926" s="60">
        <f>+OtherClients[[#This Row],[Boxes / Pieces]]*OtherClients[[#This Row],[Unit Quantity]]</f>
        <v>6450</v>
      </c>
      <c r="H1926" s="60">
        <v>280</v>
      </c>
      <c r="I1926" s="130" t="s">
        <v>278</v>
      </c>
      <c r="J1926" s="131"/>
      <c r="K1926" s="33" t="s">
        <v>278</v>
      </c>
      <c r="L1926" s="132"/>
      <c r="M1926" s="33" t="s">
        <v>278</v>
      </c>
      <c r="N1926" s="132"/>
      <c r="O1926" s="33" t="s">
        <v>278</v>
      </c>
      <c r="P1926" s="132"/>
      <c r="Q1926" s="33" t="s">
        <v>587</v>
      </c>
      <c r="R1926" s="132"/>
      <c r="S1926" s="33" t="s">
        <v>278</v>
      </c>
      <c r="T1926" s="132"/>
      <c r="U1926" s="33" t="s">
        <v>278</v>
      </c>
      <c r="V1926" s="132"/>
      <c r="W1926" s="59" t="s">
        <v>548</v>
      </c>
      <c r="X1926" s="33" t="str">
        <f>+VLOOKUP(OtherClients[[#This Row],[Part]],PartControl!$A$2:$E$564,5,FALSE)</f>
        <v>infasco</v>
      </c>
      <c r="Y1926" s="108">
        <f>IF(OtherClients[[#This Row],[Re-certified or New]]&lt;&gt;"Re-certified",IF(OtherClients[[#This Row],[Client]]="infasco",VLOOKUP(OtherClients[[#This Row],[Part]],PartControl!$A$2:$E$564,2,FALSE),OtherClients[[#This Row],[Total Quantity]]*VLOOKUP(OtherClients[[#This Row],[Part]],PartControl!$A$2:$E$564,2,FALSE)),0)</f>
        <v>106.94</v>
      </c>
      <c r="Z1926" s="108">
        <f>IF(OtherClients[[#This Row],[Re-certified or New]]&lt;&gt;"Re-certified",IF(OtherClients[[#This Row],[Client]]="infasco",VLOOKUP(OtherClients[[#This Row],[Part]],PartControl!$A$2:$E$564,2,FALSE),OtherClients[[#This Row],[Total Quantity]]*VLOOKUP(OtherClients[[#This Row],[Part]],PartControl!$A$2:$E$564,2,FALSE)),0)</f>
        <v>106.94</v>
      </c>
    </row>
    <row r="1927" spans="1:26" ht="25.15" hidden="1" customHeight="1" x14ac:dyDescent="0.25">
      <c r="A1927" s="112">
        <v>46261.69358796296</v>
      </c>
      <c r="B1927" s="5" t="s">
        <v>834</v>
      </c>
      <c r="C1927" s="5" t="s">
        <v>719</v>
      </c>
      <c r="D1927" s="5">
        <v>717634</v>
      </c>
      <c r="E1927" s="33">
        <v>27</v>
      </c>
      <c r="F1927" s="60">
        <v>2150</v>
      </c>
      <c r="G1927" s="60">
        <f>+OtherClients[[#This Row],[Boxes / Pieces]]*OtherClients[[#This Row],[Unit Quantity]]</f>
        <v>58050</v>
      </c>
      <c r="H1927" s="60">
        <v>280</v>
      </c>
      <c r="I1927" s="130" t="s">
        <v>278</v>
      </c>
      <c r="J1927" s="131"/>
      <c r="K1927" s="33" t="s">
        <v>278</v>
      </c>
      <c r="L1927" s="132"/>
      <c r="M1927" s="33" t="s">
        <v>278</v>
      </c>
      <c r="N1927" s="132"/>
      <c r="O1927" s="33" t="s">
        <v>278</v>
      </c>
      <c r="P1927" s="132"/>
      <c r="Q1927" s="33" t="s">
        <v>587</v>
      </c>
      <c r="R1927" s="132"/>
      <c r="S1927" s="33" t="s">
        <v>278</v>
      </c>
      <c r="T1927" s="132"/>
      <c r="U1927" s="33" t="s">
        <v>278</v>
      </c>
      <c r="V1927" s="132"/>
      <c r="W1927" s="59" t="s">
        <v>548</v>
      </c>
      <c r="X1927" s="33" t="str">
        <f>+VLOOKUP(OtherClients[[#This Row],[Part]],PartControl!$A$2:$E$564,5,FALSE)</f>
        <v>infasco</v>
      </c>
      <c r="Y1927" s="108">
        <f>IF(OtherClients[[#This Row],[Re-certified or New]]&lt;&gt;"Re-certified",IF(OtherClients[[#This Row],[Client]]="infasco",VLOOKUP(OtherClients[[#This Row],[Part]],PartControl!$A$2:$E$564,2,FALSE),OtherClients[[#This Row],[Total Quantity]]*VLOOKUP(OtherClients[[#This Row],[Part]],PartControl!$A$2:$E$564,2,FALSE)),0)</f>
        <v>106.94</v>
      </c>
      <c r="Z1927" s="108">
        <f>IF(OtherClients[[#This Row],[Re-certified or New]]&lt;&gt;"Re-certified",IF(OtherClients[[#This Row],[Client]]="infasco",VLOOKUP(OtherClients[[#This Row],[Part]],PartControl!$A$2:$E$564,2,FALSE),OtherClients[[#This Row],[Total Quantity]]*VLOOKUP(OtherClients[[#This Row],[Part]],PartControl!$A$2:$E$564,2,FALSE)),0)</f>
        <v>106.94</v>
      </c>
    </row>
    <row r="1928" spans="1:26" ht="25.15" hidden="1" customHeight="1" x14ac:dyDescent="0.25">
      <c r="A1928" s="112">
        <v>46261.69358796296</v>
      </c>
      <c r="B1928" s="5" t="s">
        <v>834</v>
      </c>
      <c r="C1928" s="5" t="s">
        <v>719</v>
      </c>
      <c r="D1928" s="5">
        <v>717697</v>
      </c>
      <c r="E1928" s="33">
        <v>9</v>
      </c>
      <c r="F1928" s="60">
        <v>2150</v>
      </c>
      <c r="G1928" s="60">
        <f>+OtherClients[[#This Row],[Boxes / Pieces]]*OtherClients[[#This Row],[Unit Quantity]]</f>
        <v>19350</v>
      </c>
      <c r="H1928" s="60">
        <v>280</v>
      </c>
      <c r="I1928" s="130" t="s">
        <v>278</v>
      </c>
      <c r="J1928" s="131"/>
      <c r="K1928" s="33" t="s">
        <v>278</v>
      </c>
      <c r="L1928" s="132"/>
      <c r="M1928" s="33" t="s">
        <v>278</v>
      </c>
      <c r="N1928" s="132"/>
      <c r="O1928" s="33" t="s">
        <v>278</v>
      </c>
      <c r="P1928" s="132"/>
      <c r="Q1928" s="33" t="s">
        <v>587</v>
      </c>
      <c r="R1928" s="132"/>
      <c r="S1928" s="33" t="s">
        <v>278</v>
      </c>
      <c r="T1928" s="132"/>
      <c r="U1928" s="33" t="s">
        <v>278</v>
      </c>
      <c r="V1928" s="132"/>
      <c r="W1928" s="59" t="s">
        <v>633</v>
      </c>
      <c r="X1928" s="33" t="str">
        <f>+VLOOKUP(OtherClients[[#This Row],[Part]],PartControl!$A$2:$E$564,5,FALSE)</f>
        <v>infasco</v>
      </c>
      <c r="Y1928" s="108">
        <f>IF(OtherClients[[#This Row],[Re-certified or New]]&lt;&gt;"Re-certified",IF(OtherClients[[#This Row],[Client]]="infasco",VLOOKUP(OtherClients[[#This Row],[Part]],PartControl!$A$2:$E$564,2,FALSE),OtherClients[[#This Row],[Total Quantity]]*VLOOKUP(OtherClients[[#This Row],[Part]],PartControl!$A$2:$E$564,2,FALSE)),0)</f>
        <v>0</v>
      </c>
      <c r="Z1928" s="108">
        <f>IF(OtherClients[[#This Row],[Re-certified or New]]&lt;&gt;"Re-certified",IF(OtherClients[[#This Row],[Client]]="infasco",VLOOKUP(OtherClients[[#This Row],[Part]],PartControl!$A$2:$E$564,2,FALSE),OtherClients[[#This Row],[Total Quantity]]*VLOOKUP(OtherClients[[#This Row],[Part]],PartControl!$A$2:$E$564,2,FALSE)),0)</f>
        <v>0</v>
      </c>
    </row>
    <row r="1929" spans="1:26" ht="25.15" hidden="1" customHeight="1" x14ac:dyDescent="0.25">
      <c r="A1929" s="112">
        <v>46261.69358796296</v>
      </c>
      <c r="B1929" s="5" t="s">
        <v>342</v>
      </c>
      <c r="C1929" s="5" t="s">
        <v>35</v>
      </c>
      <c r="D1929" s="5">
        <v>714600</v>
      </c>
      <c r="E1929" s="33">
        <v>34</v>
      </c>
      <c r="F1929" s="60">
        <v>850</v>
      </c>
      <c r="G1929" s="60">
        <f>+OtherClients[[#This Row],[Boxes / Pieces]]*OtherClients[[#This Row],[Unit Quantity]]</f>
        <v>28900</v>
      </c>
      <c r="H1929" s="60" t="s">
        <v>893</v>
      </c>
      <c r="I1929" s="130" t="s">
        <v>278</v>
      </c>
      <c r="J1929" s="131"/>
      <c r="K1929" s="33" t="s">
        <v>278</v>
      </c>
      <c r="L1929" s="132"/>
      <c r="M1929" s="33" t="s">
        <v>278</v>
      </c>
      <c r="N1929" s="132"/>
      <c r="O1929" s="33" t="s">
        <v>278</v>
      </c>
      <c r="P1929" s="132"/>
      <c r="Q1929" s="33" t="s">
        <v>587</v>
      </c>
      <c r="R1929" s="132"/>
      <c r="S1929" s="33" t="s">
        <v>278</v>
      </c>
      <c r="T1929" s="132"/>
      <c r="U1929" s="33" t="s">
        <v>278</v>
      </c>
      <c r="V1929" s="132"/>
      <c r="W1929" s="59" t="s">
        <v>548</v>
      </c>
      <c r="X1929" s="33" t="str">
        <f>+VLOOKUP(OtherClients[[#This Row],[Part]],PartControl!$A$2:$E$564,5,FALSE)</f>
        <v>infasco</v>
      </c>
      <c r="Y1929" s="108">
        <f>IF(OtherClients[[#This Row],[Re-certified or New]]&lt;&gt;"Re-certified",IF(OtherClients[[#This Row],[Client]]="infasco",VLOOKUP(OtherClients[[#This Row],[Part]],PartControl!$A$2:$E$564,2,FALSE),OtherClients[[#This Row],[Total Quantity]]*VLOOKUP(OtherClients[[#This Row],[Part]],PartControl!$A$2:$E$564,2,FALSE)),0)</f>
        <v>106.94</v>
      </c>
      <c r="Z1929" s="108">
        <f>IF(OtherClients[[#This Row],[Re-certified or New]]&lt;&gt;"Re-certified",IF(OtherClients[[#This Row],[Client]]="infasco",VLOOKUP(OtherClients[[#This Row],[Part]],PartControl!$A$2:$E$564,2,FALSE),OtherClients[[#This Row],[Total Quantity]]*VLOOKUP(OtherClients[[#This Row],[Part]],PartControl!$A$2:$E$564,2,FALSE)),0)</f>
        <v>106.94</v>
      </c>
    </row>
    <row r="1930" spans="1:26" ht="25.15" hidden="1" customHeight="1" x14ac:dyDescent="0.25">
      <c r="A1930" s="112">
        <v>46261.69358796296</v>
      </c>
      <c r="B1930" s="5" t="s">
        <v>342</v>
      </c>
      <c r="C1930" s="5" t="s">
        <v>853</v>
      </c>
      <c r="D1930" s="5">
        <v>716490</v>
      </c>
      <c r="E1930" s="33">
        <v>1</v>
      </c>
      <c r="F1930" s="60">
        <v>10000</v>
      </c>
      <c r="G1930" s="60">
        <f>+OtherClients[[#This Row],[Boxes / Pieces]]*OtherClients[[#This Row],[Unit Quantity]]</f>
        <v>10000</v>
      </c>
      <c r="H1930" s="60" t="s">
        <v>893</v>
      </c>
      <c r="I1930" s="130" t="s">
        <v>278</v>
      </c>
      <c r="J1930" s="131"/>
      <c r="K1930" s="33" t="s">
        <v>278</v>
      </c>
      <c r="L1930" s="132"/>
      <c r="M1930" s="33" t="s">
        <v>278</v>
      </c>
      <c r="N1930" s="132"/>
      <c r="O1930" s="33" t="s">
        <v>278</v>
      </c>
      <c r="P1930" s="132"/>
      <c r="Q1930" s="33" t="s">
        <v>587</v>
      </c>
      <c r="R1930" s="132"/>
      <c r="S1930" s="33" t="s">
        <v>278</v>
      </c>
      <c r="T1930" s="132"/>
      <c r="U1930" s="33" t="s">
        <v>278</v>
      </c>
      <c r="V1930" s="132"/>
      <c r="W1930" s="59" t="s">
        <v>548</v>
      </c>
      <c r="X1930" s="33" t="str">
        <f>+VLOOKUP(OtherClients[[#This Row],[Part]],PartControl!$A$2:$E$564,5,FALSE)</f>
        <v>Infasco</v>
      </c>
      <c r="Y1930" s="108">
        <f>IF(OtherClients[[#This Row],[Re-certified or New]]&lt;&gt;"Re-certified",IF(OtherClients[[#This Row],[Client]]="infasco",VLOOKUP(OtherClients[[#This Row],[Part]],PartControl!$A$2:$E$564,2,FALSE),OtherClients[[#This Row],[Total Quantity]]*VLOOKUP(OtherClients[[#This Row],[Part]],PartControl!$A$2:$E$564,2,FALSE)),0)</f>
        <v>129.44999999999999</v>
      </c>
      <c r="Z1930" s="108">
        <f>IF(OtherClients[[#This Row],[Re-certified or New]]&lt;&gt;"Re-certified",IF(OtherClients[[#This Row],[Client]]="infasco",VLOOKUP(OtherClients[[#This Row],[Part]],PartControl!$A$2:$E$564,2,FALSE),OtherClients[[#This Row],[Total Quantity]]*VLOOKUP(OtherClients[[#This Row],[Part]],PartControl!$A$2:$E$564,2,FALSE)),0)</f>
        <v>129.44999999999999</v>
      </c>
    </row>
    <row r="1931" spans="1:26" ht="25.15" hidden="1" customHeight="1" x14ac:dyDescent="0.25">
      <c r="A1931" s="112">
        <v>46261.69358796296</v>
      </c>
      <c r="B1931" s="5" t="s">
        <v>342</v>
      </c>
      <c r="C1931" s="5" t="s">
        <v>853</v>
      </c>
      <c r="D1931" s="5">
        <v>716495</v>
      </c>
      <c r="E1931" s="33">
        <v>1</v>
      </c>
      <c r="F1931" s="60">
        <v>10000</v>
      </c>
      <c r="G1931" s="60">
        <f>+OtherClients[[#This Row],[Boxes / Pieces]]*OtherClients[[#This Row],[Unit Quantity]]</f>
        <v>10000</v>
      </c>
      <c r="H1931" s="60" t="s">
        <v>893</v>
      </c>
      <c r="I1931" s="130" t="s">
        <v>278</v>
      </c>
      <c r="J1931" s="131"/>
      <c r="K1931" s="33" t="s">
        <v>278</v>
      </c>
      <c r="L1931" s="132"/>
      <c r="M1931" s="33" t="s">
        <v>278</v>
      </c>
      <c r="N1931" s="132"/>
      <c r="O1931" s="33" t="s">
        <v>278</v>
      </c>
      <c r="P1931" s="132"/>
      <c r="Q1931" s="33" t="s">
        <v>587</v>
      </c>
      <c r="R1931" s="132"/>
      <c r="S1931" s="33" t="s">
        <v>278</v>
      </c>
      <c r="T1931" s="132"/>
      <c r="U1931" s="33" t="s">
        <v>278</v>
      </c>
      <c r="V1931" s="132"/>
      <c r="W1931" s="59" t="s">
        <v>548</v>
      </c>
      <c r="X1931" s="33" t="str">
        <f>+VLOOKUP(OtherClients[[#This Row],[Part]],PartControl!$A$2:$E$564,5,FALSE)</f>
        <v>Infasco</v>
      </c>
      <c r="Y1931" s="108">
        <f>IF(OtherClients[[#This Row],[Re-certified or New]]&lt;&gt;"Re-certified",IF(OtherClients[[#This Row],[Client]]="infasco",VLOOKUP(OtherClients[[#This Row],[Part]],PartControl!$A$2:$E$564,2,FALSE),OtherClients[[#This Row],[Total Quantity]]*VLOOKUP(OtherClients[[#This Row],[Part]],PartControl!$A$2:$E$564,2,FALSE)),0)</f>
        <v>129.44999999999999</v>
      </c>
      <c r="Z1931" s="108">
        <f>IF(OtherClients[[#This Row],[Re-certified or New]]&lt;&gt;"Re-certified",IF(OtherClients[[#This Row],[Client]]="infasco",VLOOKUP(OtherClients[[#This Row],[Part]],PartControl!$A$2:$E$564,2,FALSE),OtherClients[[#This Row],[Total Quantity]]*VLOOKUP(OtherClients[[#This Row],[Part]],PartControl!$A$2:$E$564,2,FALSE)),0)</f>
        <v>129.44999999999999</v>
      </c>
    </row>
    <row r="1932" spans="1:26" ht="25.15" hidden="1" customHeight="1" x14ac:dyDescent="0.25">
      <c r="A1932" s="112">
        <v>46261.69358796296</v>
      </c>
      <c r="B1932" s="5" t="s">
        <v>343</v>
      </c>
      <c r="C1932" s="5" t="s">
        <v>719</v>
      </c>
      <c r="D1932" s="5">
        <v>717631</v>
      </c>
      <c r="E1932" s="33">
        <v>21</v>
      </c>
      <c r="F1932" s="60">
        <v>2150</v>
      </c>
      <c r="G1932" s="60">
        <f>+OtherClients[[#This Row],[Boxes / Pieces]]*OtherClients[[#This Row],[Unit Quantity]]</f>
        <v>45150</v>
      </c>
      <c r="H1932" s="60" t="s">
        <v>757</v>
      </c>
      <c r="I1932" s="130" t="s">
        <v>278</v>
      </c>
      <c r="J1932" s="131"/>
      <c r="K1932" s="33" t="s">
        <v>278</v>
      </c>
      <c r="L1932" s="132"/>
      <c r="M1932" s="33" t="s">
        <v>278</v>
      </c>
      <c r="N1932" s="132"/>
      <c r="O1932" s="33" t="s">
        <v>278</v>
      </c>
      <c r="P1932" s="132"/>
      <c r="Q1932" s="33" t="s">
        <v>587</v>
      </c>
      <c r="R1932" s="132"/>
      <c r="S1932" s="33" t="s">
        <v>278</v>
      </c>
      <c r="T1932" s="132"/>
      <c r="U1932" s="33" t="s">
        <v>278</v>
      </c>
      <c r="V1932" s="132"/>
      <c r="W1932" s="59" t="s">
        <v>548</v>
      </c>
      <c r="X1932" s="33" t="str">
        <f>+VLOOKUP(OtherClients[[#This Row],[Part]],PartControl!$A$2:$E$564,5,FALSE)</f>
        <v>infasco</v>
      </c>
      <c r="Y1932" s="108">
        <f>IF(OtherClients[[#This Row],[Re-certified or New]]&lt;&gt;"Re-certified",IF(OtherClients[[#This Row],[Client]]="infasco",VLOOKUP(OtherClients[[#This Row],[Part]],PartControl!$A$2:$E$564,2,FALSE),OtherClients[[#This Row],[Total Quantity]]*VLOOKUP(OtherClients[[#This Row],[Part]],PartControl!$A$2:$E$564,2,FALSE)),0)</f>
        <v>106.94</v>
      </c>
      <c r="Z1932" s="108">
        <f>IF(OtherClients[[#This Row],[Re-certified or New]]&lt;&gt;"Re-certified",IF(OtherClients[[#This Row],[Client]]="infasco",VLOOKUP(OtherClients[[#This Row],[Part]],PartControl!$A$2:$E$564,2,FALSE),OtherClients[[#This Row],[Total Quantity]]*VLOOKUP(OtherClients[[#This Row],[Part]],PartControl!$A$2:$E$564,2,FALSE)),0)</f>
        <v>106.94</v>
      </c>
    </row>
    <row r="1933" spans="1:26" ht="25.15" hidden="1" customHeight="1" x14ac:dyDescent="0.25">
      <c r="A1933" s="112">
        <v>46261.69358796296</v>
      </c>
      <c r="B1933" s="5" t="s">
        <v>343</v>
      </c>
      <c r="C1933" s="5" t="s">
        <v>77</v>
      </c>
      <c r="D1933" s="5">
        <v>716443</v>
      </c>
      <c r="E1933" s="33">
        <v>24</v>
      </c>
      <c r="F1933" s="60">
        <v>1050</v>
      </c>
      <c r="G1933" s="60">
        <f>+OtherClients[[#This Row],[Boxes / Pieces]]*OtherClients[[#This Row],[Unit Quantity]]</f>
        <v>25200</v>
      </c>
      <c r="H1933" s="60" t="s">
        <v>757</v>
      </c>
      <c r="I1933" s="130" t="s">
        <v>278</v>
      </c>
      <c r="J1933" s="131"/>
      <c r="K1933" s="33" t="s">
        <v>278</v>
      </c>
      <c r="L1933" s="132"/>
      <c r="M1933" s="33" t="s">
        <v>278</v>
      </c>
      <c r="N1933" s="132"/>
      <c r="O1933" s="33" t="s">
        <v>278</v>
      </c>
      <c r="P1933" s="132"/>
      <c r="Q1933" s="33" t="s">
        <v>587</v>
      </c>
      <c r="R1933" s="132"/>
      <c r="S1933" s="33" t="s">
        <v>278</v>
      </c>
      <c r="T1933" s="132"/>
      <c r="U1933" s="33" t="s">
        <v>278</v>
      </c>
      <c r="V1933" s="132"/>
      <c r="W1933" s="59" t="s">
        <v>548</v>
      </c>
      <c r="X1933" s="33" t="str">
        <f>+VLOOKUP(OtherClients[[#This Row],[Part]],PartControl!$A$2:$E$564,5,FALSE)</f>
        <v>infasco</v>
      </c>
      <c r="Y1933" s="108">
        <f>IF(OtherClients[[#This Row],[Re-certified or New]]&lt;&gt;"Re-certified",IF(OtherClients[[#This Row],[Client]]="infasco",VLOOKUP(OtherClients[[#This Row],[Part]],PartControl!$A$2:$E$564,2,FALSE),OtherClients[[#This Row],[Total Quantity]]*VLOOKUP(OtherClients[[#This Row],[Part]],PartControl!$A$2:$E$564,2,FALSE)),0)</f>
        <v>129.44999999999999</v>
      </c>
      <c r="Z1933" s="108">
        <f>IF(OtherClients[[#This Row],[Re-certified or New]]&lt;&gt;"Re-certified",IF(OtherClients[[#This Row],[Client]]="infasco",VLOOKUP(OtherClients[[#This Row],[Part]],PartControl!$A$2:$E$564,2,FALSE),OtherClients[[#This Row],[Total Quantity]]*VLOOKUP(OtherClients[[#This Row],[Part]],PartControl!$A$2:$E$564,2,FALSE)),0)</f>
        <v>129.44999999999999</v>
      </c>
    </row>
    <row r="1934" spans="1:26" ht="25.15" hidden="1" customHeight="1" x14ac:dyDescent="0.25">
      <c r="A1934" s="112">
        <v>46261.69358796296</v>
      </c>
      <c r="B1934" s="5" t="s">
        <v>343</v>
      </c>
      <c r="C1934" s="5" t="s">
        <v>77</v>
      </c>
      <c r="D1934" s="5">
        <v>716444</v>
      </c>
      <c r="E1934" s="33">
        <v>45</v>
      </c>
      <c r="F1934" s="60">
        <v>1050</v>
      </c>
      <c r="G1934" s="60">
        <f>+OtherClients[[#This Row],[Boxes / Pieces]]*OtherClients[[#This Row],[Unit Quantity]]</f>
        <v>47250</v>
      </c>
      <c r="H1934" s="60" t="s">
        <v>757</v>
      </c>
      <c r="I1934" s="130" t="s">
        <v>278</v>
      </c>
      <c r="J1934" s="131"/>
      <c r="K1934" s="33" t="s">
        <v>278</v>
      </c>
      <c r="L1934" s="132"/>
      <c r="M1934" s="33" t="s">
        <v>278</v>
      </c>
      <c r="N1934" s="132"/>
      <c r="O1934" s="33" t="s">
        <v>278</v>
      </c>
      <c r="P1934" s="132"/>
      <c r="Q1934" s="33" t="s">
        <v>587</v>
      </c>
      <c r="R1934" s="132"/>
      <c r="S1934" s="33" t="s">
        <v>278</v>
      </c>
      <c r="T1934" s="132"/>
      <c r="U1934" s="33" t="s">
        <v>278</v>
      </c>
      <c r="V1934" s="132"/>
      <c r="W1934" s="59" t="s">
        <v>548</v>
      </c>
      <c r="X1934" s="33" t="str">
        <f>+VLOOKUP(OtherClients[[#This Row],[Part]],PartControl!$A$2:$E$564,5,FALSE)</f>
        <v>infasco</v>
      </c>
      <c r="Y1934" s="108">
        <f>IF(OtherClients[[#This Row],[Re-certified or New]]&lt;&gt;"Re-certified",IF(OtherClients[[#This Row],[Client]]="infasco",VLOOKUP(OtherClients[[#This Row],[Part]],PartControl!$A$2:$E$564,2,FALSE),OtherClients[[#This Row],[Total Quantity]]*VLOOKUP(OtherClients[[#This Row],[Part]],PartControl!$A$2:$E$564,2,FALSE)),0)</f>
        <v>129.44999999999999</v>
      </c>
      <c r="Z1934" s="108">
        <f>IF(OtherClients[[#This Row],[Re-certified or New]]&lt;&gt;"Re-certified",IF(OtherClients[[#This Row],[Client]]="infasco",VLOOKUP(OtherClients[[#This Row],[Part]],PartControl!$A$2:$E$564,2,FALSE),OtherClients[[#This Row],[Total Quantity]]*VLOOKUP(OtherClients[[#This Row],[Part]],PartControl!$A$2:$E$564,2,FALSE)),0)</f>
        <v>129.44999999999999</v>
      </c>
    </row>
    <row r="1935" spans="1:26" ht="25.15" hidden="1" customHeight="1" x14ac:dyDescent="0.25">
      <c r="A1935" s="112">
        <v>46261.69358796296</v>
      </c>
      <c r="B1935" s="5" t="s">
        <v>343</v>
      </c>
      <c r="C1935" s="5" t="s">
        <v>824</v>
      </c>
      <c r="D1935" s="5">
        <v>716729</v>
      </c>
      <c r="E1935" s="33">
        <v>1</v>
      </c>
      <c r="F1935" s="60">
        <v>4700</v>
      </c>
      <c r="G1935" s="60">
        <f>+OtherClients[[#This Row],[Boxes / Pieces]]*OtherClients[[#This Row],[Unit Quantity]]</f>
        <v>4700</v>
      </c>
      <c r="H1935" s="60" t="s">
        <v>757</v>
      </c>
      <c r="I1935" s="130" t="s">
        <v>278</v>
      </c>
      <c r="J1935" s="131"/>
      <c r="K1935" s="33" t="s">
        <v>278</v>
      </c>
      <c r="L1935" s="132"/>
      <c r="M1935" s="33" t="s">
        <v>278</v>
      </c>
      <c r="N1935" s="132"/>
      <c r="O1935" s="33" t="s">
        <v>278</v>
      </c>
      <c r="P1935" s="132"/>
      <c r="Q1935" s="33" t="s">
        <v>587</v>
      </c>
      <c r="R1935" s="132"/>
      <c r="S1935" s="33" t="s">
        <v>278</v>
      </c>
      <c r="T1935" s="132"/>
      <c r="U1935" s="33" t="s">
        <v>278</v>
      </c>
      <c r="V1935" s="132"/>
      <c r="W1935" s="59" t="s">
        <v>548</v>
      </c>
      <c r="X1935" s="33" t="str">
        <f>+VLOOKUP(OtherClients[[#This Row],[Part]],PartControl!$A$2:$E$564,5,FALSE)</f>
        <v>Infasco</v>
      </c>
      <c r="Y1935" s="108">
        <f>IF(OtherClients[[#This Row],[Re-certified or New]]&lt;&gt;"Re-certified",IF(OtherClients[[#This Row],[Client]]="infasco",VLOOKUP(OtherClients[[#This Row],[Part]],PartControl!$A$2:$E$564,2,FALSE),OtherClients[[#This Row],[Total Quantity]]*VLOOKUP(OtherClients[[#This Row],[Part]],PartControl!$A$2:$E$564,2,FALSE)),0)</f>
        <v>129.44999999999999</v>
      </c>
      <c r="Z1935" s="108">
        <f>IF(OtherClients[[#This Row],[Re-certified or New]]&lt;&gt;"Re-certified",IF(OtherClients[[#This Row],[Client]]="infasco",VLOOKUP(OtherClients[[#This Row],[Part]],PartControl!$A$2:$E$564,2,FALSE),OtherClients[[#This Row],[Total Quantity]]*VLOOKUP(OtherClients[[#This Row],[Part]],PartControl!$A$2:$E$564,2,FALSE)),0)</f>
        <v>129.44999999999999</v>
      </c>
    </row>
    <row r="1936" spans="1:26" ht="25.15" hidden="1" customHeight="1" x14ac:dyDescent="0.25">
      <c r="A1936" s="112">
        <v>46261.69358796296</v>
      </c>
      <c r="B1936" s="5" t="s">
        <v>343</v>
      </c>
      <c r="C1936" s="5" t="s">
        <v>824</v>
      </c>
      <c r="D1936" s="5">
        <v>716734</v>
      </c>
      <c r="E1936" s="33">
        <v>1</v>
      </c>
      <c r="F1936" s="60">
        <v>4700</v>
      </c>
      <c r="G1936" s="60">
        <f>+OtherClients[[#This Row],[Boxes / Pieces]]*OtherClients[[#This Row],[Unit Quantity]]</f>
        <v>4700</v>
      </c>
      <c r="H1936" s="60" t="s">
        <v>757</v>
      </c>
      <c r="I1936" s="130" t="s">
        <v>278</v>
      </c>
      <c r="J1936" s="131"/>
      <c r="K1936" s="33" t="s">
        <v>278</v>
      </c>
      <c r="L1936" s="132"/>
      <c r="M1936" s="33" t="s">
        <v>278</v>
      </c>
      <c r="N1936" s="132"/>
      <c r="O1936" s="33" t="s">
        <v>278</v>
      </c>
      <c r="P1936" s="132"/>
      <c r="Q1936" s="33" t="s">
        <v>587</v>
      </c>
      <c r="R1936" s="132"/>
      <c r="S1936" s="33" t="s">
        <v>278</v>
      </c>
      <c r="T1936" s="132"/>
      <c r="U1936" s="33" t="s">
        <v>278</v>
      </c>
      <c r="V1936" s="132"/>
      <c r="W1936" s="59" t="s">
        <v>548</v>
      </c>
      <c r="X1936" s="33" t="str">
        <f>+VLOOKUP(OtherClients[[#This Row],[Part]],PartControl!$A$2:$E$564,5,FALSE)</f>
        <v>Infasco</v>
      </c>
      <c r="Y1936" s="108">
        <f>IF(OtherClients[[#This Row],[Re-certified or New]]&lt;&gt;"Re-certified",IF(OtherClients[[#This Row],[Client]]="infasco",VLOOKUP(OtherClients[[#This Row],[Part]],PartControl!$A$2:$E$564,2,FALSE),OtherClients[[#This Row],[Total Quantity]]*VLOOKUP(OtherClients[[#This Row],[Part]],PartControl!$A$2:$E$564,2,FALSE)),0)</f>
        <v>129.44999999999999</v>
      </c>
      <c r="Z1936" s="108">
        <f>IF(OtherClients[[#This Row],[Re-certified or New]]&lt;&gt;"Re-certified",IF(OtherClients[[#This Row],[Client]]="infasco",VLOOKUP(OtherClients[[#This Row],[Part]],PartControl!$A$2:$E$564,2,FALSE),OtherClients[[#This Row],[Total Quantity]]*VLOOKUP(OtherClients[[#This Row],[Part]],PartControl!$A$2:$E$564,2,FALSE)),0)</f>
        <v>129.44999999999999</v>
      </c>
    </row>
    <row r="1937" spans="1:26" ht="25.15" hidden="1" customHeight="1" x14ac:dyDescent="0.25">
      <c r="A1937" s="112">
        <v>46261.69358796296</v>
      </c>
      <c r="B1937" s="5" t="s">
        <v>343</v>
      </c>
      <c r="C1937" s="5" t="s">
        <v>824</v>
      </c>
      <c r="D1937" s="5">
        <v>716728</v>
      </c>
      <c r="E1937" s="33">
        <v>1</v>
      </c>
      <c r="F1937" s="60">
        <v>5244</v>
      </c>
      <c r="G1937" s="60">
        <f>+OtherClients[[#This Row],[Boxes / Pieces]]*OtherClients[[#This Row],[Unit Quantity]]</f>
        <v>5244</v>
      </c>
      <c r="H1937" s="60" t="s">
        <v>757</v>
      </c>
      <c r="I1937" s="130" t="s">
        <v>278</v>
      </c>
      <c r="J1937" s="131"/>
      <c r="K1937" s="33" t="s">
        <v>278</v>
      </c>
      <c r="L1937" s="132"/>
      <c r="M1937" s="33" t="s">
        <v>278</v>
      </c>
      <c r="N1937" s="132"/>
      <c r="O1937" s="33" t="s">
        <v>278</v>
      </c>
      <c r="P1937" s="132"/>
      <c r="Q1937" s="33" t="s">
        <v>587</v>
      </c>
      <c r="R1937" s="132"/>
      <c r="S1937" s="33" t="s">
        <v>278</v>
      </c>
      <c r="T1937" s="132"/>
      <c r="U1937" s="33" t="s">
        <v>278</v>
      </c>
      <c r="V1937" s="132"/>
      <c r="W1937" s="59" t="s">
        <v>548</v>
      </c>
      <c r="X1937" s="33" t="str">
        <f>+VLOOKUP(OtherClients[[#This Row],[Part]],PartControl!$A$2:$E$564,5,FALSE)</f>
        <v>Infasco</v>
      </c>
      <c r="Y1937" s="108">
        <f>IF(OtherClients[[#This Row],[Re-certified or New]]&lt;&gt;"Re-certified",IF(OtherClients[[#This Row],[Client]]="infasco",VLOOKUP(OtherClients[[#This Row],[Part]],PartControl!$A$2:$E$564,2,FALSE),OtherClients[[#This Row],[Total Quantity]]*VLOOKUP(OtherClients[[#This Row],[Part]],PartControl!$A$2:$E$564,2,FALSE)),0)</f>
        <v>129.44999999999999</v>
      </c>
      <c r="Z1937" s="108">
        <f>IF(OtherClients[[#This Row],[Re-certified or New]]&lt;&gt;"Re-certified",IF(OtherClients[[#This Row],[Client]]="infasco",VLOOKUP(OtherClients[[#This Row],[Part]],PartControl!$A$2:$E$564,2,FALSE),OtherClients[[#This Row],[Total Quantity]]*VLOOKUP(OtherClients[[#This Row],[Part]],PartControl!$A$2:$E$564,2,FALSE)),0)</f>
        <v>129.44999999999999</v>
      </c>
    </row>
    <row r="1938" spans="1:26" ht="25.15" hidden="1" customHeight="1" x14ac:dyDescent="0.25">
      <c r="A1938" s="112">
        <v>46261.69358796296</v>
      </c>
      <c r="B1938" s="5" t="s">
        <v>343</v>
      </c>
      <c r="C1938" s="5">
        <v>11604000</v>
      </c>
      <c r="D1938" s="5">
        <v>717984</v>
      </c>
      <c r="E1938" s="33">
        <v>26</v>
      </c>
      <c r="F1938" s="60">
        <v>585</v>
      </c>
      <c r="G1938" s="60">
        <f>+OtherClients[[#This Row],[Boxes / Pieces]]*OtherClients[[#This Row],[Unit Quantity]]</f>
        <v>15210</v>
      </c>
      <c r="H1938" s="60" t="s">
        <v>757</v>
      </c>
      <c r="I1938" s="130" t="s">
        <v>278</v>
      </c>
      <c r="J1938" s="131"/>
      <c r="K1938" s="33" t="s">
        <v>278</v>
      </c>
      <c r="L1938" s="132"/>
      <c r="M1938" s="33" t="s">
        <v>278</v>
      </c>
      <c r="N1938" s="132"/>
      <c r="O1938" s="33" t="s">
        <v>278</v>
      </c>
      <c r="P1938" s="132"/>
      <c r="Q1938" s="33" t="s">
        <v>587</v>
      </c>
      <c r="R1938" s="132"/>
      <c r="S1938" s="33" t="s">
        <v>278</v>
      </c>
      <c r="T1938" s="132"/>
      <c r="U1938" s="33" t="s">
        <v>278</v>
      </c>
      <c r="V1938" s="132"/>
      <c r="W1938" s="59" t="s">
        <v>548</v>
      </c>
      <c r="X1938" s="33" t="str">
        <f>+VLOOKUP(OtherClients[[#This Row],[Part]],PartControl!$A$2:$E$564,5,FALSE)</f>
        <v>infasco</v>
      </c>
      <c r="Y1938" s="108">
        <f>IF(OtherClients[[#This Row],[Re-certified or New]]&lt;&gt;"Re-certified",IF(OtherClients[[#This Row],[Client]]="infasco",VLOOKUP(OtherClients[[#This Row],[Part]],PartControl!$A$2:$E$564,2,FALSE),OtherClients[[#This Row],[Total Quantity]]*VLOOKUP(OtherClients[[#This Row],[Part]],PartControl!$A$2:$E$564,2,FALSE)),0)</f>
        <v>223.88</v>
      </c>
      <c r="Z1938" s="108">
        <f>IF(OtherClients[[#This Row],[Re-certified or New]]&lt;&gt;"Re-certified",IF(OtherClients[[#This Row],[Client]]="infasco",VLOOKUP(OtherClients[[#This Row],[Part]],PartControl!$A$2:$E$564,2,FALSE),OtherClients[[#This Row],[Total Quantity]]*VLOOKUP(OtherClients[[#This Row],[Part]],PartControl!$A$2:$E$564,2,FALSE)),0)</f>
        <v>223.88</v>
      </c>
    </row>
    <row r="1939" spans="1:26" ht="25.15" hidden="1" customHeight="1" x14ac:dyDescent="0.25">
      <c r="A1939" s="112">
        <v>46261.69358796296</v>
      </c>
      <c r="B1939" s="5" t="s">
        <v>343</v>
      </c>
      <c r="C1939" s="5" t="s">
        <v>824</v>
      </c>
      <c r="D1939" s="5">
        <v>716735</v>
      </c>
      <c r="E1939" s="33">
        <v>1</v>
      </c>
      <c r="F1939" s="60">
        <v>4832</v>
      </c>
      <c r="G1939" s="60">
        <f>+OtherClients[[#This Row],[Boxes / Pieces]]*OtherClients[[#This Row],[Unit Quantity]]</f>
        <v>4832</v>
      </c>
      <c r="H1939" s="60" t="s">
        <v>757</v>
      </c>
      <c r="I1939" s="130" t="s">
        <v>278</v>
      </c>
      <c r="J1939" s="131"/>
      <c r="K1939" s="33" t="s">
        <v>278</v>
      </c>
      <c r="L1939" s="132"/>
      <c r="M1939" s="33" t="s">
        <v>278</v>
      </c>
      <c r="N1939" s="132"/>
      <c r="O1939" s="33" t="s">
        <v>278</v>
      </c>
      <c r="P1939" s="132"/>
      <c r="Q1939" s="33" t="s">
        <v>587</v>
      </c>
      <c r="R1939" s="132"/>
      <c r="S1939" s="33" t="s">
        <v>278</v>
      </c>
      <c r="T1939" s="132"/>
      <c r="U1939" s="33" t="s">
        <v>278</v>
      </c>
      <c r="V1939" s="132"/>
      <c r="W1939" s="59" t="s">
        <v>548</v>
      </c>
      <c r="X1939" s="33" t="str">
        <f>+VLOOKUP(OtherClients[[#This Row],[Part]],PartControl!$A$2:$E$564,5,FALSE)</f>
        <v>Infasco</v>
      </c>
      <c r="Y1939" s="108">
        <f>IF(OtherClients[[#This Row],[Re-certified or New]]&lt;&gt;"Re-certified",IF(OtherClients[[#This Row],[Client]]="infasco",VLOOKUP(OtherClients[[#This Row],[Part]],PartControl!$A$2:$E$564,2,FALSE),OtherClients[[#This Row],[Total Quantity]]*VLOOKUP(OtherClients[[#This Row],[Part]],PartControl!$A$2:$E$564,2,FALSE)),0)</f>
        <v>129.44999999999999</v>
      </c>
      <c r="Z1939" s="108">
        <f>IF(OtherClients[[#This Row],[Re-certified or New]]&lt;&gt;"Re-certified",IF(OtherClients[[#This Row],[Client]]="infasco",VLOOKUP(OtherClients[[#This Row],[Part]],PartControl!$A$2:$E$564,2,FALSE),OtherClients[[#This Row],[Total Quantity]]*VLOOKUP(OtherClients[[#This Row],[Part]],PartControl!$A$2:$E$564,2,FALSE)),0)</f>
        <v>129.44999999999999</v>
      </c>
    </row>
    <row r="1940" spans="1:26" ht="25.15" hidden="1" customHeight="1" x14ac:dyDescent="0.25">
      <c r="A1940" s="112">
        <v>46261.69358796296</v>
      </c>
      <c r="B1940" s="5" t="s">
        <v>343</v>
      </c>
      <c r="C1940" s="5" t="s">
        <v>682</v>
      </c>
      <c r="D1940" s="5">
        <v>716903</v>
      </c>
      <c r="E1940" s="33">
        <v>18</v>
      </c>
      <c r="F1940" s="60">
        <v>330</v>
      </c>
      <c r="G1940" s="60">
        <f>+OtherClients[[#This Row],[Boxes / Pieces]]*OtherClients[[#This Row],[Unit Quantity]]</f>
        <v>5940</v>
      </c>
      <c r="H1940" s="60" t="s">
        <v>757</v>
      </c>
      <c r="I1940" s="130" t="s">
        <v>278</v>
      </c>
      <c r="J1940" s="131"/>
      <c r="K1940" s="33" t="s">
        <v>278</v>
      </c>
      <c r="L1940" s="132"/>
      <c r="M1940" s="33" t="s">
        <v>278</v>
      </c>
      <c r="N1940" s="132"/>
      <c r="O1940" s="33" t="s">
        <v>278</v>
      </c>
      <c r="P1940" s="132"/>
      <c r="Q1940" s="33" t="s">
        <v>587</v>
      </c>
      <c r="R1940" s="132"/>
      <c r="S1940" s="33" t="s">
        <v>278</v>
      </c>
      <c r="T1940" s="132"/>
      <c r="U1940" s="33" t="s">
        <v>278</v>
      </c>
      <c r="V1940" s="132"/>
      <c r="W1940" s="59" t="s">
        <v>548</v>
      </c>
      <c r="X1940" s="33" t="str">
        <f>+VLOOKUP(OtherClients[[#This Row],[Part]],PartControl!$A$2:$E$564,5,FALSE)</f>
        <v>infasco</v>
      </c>
      <c r="Y1940" s="108">
        <f>IF(OtherClients[[#This Row],[Re-certified or New]]&lt;&gt;"Re-certified",IF(OtherClients[[#This Row],[Client]]="infasco",VLOOKUP(OtherClients[[#This Row],[Part]],PartControl!$A$2:$E$564,2,FALSE),OtherClients[[#This Row],[Total Quantity]]*VLOOKUP(OtherClients[[#This Row],[Part]],PartControl!$A$2:$E$564,2,FALSE)),0)</f>
        <v>280.16000000000003</v>
      </c>
      <c r="Z1940" s="108">
        <f>IF(OtherClients[[#This Row],[Re-certified or New]]&lt;&gt;"Re-certified",IF(OtherClients[[#This Row],[Client]]="infasco",VLOOKUP(OtherClients[[#This Row],[Part]],PartControl!$A$2:$E$564,2,FALSE),OtherClients[[#This Row],[Total Quantity]]*VLOOKUP(OtherClients[[#This Row],[Part]],PartControl!$A$2:$E$564,2,FALSE)),0)</f>
        <v>280.16000000000003</v>
      </c>
    </row>
    <row r="1941" spans="1:26" ht="25.15" hidden="1" customHeight="1" x14ac:dyDescent="0.25">
      <c r="A1941" s="112">
        <v>46261.69358796296</v>
      </c>
      <c r="B1941" s="5" t="s">
        <v>343</v>
      </c>
      <c r="C1941" s="5" t="s">
        <v>853</v>
      </c>
      <c r="D1941" s="5">
        <v>716491</v>
      </c>
      <c r="E1941" s="33">
        <v>1</v>
      </c>
      <c r="F1941" s="60">
        <v>10000</v>
      </c>
      <c r="G1941" s="60">
        <f>+OtherClients[[#This Row],[Boxes / Pieces]]*OtherClients[[#This Row],[Unit Quantity]]</f>
        <v>10000</v>
      </c>
      <c r="H1941" s="60" t="s">
        <v>757</v>
      </c>
      <c r="I1941" s="130" t="s">
        <v>278</v>
      </c>
      <c r="J1941" s="131"/>
      <c r="K1941" s="33" t="s">
        <v>278</v>
      </c>
      <c r="L1941" s="132"/>
      <c r="M1941" s="33" t="s">
        <v>278</v>
      </c>
      <c r="N1941" s="132"/>
      <c r="O1941" s="33" t="s">
        <v>278</v>
      </c>
      <c r="P1941" s="132"/>
      <c r="Q1941" s="33" t="s">
        <v>587</v>
      </c>
      <c r="R1941" s="132"/>
      <c r="S1941" s="33" t="s">
        <v>278</v>
      </c>
      <c r="T1941" s="132"/>
      <c r="U1941" s="33" t="s">
        <v>278</v>
      </c>
      <c r="V1941" s="132"/>
      <c r="W1941" s="59" t="s">
        <v>548</v>
      </c>
      <c r="X1941" s="33" t="str">
        <f>+VLOOKUP(OtherClients[[#This Row],[Part]],PartControl!$A$2:$E$564,5,FALSE)</f>
        <v>Infasco</v>
      </c>
      <c r="Y1941" s="108">
        <f>IF(OtherClients[[#This Row],[Re-certified or New]]&lt;&gt;"Re-certified",IF(OtherClients[[#This Row],[Client]]="infasco",VLOOKUP(OtherClients[[#This Row],[Part]],PartControl!$A$2:$E$564,2,FALSE),OtherClients[[#This Row],[Total Quantity]]*VLOOKUP(OtherClients[[#This Row],[Part]],PartControl!$A$2:$E$564,2,FALSE)),0)</f>
        <v>129.44999999999999</v>
      </c>
      <c r="Z1941" s="108">
        <f>IF(OtherClients[[#This Row],[Re-certified or New]]&lt;&gt;"Re-certified",IF(OtherClients[[#This Row],[Client]]="infasco",VLOOKUP(OtherClients[[#This Row],[Part]],PartControl!$A$2:$E$564,2,FALSE),OtherClients[[#This Row],[Total Quantity]]*VLOOKUP(OtherClients[[#This Row],[Part]],PartControl!$A$2:$E$564,2,FALSE)),0)</f>
        <v>129.44999999999999</v>
      </c>
    </row>
    <row r="1942" spans="1:26" ht="25.15" hidden="1" customHeight="1" x14ac:dyDescent="0.25">
      <c r="A1942" s="112">
        <v>46261.69358796296</v>
      </c>
      <c r="B1942" s="5" t="s">
        <v>344</v>
      </c>
      <c r="C1942" s="5" t="s">
        <v>719</v>
      </c>
      <c r="D1942" s="5">
        <v>717636</v>
      </c>
      <c r="E1942" s="33">
        <v>29</v>
      </c>
      <c r="F1942" s="60">
        <v>2150</v>
      </c>
      <c r="G1942" s="60">
        <f>+OtherClients[[#This Row],[Boxes / Pieces]]*OtherClients[[#This Row],[Unit Quantity]]</f>
        <v>62350</v>
      </c>
      <c r="H1942" s="60" t="s">
        <v>816</v>
      </c>
      <c r="I1942" s="130" t="s">
        <v>278</v>
      </c>
      <c r="J1942" s="131"/>
      <c r="K1942" s="33" t="s">
        <v>278</v>
      </c>
      <c r="L1942" s="132"/>
      <c r="M1942" s="33" t="s">
        <v>278</v>
      </c>
      <c r="N1942" s="132"/>
      <c r="O1942" s="33" t="s">
        <v>278</v>
      </c>
      <c r="P1942" s="132"/>
      <c r="Q1942" s="33" t="s">
        <v>587</v>
      </c>
      <c r="R1942" s="132"/>
      <c r="S1942" s="33" t="s">
        <v>278</v>
      </c>
      <c r="T1942" s="132"/>
      <c r="U1942" s="33" t="s">
        <v>278</v>
      </c>
      <c r="V1942" s="132"/>
      <c r="W1942" s="59" t="s">
        <v>548</v>
      </c>
      <c r="X1942" s="33" t="str">
        <f>+VLOOKUP(OtherClients[[#This Row],[Part]],PartControl!$A$2:$E$564,5,FALSE)</f>
        <v>infasco</v>
      </c>
      <c r="Y1942" s="108">
        <f>IF(OtherClients[[#This Row],[Re-certified or New]]&lt;&gt;"Re-certified",IF(OtherClients[[#This Row],[Client]]="infasco",VLOOKUP(OtherClients[[#This Row],[Part]],PartControl!$A$2:$E$564,2,FALSE),OtherClients[[#This Row],[Total Quantity]]*VLOOKUP(OtherClients[[#This Row],[Part]],PartControl!$A$2:$E$564,2,FALSE)),0)</f>
        <v>106.94</v>
      </c>
      <c r="Z1942" s="108">
        <f>IF(OtherClients[[#This Row],[Re-certified or New]]&lt;&gt;"Re-certified",IF(OtherClients[[#This Row],[Client]]="infasco",VLOOKUP(OtherClients[[#This Row],[Part]],PartControl!$A$2:$E$564,2,FALSE),OtherClients[[#This Row],[Total Quantity]]*VLOOKUP(OtherClients[[#This Row],[Part]],PartControl!$A$2:$E$564,2,FALSE)),0)</f>
        <v>106.94</v>
      </c>
    </row>
    <row r="1943" spans="1:26" ht="25.15" hidden="1" customHeight="1" x14ac:dyDescent="0.25">
      <c r="A1943" s="112">
        <v>46261.69358796296</v>
      </c>
      <c r="B1943" s="5" t="s">
        <v>344</v>
      </c>
      <c r="C1943" s="5">
        <v>11546377</v>
      </c>
      <c r="D1943" s="5">
        <v>716614</v>
      </c>
      <c r="E1943" s="33">
        <v>35</v>
      </c>
      <c r="F1943" s="60">
        <v>2150</v>
      </c>
      <c r="G1943" s="60">
        <f>+OtherClients[[#This Row],[Boxes / Pieces]]*OtherClients[[#This Row],[Unit Quantity]]</f>
        <v>75250</v>
      </c>
      <c r="H1943" s="60" t="s">
        <v>816</v>
      </c>
      <c r="I1943" s="130" t="s">
        <v>278</v>
      </c>
      <c r="J1943" s="131"/>
      <c r="K1943" s="33" t="s">
        <v>278</v>
      </c>
      <c r="L1943" s="132"/>
      <c r="M1943" s="33" t="s">
        <v>278</v>
      </c>
      <c r="N1943" s="132"/>
      <c r="O1943" s="33" t="s">
        <v>278</v>
      </c>
      <c r="P1943" s="132"/>
      <c r="Q1943" s="33" t="s">
        <v>587</v>
      </c>
      <c r="R1943" s="132"/>
      <c r="S1943" s="33" t="s">
        <v>278</v>
      </c>
      <c r="T1943" s="132"/>
      <c r="U1943" s="33" t="s">
        <v>278</v>
      </c>
      <c r="V1943" s="132"/>
      <c r="W1943" s="59" t="s">
        <v>548</v>
      </c>
      <c r="X1943" s="33" t="str">
        <f>+VLOOKUP(OtherClients[[#This Row],[Part]],PartControl!$A$2:$E$564,5,FALSE)</f>
        <v>INFASCO</v>
      </c>
      <c r="Y1943" s="108">
        <f>IF(OtherClients[[#This Row],[Re-certified or New]]&lt;&gt;"Re-certified",IF(OtherClients[[#This Row],[Client]]="infasco",VLOOKUP(OtherClients[[#This Row],[Part]],PartControl!$A$2:$E$564,2,FALSE),OtherClients[[#This Row],[Total Quantity]]*VLOOKUP(OtherClients[[#This Row],[Part]],PartControl!$A$2:$E$564,2,FALSE)),0)</f>
        <v>106.94</v>
      </c>
      <c r="Z1943" s="108">
        <f>IF(OtherClients[[#This Row],[Re-certified or New]]&lt;&gt;"Re-certified",IF(OtherClients[[#This Row],[Client]]="infasco",VLOOKUP(OtherClients[[#This Row],[Part]],PartControl!$A$2:$E$564,2,FALSE),OtherClients[[#This Row],[Total Quantity]]*VLOOKUP(OtherClients[[#This Row],[Part]],PartControl!$A$2:$E$564,2,FALSE)),0)</f>
        <v>106.94</v>
      </c>
    </row>
    <row r="1944" spans="1:26" ht="25.15" hidden="1" customHeight="1" x14ac:dyDescent="0.25">
      <c r="A1944" s="112">
        <v>46261.69358796296</v>
      </c>
      <c r="B1944" s="5" t="s">
        <v>344</v>
      </c>
      <c r="C1944" s="5">
        <v>11604000</v>
      </c>
      <c r="D1944" s="5">
        <v>717982</v>
      </c>
      <c r="E1944" s="33">
        <v>36</v>
      </c>
      <c r="F1944" s="60">
        <v>585</v>
      </c>
      <c r="G1944" s="60">
        <f>+OtherClients[[#This Row],[Boxes / Pieces]]*OtherClients[[#This Row],[Unit Quantity]]</f>
        <v>21060</v>
      </c>
      <c r="H1944" s="60" t="s">
        <v>816</v>
      </c>
      <c r="I1944" s="130" t="s">
        <v>278</v>
      </c>
      <c r="J1944" s="131"/>
      <c r="K1944" s="33" t="s">
        <v>278</v>
      </c>
      <c r="L1944" s="132"/>
      <c r="M1944" s="33" t="s">
        <v>278</v>
      </c>
      <c r="N1944" s="132"/>
      <c r="O1944" s="33" t="s">
        <v>278</v>
      </c>
      <c r="P1944" s="132"/>
      <c r="Q1944" s="33" t="s">
        <v>587</v>
      </c>
      <c r="R1944" s="132"/>
      <c r="S1944" s="33" t="s">
        <v>278</v>
      </c>
      <c r="T1944" s="132"/>
      <c r="U1944" s="33" t="s">
        <v>278</v>
      </c>
      <c r="V1944" s="132"/>
      <c r="W1944" s="59" t="s">
        <v>548</v>
      </c>
      <c r="X1944" s="33" t="str">
        <f>+VLOOKUP(OtherClients[[#This Row],[Part]],PartControl!$A$2:$E$564,5,FALSE)</f>
        <v>infasco</v>
      </c>
      <c r="Y1944" s="108">
        <f>IF(OtherClients[[#This Row],[Re-certified or New]]&lt;&gt;"Re-certified",IF(OtherClients[[#This Row],[Client]]="infasco",VLOOKUP(OtherClients[[#This Row],[Part]],PartControl!$A$2:$E$564,2,FALSE),OtherClients[[#This Row],[Total Quantity]]*VLOOKUP(OtherClients[[#This Row],[Part]],PartControl!$A$2:$E$564,2,FALSE)),0)</f>
        <v>223.88</v>
      </c>
      <c r="Z1944" s="108">
        <f>IF(OtherClients[[#This Row],[Re-certified or New]]&lt;&gt;"Re-certified",IF(OtherClients[[#This Row],[Client]]="infasco",VLOOKUP(OtherClients[[#This Row],[Part]],PartControl!$A$2:$E$564,2,FALSE),OtherClients[[#This Row],[Total Quantity]]*VLOOKUP(OtherClients[[#This Row],[Part]],PartControl!$A$2:$E$564,2,FALSE)),0)</f>
        <v>223.88</v>
      </c>
    </row>
    <row r="1945" spans="1:26" ht="25.15" hidden="1" customHeight="1" x14ac:dyDescent="0.25">
      <c r="A1945" s="112">
        <v>46261.69358796296</v>
      </c>
      <c r="B1945" s="5" t="s">
        <v>344</v>
      </c>
      <c r="C1945" s="5">
        <v>11604000</v>
      </c>
      <c r="D1945" s="5">
        <v>717983</v>
      </c>
      <c r="E1945" s="33">
        <v>36</v>
      </c>
      <c r="F1945" s="60">
        <v>585</v>
      </c>
      <c r="G1945" s="60">
        <f>+OtherClients[[#This Row],[Boxes / Pieces]]*OtherClients[[#This Row],[Unit Quantity]]</f>
        <v>21060</v>
      </c>
      <c r="H1945" s="60" t="s">
        <v>816</v>
      </c>
      <c r="I1945" s="130" t="s">
        <v>278</v>
      </c>
      <c r="J1945" s="131"/>
      <c r="K1945" s="33" t="s">
        <v>278</v>
      </c>
      <c r="L1945" s="132"/>
      <c r="M1945" s="33" t="s">
        <v>278</v>
      </c>
      <c r="N1945" s="132"/>
      <c r="O1945" s="33" t="s">
        <v>278</v>
      </c>
      <c r="P1945" s="132"/>
      <c r="Q1945" s="33" t="s">
        <v>587</v>
      </c>
      <c r="R1945" s="132"/>
      <c r="S1945" s="33" t="s">
        <v>278</v>
      </c>
      <c r="T1945" s="132"/>
      <c r="U1945" s="33" t="s">
        <v>278</v>
      </c>
      <c r="V1945" s="132"/>
      <c r="W1945" s="59" t="s">
        <v>548</v>
      </c>
      <c r="X1945" s="33" t="str">
        <f>+VLOOKUP(OtherClients[[#This Row],[Part]],PartControl!$A$2:$E$564,5,FALSE)</f>
        <v>infasco</v>
      </c>
      <c r="Y1945" s="108">
        <f>IF(OtherClients[[#This Row],[Re-certified or New]]&lt;&gt;"Re-certified",IF(OtherClients[[#This Row],[Client]]="infasco",VLOOKUP(OtherClients[[#This Row],[Part]],PartControl!$A$2:$E$564,2,FALSE),OtherClients[[#This Row],[Total Quantity]]*VLOOKUP(OtherClients[[#This Row],[Part]],PartControl!$A$2:$E$564,2,FALSE)),0)</f>
        <v>223.88</v>
      </c>
      <c r="Z1945" s="108">
        <f>IF(OtherClients[[#This Row],[Re-certified or New]]&lt;&gt;"Re-certified",IF(OtherClients[[#This Row],[Client]]="infasco",VLOOKUP(OtherClients[[#This Row],[Part]],PartControl!$A$2:$E$564,2,FALSE),OtherClients[[#This Row],[Total Quantity]]*VLOOKUP(OtherClients[[#This Row],[Part]],PartControl!$A$2:$E$564,2,FALSE)),0)</f>
        <v>223.88</v>
      </c>
    </row>
    <row r="1946" spans="1:26" ht="25.15" hidden="1" customHeight="1" x14ac:dyDescent="0.25">
      <c r="A1946" s="112">
        <v>46261.69358796296</v>
      </c>
      <c r="B1946" s="5" t="s">
        <v>344</v>
      </c>
      <c r="C1946" s="5">
        <v>11604000</v>
      </c>
      <c r="D1946" s="5">
        <v>717981</v>
      </c>
      <c r="E1946" s="33">
        <v>24</v>
      </c>
      <c r="F1946" s="60">
        <v>585</v>
      </c>
      <c r="G1946" s="60">
        <f>+OtherClients[[#This Row],[Boxes / Pieces]]*OtherClients[[#This Row],[Unit Quantity]]</f>
        <v>14040</v>
      </c>
      <c r="H1946" s="60" t="s">
        <v>816</v>
      </c>
      <c r="I1946" s="130" t="s">
        <v>278</v>
      </c>
      <c r="J1946" s="131"/>
      <c r="K1946" s="33" t="s">
        <v>278</v>
      </c>
      <c r="L1946" s="132"/>
      <c r="M1946" s="33" t="s">
        <v>278</v>
      </c>
      <c r="N1946" s="132"/>
      <c r="O1946" s="33" t="s">
        <v>278</v>
      </c>
      <c r="P1946" s="132"/>
      <c r="Q1946" s="33" t="s">
        <v>587</v>
      </c>
      <c r="R1946" s="132"/>
      <c r="S1946" s="33" t="s">
        <v>278</v>
      </c>
      <c r="T1946" s="132"/>
      <c r="U1946" s="33" t="s">
        <v>278</v>
      </c>
      <c r="V1946" s="132"/>
      <c r="W1946" s="59" t="s">
        <v>548</v>
      </c>
      <c r="X1946" s="33" t="str">
        <f>+VLOOKUP(OtherClients[[#This Row],[Part]],PartControl!$A$2:$E$564,5,FALSE)</f>
        <v>infasco</v>
      </c>
      <c r="Y1946" s="108">
        <f>IF(OtherClients[[#This Row],[Re-certified or New]]&lt;&gt;"Re-certified",IF(OtherClients[[#This Row],[Client]]="infasco",VLOOKUP(OtherClients[[#This Row],[Part]],PartControl!$A$2:$E$564,2,FALSE),OtherClients[[#This Row],[Total Quantity]]*VLOOKUP(OtherClients[[#This Row],[Part]],PartControl!$A$2:$E$564,2,FALSE)),0)</f>
        <v>223.88</v>
      </c>
      <c r="Z1946" s="108">
        <f>IF(OtherClients[[#This Row],[Re-certified or New]]&lt;&gt;"Re-certified",IF(OtherClients[[#This Row],[Client]]="infasco",VLOOKUP(OtherClients[[#This Row],[Part]],PartControl!$A$2:$E$564,2,FALSE),OtherClients[[#This Row],[Total Quantity]]*VLOOKUP(OtherClients[[#This Row],[Part]],PartControl!$A$2:$E$564,2,FALSE)),0)</f>
        <v>223.88</v>
      </c>
    </row>
    <row r="1947" spans="1:26" ht="25.15" hidden="1" customHeight="1" x14ac:dyDescent="0.25">
      <c r="A1947" s="112">
        <v>46261.69358796296</v>
      </c>
      <c r="B1947" s="5" t="s">
        <v>344</v>
      </c>
      <c r="C1947" s="5" t="s">
        <v>824</v>
      </c>
      <c r="D1947" s="5">
        <v>716732</v>
      </c>
      <c r="E1947" s="33">
        <v>1</v>
      </c>
      <c r="F1947" s="60">
        <v>5100</v>
      </c>
      <c r="G1947" s="60">
        <f>+OtherClients[[#This Row],[Boxes / Pieces]]*OtherClients[[#This Row],[Unit Quantity]]</f>
        <v>5100</v>
      </c>
      <c r="H1947" s="60" t="s">
        <v>816</v>
      </c>
      <c r="I1947" s="130" t="s">
        <v>278</v>
      </c>
      <c r="J1947" s="131"/>
      <c r="K1947" s="33" t="s">
        <v>278</v>
      </c>
      <c r="L1947" s="132"/>
      <c r="M1947" s="33" t="s">
        <v>278</v>
      </c>
      <c r="N1947" s="132"/>
      <c r="O1947" s="33" t="s">
        <v>278</v>
      </c>
      <c r="P1947" s="132"/>
      <c r="Q1947" s="33" t="s">
        <v>587</v>
      </c>
      <c r="R1947" s="132"/>
      <c r="S1947" s="33" t="s">
        <v>278</v>
      </c>
      <c r="T1947" s="132"/>
      <c r="U1947" s="33" t="s">
        <v>278</v>
      </c>
      <c r="V1947" s="132"/>
      <c r="W1947" s="59" t="s">
        <v>548</v>
      </c>
      <c r="X1947" s="33" t="str">
        <f>+VLOOKUP(OtherClients[[#This Row],[Part]],PartControl!$A$2:$E$564,5,FALSE)</f>
        <v>Infasco</v>
      </c>
      <c r="Y1947" s="108">
        <f>IF(OtherClients[[#This Row],[Re-certified or New]]&lt;&gt;"Re-certified",IF(OtherClients[[#This Row],[Client]]="infasco",VLOOKUP(OtherClients[[#This Row],[Part]],PartControl!$A$2:$E$564,2,FALSE),OtherClients[[#This Row],[Total Quantity]]*VLOOKUP(OtherClients[[#This Row],[Part]],PartControl!$A$2:$E$564,2,FALSE)),0)</f>
        <v>129.44999999999999</v>
      </c>
      <c r="Z1947" s="108">
        <f>IF(OtherClients[[#This Row],[Re-certified or New]]&lt;&gt;"Re-certified",IF(OtherClients[[#This Row],[Client]]="infasco",VLOOKUP(OtherClients[[#This Row],[Part]],PartControl!$A$2:$E$564,2,FALSE),OtherClients[[#This Row],[Total Quantity]]*VLOOKUP(OtherClients[[#This Row],[Part]],PartControl!$A$2:$E$564,2,FALSE)),0)</f>
        <v>129.44999999999999</v>
      </c>
    </row>
    <row r="1948" spans="1:26" ht="25.15" hidden="1" customHeight="1" x14ac:dyDescent="0.25">
      <c r="A1948" s="112">
        <v>46261.69358796296</v>
      </c>
      <c r="B1948" s="5" t="s">
        <v>344</v>
      </c>
      <c r="C1948" s="5" t="s">
        <v>643</v>
      </c>
      <c r="D1948" s="5">
        <v>716531</v>
      </c>
      <c r="E1948" s="33">
        <v>36</v>
      </c>
      <c r="F1948" s="60">
        <v>700</v>
      </c>
      <c r="G1948" s="60">
        <f>+OtherClients[[#This Row],[Boxes / Pieces]]*OtherClients[[#This Row],[Unit Quantity]]</f>
        <v>25200</v>
      </c>
      <c r="H1948" s="60" t="s">
        <v>816</v>
      </c>
      <c r="I1948" s="130" t="s">
        <v>278</v>
      </c>
      <c r="J1948" s="131"/>
      <c r="K1948" s="33" t="s">
        <v>278</v>
      </c>
      <c r="L1948" s="132"/>
      <c r="M1948" s="33" t="s">
        <v>278</v>
      </c>
      <c r="N1948" s="132"/>
      <c r="O1948" s="33" t="s">
        <v>278</v>
      </c>
      <c r="P1948" s="132"/>
      <c r="Q1948" s="33" t="s">
        <v>587</v>
      </c>
      <c r="R1948" s="132"/>
      <c r="S1948" s="33" t="s">
        <v>278</v>
      </c>
      <c r="T1948" s="132"/>
      <c r="U1948" s="33" t="s">
        <v>278</v>
      </c>
      <c r="V1948" s="132"/>
      <c r="W1948" s="59" t="s">
        <v>548</v>
      </c>
      <c r="X1948" s="33" t="str">
        <f>+VLOOKUP(OtherClients[[#This Row],[Part]],PartControl!$A$2:$E$564,5,FALSE)</f>
        <v>infasco</v>
      </c>
      <c r="Y1948" s="108">
        <f>IF(OtherClients[[#This Row],[Re-certified or New]]&lt;&gt;"Re-certified",IF(OtherClients[[#This Row],[Client]]="infasco",VLOOKUP(OtherClients[[#This Row],[Part]],PartControl!$A$2:$E$564,2,FALSE),OtherClients[[#This Row],[Total Quantity]]*VLOOKUP(OtherClients[[#This Row],[Part]],PartControl!$A$2:$E$564,2,FALSE)),0)</f>
        <v>135.07999999999998</v>
      </c>
      <c r="Z1948" s="108">
        <f>IF(OtherClients[[#This Row],[Re-certified or New]]&lt;&gt;"Re-certified",IF(OtherClients[[#This Row],[Client]]="infasco",VLOOKUP(OtherClients[[#This Row],[Part]],PartControl!$A$2:$E$564,2,FALSE),OtherClients[[#This Row],[Total Quantity]]*VLOOKUP(OtherClients[[#This Row],[Part]],PartControl!$A$2:$E$564,2,FALSE)),0)</f>
        <v>135.07999999999998</v>
      </c>
    </row>
    <row r="1949" spans="1:26" ht="25.15" hidden="1" customHeight="1" x14ac:dyDescent="0.25">
      <c r="A1949" s="112">
        <v>46261.69358796296</v>
      </c>
      <c r="B1949" s="5" t="s">
        <v>344</v>
      </c>
      <c r="C1949" s="5" t="s">
        <v>643</v>
      </c>
      <c r="D1949" s="5">
        <v>716532</v>
      </c>
      <c r="E1949" s="33">
        <v>21</v>
      </c>
      <c r="F1949" s="60">
        <v>700</v>
      </c>
      <c r="G1949" s="60">
        <f>+OtherClients[[#This Row],[Boxes / Pieces]]*OtherClients[[#This Row],[Unit Quantity]]</f>
        <v>14700</v>
      </c>
      <c r="H1949" s="60" t="s">
        <v>816</v>
      </c>
      <c r="I1949" s="130" t="s">
        <v>278</v>
      </c>
      <c r="J1949" s="131"/>
      <c r="K1949" s="33" t="s">
        <v>278</v>
      </c>
      <c r="L1949" s="132"/>
      <c r="M1949" s="33" t="s">
        <v>278</v>
      </c>
      <c r="N1949" s="132"/>
      <c r="O1949" s="33" t="s">
        <v>278</v>
      </c>
      <c r="P1949" s="132"/>
      <c r="Q1949" s="33" t="s">
        <v>587</v>
      </c>
      <c r="R1949" s="132"/>
      <c r="S1949" s="33" t="s">
        <v>278</v>
      </c>
      <c r="T1949" s="132"/>
      <c r="U1949" s="33" t="s">
        <v>278</v>
      </c>
      <c r="V1949" s="132"/>
      <c r="W1949" s="59" t="s">
        <v>548</v>
      </c>
      <c r="X1949" s="33" t="str">
        <f>+VLOOKUP(OtherClients[[#This Row],[Part]],PartControl!$A$2:$E$564,5,FALSE)</f>
        <v>infasco</v>
      </c>
      <c r="Y1949" s="108">
        <f>IF(OtherClients[[#This Row],[Re-certified or New]]&lt;&gt;"Re-certified",IF(OtherClients[[#This Row],[Client]]="infasco",VLOOKUP(OtherClients[[#This Row],[Part]],PartControl!$A$2:$E$564,2,FALSE),OtherClients[[#This Row],[Total Quantity]]*VLOOKUP(OtherClients[[#This Row],[Part]],PartControl!$A$2:$E$564,2,FALSE)),0)</f>
        <v>135.07999999999998</v>
      </c>
      <c r="Z1949" s="108">
        <f>IF(OtherClients[[#This Row],[Re-certified or New]]&lt;&gt;"Re-certified",IF(OtherClients[[#This Row],[Client]]="infasco",VLOOKUP(OtherClients[[#This Row],[Part]],PartControl!$A$2:$E$564,2,FALSE),OtherClients[[#This Row],[Total Quantity]]*VLOOKUP(OtherClients[[#This Row],[Part]],PartControl!$A$2:$E$564,2,FALSE)),0)</f>
        <v>135.07999999999998</v>
      </c>
    </row>
    <row r="1950" spans="1:26" ht="25.15" hidden="1" customHeight="1" x14ac:dyDescent="0.25">
      <c r="A1950" s="112">
        <v>46261.69358796296</v>
      </c>
      <c r="B1950" s="5" t="s">
        <v>344</v>
      </c>
      <c r="C1950" s="5" t="s">
        <v>824</v>
      </c>
      <c r="D1950" s="5">
        <v>716723</v>
      </c>
      <c r="E1950" s="33">
        <v>1</v>
      </c>
      <c r="F1950" s="60">
        <v>5320</v>
      </c>
      <c r="G1950" s="60">
        <f>+OtherClients[[#This Row],[Boxes / Pieces]]*OtherClients[[#This Row],[Unit Quantity]]</f>
        <v>5320</v>
      </c>
      <c r="H1950" s="60" t="s">
        <v>816</v>
      </c>
      <c r="I1950" s="130" t="s">
        <v>278</v>
      </c>
      <c r="J1950" s="131"/>
      <c r="K1950" s="33" t="s">
        <v>278</v>
      </c>
      <c r="L1950" s="132"/>
      <c r="M1950" s="33" t="s">
        <v>278</v>
      </c>
      <c r="N1950" s="132"/>
      <c r="O1950" s="33" t="s">
        <v>278</v>
      </c>
      <c r="P1950" s="132"/>
      <c r="Q1950" s="33" t="s">
        <v>587</v>
      </c>
      <c r="R1950" s="132"/>
      <c r="S1950" s="33" t="s">
        <v>278</v>
      </c>
      <c r="T1950" s="132"/>
      <c r="U1950" s="33" t="s">
        <v>278</v>
      </c>
      <c r="V1950" s="132"/>
      <c r="W1950" s="59" t="s">
        <v>548</v>
      </c>
      <c r="X1950" s="33" t="str">
        <f>+VLOOKUP(OtherClients[[#This Row],[Part]],PartControl!$A$2:$E$564,5,FALSE)</f>
        <v>Infasco</v>
      </c>
      <c r="Y1950" s="108">
        <f>IF(OtherClients[[#This Row],[Re-certified or New]]&lt;&gt;"Re-certified",IF(OtherClients[[#This Row],[Client]]="infasco",VLOOKUP(OtherClients[[#This Row],[Part]],PartControl!$A$2:$E$564,2,FALSE),OtherClients[[#This Row],[Total Quantity]]*VLOOKUP(OtherClients[[#This Row],[Part]],PartControl!$A$2:$E$564,2,FALSE)),0)</f>
        <v>129.44999999999999</v>
      </c>
      <c r="Z1950" s="108">
        <f>IF(OtherClients[[#This Row],[Re-certified or New]]&lt;&gt;"Re-certified",IF(OtherClients[[#This Row],[Client]]="infasco",VLOOKUP(OtherClients[[#This Row],[Part]],PartControl!$A$2:$E$564,2,FALSE),OtherClients[[#This Row],[Total Quantity]]*VLOOKUP(OtherClients[[#This Row],[Part]],PartControl!$A$2:$E$564,2,FALSE)),0)</f>
        <v>129.44999999999999</v>
      </c>
    </row>
    <row r="1951" spans="1:26" ht="25.15" hidden="1" customHeight="1" x14ac:dyDescent="0.25">
      <c r="A1951" s="112">
        <v>46261.69358796296</v>
      </c>
      <c r="B1951" s="5" t="s">
        <v>344</v>
      </c>
      <c r="C1951" s="5" t="s">
        <v>824</v>
      </c>
      <c r="D1951" s="5">
        <v>716494</v>
      </c>
      <c r="E1951" s="33">
        <v>1</v>
      </c>
      <c r="F1951" s="60">
        <v>9500</v>
      </c>
      <c r="G1951" s="60">
        <f>+OtherClients[[#This Row],[Boxes / Pieces]]*OtherClients[[#This Row],[Unit Quantity]]</f>
        <v>9500</v>
      </c>
      <c r="H1951" s="60" t="s">
        <v>816</v>
      </c>
      <c r="I1951" s="130" t="s">
        <v>278</v>
      </c>
      <c r="J1951" s="131"/>
      <c r="K1951" s="33" t="s">
        <v>278</v>
      </c>
      <c r="L1951" s="132"/>
      <c r="M1951" s="33" t="s">
        <v>278</v>
      </c>
      <c r="N1951" s="132"/>
      <c r="O1951" s="33" t="s">
        <v>278</v>
      </c>
      <c r="P1951" s="132"/>
      <c r="Q1951" s="33" t="s">
        <v>587</v>
      </c>
      <c r="R1951" s="132"/>
      <c r="S1951" s="33" t="s">
        <v>278</v>
      </c>
      <c r="T1951" s="132"/>
      <c r="U1951" s="33" t="s">
        <v>278</v>
      </c>
      <c r="V1951" s="132"/>
      <c r="W1951" s="59" t="s">
        <v>548</v>
      </c>
      <c r="X1951" s="33" t="str">
        <f>+VLOOKUP(OtherClients[[#This Row],[Part]],PartControl!$A$2:$E$564,5,FALSE)</f>
        <v>Infasco</v>
      </c>
      <c r="Y1951" s="108">
        <f>IF(OtherClients[[#This Row],[Re-certified or New]]&lt;&gt;"Re-certified",IF(OtherClients[[#This Row],[Client]]="infasco",VLOOKUP(OtherClients[[#This Row],[Part]],PartControl!$A$2:$E$564,2,FALSE),OtherClients[[#This Row],[Total Quantity]]*VLOOKUP(OtherClients[[#This Row],[Part]],PartControl!$A$2:$E$564,2,FALSE)),0)</f>
        <v>129.44999999999999</v>
      </c>
      <c r="Z1951" s="108">
        <f>IF(OtherClients[[#This Row],[Re-certified or New]]&lt;&gt;"Re-certified",IF(OtherClients[[#This Row],[Client]]="infasco",VLOOKUP(OtherClients[[#This Row],[Part]],PartControl!$A$2:$E$564,2,FALSE),OtherClients[[#This Row],[Total Quantity]]*VLOOKUP(OtherClients[[#This Row],[Part]],PartControl!$A$2:$E$564,2,FALSE)),0)</f>
        <v>129.44999999999999</v>
      </c>
    </row>
    <row r="1952" spans="1:26" ht="25.15" hidden="1" customHeight="1" x14ac:dyDescent="0.25">
      <c r="A1952" s="112">
        <v>46261.69358796296</v>
      </c>
      <c r="B1952" s="5" t="s">
        <v>345</v>
      </c>
      <c r="C1952" s="5" t="s">
        <v>17</v>
      </c>
      <c r="D1952" s="5">
        <v>717414</v>
      </c>
      <c r="E1952" s="33">
        <v>4</v>
      </c>
      <c r="F1952" s="60">
        <v>100</v>
      </c>
      <c r="G1952" s="60">
        <f>+OtherClients[[#This Row],[Boxes / Pieces]]*OtherClients[[#This Row],[Unit Quantity]]</f>
        <v>400</v>
      </c>
      <c r="H1952" s="60" t="s">
        <v>896</v>
      </c>
      <c r="I1952" s="130" t="s">
        <v>278</v>
      </c>
      <c r="J1952" s="131"/>
      <c r="K1952" s="33" t="s">
        <v>278</v>
      </c>
      <c r="L1952" s="132"/>
      <c r="M1952" s="33" t="s">
        <v>278</v>
      </c>
      <c r="N1952" s="132"/>
      <c r="O1952" s="33" t="s">
        <v>278</v>
      </c>
      <c r="P1952" s="132"/>
      <c r="Q1952" s="33" t="s">
        <v>587</v>
      </c>
      <c r="R1952" s="132"/>
      <c r="S1952" s="33" t="s">
        <v>278</v>
      </c>
      <c r="T1952" s="132"/>
      <c r="U1952" s="33" t="s">
        <v>278</v>
      </c>
      <c r="V1952" s="132"/>
      <c r="W1952" s="59" t="s">
        <v>548</v>
      </c>
      <c r="X1952" s="33" t="str">
        <f>+VLOOKUP(OtherClients[[#This Row],[Part]],PartControl!$A$2:$E$564,5,FALSE)</f>
        <v>infasco</v>
      </c>
      <c r="Y1952" s="108">
        <f>IF(OtherClients[[#This Row],[Re-certified or New]]&lt;&gt;"Re-certified",IF(OtherClients[[#This Row],[Client]]="infasco",VLOOKUP(OtherClients[[#This Row],[Part]],PartControl!$A$2:$E$564,2,FALSE),OtherClients[[#This Row],[Total Quantity]]*VLOOKUP(OtherClients[[#This Row],[Part]],PartControl!$A$2:$E$564,2,FALSE)),0)</f>
        <v>135.07999999999998</v>
      </c>
      <c r="Z1952" s="108">
        <f>IF(OtherClients[[#This Row],[Re-certified or New]]&lt;&gt;"Re-certified",IF(OtherClients[[#This Row],[Client]]="infasco",VLOOKUP(OtherClients[[#This Row],[Part]],PartControl!$A$2:$E$564,2,FALSE),OtherClients[[#This Row],[Total Quantity]]*VLOOKUP(OtherClients[[#This Row],[Part]],PartControl!$A$2:$E$564,2,FALSE)),0)</f>
        <v>135.07999999999998</v>
      </c>
    </row>
    <row r="1953" spans="1:26" ht="25.15" hidden="1" customHeight="1" x14ac:dyDescent="0.25">
      <c r="A1953" s="112">
        <v>46261.69358796296</v>
      </c>
      <c r="B1953" s="5" t="s">
        <v>345</v>
      </c>
      <c r="C1953" s="5" t="s">
        <v>35</v>
      </c>
      <c r="D1953" s="5">
        <v>714599</v>
      </c>
      <c r="E1953" s="33">
        <v>45</v>
      </c>
      <c r="F1953" s="60">
        <v>850</v>
      </c>
      <c r="G1953" s="60">
        <f>+OtherClients[[#This Row],[Boxes / Pieces]]*OtherClients[[#This Row],[Unit Quantity]]</f>
        <v>38250</v>
      </c>
      <c r="H1953" s="60" t="s">
        <v>896</v>
      </c>
      <c r="I1953" s="130" t="s">
        <v>278</v>
      </c>
      <c r="J1953" s="131"/>
      <c r="K1953" s="33" t="s">
        <v>278</v>
      </c>
      <c r="L1953" s="132"/>
      <c r="M1953" s="33" t="s">
        <v>278</v>
      </c>
      <c r="N1953" s="132"/>
      <c r="O1953" s="33" t="s">
        <v>278</v>
      </c>
      <c r="P1953" s="132"/>
      <c r="Q1953" s="33" t="s">
        <v>587</v>
      </c>
      <c r="R1953" s="132"/>
      <c r="S1953" s="33" t="s">
        <v>278</v>
      </c>
      <c r="T1953" s="132"/>
      <c r="U1953" s="33" t="s">
        <v>278</v>
      </c>
      <c r="V1953" s="132"/>
      <c r="W1953" s="59" t="s">
        <v>548</v>
      </c>
      <c r="X1953" s="33" t="str">
        <f>+VLOOKUP(OtherClients[[#This Row],[Part]],PartControl!$A$2:$E$564,5,FALSE)</f>
        <v>infasco</v>
      </c>
      <c r="Y1953" s="108">
        <f>IF(OtherClients[[#This Row],[Re-certified or New]]&lt;&gt;"Re-certified",IF(OtherClients[[#This Row],[Client]]="infasco",VLOOKUP(OtherClients[[#This Row],[Part]],PartControl!$A$2:$E$564,2,FALSE),OtherClients[[#This Row],[Total Quantity]]*VLOOKUP(OtherClients[[#This Row],[Part]],PartControl!$A$2:$E$564,2,FALSE)),0)</f>
        <v>106.94</v>
      </c>
      <c r="Z1953" s="108">
        <f>IF(OtherClients[[#This Row],[Re-certified or New]]&lt;&gt;"Re-certified",IF(OtherClients[[#This Row],[Client]]="infasco",VLOOKUP(OtherClients[[#This Row],[Part]],PartControl!$A$2:$E$564,2,FALSE),OtherClients[[#This Row],[Total Quantity]]*VLOOKUP(OtherClients[[#This Row],[Part]],PartControl!$A$2:$E$564,2,FALSE)),0)</f>
        <v>106.94</v>
      </c>
    </row>
    <row r="1954" spans="1:26" ht="25.15" hidden="1" customHeight="1" x14ac:dyDescent="0.25">
      <c r="A1954" s="112">
        <v>46261.69358796296</v>
      </c>
      <c r="B1954" s="5" t="s">
        <v>345</v>
      </c>
      <c r="C1954" s="5" t="s">
        <v>853</v>
      </c>
      <c r="D1954" s="5">
        <v>716492</v>
      </c>
      <c r="E1954" s="33">
        <v>1</v>
      </c>
      <c r="F1954" s="60">
        <v>10000</v>
      </c>
      <c r="G1954" s="60">
        <f>+OtherClients[[#This Row],[Boxes / Pieces]]*OtherClients[[#This Row],[Unit Quantity]]</f>
        <v>10000</v>
      </c>
      <c r="H1954" s="60" t="s">
        <v>896</v>
      </c>
      <c r="I1954" s="130" t="s">
        <v>278</v>
      </c>
      <c r="J1954" s="131"/>
      <c r="K1954" s="33" t="s">
        <v>278</v>
      </c>
      <c r="L1954" s="132"/>
      <c r="M1954" s="33" t="s">
        <v>278</v>
      </c>
      <c r="N1954" s="132"/>
      <c r="O1954" s="33" t="s">
        <v>278</v>
      </c>
      <c r="P1954" s="132"/>
      <c r="Q1954" s="33" t="s">
        <v>587</v>
      </c>
      <c r="R1954" s="132"/>
      <c r="S1954" s="33" t="s">
        <v>278</v>
      </c>
      <c r="T1954" s="132"/>
      <c r="U1954" s="33" t="s">
        <v>278</v>
      </c>
      <c r="V1954" s="132"/>
      <c r="W1954" s="59" t="s">
        <v>548</v>
      </c>
      <c r="X1954" s="33" t="str">
        <f>+VLOOKUP(OtherClients[[#This Row],[Part]],PartControl!$A$2:$E$564,5,FALSE)</f>
        <v>Infasco</v>
      </c>
      <c r="Y1954" s="108">
        <f>IF(OtherClients[[#This Row],[Re-certified or New]]&lt;&gt;"Re-certified",IF(OtherClients[[#This Row],[Client]]="infasco",VLOOKUP(OtherClients[[#This Row],[Part]],PartControl!$A$2:$E$564,2,FALSE),OtherClients[[#This Row],[Total Quantity]]*VLOOKUP(OtherClients[[#This Row],[Part]],PartControl!$A$2:$E$564,2,FALSE)),0)</f>
        <v>129.44999999999999</v>
      </c>
      <c r="Z1954" s="108">
        <f>IF(OtherClients[[#This Row],[Re-certified or New]]&lt;&gt;"Re-certified",IF(OtherClients[[#This Row],[Client]]="infasco",VLOOKUP(OtherClients[[#This Row],[Part]],PartControl!$A$2:$E$564,2,FALSE),OtherClients[[#This Row],[Total Quantity]]*VLOOKUP(OtherClients[[#This Row],[Part]],PartControl!$A$2:$E$564,2,FALSE)),0)</f>
        <v>129.44999999999999</v>
      </c>
    </row>
    <row r="1955" spans="1:26" ht="25.15" hidden="1" customHeight="1" x14ac:dyDescent="0.25">
      <c r="A1955" s="112">
        <v>46261.69358796296</v>
      </c>
      <c r="B1955" s="5" t="s">
        <v>345</v>
      </c>
      <c r="C1955" s="5" t="s">
        <v>853</v>
      </c>
      <c r="D1955" s="5">
        <v>716493</v>
      </c>
      <c r="E1955" s="33">
        <v>1</v>
      </c>
      <c r="F1955" s="60">
        <f>18*300</f>
        <v>5400</v>
      </c>
      <c r="G1955" s="60">
        <f>+OtherClients[[#This Row],[Boxes / Pieces]]*OtherClients[[#This Row],[Unit Quantity]]</f>
        <v>5400</v>
      </c>
      <c r="H1955" s="60" t="s">
        <v>896</v>
      </c>
      <c r="I1955" s="130" t="s">
        <v>278</v>
      </c>
      <c r="J1955" s="131"/>
      <c r="K1955" s="33" t="s">
        <v>278</v>
      </c>
      <c r="L1955" s="132"/>
      <c r="M1955" s="33" t="s">
        <v>278</v>
      </c>
      <c r="N1955" s="132"/>
      <c r="O1955" s="33" t="s">
        <v>278</v>
      </c>
      <c r="P1955" s="132"/>
      <c r="Q1955" s="33" t="s">
        <v>587</v>
      </c>
      <c r="R1955" s="132"/>
      <c r="S1955" s="33" t="s">
        <v>278</v>
      </c>
      <c r="T1955" s="132"/>
      <c r="U1955" s="33" t="s">
        <v>278</v>
      </c>
      <c r="V1955" s="132"/>
      <c r="W1955" s="59" t="s">
        <v>633</v>
      </c>
      <c r="X1955" s="33" t="str">
        <f>+VLOOKUP(OtherClients[[#This Row],[Part]],PartControl!$A$2:$E$564,5,FALSE)</f>
        <v>Infasco</v>
      </c>
      <c r="Y1955" s="108">
        <f>IF(OtherClients[[#This Row],[Re-certified or New]]&lt;&gt;"Re-certified",IF(OtherClients[[#This Row],[Client]]="infasco",VLOOKUP(OtherClients[[#This Row],[Part]],PartControl!$A$2:$E$564,2,FALSE),OtherClients[[#This Row],[Total Quantity]]*VLOOKUP(OtherClients[[#This Row],[Part]],PartControl!$A$2:$E$564,2,FALSE)),0)</f>
        <v>0</v>
      </c>
      <c r="Z1955" s="108">
        <f>IF(OtherClients[[#This Row],[Re-certified or New]]&lt;&gt;"Re-certified",IF(OtherClients[[#This Row],[Client]]="infasco",VLOOKUP(OtherClients[[#This Row],[Part]],PartControl!$A$2:$E$564,2,FALSE),OtherClients[[#This Row],[Total Quantity]]*VLOOKUP(OtherClients[[#This Row],[Part]],PartControl!$A$2:$E$564,2,FALSE)),0)</f>
        <v>0</v>
      </c>
    </row>
    <row r="1956" spans="1:26" ht="25.15" hidden="1" customHeight="1" x14ac:dyDescent="0.25">
      <c r="A1956" s="112">
        <v>46261.69358796296</v>
      </c>
      <c r="B1956" s="5" t="s">
        <v>346</v>
      </c>
      <c r="C1956" s="5" t="s">
        <v>794</v>
      </c>
      <c r="D1956" s="5">
        <v>716410</v>
      </c>
      <c r="E1956" s="33">
        <v>12</v>
      </c>
      <c r="F1956" s="60">
        <v>195</v>
      </c>
      <c r="G1956" s="60">
        <f>+OtherClients[[#This Row],[Boxes / Pieces]]*OtherClients[[#This Row],[Unit Quantity]]</f>
        <v>2340</v>
      </c>
      <c r="H1956" s="60">
        <v>197</v>
      </c>
      <c r="I1956" s="130" t="s">
        <v>278</v>
      </c>
      <c r="J1956" s="131"/>
      <c r="K1956" s="33" t="s">
        <v>278</v>
      </c>
      <c r="L1956" s="132"/>
      <c r="M1956" s="33" t="s">
        <v>278</v>
      </c>
      <c r="N1956" s="132"/>
      <c r="O1956" s="33" t="s">
        <v>278</v>
      </c>
      <c r="P1956" s="132"/>
      <c r="Q1956" s="33" t="s">
        <v>587</v>
      </c>
      <c r="R1956" s="132"/>
      <c r="S1956" s="33" t="s">
        <v>278</v>
      </c>
      <c r="T1956" s="132"/>
      <c r="U1956" s="33" t="s">
        <v>278</v>
      </c>
      <c r="V1956" s="132"/>
      <c r="W1956" s="59" t="s">
        <v>633</v>
      </c>
      <c r="X1956" s="33" t="str">
        <f>+VLOOKUP(OtherClients[[#This Row],[Part]],PartControl!$A$2:$E$564,5,FALSE)</f>
        <v>infasco</v>
      </c>
      <c r="Y1956" s="108">
        <f>IF(OtherClients[[#This Row],[Re-certified or New]]&lt;&gt;"Re-certified",IF(OtherClients[[#This Row],[Client]]="infasco",VLOOKUP(OtherClients[[#This Row],[Part]],PartControl!$A$2:$E$564,2,FALSE),OtherClients[[#This Row],[Total Quantity]]*VLOOKUP(OtherClients[[#This Row],[Part]],PartControl!$A$2:$E$564,2,FALSE)),0)</f>
        <v>0</v>
      </c>
      <c r="Z1956" s="108">
        <f>IF(OtherClients[[#This Row],[Re-certified or New]]&lt;&gt;"Re-certified",IF(OtherClients[[#This Row],[Client]]="infasco",VLOOKUP(OtherClients[[#This Row],[Part]],PartControl!$A$2:$E$564,2,FALSE),OtherClients[[#This Row],[Total Quantity]]*VLOOKUP(OtherClients[[#This Row],[Part]],PartControl!$A$2:$E$564,2,FALSE)),0)</f>
        <v>0</v>
      </c>
    </row>
    <row r="1957" spans="1:26" ht="25.15" hidden="1" customHeight="1" x14ac:dyDescent="0.25">
      <c r="A1957" s="112">
        <v>46262.694409722222</v>
      </c>
      <c r="B1957" s="5" t="s">
        <v>242</v>
      </c>
      <c r="C1957" s="5" t="s">
        <v>15</v>
      </c>
      <c r="D1957" s="5">
        <v>716432</v>
      </c>
      <c r="E1957" s="33">
        <v>17</v>
      </c>
      <c r="F1957" s="60">
        <v>1200</v>
      </c>
      <c r="G1957" s="60">
        <v>20400</v>
      </c>
      <c r="H1957" s="60">
        <v>275</v>
      </c>
      <c r="I1957" s="130" t="s">
        <v>278</v>
      </c>
      <c r="J1957" s="131"/>
      <c r="K1957" s="33" t="s">
        <v>278</v>
      </c>
      <c r="L1957" s="132"/>
      <c r="M1957" s="33" t="s">
        <v>278</v>
      </c>
      <c r="N1957" s="132"/>
      <c r="O1957" s="33" t="s">
        <v>278</v>
      </c>
      <c r="P1957" s="132"/>
      <c r="Q1957" s="33" t="s">
        <v>587</v>
      </c>
      <c r="R1957" s="132"/>
      <c r="S1957" s="33" t="s">
        <v>278</v>
      </c>
      <c r="T1957" s="132"/>
      <c r="U1957" s="33" t="s">
        <v>278</v>
      </c>
      <c r="V1957" s="132"/>
      <c r="W1957" s="133" t="s">
        <v>548</v>
      </c>
      <c r="X1957" s="33" t="str">
        <f>+VLOOKUP(OtherClients[[#This Row],[Part]],PartControl!$A$2:$E$564,5,FALSE)</f>
        <v>infasco</v>
      </c>
      <c r="Y1957" s="132">
        <v>106.94</v>
      </c>
      <c r="Z1957" s="108">
        <f>IF(OtherClients[[#This Row],[Re-certified or New]]&lt;&gt;"Re-certified",IF(OtherClients[[#This Row],[Client]]="infasco",VLOOKUP(OtherClients[[#This Row],[Part]],PartControl!$A$2:$E$564,2,FALSE),OtherClients[[#This Row],[Total Quantity]]*VLOOKUP(OtherClients[[#This Row],[Part]],PartControl!$A$2:$E$564,2,FALSE)),0)</f>
        <v>106.94</v>
      </c>
    </row>
    <row r="1958" spans="1:26" ht="25.15" hidden="1" customHeight="1" x14ac:dyDescent="0.25">
      <c r="A1958" s="112">
        <v>46262.694409722222</v>
      </c>
      <c r="B1958" s="5" t="s">
        <v>242</v>
      </c>
      <c r="C1958" s="5" t="s">
        <v>15</v>
      </c>
      <c r="D1958" s="5">
        <v>716431</v>
      </c>
      <c r="E1958" s="33">
        <v>35</v>
      </c>
      <c r="F1958" s="60">
        <v>1200</v>
      </c>
      <c r="G1958" s="60">
        <f>+OtherClients[[#This Row],[Boxes / Pieces]]*OtherClients[[#This Row],[Unit Quantity]]</f>
        <v>42000</v>
      </c>
      <c r="H1958" s="60">
        <v>275</v>
      </c>
      <c r="I1958" s="130" t="s">
        <v>278</v>
      </c>
      <c r="J1958" s="131"/>
      <c r="K1958" s="33" t="s">
        <v>278</v>
      </c>
      <c r="L1958" s="132"/>
      <c r="M1958" s="33" t="s">
        <v>278</v>
      </c>
      <c r="N1958" s="132"/>
      <c r="O1958" s="33" t="s">
        <v>278</v>
      </c>
      <c r="P1958" s="132"/>
      <c r="Q1958" s="33" t="s">
        <v>587</v>
      </c>
      <c r="R1958" s="132"/>
      <c r="S1958" s="33" t="s">
        <v>278</v>
      </c>
      <c r="T1958" s="132"/>
      <c r="U1958" s="33" t="s">
        <v>278</v>
      </c>
      <c r="V1958" s="132"/>
      <c r="W1958" s="59" t="s">
        <v>548</v>
      </c>
      <c r="X1958" s="33" t="str">
        <f>+VLOOKUP(OtherClients[[#This Row],[Part]],PartControl!$A$2:$E$564,5,FALSE)</f>
        <v>infasco</v>
      </c>
      <c r="Y1958" s="108">
        <f>IF(OtherClients[[#This Row],[Re-certified or New]]&lt;&gt;"Re-certified",IF(OtherClients[[#This Row],[Client]]="infasco",VLOOKUP(OtherClients[[#This Row],[Part]],PartControl!$A$2:$E$564,2,FALSE),OtherClients[[#This Row],[Total Quantity]]*VLOOKUP(OtherClients[[#This Row],[Part]],PartControl!$A$2:$E$564,2,FALSE)),0)</f>
        <v>106.94</v>
      </c>
      <c r="Z1958" s="108">
        <f>IF(OtherClients[[#This Row],[Re-certified or New]]&lt;&gt;"Re-certified",IF(OtherClients[[#This Row],[Client]]="infasco",VLOOKUP(OtherClients[[#This Row],[Part]],PartControl!$A$2:$E$564,2,FALSE),OtherClients[[#This Row],[Total Quantity]]*VLOOKUP(OtherClients[[#This Row],[Part]],PartControl!$A$2:$E$564,2,FALSE)),0)</f>
        <v>106.94</v>
      </c>
    </row>
    <row r="1959" spans="1:26" ht="25.15" hidden="1" customHeight="1" x14ac:dyDescent="0.25">
      <c r="A1959" s="112">
        <v>46262.694409722222</v>
      </c>
      <c r="B1959" s="5" t="s">
        <v>242</v>
      </c>
      <c r="C1959" s="5" t="s">
        <v>306</v>
      </c>
      <c r="D1959" s="5">
        <v>717103</v>
      </c>
      <c r="E1959" s="33">
        <v>1</v>
      </c>
      <c r="F1959" s="60">
        <v>2000</v>
      </c>
      <c r="G1959" s="60">
        <f>+OtherClients[[#This Row],[Boxes / Pieces]]*OtherClients[[#This Row],[Unit Quantity]]</f>
        <v>2000</v>
      </c>
      <c r="H1959" s="60">
        <v>275</v>
      </c>
      <c r="I1959" s="130" t="s">
        <v>278</v>
      </c>
      <c r="J1959" s="131"/>
      <c r="K1959" s="33" t="s">
        <v>278</v>
      </c>
      <c r="L1959" s="132"/>
      <c r="M1959" s="33" t="s">
        <v>278</v>
      </c>
      <c r="N1959" s="132"/>
      <c r="O1959" s="33" t="s">
        <v>278</v>
      </c>
      <c r="P1959" s="132"/>
      <c r="Q1959" s="33" t="s">
        <v>587</v>
      </c>
      <c r="R1959" s="132"/>
      <c r="S1959" s="33" t="s">
        <v>278</v>
      </c>
      <c r="T1959" s="132"/>
      <c r="U1959" s="33" t="s">
        <v>278</v>
      </c>
      <c r="V1959" s="132"/>
      <c r="W1959" s="59" t="s">
        <v>633</v>
      </c>
      <c r="X1959" s="33" t="str">
        <f>+VLOOKUP(OtherClients[[#This Row],[Part]],PartControl!$A$2:$E$564,5,FALSE)</f>
        <v>INFASCO</v>
      </c>
      <c r="Y1959" s="108">
        <f>IF(OtherClients[[#This Row],[Re-certified or New]]&lt;&gt;"Re-certified",IF(OtherClients[[#This Row],[Client]]="infasco",VLOOKUP(OtherClients[[#This Row],[Part]],PartControl!$A$2:$E$564,2,FALSE),OtherClients[[#This Row],[Total Quantity]]*VLOOKUP(OtherClients[[#This Row],[Part]],PartControl!$A$2:$E$564,2,FALSE)),0)</f>
        <v>0</v>
      </c>
      <c r="Z1959" s="108">
        <f>IF(OtherClients[[#This Row],[Re-certified or New]]&lt;&gt;"Re-certified",IF(OtherClients[[#This Row],[Client]]="infasco",VLOOKUP(OtherClients[[#This Row],[Part]],PartControl!$A$2:$E$564,2,FALSE),OtherClients[[#This Row],[Total Quantity]]*VLOOKUP(OtherClients[[#This Row],[Part]],PartControl!$A$2:$E$564,2,FALSE)),0)</f>
        <v>0</v>
      </c>
    </row>
    <row r="1960" spans="1:26" ht="25.15" hidden="1" customHeight="1" x14ac:dyDescent="0.25">
      <c r="A1960" s="112">
        <v>46262.694409722222</v>
      </c>
      <c r="B1960" s="5" t="s">
        <v>252</v>
      </c>
      <c r="C1960" s="5" t="s">
        <v>698</v>
      </c>
      <c r="D1960" s="5">
        <v>716235</v>
      </c>
      <c r="E1960" s="33">
        <f>12-4</f>
        <v>8</v>
      </c>
      <c r="F1960" s="60">
        <v>3000</v>
      </c>
      <c r="G1960" s="60">
        <f>+OtherClients[[#This Row],[Boxes / Pieces]]*OtherClients[[#This Row],[Unit Quantity]]</f>
        <v>24000</v>
      </c>
      <c r="H1960" s="60">
        <v>275</v>
      </c>
      <c r="I1960" s="130" t="s">
        <v>278</v>
      </c>
      <c r="J1960" s="131"/>
      <c r="K1960" s="33" t="s">
        <v>278</v>
      </c>
      <c r="L1960" s="132"/>
      <c r="M1960" s="33" t="s">
        <v>278</v>
      </c>
      <c r="N1960" s="132"/>
      <c r="O1960" s="33" t="s">
        <v>278</v>
      </c>
      <c r="P1960" s="132"/>
      <c r="Q1960" s="33" t="s">
        <v>587</v>
      </c>
      <c r="R1960" s="132"/>
      <c r="S1960" s="33" t="s">
        <v>278</v>
      </c>
      <c r="T1960" s="132"/>
      <c r="U1960" s="33" t="s">
        <v>278</v>
      </c>
      <c r="V1960" s="132"/>
      <c r="W1960" s="59" t="s">
        <v>548</v>
      </c>
      <c r="X1960" s="33" t="str">
        <f>+VLOOKUP(OtherClients[[#This Row],[Part]],PartControl!$A$2:$E$564,5,FALSE)</f>
        <v>infasco</v>
      </c>
      <c r="Y1960" s="108">
        <f>IF(OtherClients[[#This Row],[Re-certified or New]]&lt;&gt;"Re-certified",IF(OtherClients[[#This Row],[Client]]="infasco",VLOOKUP(OtherClients[[#This Row],[Part]],PartControl!$A$2:$E$564,2,FALSE),OtherClients[[#This Row],[Total Quantity]]*VLOOKUP(OtherClients[[#This Row],[Part]],PartControl!$A$2:$E$564,2,FALSE)),0)</f>
        <v>106.94</v>
      </c>
      <c r="Z1960" s="108">
        <f>IF(OtherClients[[#This Row],[Re-certified or New]]&lt;&gt;"Re-certified",IF(OtherClients[[#This Row],[Client]]="infasco",VLOOKUP(OtherClients[[#This Row],[Part]],PartControl!$A$2:$E$564,2,FALSE),OtherClients[[#This Row],[Total Quantity]]*VLOOKUP(OtherClients[[#This Row],[Part]],PartControl!$A$2:$E$564,2,FALSE)),0)</f>
        <v>106.94</v>
      </c>
    </row>
    <row r="1961" spans="1:26" ht="25.15" hidden="1" customHeight="1" x14ac:dyDescent="0.25">
      <c r="A1961" s="112">
        <v>46262.694409722222</v>
      </c>
      <c r="B1961" s="5" t="s">
        <v>252</v>
      </c>
      <c r="C1961" s="5" t="s">
        <v>667</v>
      </c>
      <c r="D1961" s="5">
        <v>714260</v>
      </c>
      <c r="E1961" s="33">
        <v>36</v>
      </c>
      <c r="F1961" s="60">
        <v>1600</v>
      </c>
      <c r="G1961" s="60">
        <f>+OtherClients[[#This Row],[Boxes / Pieces]]*OtherClients[[#This Row],[Unit Quantity]]</f>
        <v>57600</v>
      </c>
      <c r="H1961" s="60">
        <v>275</v>
      </c>
      <c r="I1961" s="130" t="s">
        <v>278</v>
      </c>
      <c r="J1961" s="131"/>
      <c r="K1961" s="33" t="s">
        <v>278</v>
      </c>
      <c r="L1961" s="132"/>
      <c r="M1961" s="33" t="s">
        <v>278</v>
      </c>
      <c r="N1961" s="132"/>
      <c r="O1961" s="33" t="s">
        <v>278</v>
      </c>
      <c r="P1961" s="132"/>
      <c r="Q1961" s="33" t="s">
        <v>587</v>
      </c>
      <c r="R1961" s="132"/>
      <c r="S1961" s="33" t="s">
        <v>278</v>
      </c>
      <c r="T1961" s="132"/>
      <c r="U1961" s="33" t="s">
        <v>278</v>
      </c>
      <c r="V1961" s="132"/>
      <c r="W1961" s="59" t="s">
        <v>548</v>
      </c>
      <c r="X1961" s="33" t="str">
        <f>+VLOOKUP(OtherClients[[#This Row],[Part]],PartControl!$A$2:$E$564,5,FALSE)</f>
        <v>infasco</v>
      </c>
      <c r="Y1961" s="108">
        <f>IF(OtherClients[[#This Row],[Re-certified or New]]&lt;&gt;"Re-certified",IF(OtherClients[[#This Row],[Client]]="infasco",VLOOKUP(OtherClients[[#This Row],[Part]],PartControl!$A$2:$E$564,2,FALSE),OtherClients[[#This Row],[Total Quantity]]*VLOOKUP(OtherClients[[#This Row],[Part]],PartControl!$A$2:$E$564,2,FALSE)),0)</f>
        <v>106.94</v>
      </c>
      <c r="Z1961" s="108">
        <f>IF(OtherClients[[#This Row],[Re-certified or New]]&lt;&gt;"Re-certified",IF(OtherClients[[#This Row],[Client]]="infasco",VLOOKUP(OtherClients[[#This Row],[Part]],PartControl!$A$2:$E$564,2,FALSE),OtherClients[[#This Row],[Total Quantity]]*VLOOKUP(OtherClients[[#This Row],[Part]],PartControl!$A$2:$E$564,2,FALSE)),0)</f>
        <v>106.94</v>
      </c>
    </row>
    <row r="1962" spans="1:26" ht="25.15" hidden="1" customHeight="1" x14ac:dyDescent="0.25">
      <c r="A1962" s="112">
        <v>46262.694409722222</v>
      </c>
      <c r="B1962" s="5" t="s">
        <v>252</v>
      </c>
      <c r="C1962" s="5" t="s">
        <v>667</v>
      </c>
      <c r="D1962" s="5">
        <v>714258</v>
      </c>
      <c r="E1962" s="33">
        <v>5</v>
      </c>
      <c r="F1962" s="60">
        <v>1600</v>
      </c>
      <c r="G1962" s="60">
        <f>+OtherClients[[#This Row],[Boxes / Pieces]]*OtherClients[[#This Row],[Unit Quantity]]</f>
        <v>8000</v>
      </c>
      <c r="H1962" s="60">
        <v>275</v>
      </c>
      <c r="I1962" s="130" t="s">
        <v>278</v>
      </c>
      <c r="J1962" s="131"/>
      <c r="K1962" s="33" t="s">
        <v>278</v>
      </c>
      <c r="L1962" s="132"/>
      <c r="M1962" s="33" t="s">
        <v>278</v>
      </c>
      <c r="N1962" s="132"/>
      <c r="O1962" s="33" t="s">
        <v>278</v>
      </c>
      <c r="P1962" s="132"/>
      <c r="Q1962" s="33" t="s">
        <v>587</v>
      </c>
      <c r="R1962" s="132"/>
      <c r="S1962" s="33" t="s">
        <v>278</v>
      </c>
      <c r="T1962" s="132"/>
      <c r="U1962" s="33" t="s">
        <v>278</v>
      </c>
      <c r="V1962" s="132"/>
      <c r="W1962" s="59" t="s">
        <v>633</v>
      </c>
      <c r="X1962" s="33" t="str">
        <f>+VLOOKUP(OtherClients[[#This Row],[Part]],PartControl!$A$2:$E$564,5,FALSE)</f>
        <v>infasco</v>
      </c>
      <c r="Y1962" s="108">
        <f>IF(OtherClients[[#This Row],[Re-certified or New]]&lt;&gt;"Re-certified",IF(OtherClients[[#This Row],[Client]]="infasco",VLOOKUP(OtherClients[[#This Row],[Part]],PartControl!$A$2:$E$564,2,FALSE),OtherClients[[#This Row],[Total Quantity]]*VLOOKUP(OtherClients[[#This Row],[Part]],PartControl!$A$2:$E$564,2,FALSE)),0)</f>
        <v>0</v>
      </c>
      <c r="Z1962" s="108">
        <f>IF(OtherClients[[#This Row],[Re-certified or New]]&lt;&gt;"Re-certified",IF(OtherClients[[#This Row],[Client]]="infasco",VLOOKUP(OtherClients[[#This Row],[Part]],PartControl!$A$2:$E$564,2,FALSE),OtherClients[[#This Row],[Total Quantity]]*VLOOKUP(OtherClients[[#This Row],[Part]],PartControl!$A$2:$E$564,2,FALSE)),0)</f>
        <v>0</v>
      </c>
    </row>
    <row r="1963" spans="1:26" ht="25.15" hidden="1" customHeight="1" x14ac:dyDescent="0.25">
      <c r="A1963" s="112">
        <v>46262.694409722222</v>
      </c>
      <c r="B1963" s="5" t="s">
        <v>232</v>
      </c>
      <c r="C1963" s="5">
        <v>11561645</v>
      </c>
      <c r="D1963" s="5">
        <v>716906</v>
      </c>
      <c r="E1963" s="33">
        <f>34-21</f>
        <v>13</v>
      </c>
      <c r="F1963" s="60">
        <v>4000</v>
      </c>
      <c r="G1963" s="60">
        <f>+OtherClients[[#This Row],[Boxes / Pieces]]*OtherClients[[#This Row],[Unit Quantity]]</f>
        <v>52000</v>
      </c>
      <c r="H1963" s="60">
        <v>275</v>
      </c>
      <c r="I1963" s="130" t="s">
        <v>278</v>
      </c>
      <c r="J1963" s="131"/>
      <c r="K1963" s="33" t="s">
        <v>278</v>
      </c>
      <c r="L1963" s="132"/>
      <c r="M1963" s="33" t="s">
        <v>278</v>
      </c>
      <c r="N1963" s="132"/>
      <c r="O1963" s="33" t="s">
        <v>278</v>
      </c>
      <c r="P1963" s="132"/>
      <c r="Q1963" s="33" t="s">
        <v>587</v>
      </c>
      <c r="R1963" s="132"/>
      <c r="S1963" s="33" t="s">
        <v>278</v>
      </c>
      <c r="T1963" s="132"/>
      <c r="U1963" s="33" t="s">
        <v>278</v>
      </c>
      <c r="V1963" s="132"/>
      <c r="W1963" s="59" t="s">
        <v>548</v>
      </c>
      <c r="X1963" s="33" t="str">
        <f>+VLOOKUP(OtherClients[[#This Row],[Part]],PartControl!$A$2:$E$564,5,FALSE)</f>
        <v>infasco</v>
      </c>
      <c r="Y1963" s="108">
        <f>IF(OtherClients[[#This Row],[Re-certified or New]]&lt;&gt;"Re-certified",IF(OtherClients[[#This Row],[Client]]="infasco",VLOOKUP(OtherClients[[#This Row],[Part]],PartControl!$A$2:$E$564,2,FALSE),OtherClients[[#This Row],[Total Quantity]]*VLOOKUP(OtherClients[[#This Row],[Part]],PartControl!$A$2:$E$564,2,FALSE)),0)</f>
        <v>106.94</v>
      </c>
      <c r="Z1963" s="108">
        <f>IF(OtherClients[[#This Row],[Re-certified or New]]&lt;&gt;"Re-certified",IF(OtherClients[[#This Row],[Client]]="infasco",VLOOKUP(OtherClients[[#This Row],[Part]],PartControl!$A$2:$E$564,2,FALSE),OtherClients[[#This Row],[Total Quantity]]*VLOOKUP(OtherClients[[#This Row],[Part]],PartControl!$A$2:$E$564,2,FALSE)),0)</f>
        <v>106.94</v>
      </c>
    </row>
    <row r="1964" spans="1:26" ht="25.15" hidden="1" customHeight="1" x14ac:dyDescent="0.25">
      <c r="A1964" s="112">
        <v>46262.694409722222</v>
      </c>
      <c r="B1964" s="5" t="s">
        <v>234</v>
      </c>
      <c r="C1964" s="5" t="s">
        <v>719</v>
      </c>
      <c r="D1964" s="5">
        <v>717638</v>
      </c>
      <c r="E1964" s="33">
        <f>18-6</f>
        <v>12</v>
      </c>
      <c r="F1964" s="60">
        <v>2150</v>
      </c>
      <c r="G1964" s="60">
        <f>+OtherClients[[#This Row],[Boxes / Pieces]]*OtherClients[[#This Row],[Unit Quantity]]</f>
        <v>25800</v>
      </c>
      <c r="H1964" s="60">
        <v>275</v>
      </c>
      <c r="I1964" s="130" t="s">
        <v>278</v>
      </c>
      <c r="J1964" s="131"/>
      <c r="K1964" s="33" t="s">
        <v>278</v>
      </c>
      <c r="L1964" s="132"/>
      <c r="M1964" s="33" t="s">
        <v>278</v>
      </c>
      <c r="N1964" s="132"/>
      <c r="O1964" s="33" t="s">
        <v>278</v>
      </c>
      <c r="P1964" s="132"/>
      <c r="Q1964" s="33" t="s">
        <v>587</v>
      </c>
      <c r="R1964" s="132"/>
      <c r="S1964" s="33" t="s">
        <v>278</v>
      </c>
      <c r="T1964" s="132"/>
      <c r="U1964" s="33" t="s">
        <v>278</v>
      </c>
      <c r="V1964" s="132"/>
      <c r="W1964" s="59" t="s">
        <v>548</v>
      </c>
      <c r="X1964" s="33" t="str">
        <f>+VLOOKUP(OtherClients[[#This Row],[Part]],PartControl!$A$2:$E$564,5,FALSE)</f>
        <v>infasco</v>
      </c>
      <c r="Y1964" s="108">
        <f>IF(OtherClients[[#This Row],[Re-certified or New]]&lt;&gt;"Re-certified",IF(OtherClients[[#This Row],[Client]]="infasco",VLOOKUP(OtherClients[[#This Row],[Part]],PartControl!$A$2:$E$564,2,FALSE),OtherClients[[#This Row],[Total Quantity]]*VLOOKUP(OtherClients[[#This Row],[Part]],PartControl!$A$2:$E$564,2,FALSE)),0)</f>
        <v>106.94</v>
      </c>
      <c r="Z1964" s="108">
        <f>IF(OtherClients[[#This Row],[Re-certified or New]]&lt;&gt;"Re-certified",IF(OtherClients[[#This Row],[Client]]="infasco",VLOOKUP(OtherClients[[#This Row],[Part]],PartControl!$A$2:$E$564,2,FALSE),OtherClients[[#This Row],[Total Quantity]]*VLOOKUP(OtherClients[[#This Row],[Part]],PartControl!$A$2:$E$564,2,FALSE)),0)</f>
        <v>106.94</v>
      </c>
    </row>
    <row r="1965" spans="1:26" ht="25.15" hidden="1" customHeight="1" x14ac:dyDescent="0.25">
      <c r="A1965" s="112">
        <v>46262.694409722222</v>
      </c>
      <c r="B1965" s="5" t="s">
        <v>234</v>
      </c>
      <c r="C1965" s="5" t="s">
        <v>719</v>
      </c>
      <c r="D1965" s="5">
        <v>717633</v>
      </c>
      <c r="E1965" s="33">
        <v>15</v>
      </c>
      <c r="F1965" s="60">
        <v>2150</v>
      </c>
      <c r="G1965" s="60">
        <f>+OtherClients[[#This Row],[Boxes / Pieces]]*OtherClients[[#This Row],[Unit Quantity]]</f>
        <v>32250</v>
      </c>
      <c r="H1965" s="60">
        <v>275</v>
      </c>
      <c r="I1965" s="130" t="s">
        <v>278</v>
      </c>
      <c r="J1965" s="131"/>
      <c r="K1965" s="33" t="s">
        <v>278</v>
      </c>
      <c r="L1965" s="132"/>
      <c r="M1965" s="33" t="s">
        <v>278</v>
      </c>
      <c r="N1965" s="132"/>
      <c r="O1965" s="33" t="s">
        <v>278</v>
      </c>
      <c r="P1965" s="132"/>
      <c r="Q1965" s="33" t="s">
        <v>587</v>
      </c>
      <c r="R1965" s="132"/>
      <c r="S1965" s="33" t="s">
        <v>278</v>
      </c>
      <c r="T1965" s="132"/>
      <c r="U1965" s="33" t="s">
        <v>278</v>
      </c>
      <c r="V1965" s="132"/>
      <c r="W1965" s="59" t="s">
        <v>633</v>
      </c>
      <c r="X1965" s="33" t="str">
        <f>+VLOOKUP(OtherClients[[#This Row],[Part]],PartControl!$A$2:$E$564,5,FALSE)</f>
        <v>infasco</v>
      </c>
      <c r="Y1965" s="108">
        <f>IF(OtherClients[[#This Row],[Re-certified or New]]&lt;&gt;"Re-certified",IF(OtherClients[[#This Row],[Client]]="infasco",VLOOKUP(OtherClients[[#This Row],[Part]],PartControl!$A$2:$E$564,2,FALSE),OtherClients[[#This Row],[Total Quantity]]*VLOOKUP(OtherClients[[#This Row],[Part]],PartControl!$A$2:$E$564,2,FALSE)),0)</f>
        <v>0</v>
      </c>
      <c r="Z1965" s="108">
        <f>IF(OtherClients[[#This Row],[Re-certified or New]]&lt;&gt;"Re-certified",IF(OtherClients[[#This Row],[Client]]="infasco",VLOOKUP(OtherClients[[#This Row],[Part]],PartControl!$A$2:$E$564,2,FALSE),OtherClients[[#This Row],[Total Quantity]]*VLOOKUP(OtherClients[[#This Row],[Part]],PartControl!$A$2:$E$564,2,FALSE)),0)</f>
        <v>0</v>
      </c>
    </row>
    <row r="1966" spans="1:26" ht="25.15" hidden="1" customHeight="1" x14ac:dyDescent="0.25">
      <c r="A1966" s="112">
        <v>46262.694409722222</v>
      </c>
      <c r="B1966" s="5" t="s">
        <v>233</v>
      </c>
      <c r="C1966" s="5" t="s">
        <v>668</v>
      </c>
      <c r="D1966" s="5">
        <v>715999</v>
      </c>
      <c r="E1966" s="33">
        <f>23-18</f>
        <v>5</v>
      </c>
      <c r="F1966" s="60">
        <v>3800</v>
      </c>
      <c r="G1966" s="60">
        <f>+OtherClients[[#This Row],[Boxes / Pieces]]*OtherClients[[#This Row],[Unit Quantity]]</f>
        <v>19000</v>
      </c>
      <c r="H1966" s="60">
        <v>275</v>
      </c>
      <c r="I1966" s="130" t="s">
        <v>278</v>
      </c>
      <c r="J1966" s="131"/>
      <c r="K1966" s="33" t="s">
        <v>278</v>
      </c>
      <c r="L1966" s="132"/>
      <c r="M1966" s="33" t="s">
        <v>278</v>
      </c>
      <c r="N1966" s="132"/>
      <c r="O1966" s="33" t="s">
        <v>278</v>
      </c>
      <c r="P1966" s="132"/>
      <c r="Q1966" s="33" t="s">
        <v>587</v>
      </c>
      <c r="R1966" s="132"/>
      <c r="S1966" s="33" t="s">
        <v>278</v>
      </c>
      <c r="T1966" s="132"/>
      <c r="U1966" s="33" t="s">
        <v>278</v>
      </c>
      <c r="V1966" s="132"/>
      <c r="W1966" s="59" t="s">
        <v>548</v>
      </c>
      <c r="X1966" s="33" t="str">
        <f>+VLOOKUP(OtherClients[[#This Row],[Part]],PartControl!$A$2:$E$564,5,FALSE)</f>
        <v>infasco</v>
      </c>
      <c r="Y1966" s="108">
        <f>IF(OtherClients[[#This Row],[Re-certified or New]]&lt;&gt;"Re-certified",IF(OtherClients[[#This Row],[Client]]="infasco",VLOOKUP(OtherClients[[#This Row],[Part]],PartControl!$A$2:$E$564,2,FALSE),OtherClients[[#This Row],[Total Quantity]]*VLOOKUP(OtherClients[[#This Row],[Part]],PartControl!$A$2:$E$564,2,FALSE)),0)</f>
        <v>106.94</v>
      </c>
      <c r="Z1966" s="108">
        <f>IF(OtherClients[[#This Row],[Re-certified or New]]&lt;&gt;"Re-certified",IF(OtherClients[[#This Row],[Client]]="infasco",VLOOKUP(OtherClients[[#This Row],[Part]],PartControl!$A$2:$E$564,2,FALSE),OtherClients[[#This Row],[Total Quantity]]*VLOOKUP(OtherClients[[#This Row],[Part]],PartControl!$A$2:$E$564,2,FALSE)),0)</f>
        <v>106.94</v>
      </c>
    </row>
    <row r="1967" spans="1:26" ht="25.15" hidden="1" customHeight="1" x14ac:dyDescent="0.25">
      <c r="A1967" s="112">
        <v>46262.694409722222</v>
      </c>
      <c r="B1967" s="5" t="s">
        <v>233</v>
      </c>
      <c r="C1967" s="5" t="s">
        <v>668</v>
      </c>
      <c r="D1967" s="5">
        <v>715998</v>
      </c>
      <c r="E1967" s="33">
        <v>32</v>
      </c>
      <c r="F1967" s="60">
        <v>3800</v>
      </c>
      <c r="G1967" s="60">
        <f>+OtherClients[[#This Row],[Boxes / Pieces]]*OtherClients[[#This Row],[Unit Quantity]]</f>
        <v>121600</v>
      </c>
      <c r="H1967" s="60">
        <v>275</v>
      </c>
      <c r="I1967" s="130" t="s">
        <v>278</v>
      </c>
      <c r="J1967" s="131"/>
      <c r="K1967" s="33" t="s">
        <v>278</v>
      </c>
      <c r="L1967" s="132"/>
      <c r="M1967" s="33" t="s">
        <v>278</v>
      </c>
      <c r="N1967" s="132"/>
      <c r="O1967" s="33" t="s">
        <v>278</v>
      </c>
      <c r="P1967" s="132"/>
      <c r="Q1967" s="33" t="s">
        <v>587</v>
      </c>
      <c r="R1967" s="132"/>
      <c r="S1967" s="33" t="s">
        <v>278</v>
      </c>
      <c r="T1967" s="132"/>
      <c r="U1967" s="33" t="s">
        <v>278</v>
      </c>
      <c r="V1967" s="132"/>
      <c r="W1967" s="59" t="s">
        <v>633</v>
      </c>
      <c r="X1967" s="33" t="str">
        <f>+VLOOKUP(OtherClients[[#This Row],[Part]],PartControl!$A$2:$E$564,5,FALSE)</f>
        <v>infasco</v>
      </c>
      <c r="Y1967" s="108">
        <f>IF(OtherClients[[#This Row],[Re-certified or New]]&lt;&gt;"Re-certified",IF(OtherClients[[#This Row],[Client]]="infasco",VLOOKUP(OtherClients[[#This Row],[Part]],PartControl!$A$2:$E$564,2,FALSE),OtherClients[[#This Row],[Total Quantity]]*VLOOKUP(OtherClients[[#This Row],[Part]],PartControl!$A$2:$E$564,2,FALSE)),0)</f>
        <v>0</v>
      </c>
      <c r="Z1967" s="108">
        <f>IF(OtherClients[[#This Row],[Re-certified or New]]&lt;&gt;"Re-certified",IF(OtherClients[[#This Row],[Client]]="infasco",VLOOKUP(OtherClients[[#This Row],[Part]],PartControl!$A$2:$E$564,2,FALSE),OtherClients[[#This Row],[Total Quantity]]*VLOOKUP(OtherClients[[#This Row],[Part]],PartControl!$A$2:$E$564,2,FALSE)),0)</f>
        <v>0</v>
      </c>
    </row>
    <row r="1968" spans="1:26" ht="25.15" hidden="1" customHeight="1" x14ac:dyDescent="0.25">
      <c r="A1968" s="112">
        <v>46262.694409722222</v>
      </c>
      <c r="B1968" s="5" t="s">
        <v>238</v>
      </c>
      <c r="C1968" s="5" t="s">
        <v>833</v>
      </c>
      <c r="D1968" s="5">
        <v>717267</v>
      </c>
      <c r="E1968" s="33">
        <f>36-9</f>
        <v>27</v>
      </c>
      <c r="F1968" s="60">
        <v>1500</v>
      </c>
      <c r="G1968" s="60">
        <f>+OtherClients[[#This Row],[Boxes / Pieces]]*OtherClients[[#This Row],[Unit Quantity]]</f>
        <v>40500</v>
      </c>
      <c r="H1968" s="60">
        <v>275</v>
      </c>
      <c r="I1968" s="130" t="s">
        <v>278</v>
      </c>
      <c r="J1968" s="131"/>
      <c r="K1968" s="33" t="s">
        <v>278</v>
      </c>
      <c r="L1968" s="132"/>
      <c r="M1968" s="33" t="s">
        <v>278</v>
      </c>
      <c r="N1968" s="132"/>
      <c r="O1968" s="33" t="s">
        <v>278</v>
      </c>
      <c r="P1968" s="132"/>
      <c r="Q1968" s="33" t="s">
        <v>587</v>
      </c>
      <c r="R1968" s="132"/>
      <c r="S1968" s="33" t="s">
        <v>278</v>
      </c>
      <c r="T1968" s="132"/>
      <c r="U1968" s="33" t="s">
        <v>278</v>
      </c>
      <c r="V1968" s="132"/>
      <c r="W1968" s="59" t="s">
        <v>548</v>
      </c>
      <c r="X1968" s="33" t="str">
        <f>+VLOOKUP(OtherClients[[#This Row],[Part]],PartControl!$A$2:$E$564,5,FALSE)</f>
        <v>infasco</v>
      </c>
      <c r="Y1968" s="108">
        <f>IF(OtherClients[[#This Row],[Re-certified or New]]&lt;&gt;"Re-certified",IF(OtherClients[[#This Row],[Client]]="infasco",VLOOKUP(OtherClients[[#This Row],[Part]],PartControl!$A$2:$E$564,2,FALSE),OtherClients[[#This Row],[Total Quantity]]*VLOOKUP(OtherClients[[#This Row],[Part]],PartControl!$A$2:$E$564,2,FALSE)),0)</f>
        <v>106.94</v>
      </c>
      <c r="Z1968" s="108">
        <f>IF(OtherClients[[#This Row],[Re-certified or New]]&lt;&gt;"Re-certified",IF(OtherClients[[#This Row],[Client]]="infasco",VLOOKUP(OtherClients[[#This Row],[Part]],PartControl!$A$2:$E$564,2,FALSE),OtherClients[[#This Row],[Total Quantity]]*VLOOKUP(OtherClients[[#This Row],[Part]],PartControl!$A$2:$E$564,2,FALSE)),0)</f>
        <v>106.94</v>
      </c>
    </row>
    <row r="1969" spans="1:26" ht="25.15" hidden="1" customHeight="1" x14ac:dyDescent="0.25">
      <c r="A1969" s="112">
        <v>46262.694409722222</v>
      </c>
      <c r="B1969" s="5" t="s">
        <v>238</v>
      </c>
      <c r="C1969" s="5" t="s">
        <v>833</v>
      </c>
      <c r="D1969" s="5">
        <v>717264</v>
      </c>
      <c r="E1969" s="33">
        <v>24</v>
      </c>
      <c r="F1969" s="60">
        <v>1500</v>
      </c>
      <c r="G1969" s="60">
        <f>+OtherClients[[#This Row],[Boxes / Pieces]]*OtherClients[[#This Row],[Unit Quantity]]</f>
        <v>36000</v>
      </c>
      <c r="H1969" s="60">
        <v>275</v>
      </c>
      <c r="I1969" s="130" t="s">
        <v>278</v>
      </c>
      <c r="J1969" s="131"/>
      <c r="K1969" s="33" t="s">
        <v>278</v>
      </c>
      <c r="L1969" s="132"/>
      <c r="M1969" s="33" t="s">
        <v>278</v>
      </c>
      <c r="N1969" s="132"/>
      <c r="O1969" s="33" t="s">
        <v>278</v>
      </c>
      <c r="P1969" s="132"/>
      <c r="Q1969" s="33" t="s">
        <v>587</v>
      </c>
      <c r="R1969" s="132"/>
      <c r="S1969" s="33" t="s">
        <v>278</v>
      </c>
      <c r="T1969" s="132"/>
      <c r="U1969" s="33" t="s">
        <v>278</v>
      </c>
      <c r="V1969" s="132"/>
      <c r="W1969" s="59" t="s">
        <v>633</v>
      </c>
      <c r="X1969" s="33" t="str">
        <f>+VLOOKUP(OtherClients[[#This Row],[Part]],PartControl!$A$2:$E$564,5,FALSE)</f>
        <v>infasco</v>
      </c>
      <c r="Y1969" s="108">
        <f>IF(OtherClients[[#This Row],[Re-certified or New]]&lt;&gt;"Re-certified",IF(OtherClients[[#This Row],[Client]]="infasco",VLOOKUP(OtherClients[[#This Row],[Part]],PartControl!$A$2:$E$564,2,FALSE),OtherClients[[#This Row],[Total Quantity]]*VLOOKUP(OtherClients[[#This Row],[Part]],PartControl!$A$2:$E$564,2,FALSE)),0)</f>
        <v>0</v>
      </c>
      <c r="Z1969" s="108">
        <f>IF(OtherClients[[#This Row],[Re-certified or New]]&lt;&gt;"Re-certified",IF(OtherClients[[#This Row],[Client]]="infasco",VLOOKUP(OtherClients[[#This Row],[Part]],PartControl!$A$2:$E$564,2,FALSE),OtherClients[[#This Row],[Total Quantity]]*VLOOKUP(OtherClients[[#This Row],[Part]],PartControl!$A$2:$E$564,2,FALSE)),0)</f>
        <v>0</v>
      </c>
    </row>
    <row r="1970" spans="1:26" ht="25.15" hidden="1" customHeight="1" x14ac:dyDescent="0.25">
      <c r="A1970" s="112">
        <v>46262.694409722222</v>
      </c>
      <c r="B1970" s="5" t="s">
        <v>250</v>
      </c>
      <c r="C1970" s="5" t="s">
        <v>703</v>
      </c>
      <c r="D1970" s="5">
        <v>717036</v>
      </c>
      <c r="E1970" s="33">
        <f>44-27</f>
        <v>17</v>
      </c>
      <c r="F1970" s="60">
        <v>700</v>
      </c>
      <c r="G1970" s="60">
        <f>+OtherClients[[#This Row],[Boxes / Pieces]]*OtherClients[[#This Row],[Unit Quantity]]</f>
        <v>11900</v>
      </c>
      <c r="H1970" s="60">
        <v>290</v>
      </c>
      <c r="I1970" s="130" t="s">
        <v>278</v>
      </c>
      <c r="J1970" s="131"/>
      <c r="K1970" s="33" t="s">
        <v>278</v>
      </c>
      <c r="L1970" s="132"/>
      <c r="M1970" s="33" t="s">
        <v>278</v>
      </c>
      <c r="N1970" s="132"/>
      <c r="O1970" s="33" t="s">
        <v>278</v>
      </c>
      <c r="P1970" s="132"/>
      <c r="Q1970" s="33" t="s">
        <v>587</v>
      </c>
      <c r="R1970" s="132"/>
      <c r="S1970" s="33" t="s">
        <v>278</v>
      </c>
      <c r="T1970" s="132"/>
      <c r="U1970" s="33" t="s">
        <v>278</v>
      </c>
      <c r="V1970" s="132"/>
      <c r="W1970" s="59" t="s">
        <v>548</v>
      </c>
      <c r="X1970" s="33" t="str">
        <f>+VLOOKUP(OtherClients[[#This Row],[Part]],PartControl!$A$2:$E$564,5,FALSE)</f>
        <v>infasco</v>
      </c>
      <c r="Y1970" s="108">
        <f>IF(OtherClients[[#This Row],[Re-certified or New]]&lt;&gt;"Re-certified",IF(OtherClients[[#This Row],[Client]]="infasco",VLOOKUP(OtherClients[[#This Row],[Part]],PartControl!$A$2:$E$564,2,FALSE),OtherClients[[#This Row],[Total Quantity]]*VLOOKUP(OtherClients[[#This Row],[Part]],PartControl!$A$2:$E$564,2,FALSE)),0)</f>
        <v>106.94</v>
      </c>
      <c r="Z1970" s="108">
        <f>IF(OtherClients[[#This Row],[Re-certified or New]]&lt;&gt;"Re-certified",IF(OtherClients[[#This Row],[Client]]="infasco",VLOOKUP(OtherClients[[#This Row],[Part]],PartControl!$A$2:$E$564,2,FALSE),OtherClients[[#This Row],[Total Quantity]]*VLOOKUP(OtherClients[[#This Row],[Part]],PartControl!$A$2:$E$564,2,FALSE)),0)</f>
        <v>106.94</v>
      </c>
    </row>
    <row r="1971" spans="1:26" ht="25.15" hidden="1" customHeight="1" x14ac:dyDescent="0.25">
      <c r="A1971" s="112">
        <v>46262.694409722222</v>
      </c>
      <c r="B1971" s="5" t="s">
        <v>250</v>
      </c>
      <c r="C1971" s="5">
        <v>11549170</v>
      </c>
      <c r="D1971" s="5">
        <v>716581</v>
      </c>
      <c r="E1971" s="33">
        <v>36</v>
      </c>
      <c r="F1971" s="60">
        <v>400</v>
      </c>
      <c r="G1971" s="60">
        <f>+OtherClients[[#This Row],[Boxes / Pieces]]*OtherClients[[#This Row],[Unit Quantity]]</f>
        <v>14400</v>
      </c>
      <c r="H1971" s="60">
        <v>290</v>
      </c>
      <c r="I1971" s="130" t="s">
        <v>278</v>
      </c>
      <c r="J1971" s="131"/>
      <c r="K1971" s="33" t="s">
        <v>278</v>
      </c>
      <c r="L1971" s="132"/>
      <c r="M1971" s="33" t="s">
        <v>278</v>
      </c>
      <c r="N1971" s="132"/>
      <c r="O1971" s="33" t="s">
        <v>278</v>
      </c>
      <c r="P1971" s="132"/>
      <c r="Q1971" s="33" t="s">
        <v>587</v>
      </c>
      <c r="R1971" s="132"/>
      <c r="S1971" s="33" t="s">
        <v>278</v>
      </c>
      <c r="T1971" s="132"/>
      <c r="U1971" s="33" t="s">
        <v>278</v>
      </c>
      <c r="V1971" s="132"/>
      <c r="W1971" s="59" t="s">
        <v>548</v>
      </c>
      <c r="X1971" s="33" t="str">
        <f>+VLOOKUP(OtherClients[[#This Row],[Part]],PartControl!$A$2:$E$564,5,FALSE)</f>
        <v>INFASCO</v>
      </c>
      <c r="Y1971" s="108">
        <f>IF(OtherClients[[#This Row],[Re-certified or New]]&lt;&gt;"Re-certified",IF(OtherClients[[#This Row],[Client]]="infasco",VLOOKUP(OtherClients[[#This Row],[Part]],PartControl!$A$2:$E$564,2,FALSE),OtherClients[[#This Row],[Total Quantity]]*VLOOKUP(OtherClients[[#This Row],[Part]],PartControl!$A$2:$E$564,2,FALSE)),0)</f>
        <v>106.94</v>
      </c>
      <c r="Z1971" s="108">
        <f>IF(OtherClients[[#This Row],[Re-certified or New]]&lt;&gt;"Re-certified",IF(OtherClients[[#This Row],[Client]]="infasco",VLOOKUP(OtherClients[[#This Row],[Part]],PartControl!$A$2:$E$564,2,FALSE),OtherClients[[#This Row],[Total Quantity]]*VLOOKUP(OtherClients[[#This Row],[Part]],PartControl!$A$2:$E$564,2,FALSE)),0)</f>
        <v>106.94</v>
      </c>
    </row>
    <row r="1972" spans="1:26" ht="25.15" hidden="1" customHeight="1" x14ac:dyDescent="0.25">
      <c r="A1972" s="112">
        <v>46262.694409722222</v>
      </c>
      <c r="B1972" s="5" t="s">
        <v>250</v>
      </c>
      <c r="C1972" s="5">
        <v>11549170</v>
      </c>
      <c r="D1972" s="5">
        <v>716576</v>
      </c>
      <c r="E1972" s="33">
        <v>23</v>
      </c>
      <c r="F1972" s="60">
        <v>400</v>
      </c>
      <c r="G1972" s="60">
        <f>+OtherClients[[#This Row],[Boxes / Pieces]]*OtherClients[[#This Row],[Unit Quantity]]</f>
        <v>9200</v>
      </c>
      <c r="H1972" s="60">
        <v>290</v>
      </c>
      <c r="I1972" s="130" t="s">
        <v>278</v>
      </c>
      <c r="J1972" s="131"/>
      <c r="K1972" s="33" t="s">
        <v>278</v>
      </c>
      <c r="L1972" s="132"/>
      <c r="M1972" s="33" t="s">
        <v>278</v>
      </c>
      <c r="N1972" s="132"/>
      <c r="O1972" s="33" t="s">
        <v>278</v>
      </c>
      <c r="P1972" s="132"/>
      <c r="Q1972" s="33" t="s">
        <v>587</v>
      </c>
      <c r="R1972" s="132"/>
      <c r="S1972" s="33" t="s">
        <v>278</v>
      </c>
      <c r="T1972" s="132"/>
      <c r="U1972" s="33" t="s">
        <v>278</v>
      </c>
      <c r="V1972" s="132"/>
      <c r="W1972" s="59" t="s">
        <v>633</v>
      </c>
      <c r="X1972" s="33" t="str">
        <f>+VLOOKUP(OtherClients[[#This Row],[Part]],PartControl!$A$2:$E$564,5,FALSE)</f>
        <v>INFASCO</v>
      </c>
      <c r="Y1972" s="108">
        <f>IF(OtherClients[[#This Row],[Re-certified or New]]&lt;&gt;"Re-certified",IF(OtherClients[[#This Row],[Client]]="infasco",VLOOKUP(OtherClients[[#This Row],[Part]],PartControl!$A$2:$E$564,2,FALSE),OtherClients[[#This Row],[Total Quantity]]*VLOOKUP(OtherClients[[#This Row],[Part]],PartControl!$A$2:$E$564,2,FALSE)),0)</f>
        <v>0</v>
      </c>
      <c r="Z1972" s="108">
        <f>IF(OtherClients[[#This Row],[Re-certified or New]]&lt;&gt;"Re-certified",IF(OtherClients[[#This Row],[Client]]="infasco",VLOOKUP(OtherClients[[#This Row],[Part]],PartControl!$A$2:$E$564,2,FALSE),OtherClients[[#This Row],[Total Quantity]]*VLOOKUP(OtherClients[[#This Row],[Part]],PartControl!$A$2:$E$564,2,FALSE)),0)</f>
        <v>0</v>
      </c>
    </row>
    <row r="1973" spans="1:26" ht="25.15" hidden="1" customHeight="1" x14ac:dyDescent="0.25">
      <c r="A1973" s="112">
        <v>46262.694409722222</v>
      </c>
      <c r="B1973" s="5" t="s">
        <v>237</v>
      </c>
      <c r="C1973" s="5">
        <v>11549168</v>
      </c>
      <c r="D1973" s="5">
        <v>716231</v>
      </c>
      <c r="E1973" s="33">
        <v>36</v>
      </c>
      <c r="F1973" s="60">
        <v>1000</v>
      </c>
      <c r="G1973" s="60">
        <f>+OtherClients[[#This Row],[Boxes / Pieces]]*OtherClients[[#This Row],[Unit Quantity]]</f>
        <v>36000</v>
      </c>
      <c r="H1973" s="60">
        <v>290</v>
      </c>
      <c r="I1973" s="130" t="s">
        <v>278</v>
      </c>
      <c r="J1973" s="131"/>
      <c r="K1973" s="33" t="s">
        <v>278</v>
      </c>
      <c r="L1973" s="132"/>
      <c r="M1973" s="33" t="s">
        <v>278</v>
      </c>
      <c r="N1973" s="132"/>
      <c r="O1973" s="33" t="s">
        <v>278</v>
      </c>
      <c r="P1973" s="132"/>
      <c r="Q1973" s="33" t="s">
        <v>587</v>
      </c>
      <c r="R1973" s="132"/>
      <c r="S1973" s="33" t="s">
        <v>278</v>
      </c>
      <c r="T1973" s="132"/>
      <c r="U1973" s="33" t="s">
        <v>278</v>
      </c>
      <c r="V1973" s="132"/>
      <c r="W1973" s="59" t="s">
        <v>548</v>
      </c>
      <c r="X1973" s="33" t="str">
        <f>+VLOOKUP(OtherClients[[#This Row],[Part]],PartControl!$A$2:$E$564,5,FALSE)</f>
        <v>INFASCO</v>
      </c>
      <c r="Y1973" s="108">
        <f>IF(OtherClients[[#This Row],[Re-certified or New]]&lt;&gt;"Re-certified",IF(OtherClients[[#This Row],[Client]]="infasco",VLOOKUP(OtherClients[[#This Row],[Part]],PartControl!$A$2:$E$564,2,FALSE),OtherClients[[#This Row],[Total Quantity]]*VLOOKUP(OtherClients[[#This Row],[Part]],PartControl!$A$2:$E$564,2,FALSE)),0)</f>
        <v>106.94</v>
      </c>
      <c r="Z1973" s="108">
        <f>IF(OtherClients[[#This Row],[Re-certified or New]]&lt;&gt;"Re-certified",IF(OtherClients[[#This Row],[Client]]="infasco",VLOOKUP(OtherClients[[#This Row],[Part]],PartControl!$A$2:$E$564,2,FALSE),OtherClients[[#This Row],[Total Quantity]]*VLOOKUP(OtherClients[[#This Row],[Part]],PartControl!$A$2:$E$564,2,FALSE)),0)</f>
        <v>106.94</v>
      </c>
    </row>
    <row r="1974" spans="1:26" ht="25.15" hidden="1" customHeight="1" x14ac:dyDescent="0.25">
      <c r="A1974" s="112">
        <v>46262.694409722222</v>
      </c>
      <c r="B1974" s="5" t="s">
        <v>237</v>
      </c>
      <c r="C1974" s="5">
        <v>11549168</v>
      </c>
      <c r="D1974" s="5">
        <v>716233</v>
      </c>
      <c r="E1974" s="33">
        <v>36</v>
      </c>
      <c r="F1974" s="60">
        <v>1000</v>
      </c>
      <c r="G1974" s="60">
        <f>+OtherClients[[#This Row],[Boxes / Pieces]]*OtherClients[[#This Row],[Unit Quantity]]</f>
        <v>36000</v>
      </c>
      <c r="H1974" s="60">
        <v>290</v>
      </c>
      <c r="I1974" s="130" t="s">
        <v>278</v>
      </c>
      <c r="J1974" s="131"/>
      <c r="K1974" s="33" t="s">
        <v>278</v>
      </c>
      <c r="L1974" s="132"/>
      <c r="M1974" s="33" t="s">
        <v>278</v>
      </c>
      <c r="N1974" s="132"/>
      <c r="O1974" s="33" t="s">
        <v>278</v>
      </c>
      <c r="P1974" s="132"/>
      <c r="Q1974" s="33" t="s">
        <v>587</v>
      </c>
      <c r="R1974" s="132"/>
      <c r="S1974" s="33" t="s">
        <v>278</v>
      </c>
      <c r="T1974" s="132"/>
      <c r="U1974" s="33" t="s">
        <v>278</v>
      </c>
      <c r="V1974" s="132"/>
      <c r="W1974" s="59" t="s">
        <v>548</v>
      </c>
      <c r="X1974" s="33" t="str">
        <f>+VLOOKUP(OtherClients[[#This Row],[Part]],PartControl!$A$2:$E$564,5,FALSE)</f>
        <v>INFASCO</v>
      </c>
      <c r="Y1974" s="108">
        <f>IF(OtherClients[[#This Row],[Re-certified or New]]&lt;&gt;"Re-certified",IF(OtherClients[[#This Row],[Client]]="infasco",VLOOKUP(OtherClients[[#This Row],[Part]],PartControl!$A$2:$E$564,2,FALSE),OtherClients[[#This Row],[Total Quantity]]*VLOOKUP(OtherClients[[#This Row],[Part]],PartControl!$A$2:$E$564,2,FALSE)),0)</f>
        <v>106.94</v>
      </c>
      <c r="Z1974" s="108">
        <f>IF(OtherClients[[#This Row],[Re-certified or New]]&lt;&gt;"Re-certified",IF(OtherClients[[#This Row],[Client]]="infasco",VLOOKUP(OtherClients[[#This Row],[Part]],PartControl!$A$2:$E$564,2,FALSE),OtherClients[[#This Row],[Total Quantity]]*VLOOKUP(OtherClients[[#This Row],[Part]],PartControl!$A$2:$E$564,2,FALSE)),0)</f>
        <v>106.94</v>
      </c>
    </row>
    <row r="1975" spans="1:26" ht="25.15" hidden="1" customHeight="1" x14ac:dyDescent="0.25">
      <c r="A1975" s="112">
        <v>46262.694409722222</v>
      </c>
      <c r="B1975" s="5" t="s">
        <v>237</v>
      </c>
      <c r="C1975" s="5">
        <v>11549168</v>
      </c>
      <c r="D1975" s="5">
        <v>716567</v>
      </c>
      <c r="E1975" s="33">
        <v>62</v>
      </c>
      <c r="F1975" s="60">
        <v>1000</v>
      </c>
      <c r="G1975" s="60">
        <f>+OtherClients[[#This Row],[Boxes / Pieces]]*OtherClients[[#This Row],[Unit Quantity]]</f>
        <v>62000</v>
      </c>
      <c r="H1975" s="60">
        <v>290</v>
      </c>
      <c r="I1975" s="130" t="s">
        <v>278</v>
      </c>
      <c r="J1975" s="131"/>
      <c r="K1975" s="33" t="s">
        <v>278</v>
      </c>
      <c r="L1975" s="132"/>
      <c r="M1975" s="33" t="s">
        <v>278</v>
      </c>
      <c r="N1975" s="132"/>
      <c r="O1975" s="33" t="s">
        <v>278</v>
      </c>
      <c r="P1975" s="132"/>
      <c r="Q1975" s="33" t="s">
        <v>587</v>
      </c>
      <c r="R1975" s="132"/>
      <c r="S1975" s="33" t="s">
        <v>278</v>
      </c>
      <c r="T1975" s="132"/>
      <c r="U1975" s="33" t="s">
        <v>278</v>
      </c>
      <c r="V1975" s="132"/>
      <c r="W1975" s="59" t="s">
        <v>548</v>
      </c>
      <c r="X1975" s="33" t="str">
        <f>+VLOOKUP(OtherClients[[#This Row],[Part]],PartControl!$A$2:$E$564,5,FALSE)</f>
        <v>INFASCO</v>
      </c>
      <c r="Y1975" s="108">
        <f>IF(OtherClients[[#This Row],[Re-certified or New]]&lt;&gt;"Re-certified",IF(OtherClients[[#This Row],[Client]]="infasco",VLOOKUP(OtherClients[[#This Row],[Part]],PartControl!$A$2:$E$564,2,FALSE),OtherClients[[#This Row],[Total Quantity]]*VLOOKUP(OtherClients[[#This Row],[Part]],PartControl!$A$2:$E$564,2,FALSE)),0)</f>
        <v>106.94</v>
      </c>
      <c r="Z1975" s="108">
        <f>IF(OtherClients[[#This Row],[Re-certified or New]]&lt;&gt;"Re-certified",IF(OtherClients[[#This Row],[Client]]="infasco",VLOOKUP(OtherClients[[#This Row],[Part]],PartControl!$A$2:$E$564,2,FALSE),OtherClients[[#This Row],[Total Quantity]]*VLOOKUP(OtherClients[[#This Row],[Part]],PartControl!$A$2:$E$564,2,FALSE)),0)</f>
        <v>106.94</v>
      </c>
    </row>
    <row r="1976" spans="1:26" ht="25.15" hidden="1" customHeight="1" x14ac:dyDescent="0.25">
      <c r="A1976" s="112">
        <v>46262.694409722222</v>
      </c>
      <c r="B1976" s="5" t="s">
        <v>235</v>
      </c>
      <c r="C1976" s="5">
        <v>11546571</v>
      </c>
      <c r="D1976" s="5">
        <v>717162</v>
      </c>
      <c r="E1976" s="33">
        <v>7</v>
      </c>
      <c r="F1976" s="60">
        <v>1550</v>
      </c>
      <c r="G1976" s="60">
        <f>+OtherClients[[#This Row],[Boxes / Pieces]]*OtherClients[[#This Row],[Unit Quantity]]</f>
        <v>10850</v>
      </c>
      <c r="H1976" s="60">
        <v>290</v>
      </c>
      <c r="I1976" s="130" t="s">
        <v>278</v>
      </c>
      <c r="J1976" s="131"/>
      <c r="K1976" s="33" t="s">
        <v>278</v>
      </c>
      <c r="L1976" s="132"/>
      <c r="M1976" s="33" t="s">
        <v>278</v>
      </c>
      <c r="N1976" s="132"/>
      <c r="O1976" s="33" t="s">
        <v>278</v>
      </c>
      <c r="P1976" s="132"/>
      <c r="Q1976" s="33" t="s">
        <v>587</v>
      </c>
      <c r="R1976" s="132"/>
      <c r="S1976" s="33" t="s">
        <v>278</v>
      </c>
      <c r="T1976" s="132"/>
      <c r="U1976" s="33" t="s">
        <v>278</v>
      </c>
      <c r="V1976" s="132"/>
      <c r="W1976" s="59" t="s">
        <v>633</v>
      </c>
      <c r="X1976" s="33" t="str">
        <f>+VLOOKUP(OtherClients[[#This Row],[Part]],PartControl!$A$2:$E$564,5,FALSE)</f>
        <v>infasco</v>
      </c>
      <c r="Y1976" s="108">
        <f>IF(OtherClients[[#This Row],[Re-certified or New]]&lt;&gt;"Re-certified",IF(OtherClients[[#This Row],[Client]]="infasco",VLOOKUP(OtherClients[[#This Row],[Part]],PartControl!$A$2:$E$564,2,FALSE),OtherClients[[#This Row],[Total Quantity]]*VLOOKUP(OtherClients[[#This Row],[Part]],PartControl!$A$2:$E$564,2,FALSE)),0)</f>
        <v>0</v>
      </c>
      <c r="Z1976" s="108">
        <f>IF(OtherClients[[#This Row],[Re-certified or New]]&lt;&gt;"Re-certified",IF(OtherClients[[#This Row],[Client]]="infasco",VLOOKUP(OtherClients[[#This Row],[Part]],PartControl!$A$2:$E$564,2,FALSE),OtherClients[[#This Row],[Total Quantity]]*VLOOKUP(OtherClients[[#This Row],[Part]],PartControl!$A$2:$E$564,2,FALSE)),0)</f>
        <v>0</v>
      </c>
    </row>
    <row r="1977" spans="1:26" ht="25.15" hidden="1" customHeight="1" x14ac:dyDescent="0.25">
      <c r="A1977" s="112">
        <v>46262.694409722222</v>
      </c>
      <c r="B1977" s="5" t="s">
        <v>239</v>
      </c>
      <c r="C1977" s="5" t="s">
        <v>705</v>
      </c>
      <c r="D1977" s="5">
        <v>716126</v>
      </c>
      <c r="E1977" s="33">
        <f>36-6</f>
        <v>30</v>
      </c>
      <c r="F1977" s="60">
        <v>450</v>
      </c>
      <c r="G1977" s="60">
        <f>+OtherClients[[#This Row],[Boxes / Pieces]]*OtherClients[[#This Row],[Unit Quantity]]</f>
        <v>13500</v>
      </c>
      <c r="H1977" s="60">
        <v>290</v>
      </c>
      <c r="I1977" s="130" t="s">
        <v>278</v>
      </c>
      <c r="J1977" s="131"/>
      <c r="K1977" s="33" t="s">
        <v>278</v>
      </c>
      <c r="L1977" s="132"/>
      <c r="M1977" s="33" t="s">
        <v>278</v>
      </c>
      <c r="N1977" s="132"/>
      <c r="O1977" s="33" t="s">
        <v>278</v>
      </c>
      <c r="P1977" s="132"/>
      <c r="Q1977" s="33" t="s">
        <v>587</v>
      </c>
      <c r="R1977" s="132"/>
      <c r="S1977" s="33" t="s">
        <v>278</v>
      </c>
      <c r="T1977" s="132"/>
      <c r="U1977" s="33" t="s">
        <v>278</v>
      </c>
      <c r="V1977" s="132"/>
      <c r="W1977" s="59" t="s">
        <v>548</v>
      </c>
      <c r="X1977" s="33" t="str">
        <f>+VLOOKUP(OtherClients[[#This Row],[Part]],PartControl!$A$2:$E$564,5,FALSE)</f>
        <v>infasco</v>
      </c>
      <c r="Y1977" s="108">
        <f>IF(OtherClients[[#This Row],[Re-certified or New]]&lt;&gt;"Re-certified",IF(OtherClients[[#This Row],[Client]]="infasco",VLOOKUP(OtherClients[[#This Row],[Part]],PartControl!$A$2:$E$564,2,FALSE),OtherClients[[#This Row],[Total Quantity]]*VLOOKUP(OtherClients[[#This Row],[Part]],PartControl!$A$2:$E$564,2,FALSE)),0)</f>
        <v>106.94</v>
      </c>
      <c r="Z1977" s="108">
        <f>IF(OtherClients[[#This Row],[Re-certified or New]]&lt;&gt;"Re-certified",IF(OtherClients[[#This Row],[Client]]="infasco",VLOOKUP(OtherClients[[#This Row],[Part]],PartControl!$A$2:$E$564,2,FALSE),OtherClients[[#This Row],[Total Quantity]]*VLOOKUP(OtherClients[[#This Row],[Part]],PartControl!$A$2:$E$564,2,FALSE)),0)</f>
        <v>106.94</v>
      </c>
    </row>
    <row r="1978" spans="1:26" ht="25.15" hidden="1" customHeight="1" x14ac:dyDescent="0.25">
      <c r="A1978" s="112">
        <v>46262.694409722222</v>
      </c>
      <c r="B1978" s="5" t="s">
        <v>239</v>
      </c>
      <c r="C1978" s="5" t="s">
        <v>705</v>
      </c>
      <c r="D1978" s="5">
        <v>716123</v>
      </c>
      <c r="E1978" s="33">
        <v>36</v>
      </c>
      <c r="F1978" s="60">
        <v>450</v>
      </c>
      <c r="G1978" s="60">
        <f>+OtherClients[[#This Row],[Boxes / Pieces]]*OtherClients[[#This Row],[Unit Quantity]]</f>
        <v>16200</v>
      </c>
      <c r="H1978" s="60">
        <v>290</v>
      </c>
      <c r="I1978" s="130" t="s">
        <v>278</v>
      </c>
      <c r="J1978" s="131"/>
      <c r="K1978" s="33" t="s">
        <v>278</v>
      </c>
      <c r="L1978" s="132"/>
      <c r="M1978" s="33" t="s">
        <v>278</v>
      </c>
      <c r="N1978" s="132"/>
      <c r="O1978" s="33" t="s">
        <v>278</v>
      </c>
      <c r="P1978" s="132"/>
      <c r="Q1978" s="33" t="s">
        <v>587</v>
      </c>
      <c r="R1978" s="132"/>
      <c r="S1978" s="33" t="s">
        <v>278</v>
      </c>
      <c r="T1978" s="132"/>
      <c r="U1978" s="33" t="s">
        <v>278</v>
      </c>
      <c r="V1978" s="132"/>
      <c r="W1978" s="59" t="s">
        <v>548</v>
      </c>
      <c r="X1978" s="33" t="str">
        <f>+VLOOKUP(OtherClients[[#This Row],[Part]],PartControl!$A$2:$E$564,5,FALSE)</f>
        <v>infasco</v>
      </c>
      <c r="Y1978" s="108">
        <f>IF(OtherClients[[#This Row],[Re-certified or New]]&lt;&gt;"Re-certified",IF(OtherClients[[#This Row],[Client]]="infasco",VLOOKUP(OtherClients[[#This Row],[Part]],PartControl!$A$2:$E$564,2,FALSE),OtherClients[[#This Row],[Total Quantity]]*VLOOKUP(OtherClients[[#This Row],[Part]],PartControl!$A$2:$E$564,2,FALSE)),0)</f>
        <v>106.94</v>
      </c>
      <c r="Z1978" s="108">
        <f>IF(OtherClients[[#This Row],[Re-certified or New]]&lt;&gt;"Re-certified",IF(OtherClients[[#This Row],[Client]]="infasco",VLOOKUP(OtherClients[[#This Row],[Part]],PartControl!$A$2:$E$564,2,FALSE),OtherClients[[#This Row],[Total Quantity]]*VLOOKUP(OtherClients[[#This Row],[Part]],PartControl!$A$2:$E$564,2,FALSE)),0)</f>
        <v>106.94</v>
      </c>
    </row>
    <row r="1979" spans="1:26" ht="25.15" hidden="1" customHeight="1" x14ac:dyDescent="0.25">
      <c r="A1979" s="112">
        <v>46262.694409722222</v>
      </c>
      <c r="B1979" s="5" t="s">
        <v>239</v>
      </c>
      <c r="C1979" s="5" t="s">
        <v>705</v>
      </c>
      <c r="D1979" s="5">
        <v>714100</v>
      </c>
      <c r="E1979" s="33">
        <v>36</v>
      </c>
      <c r="F1979" s="60">
        <v>450</v>
      </c>
      <c r="G1979" s="60">
        <f>+OtherClients[[#This Row],[Boxes / Pieces]]*OtherClients[[#This Row],[Unit Quantity]]</f>
        <v>16200</v>
      </c>
      <c r="H1979" s="60">
        <v>290</v>
      </c>
      <c r="I1979" s="130" t="s">
        <v>278</v>
      </c>
      <c r="J1979" s="131"/>
      <c r="K1979" s="33" t="s">
        <v>278</v>
      </c>
      <c r="L1979" s="132"/>
      <c r="M1979" s="33" t="s">
        <v>278</v>
      </c>
      <c r="N1979" s="132"/>
      <c r="O1979" s="33" t="s">
        <v>278</v>
      </c>
      <c r="P1979" s="132"/>
      <c r="Q1979" s="33" t="s">
        <v>587</v>
      </c>
      <c r="R1979" s="132"/>
      <c r="S1979" s="33" t="s">
        <v>278</v>
      </c>
      <c r="T1979" s="132"/>
      <c r="U1979" s="33" t="s">
        <v>278</v>
      </c>
      <c r="V1979" s="132"/>
      <c r="W1979" s="59" t="s">
        <v>548</v>
      </c>
      <c r="X1979" s="33" t="str">
        <f>+VLOOKUP(OtherClients[[#This Row],[Part]],PartControl!$A$2:$E$564,5,FALSE)</f>
        <v>infasco</v>
      </c>
      <c r="Y1979" s="108">
        <f>IF(OtherClients[[#This Row],[Re-certified or New]]&lt;&gt;"Re-certified",IF(OtherClients[[#This Row],[Client]]="infasco",VLOOKUP(OtherClients[[#This Row],[Part]],PartControl!$A$2:$E$564,2,FALSE),OtherClients[[#This Row],[Total Quantity]]*VLOOKUP(OtherClients[[#This Row],[Part]],PartControl!$A$2:$E$564,2,FALSE)),0)</f>
        <v>106.94</v>
      </c>
      <c r="Z1979" s="108">
        <f>IF(OtherClients[[#This Row],[Re-certified or New]]&lt;&gt;"Re-certified",IF(OtherClients[[#This Row],[Client]]="infasco",VLOOKUP(OtherClients[[#This Row],[Part]],PartControl!$A$2:$E$564,2,FALSE),OtherClients[[#This Row],[Total Quantity]]*VLOOKUP(OtherClients[[#This Row],[Part]],PartControl!$A$2:$E$564,2,FALSE)),0)</f>
        <v>106.94</v>
      </c>
    </row>
    <row r="1980" spans="1:26" ht="25.15" hidden="1" customHeight="1" x14ac:dyDescent="0.25">
      <c r="A1980" s="112">
        <v>46262.694409722222</v>
      </c>
      <c r="B1980" s="5" t="s">
        <v>239</v>
      </c>
      <c r="C1980" s="5" t="s">
        <v>705</v>
      </c>
      <c r="D1980" s="5">
        <v>716124</v>
      </c>
      <c r="E1980" s="33">
        <v>17</v>
      </c>
      <c r="F1980" s="60">
        <v>450</v>
      </c>
      <c r="G1980" s="60">
        <f>+OtherClients[[#This Row],[Boxes / Pieces]]*OtherClients[[#This Row],[Unit Quantity]]</f>
        <v>7650</v>
      </c>
      <c r="H1980" s="60">
        <v>290</v>
      </c>
      <c r="I1980" s="130" t="s">
        <v>278</v>
      </c>
      <c r="J1980" s="131"/>
      <c r="K1980" s="33" t="s">
        <v>278</v>
      </c>
      <c r="L1980" s="132"/>
      <c r="M1980" s="33" t="s">
        <v>278</v>
      </c>
      <c r="N1980" s="132"/>
      <c r="O1980" s="33" t="s">
        <v>278</v>
      </c>
      <c r="P1980" s="132"/>
      <c r="Q1980" s="33" t="s">
        <v>587</v>
      </c>
      <c r="R1980" s="132"/>
      <c r="S1980" s="33" t="s">
        <v>278</v>
      </c>
      <c r="T1980" s="132"/>
      <c r="U1980" s="33" t="s">
        <v>278</v>
      </c>
      <c r="V1980" s="132"/>
      <c r="W1980" s="59" t="s">
        <v>633</v>
      </c>
      <c r="X1980" s="33" t="str">
        <f>+VLOOKUP(OtherClients[[#This Row],[Part]],PartControl!$A$2:$E$564,5,FALSE)</f>
        <v>infasco</v>
      </c>
      <c r="Y1980" s="108">
        <f>IF(OtherClients[[#This Row],[Re-certified or New]]&lt;&gt;"Re-certified",IF(OtherClients[[#This Row],[Client]]="infasco",VLOOKUP(OtherClients[[#This Row],[Part]],PartControl!$A$2:$E$564,2,FALSE),OtherClients[[#This Row],[Total Quantity]]*VLOOKUP(OtherClients[[#This Row],[Part]],PartControl!$A$2:$E$564,2,FALSE)),0)</f>
        <v>0</v>
      </c>
      <c r="Z1980" s="108">
        <f>IF(OtherClients[[#This Row],[Re-certified or New]]&lt;&gt;"Re-certified",IF(OtherClients[[#This Row],[Client]]="infasco",VLOOKUP(OtherClients[[#This Row],[Part]],PartControl!$A$2:$E$564,2,FALSE),OtherClients[[#This Row],[Total Quantity]]*VLOOKUP(OtherClients[[#This Row],[Part]],PartControl!$A$2:$E$564,2,FALSE)),0)</f>
        <v>0</v>
      </c>
    </row>
    <row r="1981" spans="1:26" ht="25.15" hidden="1" customHeight="1" x14ac:dyDescent="0.25">
      <c r="A1981" s="112">
        <v>46262.694409722222</v>
      </c>
      <c r="B1981" s="5" t="s">
        <v>236</v>
      </c>
      <c r="C1981" s="5">
        <v>11546391</v>
      </c>
      <c r="D1981" s="5">
        <v>715798</v>
      </c>
      <c r="E1981" s="33">
        <v>15</v>
      </c>
      <c r="F1981" s="60">
        <v>4500</v>
      </c>
      <c r="G1981" s="60">
        <f>+OtherClients[[#This Row],[Boxes / Pieces]]*OtherClients[[#This Row],[Unit Quantity]]</f>
        <v>67500</v>
      </c>
      <c r="H1981" s="60">
        <v>290</v>
      </c>
      <c r="I1981" s="130" t="s">
        <v>278</v>
      </c>
      <c r="J1981" s="131"/>
      <c r="K1981" s="33" t="s">
        <v>278</v>
      </c>
      <c r="L1981" s="132"/>
      <c r="M1981" s="33" t="s">
        <v>278</v>
      </c>
      <c r="N1981" s="132"/>
      <c r="O1981" s="33" t="s">
        <v>278</v>
      </c>
      <c r="P1981" s="132"/>
      <c r="Q1981" s="33" t="s">
        <v>587</v>
      </c>
      <c r="R1981" s="132"/>
      <c r="S1981" s="33" t="s">
        <v>278</v>
      </c>
      <c r="T1981" s="132"/>
      <c r="U1981" s="33" t="s">
        <v>278</v>
      </c>
      <c r="V1981" s="132"/>
      <c r="W1981" s="59" t="s">
        <v>633</v>
      </c>
      <c r="X1981" s="33" t="str">
        <f>+VLOOKUP(OtherClients[[#This Row],[Part]],PartControl!$A$2:$E$564,5,FALSE)</f>
        <v>infasco</v>
      </c>
      <c r="Y1981" s="108">
        <f>IF(OtherClients[[#This Row],[Re-certified or New]]&lt;&gt;"Re-certified",IF(OtherClients[[#This Row],[Client]]="infasco",VLOOKUP(OtherClients[[#This Row],[Part]],PartControl!$A$2:$E$564,2,FALSE),OtherClients[[#This Row],[Total Quantity]]*VLOOKUP(OtherClients[[#This Row],[Part]],PartControl!$A$2:$E$564,2,FALSE)),0)</f>
        <v>0</v>
      </c>
      <c r="Z1981" s="108">
        <f>IF(OtherClients[[#This Row],[Re-certified or New]]&lt;&gt;"Re-certified",IF(OtherClients[[#This Row],[Client]]="infasco",VLOOKUP(OtherClients[[#This Row],[Part]],PartControl!$A$2:$E$564,2,FALSE),OtherClients[[#This Row],[Total Quantity]]*VLOOKUP(OtherClients[[#This Row],[Part]],PartControl!$A$2:$E$564,2,FALSE)),0)</f>
        <v>0</v>
      </c>
    </row>
    <row r="1982" spans="1:26" ht="25.15" hidden="1" customHeight="1" x14ac:dyDescent="0.25">
      <c r="A1982" s="112">
        <v>46262.694409722222</v>
      </c>
      <c r="B1982" s="5" t="s">
        <v>243</v>
      </c>
      <c r="C1982" s="5" t="s">
        <v>718</v>
      </c>
      <c r="D1982" s="5">
        <v>716900</v>
      </c>
      <c r="E1982" s="33">
        <f>37-10</f>
        <v>27</v>
      </c>
      <c r="F1982" s="60">
        <v>3500</v>
      </c>
      <c r="G1982" s="60">
        <f>+OtherClients[[#This Row],[Boxes / Pieces]]*OtherClients[[#This Row],[Unit Quantity]]</f>
        <v>94500</v>
      </c>
      <c r="H1982" s="60">
        <v>292</v>
      </c>
      <c r="I1982" s="130" t="s">
        <v>278</v>
      </c>
      <c r="J1982" s="131"/>
      <c r="K1982" s="33" t="s">
        <v>278</v>
      </c>
      <c r="L1982" s="132"/>
      <c r="M1982" s="33" t="s">
        <v>278</v>
      </c>
      <c r="N1982" s="132"/>
      <c r="O1982" s="33" t="s">
        <v>278</v>
      </c>
      <c r="P1982" s="132"/>
      <c r="Q1982" s="33" t="s">
        <v>587</v>
      </c>
      <c r="R1982" s="132"/>
      <c r="S1982" s="33" t="s">
        <v>278</v>
      </c>
      <c r="T1982" s="132"/>
      <c r="U1982" s="33" t="s">
        <v>278</v>
      </c>
      <c r="V1982" s="132"/>
      <c r="W1982" s="59" t="s">
        <v>548</v>
      </c>
      <c r="X1982" s="33" t="str">
        <f>+VLOOKUP(OtherClients[[#This Row],[Part]],PartControl!$A$2:$E$564,5,FALSE)</f>
        <v>infasco</v>
      </c>
      <c r="Y1982" s="108">
        <f>IF(OtherClients[[#This Row],[Re-certified or New]]&lt;&gt;"Re-certified",IF(OtherClients[[#This Row],[Client]]="infasco",VLOOKUP(OtherClients[[#This Row],[Part]],PartControl!$A$2:$E$564,2,FALSE),OtherClients[[#This Row],[Total Quantity]]*VLOOKUP(OtherClients[[#This Row],[Part]],PartControl!$A$2:$E$564,2,FALSE)),0)</f>
        <v>106.94</v>
      </c>
      <c r="Z1982" s="108">
        <f>IF(OtherClients[[#This Row],[Re-certified or New]]&lt;&gt;"Re-certified",IF(OtherClients[[#This Row],[Client]]="infasco",VLOOKUP(OtherClients[[#This Row],[Part]],PartControl!$A$2:$E$564,2,FALSE),OtherClients[[#This Row],[Total Quantity]]*VLOOKUP(OtherClients[[#This Row],[Part]],PartControl!$A$2:$E$564,2,FALSE)),0)</f>
        <v>106.94</v>
      </c>
    </row>
    <row r="1983" spans="1:26" ht="25.15" hidden="1" customHeight="1" x14ac:dyDescent="0.25">
      <c r="A1983" s="112">
        <v>46262.694409722222</v>
      </c>
      <c r="B1983" s="5" t="s">
        <v>243</v>
      </c>
      <c r="C1983" s="5">
        <v>11546389</v>
      </c>
      <c r="D1983" s="5">
        <v>717703</v>
      </c>
      <c r="E1983" s="33">
        <v>2</v>
      </c>
      <c r="F1983" s="60">
        <v>4500</v>
      </c>
      <c r="G1983" s="60">
        <f>+OtherClients[[#This Row],[Boxes / Pieces]]*OtherClients[[#This Row],[Unit Quantity]]</f>
        <v>9000</v>
      </c>
      <c r="H1983" s="60">
        <v>292</v>
      </c>
      <c r="I1983" s="130" t="s">
        <v>278</v>
      </c>
      <c r="J1983" s="131"/>
      <c r="K1983" s="33" t="s">
        <v>278</v>
      </c>
      <c r="L1983" s="132"/>
      <c r="M1983" s="33" t="s">
        <v>278</v>
      </c>
      <c r="N1983" s="132"/>
      <c r="O1983" s="33" t="s">
        <v>278</v>
      </c>
      <c r="P1983" s="132"/>
      <c r="Q1983" s="33" t="s">
        <v>587</v>
      </c>
      <c r="R1983" s="132"/>
      <c r="S1983" s="33" t="s">
        <v>278</v>
      </c>
      <c r="T1983" s="132"/>
      <c r="U1983" s="33" t="s">
        <v>278</v>
      </c>
      <c r="V1983" s="132"/>
      <c r="W1983" s="59" t="s">
        <v>633</v>
      </c>
      <c r="X1983" s="33" t="str">
        <f>+VLOOKUP(OtherClients[[#This Row],[Part]],PartControl!$A$2:$E$564,5,FALSE)</f>
        <v>INFASCO</v>
      </c>
      <c r="Y1983" s="108">
        <f>IF(OtherClients[[#This Row],[Re-certified or New]]&lt;&gt;"Re-certified",IF(OtherClients[[#This Row],[Client]]="infasco",VLOOKUP(OtherClients[[#This Row],[Part]],PartControl!$A$2:$E$564,2,FALSE),OtherClients[[#This Row],[Total Quantity]]*VLOOKUP(OtherClients[[#This Row],[Part]],PartControl!$A$2:$E$564,2,FALSE)),0)</f>
        <v>0</v>
      </c>
      <c r="Z1983" s="108">
        <f>IF(OtherClients[[#This Row],[Re-certified or New]]&lt;&gt;"Re-certified",IF(OtherClients[[#This Row],[Client]]="infasco",VLOOKUP(OtherClients[[#This Row],[Part]],PartControl!$A$2:$E$564,2,FALSE),OtherClients[[#This Row],[Total Quantity]]*VLOOKUP(OtherClients[[#This Row],[Part]],PartControl!$A$2:$E$564,2,FALSE)),0)</f>
        <v>0</v>
      </c>
    </row>
    <row r="1984" spans="1:26" ht="25.15" hidden="1" customHeight="1" x14ac:dyDescent="0.25">
      <c r="A1984" s="112">
        <v>46262.694409722222</v>
      </c>
      <c r="B1984" s="5" t="s">
        <v>623</v>
      </c>
      <c r="C1984" s="5" t="s">
        <v>703</v>
      </c>
      <c r="D1984" s="5">
        <v>717033</v>
      </c>
      <c r="E1984" s="33">
        <f>36-30</f>
        <v>6</v>
      </c>
      <c r="F1984" s="60">
        <v>700</v>
      </c>
      <c r="G1984" s="60">
        <f>+OtherClients[[#This Row],[Boxes / Pieces]]*OtherClients[[#This Row],[Unit Quantity]]</f>
        <v>4200</v>
      </c>
      <c r="H1984" s="60">
        <v>292</v>
      </c>
      <c r="I1984" s="130" t="s">
        <v>278</v>
      </c>
      <c r="J1984" s="131"/>
      <c r="K1984" s="33" t="s">
        <v>278</v>
      </c>
      <c r="L1984" s="132"/>
      <c r="M1984" s="33" t="s">
        <v>278</v>
      </c>
      <c r="N1984" s="132"/>
      <c r="O1984" s="33" t="s">
        <v>278</v>
      </c>
      <c r="P1984" s="132"/>
      <c r="Q1984" s="33" t="s">
        <v>587</v>
      </c>
      <c r="R1984" s="132"/>
      <c r="S1984" s="33" t="s">
        <v>278</v>
      </c>
      <c r="T1984" s="132"/>
      <c r="U1984" s="33" t="s">
        <v>278</v>
      </c>
      <c r="V1984" s="132"/>
      <c r="W1984" s="59" t="s">
        <v>548</v>
      </c>
      <c r="X1984" s="33" t="str">
        <f>+VLOOKUP(OtherClients[[#This Row],[Part]],PartControl!$A$2:$E$564,5,FALSE)</f>
        <v>infasco</v>
      </c>
      <c r="Y1984" s="108">
        <f>IF(OtherClients[[#This Row],[Re-certified or New]]&lt;&gt;"Re-certified",IF(OtherClients[[#This Row],[Client]]="infasco",VLOOKUP(OtherClients[[#This Row],[Part]],PartControl!$A$2:$E$564,2,FALSE),OtherClients[[#This Row],[Total Quantity]]*VLOOKUP(OtherClients[[#This Row],[Part]],PartControl!$A$2:$E$564,2,FALSE)),0)</f>
        <v>106.94</v>
      </c>
      <c r="Z1984" s="108">
        <f>IF(OtherClients[[#This Row],[Re-certified or New]]&lt;&gt;"Re-certified",IF(OtherClients[[#This Row],[Client]]="infasco",VLOOKUP(OtherClients[[#This Row],[Part]],PartControl!$A$2:$E$564,2,FALSE),OtherClients[[#This Row],[Total Quantity]]*VLOOKUP(OtherClients[[#This Row],[Part]],PartControl!$A$2:$E$564,2,FALSE)),0)</f>
        <v>106.94</v>
      </c>
    </row>
    <row r="1985" spans="1:26" ht="25.15" hidden="1" customHeight="1" x14ac:dyDescent="0.25">
      <c r="A1985" s="112">
        <v>46262.694409722222</v>
      </c>
      <c r="B1985" s="5" t="s">
        <v>623</v>
      </c>
      <c r="C1985" s="5">
        <v>11549170</v>
      </c>
      <c r="D1985" s="5">
        <v>716551</v>
      </c>
      <c r="E1985" s="33">
        <v>36</v>
      </c>
      <c r="F1985" s="60">
        <v>400</v>
      </c>
      <c r="G1985" s="60">
        <f>+OtherClients[[#This Row],[Boxes / Pieces]]*OtherClients[[#This Row],[Unit Quantity]]</f>
        <v>14400</v>
      </c>
      <c r="H1985" s="60">
        <v>292</v>
      </c>
      <c r="I1985" s="130" t="s">
        <v>278</v>
      </c>
      <c r="J1985" s="131"/>
      <c r="K1985" s="33" t="s">
        <v>278</v>
      </c>
      <c r="L1985" s="132"/>
      <c r="M1985" s="33" t="s">
        <v>278</v>
      </c>
      <c r="N1985" s="132"/>
      <c r="O1985" s="33" t="s">
        <v>278</v>
      </c>
      <c r="P1985" s="132"/>
      <c r="Q1985" s="33" t="s">
        <v>587</v>
      </c>
      <c r="R1985" s="132"/>
      <c r="S1985" s="33" t="s">
        <v>278</v>
      </c>
      <c r="T1985" s="132"/>
      <c r="U1985" s="33" t="s">
        <v>278</v>
      </c>
      <c r="V1985" s="132"/>
      <c r="W1985" s="59" t="s">
        <v>548</v>
      </c>
      <c r="X1985" s="33" t="str">
        <f>+VLOOKUP(OtherClients[[#This Row],[Part]],PartControl!$A$2:$E$564,5,FALSE)</f>
        <v>INFASCO</v>
      </c>
      <c r="Y1985" s="108">
        <f>IF(OtherClients[[#This Row],[Re-certified or New]]&lt;&gt;"Re-certified",IF(OtherClients[[#This Row],[Client]]="infasco",VLOOKUP(OtherClients[[#This Row],[Part]],PartControl!$A$2:$E$564,2,FALSE),OtherClients[[#This Row],[Total Quantity]]*VLOOKUP(OtherClients[[#This Row],[Part]],PartControl!$A$2:$E$564,2,FALSE)),0)</f>
        <v>106.94</v>
      </c>
      <c r="Z1985" s="108">
        <f>IF(OtherClients[[#This Row],[Re-certified or New]]&lt;&gt;"Re-certified",IF(OtherClients[[#This Row],[Client]]="infasco",VLOOKUP(OtherClients[[#This Row],[Part]],PartControl!$A$2:$E$564,2,FALSE),OtherClients[[#This Row],[Total Quantity]]*VLOOKUP(OtherClients[[#This Row],[Part]],PartControl!$A$2:$E$564,2,FALSE)),0)</f>
        <v>106.94</v>
      </c>
    </row>
    <row r="1986" spans="1:26" ht="25.15" hidden="1" customHeight="1" x14ac:dyDescent="0.25">
      <c r="A1986" s="112">
        <v>46262.694409722222</v>
      </c>
      <c r="B1986" s="5" t="s">
        <v>623</v>
      </c>
      <c r="C1986" s="5">
        <v>11549170</v>
      </c>
      <c r="D1986" s="5">
        <v>716553</v>
      </c>
      <c r="E1986" s="33">
        <v>36</v>
      </c>
      <c r="F1986" s="60">
        <v>400</v>
      </c>
      <c r="G1986" s="60">
        <f>+OtherClients[[#This Row],[Boxes / Pieces]]*OtherClients[[#This Row],[Unit Quantity]]</f>
        <v>14400</v>
      </c>
      <c r="H1986" s="60">
        <v>292</v>
      </c>
      <c r="I1986" s="130" t="s">
        <v>278</v>
      </c>
      <c r="J1986" s="131"/>
      <c r="K1986" s="33" t="s">
        <v>278</v>
      </c>
      <c r="L1986" s="132"/>
      <c r="M1986" s="33" t="s">
        <v>278</v>
      </c>
      <c r="N1986" s="132"/>
      <c r="O1986" s="33" t="s">
        <v>278</v>
      </c>
      <c r="P1986" s="132"/>
      <c r="Q1986" s="33" t="s">
        <v>587</v>
      </c>
      <c r="R1986" s="132"/>
      <c r="S1986" s="33" t="s">
        <v>278</v>
      </c>
      <c r="T1986" s="132"/>
      <c r="U1986" s="33" t="s">
        <v>278</v>
      </c>
      <c r="V1986" s="132"/>
      <c r="W1986" s="59" t="s">
        <v>548</v>
      </c>
      <c r="X1986" s="33" t="str">
        <f>+VLOOKUP(OtherClients[[#This Row],[Part]],PartControl!$A$2:$E$564,5,FALSE)</f>
        <v>INFASCO</v>
      </c>
      <c r="Y1986" s="108">
        <f>IF(OtherClients[[#This Row],[Re-certified or New]]&lt;&gt;"Re-certified",IF(OtherClients[[#This Row],[Client]]="infasco",VLOOKUP(OtherClients[[#This Row],[Part]],PartControl!$A$2:$E$564,2,FALSE),OtherClients[[#This Row],[Total Quantity]]*VLOOKUP(OtherClients[[#This Row],[Part]],PartControl!$A$2:$E$564,2,FALSE)),0)</f>
        <v>106.94</v>
      </c>
      <c r="Z1986" s="108">
        <f>IF(OtherClients[[#This Row],[Re-certified or New]]&lt;&gt;"Re-certified",IF(OtherClients[[#This Row],[Client]]="infasco",VLOOKUP(OtherClients[[#This Row],[Part]],PartControl!$A$2:$E$564,2,FALSE),OtherClients[[#This Row],[Total Quantity]]*VLOOKUP(OtherClients[[#This Row],[Part]],PartControl!$A$2:$E$564,2,FALSE)),0)</f>
        <v>106.94</v>
      </c>
    </row>
    <row r="1987" spans="1:26" ht="25.15" hidden="1" customHeight="1" x14ac:dyDescent="0.25">
      <c r="A1987" s="112">
        <v>46262.694409722222</v>
      </c>
      <c r="B1987" s="5" t="s">
        <v>623</v>
      </c>
      <c r="C1987" s="5">
        <v>11549170</v>
      </c>
      <c r="D1987" s="5">
        <v>716584</v>
      </c>
      <c r="E1987" s="33">
        <v>10</v>
      </c>
      <c r="F1987" s="60">
        <v>400</v>
      </c>
      <c r="G1987" s="60">
        <f>+OtherClients[[#This Row],[Boxes / Pieces]]*OtherClients[[#This Row],[Unit Quantity]]</f>
        <v>4000</v>
      </c>
      <c r="H1987" s="60">
        <v>292</v>
      </c>
      <c r="I1987" s="130" t="s">
        <v>278</v>
      </c>
      <c r="J1987" s="131"/>
      <c r="K1987" s="33" t="s">
        <v>278</v>
      </c>
      <c r="L1987" s="132"/>
      <c r="M1987" s="33" t="s">
        <v>278</v>
      </c>
      <c r="N1987" s="132"/>
      <c r="O1987" s="33" t="s">
        <v>278</v>
      </c>
      <c r="P1987" s="132"/>
      <c r="Q1987" s="33" t="s">
        <v>587</v>
      </c>
      <c r="R1987" s="132"/>
      <c r="S1987" s="33" t="s">
        <v>278</v>
      </c>
      <c r="T1987" s="132"/>
      <c r="U1987" s="33" t="s">
        <v>278</v>
      </c>
      <c r="V1987" s="132"/>
      <c r="W1987" s="59" t="s">
        <v>633</v>
      </c>
      <c r="X1987" s="33" t="str">
        <f>+VLOOKUP(OtherClients[[#This Row],[Part]],PartControl!$A$2:$E$564,5,FALSE)</f>
        <v>INFASCO</v>
      </c>
      <c r="Y1987" s="108">
        <f>IF(OtherClients[[#This Row],[Re-certified or New]]&lt;&gt;"Re-certified",IF(OtherClients[[#This Row],[Client]]="infasco",VLOOKUP(OtherClients[[#This Row],[Part]],PartControl!$A$2:$E$564,2,FALSE),OtherClients[[#This Row],[Total Quantity]]*VLOOKUP(OtherClients[[#This Row],[Part]],PartControl!$A$2:$E$564,2,FALSE)),0)</f>
        <v>0</v>
      </c>
      <c r="Z1987" s="108">
        <f>IF(OtherClients[[#This Row],[Re-certified or New]]&lt;&gt;"Re-certified",IF(OtherClients[[#This Row],[Client]]="infasco",VLOOKUP(OtherClients[[#This Row],[Part]],PartControl!$A$2:$E$564,2,FALSE),OtherClients[[#This Row],[Total Quantity]]*VLOOKUP(OtherClients[[#This Row],[Part]],PartControl!$A$2:$E$564,2,FALSE)),0)</f>
        <v>0</v>
      </c>
    </row>
    <row r="1988" spans="1:26" ht="25.15" hidden="1" customHeight="1" x14ac:dyDescent="0.25">
      <c r="A1988" s="112">
        <v>46262.694409722222</v>
      </c>
      <c r="B1988" s="5" t="s">
        <v>624</v>
      </c>
      <c r="C1988" s="5" t="s">
        <v>705</v>
      </c>
      <c r="D1988" s="5">
        <v>716121</v>
      </c>
      <c r="E1988" s="33">
        <f>36+3</f>
        <v>39</v>
      </c>
      <c r="F1988" s="60">
        <v>450</v>
      </c>
      <c r="G1988" s="60">
        <f>+OtherClients[[#This Row],[Boxes / Pieces]]*OtherClients[[#This Row],[Unit Quantity]]</f>
        <v>17550</v>
      </c>
      <c r="H1988" s="60">
        <v>292</v>
      </c>
      <c r="I1988" s="130" t="s">
        <v>278</v>
      </c>
      <c r="J1988" s="131"/>
      <c r="K1988" s="33" t="s">
        <v>278</v>
      </c>
      <c r="L1988" s="132"/>
      <c r="M1988" s="33" t="s">
        <v>278</v>
      </c>
      <c r="N1988" s="132"/>
      <c r="O1988" s="33" t="s">
        <v>278</v>
      </c>
      <c r="P1988" s="132"/>
      <c r="Q1988" s="33" t="s">
        <v>587</v>
      </c>
      <c r="R1988" s="132"/>
      <c r="S1988" s="33" t="s">
        <v>278</v>
      </c>
      <c r="T1988" s="132"/>
      <c r="U1988" s="33" t="s">
        <v>278</v>
      </c>
      <c r="V1988" s="132"/>
      <c r="W1988" s="59" t="s">
        <v>548</v>
      </c>
      <c r="X1988" s="33" t="str">
        <f>+VLOOKUP(OtherClients[[#This Row],[Part]],PartControl!$A$2:$E$564,5,FALSE)</f>
        <v>infasco</v>
      </c>
      <c r="Y1988" s="108">
        <f>IF(OtherClients[[#This Row],[Re-certified or New]]&lt;&gt;"Re-certified",IF(OtherClients[[#This Row],[Client]]="infasco",VLOOKUP(OtherClients[[#This Row],[Part]],PartControl!$A$2:$E$564,2,FALSE),OtherClients[[#This Row],[Total Quantity]]*VLOOKUP(OtherClients[[#This Row],[Part]],PartControl!$A$2:$E$564,2,FALSE)),0)</f>
        <v>106.94</v>
      </c>
      <c r="Z1988" s="108">
        <f>IF(OtherClients[[#This Row],[Re-certified or New]]&lt;&gt;"Re-certified",IF(OtherClients[[#This Row],[Client]]="infasco",VLOOKUP(OtherClients[[#This Row],[Part]],PartControl!$A$2:$E$564,2,FALSE),OtherClients[[#This Row],[Total Quantity]]*VLOOKUP(OtherClients[[#This Row],[Part]],PartControl!$A$2:$E$564,2,FALSE)),0)</f>
        <v>106.94</v>
      </c>
    </row>
    <row r="1989" spans="1:26" ht="25.15" hidden="1" customHeight="1" x14ac:dyDescent="0.25">
      <c r="A1989" s="112">
        <v>46262.694409722222</v>
      </c>
      <c r="B1989" s="5" t="s">
        <v>624</v>
      </c>
      <c r="C1989" s="5">
        <v>11549170</v>
      </c>
      <c r="D1989" s="5">
        <v>716555</v>
      </c>
      <c r="E1989" s="33">
        <v>36</v>
      </c>
      <c r="F1989" s="60">
        <v>400</v>
      </c>
      <c r="G1989" s="60">
        <f>+OtherClients[[#This Row],[Boxes / Pieces]]*OtherClients[[#This Row],[Unit Quantity]]</f>
        <v>14400</v>
      </c>
      <c r="H1989" s="60">
        <v>292</v>
      </c>
      <c r="I1989" s="130" t="s">
        <v>278</v>
      </c>
      <c r="J1989" s="131"/>
      <c r="K1989" s="33" t="s">
        <v>278</v>
      </c>
      <c r="L1989" s="132"/>
      <c r="M1989" s="33" t="s">
        <v>278</v>
      </c>
      <c r="N1989" s="132"/>
      <c r="O1989" s="33" t="s">
        <v>278</v>
      </c>
      <c r="P1989" s="132"/>
      <c r="Q1989" s="33" t="s">
        <v>587</v>
      </c>
      <c r="R1989" s="132"/>
      <c r="S1989" s="33" t="s">
        <v>278</v>
      </c>
      <c r="T1989" s="132"/>
      <c r="U1989" s="33" t="s">
        <v>278</v>
      </c>
      <c r="V1989" s="132"/>
      <c r="W1989" s="59" t="s">
        <v>548</v>
      </c>
      <c r="X1989" s="33" t="str">
        <f>+VLOOKUP(OtherClients[[#This Row],[Part]],PartControl!$A$2:$E$564,5,FALSE)</f>
        <v>INFASCO</v>
      </c>
      <c r="Y1989" s="108">
        <f>IF(OtherClients[[#This Row],[Re-certified or New]]&lt;&gt;"Re-certified",IF(OtherClients[[#This Row],[Client]]="infasco",VLOOKUP(OtherClients[[#This Row],[Part]],PartControl!$A$2:$E$564,2,FALSE),OtherClients[[#This Row],[Total Quantity]]*VLOOKUP(OtherClients[[#This Row],[Part]],PartControl!$A$2:$E$564,2,FALSE)),0)</f>
        <v>106.94</v>
      </c>
      <c r="Z1989" s="108">
        <f>IF(OtherClients[[#This Row],[Re-certified or New]]&lt;&gt;"Re-certified",IF(OtherClients[[#This Row],[Client]]="infasco",VLOOKUP(OtherClients[[#This Row],[Part]],PartControl!$A$2:$E$564,2,FALSE),OtherClients[[#This Row],[Total Quantity]]*VLOOKUP(OtherClients[[#This Row],[Part]],PartControl!$A$2:$E$564,2,FALSE)),0)</f>
        <v>106.94</v>
      </c>
    </row>
    <row r="1990" spans="1:26" ht="25.15" hidden="1" customHeight="1" x14ac:dyDescent="0.25">
      <c r="A1990" s="112">
        <v>46262.694409722222</v>
      </c>
      <c r="B1990" s="5" t="s">
        <v>624</v>
      </c>
      <c r="C1990" s="5">
        <v>11549170</v>
      </c>
      <c r="D1990" s="5">
        <v>716583</v>
      </c>
      <c r="E1990" s="33">
        <v>15</v>
      </c>
      <c r="F1990" s="60">
        <v>400</v>
      </c>
      <c r="G1990" s="60">
        <f>+OtherClients[[#This Row],[Boxes / Pieces]]*OtherClients[[#This Row],[Unit Quantity]]</f>
        <v>6000</v>
      </c>
      <c r="H1990" s="60">
        <v>292</v>
      </c>
      <c r="I1990" s="130" t="s">
        <v>278</v>
      </c>
      <c r="J1990" s="131"/>
      <c r="K1990" s="33" t="s">
        <v>278</v>
      </c>
      <c r="L1990" s="132"/>
      <c r="M1990" s="33" t="s">
        <v>278</v>
      </c>
      <c r="N1990" s="132"/>
      <c r="O1990" s="33" t="s">
        <v>278</v>
      </c>
      <c r="P1990" s="132"/>
      <c r="Q1990" s="33" t="s">
        <v>587</v>
      </c>
      <c r="R1990" s="132"/>
      <c r="S1990" s="33" t="s">
        <v>278</v>
      </c>
      <c r="T1990" s="132"/>
      <c r="U1990" s="33" t="s">
        <v>278</v>
      </c>
      <c r="V1990" s="132"/>
      <c r="W1990" s="59" t="s">
        <v>633</v>
      </c>
      <c r="X1990" s="33" t="str">
        <f>+VLOOKUP(OtherClients[[#This Row],[Part]],PartControl!$A$2:$E$564,5,FALSE)</f>
        <v>INFASCO</v>
      </c>
      <c r="Y1990" s="108">
        <f>IF(OtherClients[[#This Row],[Re-certified or New]]&lt;&gt;"Re-certified",IF(OtherClients[[#This Row],[Client]]="infasco",VLOOKUP(OtherClients[[#This Row],[Part]],PartControl!$A$2:$E$564,2,FALSE),OtherClients[[#This Row],[Total Quantity]]*VLOOKUP(OtherClients[[#This Row],[Part]],PartControl!$A$2:$E$564,2,FALSE)),0)</f>
        <v>0</v>
      </c>
      <c r="Z1990" s="108">
        <f>IF(OtherClients[[#This Row],[Re-certified or New]]&lt;&gt;"Re-certified",IF(OtherClients[[#This Row],[Client]]="infasco",VLOOKUP(OtherClients[[#This Row],[Part]],PartControl!$A$2:$E$564,2,FALSE),OtherClients[[#This Row],[Total Quantity]]*VLOOKUP(OtherClients[[#This Row],[Part]],PartControl!$A$2:$E$564,2,FALSE)),0)</f>
        <v>0</v>
      </c>
    </row>
    <row r="1991" spans="1:26" ht="25.15" hidden="1" customHeight="1" x14ac:dyDescent="0.25">
      <c r="A1991" s="112">
        <v>46262.694409722222</v>
      </c>
      <c r="B1991" s="5" t="s">
        <v>244</v>
      </c>
      <c r="C1991" s="5" t="s">
        <v>719</v>
      </c>
      <c r="D1991" s="5">
        <v>717630</v>
      </c>
      <c r="E1991" s="33">
        <f>29-20</f>
        <v>9</v>
      </c>
      <c r="F1991" s="60">
        <v>2150</v>
      </c>
      <c r="G1991" s="60">
        <f>+OtherClients[[#This Row],[Boxes / Pieces]]*OtherClients[[#This Row],[Unit Quantity]]</f>
        <v>19350</v>
      </c>
      <c r="H1991" s="60">
        <v>292</v>
      </c>
      <c r="I1991" s="130" t="s">
        <v>278</v>
      </c>
      <c r="J1991" s="131"/>
      <c r="K1991" s="33" t="s">
        <v>278</v>
      </c>
      <c r="L1991" s="132"/>
      <c r="M1991" s="33" t="s">
        <v>278</v>
      </c>
      <c r="N1991" s="132"/>
      <c r="O1991" s="33" t="s">
        <v>278</v>
      </c>
      <c r="P1991" s="132"/>
      <c r="Q1991" s="33" t="s">
        <v>587</v>
      </c>
      <c r="R1991" s="132"/>
      <c r="S1991" s="33" t="s">
        <v>278</v>
      </c>
      <c r="T1991" s="132"/>
      <c r="U1991" s="33" t="s">
        <v>278</v>
      </c>
      <c r="V1991" s="132"/>
      <c r="W1991" s="59" t="s">
        <v>548</v>
      </c>
      <c r="X1991" s="33" t="str">
        <f>+VLOOKUP(OtherClients[[#This Row],[Part]],PartControl!$A$2:$E$564,5,FALSE)</f>
        <v>infasco</v>
      </c>
      <c r="Y1991" s="108">
        <f>IF(OtherClients[[#This Row],[Re-certified or New]]&lt;&gt;"Re-certified",IF(OtherClients[[#This Row],[Client]]="infasco",VLOOKUP(OtherClients[[#This Row],[Part]],PartControl!$A$2:$E$564,2,FALSE),OtherClients[[#This Row],[Total Quantity]]*VLOOKUP(OtherClients[[#This Row],[Part]],PartControl!$A$2:$E$564,2,FALSE)),0)</f>
        <v>106.94</v>
      </c>
      <c r="Z1991" s="108">
        <f>IF(OtherClients[[#This Row],[Re-certified or New]]&lt;&gt;"Re-certified",IF(OtherClients[[#This Row],[Client]]="infasco",VLOOKUP(OtherClients[[#This Row],[Part]],PartControl!$A$2:$E$564,2,FALSE),OtherClients[[#This Row],[Total Quantity]]*VLOOKUP(OtherClients[[#This Row],[Part]],PartControl!$A$2:$E$564,2,FALSE)),0)</f>
        <v>106.94</v>
      </c>
    </row>
    <row r="1992" spans="1:26" ht="25.15" hidden="1" customHeight="1" x14ac:dyDescent="0.25">
      <c r="A1992" s="112">
        <v>46262.694409722222</v>
      </c>
      <c r="B1992" s="5" t="s">
        <v>244</v>
      </c>
      <c r="C1992" s="5" t="s">
        <v>706</v>
      </c>
      <c r="D1992" s="5">
        <v>716822</v>
      </c>
      <c r="E1992" s="33">
        <v>5</v>
      </c>
      <c r="F1992" s="60">
        <v>1900</v>
      </c>
      <c r="G1992" s="60">
        <f>+OtherClients[[#This Row],[Boxes / Pieces]]*OtherClients[[#This Row],[Unit Quantity]]</f>
        <v>9500</v>
      </c>
      <c r="H1992" s="60">
        <v>292</v>
      </c>
      <c r="I1992" s="130" t="s">
        <v>278</v>
      </c>
      <c r="J1992" s="131"/>
      <c r="K1992" s="33" t="s">
        <v>278</v>
      </c>
      <c r="L1992" s="132"/>
      <c r="M1992" s="33" t="s">
        <v>278</v>
      </c>
      <c r="N1992" s="132"/>
      <c r="O1992" s="33" t="s">
        <v>278</v>
      </c>
      <c r="P1992" s="132"/>
      <c r="Q1992" s="33" t="s">
        <v>587</v>
      </c>
      <c r="R1992" s="132"/>
      <c r="S1992" s="33" t="s">
        <v>278</v>
      </c>
      <c r="T1992" s="132"/>
      <c r="U1992" s="33" t="s">
        <v>278</v>
      </c>
      <c r="V1992" s="132"/>
      <c r="W1992" s="59" t="s">
        <v>633</v>
      </c>
      <c r="X1992" s="33" t="str">
        <f>+VLOOKUP(OtherClients[[#This Row],[Part]],PartControl!$A$2:$E$564,5,FALSE)</f>
        <v>infasco</v>
      </c>
      <c r="Y1992" s="108">
        <f>IF(OtherClients[[#This Row],[Re-certified or New]]&lt;&gt;"Re-certified",IF(OtherClients[[#This Row],[Client]]="infasco",VLOOKUP(OtherClients[[#This Row],[Part]],PartControl!$A$2:$E$564,2,FALSE),OtherClients[[#This Row],[Total Quantity]]*VLOOKUP(OtherClients[[#This Row],[Part]],PartControl!$A$2:$E$564,2,FALSE)),0)</f>
        <v>0</v>
      </c>
      <c r="Z1992" s="108">
        <f>IF(OtherClients[[#This Row],[Re-certified or New]]&lt;&gt;"Re-certified",IF(OtherClients[[#This Row],[Client]]="infasco",VLOOKUP(OtherClients[[#This Row],[Part]],PartControl!$A$2:$E$564,2,FALSE),OtherClients[[#This Row],[Total Quantity]]*VLOOKUP(OtherClients[[#This Row],[Part]],PartControl!$A$2:$E$564,2,FALSE)),0)</f>
        <v>0</v>
      </c>
    </row>
    <row r="1993" spans="1:26" ht="25.15" hidden="1" customHeight="1" x14ac:dyDescent="0.25">
      <c r="A1993" s="112">
        <v>46262.694409722222</v>
      </c>
      <c r="B1993" s="5" t="s">
        <v>246</v>
      </c>
      <c r="C1993" s="5">
        <v>11549168</v>
      </c>
      <c r="D1993" s="5">
        <v>716568</v>
      </c>
      <c r="E1993" s="33">
        <v>36</v>
      </c>
      <c r="F1993" s="60">
        <v>1000</v>
      </c>
      <c r="G1993" s="60">
        <f>+OtherClients[[#This Row],[Boxes / Pieces]]*OtherClients[[#This Row],[Unit Quantity]]</f>
        <v>36000</v>
      </c>
      <c r="H1993" s="60">
        <v>292</v>
      </c>
      <c r="I1993" s="130" t="s">
        <v>278</v>
      </c>
      <c r="J1993" s="131"/>
      <c r="K1993" s="33" t="s">
        <v>278</v>
      </c>
      <c r="L1993" s="132"/>
      <c r="M1993" s="33" t="s">
        <v>278</v>
      </c>
      <c r="N1993" s="132"/>
      <c r="O1993" s="33" t="s">
        <v>278</v>
      </c>
      <c r="P1993" s="132"/>
      <c r="Q1993" s="33" t="s">
        <v>587</v>
      </c>
      <c r="R1993" s="132"/>
      <c r="S1993" s="33" t="s">
        <v>278</v>
      </c>
      <c r="T1993" s="132"/>
      <c r="U1993" s="33" t="s">
        <v>278</v>
      </c>
      <c r="V1993" s="132"/>
      <c r="W1993" s="59" t="s">
        <v>548</v>
      </c>
      <c r="X1993" s="33" t="str">
        <f>+VLOOKUP(OtherClients[[#This Row],[Part]],PartControl!$A$2:$E$564,5,FALSE)</f>
        <v>INFASCO</v>
      </c>
      <c r="Y1993" s="108">
        <f>IF(OtherClients[[#This Row],[Re-certified or New]]&lt;&gt;"Re-certified",IF(OtherClients[[#This Row],[Client]]="infasco",VLOOKUP(OtherClients[[#This Row],[Part]],PartControl!$A$2:$E$564,2,FALSE),OtherClients[[#This Row],[Total Quantity]]*VLOOKUP(OtherClients[[#This Row],[Part]],PartControl!$A$2:$E$564,2,FALSE)),0)</f>
        <v>106.94</v>
      </c>
      <c r="Z1993" s="108">
        <f>IF(OtherClients[[#This Row],[Re-certified or New]]&lt;&gt;"Re-certified",IF(OtherClients[[#This Row],[Client]]="infasco",VLOOKUP(OtherClients[[#This Row],[Part]],PartControl!$A$2:$E$564,2,FALSE),OtherClients[[#This Row],[Total Quantity]]*VLOOKUP(OtherClients[[#This Row],[Part]],PartControl!$A$2:$E$564,2,FALSE)),0)</f>
        <v>106.94</v>
      </c>
    </row>
    <row r="1994" spans="1:26" ht="25.15" hidden="1" customHeight="1" x14ac:dyDescent="0.25">
      <c r="A1994" s="112">
        <v>46262.694409722222</v>
      </c>
      <c r="B1994" s="5" t="s">
        <v>246</v>
      </c>
      <c r="C1994" s="5">
        <v>11549168</v>
      </c>
      <c r="D1994" s="5">
        <v>716549</v>
      </c>
      <c r="E1994" s="33">
        <v>25</v>
      </c>
      <c r="F1994" s="60">
        <v>1000</v>
      </c>
      <c r="G1994" s="60">
        <f>+OtherClients[[#This Row],[Boxes / Pieces]]*OtherClients[[#This Row],[Unit Quantity]]</f>
        <v>25000</v>
      </c>
      <c r="H1994" s="60">
        <v>292</v>
      </c>
      <c r="I1994" s="130" t="s">
        <v>278</v>
      </c>
      <c r="J1994" s="131"/>
      <c r="K1994" s="33" t="s">
        <v>278</v>
      </c>
      <c r="L1994" s="132"/>
      <c r="M1994" s="33" t="s">
        <v>278</v>
      </c>
      <c r="N1994" s="132"/>
      <c r="O1994" s="33" t="s">
        <v>278</v>
      </c>
      <c r="P1994" s="132"/>
      <c r="Q1994" s="33" t="s">
        <v>587</v>
      </c>
      <c r="R1994" s="132"/>
      <c r="S1994" s="33" t="s">
        <v>278</v>
      </c>
      <c r="T1994" s="132"/>
      <c r="U1994" s="33" t="s">
        <v>278</v>
      </c>
      <c r="V1994" s="132"/>
      <c r="W1994" s="59" t="s">
        <v>633</v>
      </c>
      <c r="X1994" s="33" t="str">
        <f>+VLOOKUP(OtherClients[[#This Row],[Part]],PartControl!$A$2:$E$564,5,FALSE)</f>
        <v>INFASCO</v>
      </c>
      <c r="Y1994" s="108">
        <f>IF(OtherClients[[#This Row],[Re-certified or New]]&lt;&gt;"Re-certified",IF(OtherClients[[#This Row],[Client]]="infasco",VLOOKUP(OtherClients[[#This Row],[Part]],PartControl!$A$2:$E$564,2,FALSE),OtherClients[[#This Row],[Total Quantity]]*VLOOKUP(OtherClients[[#This Row],[Part]],PartControl!$A$2:$E$564,2,FALSE)),0)</f>
        <v>0</v>
      </c>
      <c r="Z1994" s="108">
        <f>IF(OtherClients[[#This Row],[Re-certified or New]]&lt;&gt;"Re-certified",IF(OtherClients[[#This Row],[Client]]="infasco",VLOOKUP(OtherClients[[#This Row],[Part]],PartControl!$A$2:$E$564,2,FALSE),OtherClients[[#This Row],[Total Quantity]]*VLOOKUP(OtherClients[[#This Row],[Part]],PartControl!$A$2:$E$564,2,FALSE)),0)</f>
        <v>0</v>
      </c>
    </row>
    <row r="1995" spans="1:26" ht="25.15" hidden="1" customHeight="1" x14ac:dyDescent="0.25">
      <c r="A1995" s="112">
        <v>46262.694409722222</v>
      </c>
      <c r="B1995" s="5" t="s">
        <v>251</v>
      </c>
      <c r="C1995" s="5" t="s">
        <v>703</v>
      </c>
      <c r="D1995" s="5">
        <v>717043</v>
      </c>
      <c r="E1995" s="33">
        <v>6</v>
      </c>
      <c r="F1995" s="60">
        <v>700</v>
      </c>
      <c r="G1995" s="60">
        <f>+OtherClients[[#This Row],[Boxes / Pieces]]*OtherClients[[#This Row],[Unit Quantity]]</f>
        <v>4200</v>
      </c>
      <c r="H1995" s="60">
        <v>292</v>
      </c>
      <c r="I1995" s="130" t="s">
        <v>278</v>
      </c>
      <c r="J1995" s="131"/>
      <c r="K1995" s="33" t="s">
        <v>278</v>
      </c>
      <c r="L1995" s="132"/>
      <c r="M1995" s="33" t="s">
        <v>278</v>
      </c>
      <c r="N1995" s="132"/>
      <c r="O1995" s="33" t="s">
        <v>278</v>
      </c>
      <c r="P1995" s="132"/>
      <c r="Q1995" s="33" t="s">
        <v>587</v>
      </c>
      <c r="R1995" s="132"/>
      <c r="S1995" s="33" t="s">
        <v>278</v>
      </c>
      <c r="T1995" s="132"/>
      <c r="U1995" s="33" t="s">
        <v>278</v>
      </c>
      <c r="V1995" s="132"/>
      <c r="W1995" s="59" t="s">
        <v>548</v>
      </c>
      <c r="X1995" s="33" t="str">
        <f>+VLOOKUP(OtherClients[[#This Row],[Part]],PartControl!$A$2:$E$564,5,FALSE)</f>
        <v>infasco</v>
      </c>
      <c r="Y1995" s="108">
        <f>IF(OtherClients[[#This Row],[Re-certified or New]]&lt;&gt;"Re-certified",IF(OtherClients[[#This Row],[Client]]="infasco",VLOOKUP(OtherClients[[#This Row],[Part]],PartControl!$A$2:$E$564,2,FALSE),OtherClients[[#This Row],[Total Quantity]]*VLOOKUP(OtherClients[[#This Row],[Part]],PartControl!$A$2:$E$564,2,FALSE)),0)</f>
        <v>106.94</v>
      </c>
      <c r="Z1995" s="108">
        <f>IF(OtherClients[[#This Row],[Re-certified or New]]&lt;&gt;"Re-certified",IF(OtherClients[[#This Row],[Client]]="infasco",VLOOKUP(OtherClients[[#This Row],[Part]],PartControl!$A$2:$E$564,2,FALSE),OtherClients[[#This Row],[Total Quantity]]*VLOOKUP(OtherClients[[#This Row],[Part]],PartControl!$A$2:$E$564,2,FALSE)),0)</f>
        <v>106.94</v>
      </c>
    </row>
    <row r="1996" spans="1:26" ht="25.15" hidden="1" customHeight="1" x14ac:dyDescent="0.25">
      <c r="A1996" s="112">
        <v>46262.694409722222</v>
      </c>
      <c r="B1996" s="5" t="s">
        <v>251</v>
      </c>
      <c r="C1996" s="5">
        <v>11549168</v>
      </c>
      <c r="D1996" s="5">
        <v>716562</v>
      </c>
      <c r="E1996" s="33">
        <v>30</v>
      </c>
      <c r="F1996" s="60">
        <v>1000</v>
      </c>
      <c r="G1996" s="60">
        <f>+OtherClients[[#This Row],[Boxes / Pieces]]*OtherClients[[#This Row],[Unit Quantity]]</f>
        <v>30000</v>
      </c>
      <c r="H1996" s="60">
        <v>292</v>
      </c>
      <c r="I1996" s="130" t="s">
        <v>278</v>
      </c>
      <c r="J1996" s="131"/>
      <c r="K1996" s="33" t="s">
        <v>278</v>
      </c>
      <c r="L1996" s="132"/>
      <c r="M1996" s="33" t="s">
        <v>278</v>
      </c>
      <c r="N1996" s="132"/>
      <c r="O1996" s="33" t="s">
        <v>278</v>
      </c>
      <c r="P1996" s="132"/>
      <c r="Q1996" s="33" t="s">
        <v>587</v>
      </c>
      <c r="R1996" s="132"/>
      <c r="S1996" s="33" t="s">
        <v>278</v>
      </c>
      <c r="T1996" s="132"/>
      <c r="U1996" s="33" t="s">
        <v>278</v>
      </c>
      <c r="V1996" s="132"/>
      <c r="W1996" s="59" t="s">
        <v>633</v>
      </c>
      <c r="X1996" s="33" t="str">
        <f>+VLOOKUP(OtherClients[[#This Row],[Part]],PartControl!$A$2:$E$564,5,FALSE)</f>
        <v>INFASCO</v>
      </c>
      <c r="Y1996" s="108">
        <f>IF(OtherClients[[#This Row],[Re-certified or New]]&lt;&gt;"Re-certified",IF(OtherClients[[#This Row],[Client]]="infasco",VLOOKUP(OtherClients[[#This Row],[Part]],PartControl!$A$2:$E$564,2,FALSE),OtherClients[[#This Row],[Total Quantity]]*VLOOKUP(OtherClients[[#This Row],[Part]],PartControl!$A$2:$E$564,2,FALSE)),0)</f>
        <v>0</v>
      </c>
      <c r="Z1996" s="108">
        <f>IF(OtherClients[[#This Row],[Re-certified or New]]&lt;&gt;"Re-certified",IF(OtherClients[[#This Row],[Client]]="infasco",VLOOKUP(OtherClients[[#This Row],[Part]],PartControl!$A$2:$E$564,2,FALSE),OtherClients[[#This Row],[Total Quantity]]*VLOOKUP(OtherClients[[#This Row],[Part]],PartControl!$A$2:$E$564,2,FALSE)),0)</f>
        <v>0</v>
      </c>
    </row>
    <row r="1997" spans="1:26" ht="25.15" hidden="1" customHeight="1" x14ac:dyDescent="0.25">
      <c r="A1997" s="112">
        <v>46262.694409722222</v>
      </c>
      <c r="B1997" s="5" t="s">
        <v>245</v>
      </c>
      <c r="C1997" s="5" t="s">
        <v>719</v>
      </c>
      <c r="D1997" s="5">
        <v>717696</v>
      </c>
      <c r="E1997" s="33">
        <f>36-25</f>
        <v>11</v>
      </c>
      <c r="F1997" s="60">
        <v>2150</v>
      </c>
      <c r="G1997" s="60">
        <f>+OtherClients[[#This Row],[Boxes / Pieces]]*OtherClients[[#This Row],[Unit Quantity]]</f>
        <v>23650</v>
      </c>
      <c r="H1997" s="60">
        <v>292</v>
      </c>
      <c r="I1997" s="130" t="s">
        <v>278</v>
      </c>
      <c r="J1997" s="131"/>
      <c r="K1997" s="33" t="s">
        <v>278</v>
      </c>
      <c r="L1997" s="132"/>
      <c r="M1997" s="33" t="s">
        <v>278</v>
      </c>
      <c r="N1997" s="132"/>
      <c r="O1997" s="33" t="s">
        <v>278</v>
      </c>
      <c r="P1997" s="132"/>
      <c r="Q1997" s="33" t="s">
        <v>587</v>
      </c>
      <c r="R1997" s="132"/>
      <c r="S1997" s="33" t="s">
        <v>278</v>
      </c>
      <c r="T1997" s="132"/>
      <c r="U1997" s="33" t="s">
        <v>278</v>
      </c>
      <c r="V1997" s="132"/>
      <c r="W1997" s="59" t="s">
        <v>548</v>
      </c>
      <c r="X1997" s="33" t="str">
        <f>+VLOOKUP(OtherClients[[#This Row],[Part]],PartControl!$A$2:$E$564,5,FALSE)</f>
        <v>infasco</v>
      </c>
      <c r="Y1997" s="108">
        <f>IF(OtherClients[[#This Row],[Re-certified or New]]&lt;&gt;"Re-certified",IF(OtherClients[[#This Row],[Client]]="infasco",VLOOKUP(OtherClients[[#This Row],[Part]],PartControl!$A$2:$E$564,2,FALSE),OtherClients[[#This Row],[Total Quantity]]*VLOOKUP(OtherClients[[#This Row],[Part]],PartControl!$A$2:$E$564,2,FALSE)),0)</f>
        <v>106.94</v>
      </c>
      <c r="Z1997" s="108">
        <f>IF(OtherClients[[#This Row],[Re-certified or New]]&lt;&gt;"Re-certified",IF(OtherClients[[#This Row],[Client]]="infasco",VLOOKUP(OtherClients[[#This Row],[Part]],PartControl!$A$2:$E$564,2,FALSE),OtherClients[[#This Row],[Total Quantity]]*VLOOKUP(OtherClients[[#This Row],[Part]],PartControl!$A$2:$E$564,2,FALSE)),0)</f>
        <v>106.94</v>
      </c>
    </row>
    <row r="1998" spans="1:26" ht="25.15" hidden="1" customHeight="1" x14ac:dyDescent="0.25">
      <c r="A1998" s="112">
        <v>46262.694409722222</v>
      </c>
      <c r="B1998" s="5" t="s">
        <v>635</v>
      </c>
      <c r="C1998" s="5" t="s">
        <v>718</v>
      </c>
      <c r="D1998" s="5">
        <v>716901</v>
      </c>
      <c r="E1998" s="33">
        <f>32-10</f>
        <v>22</v>
      </c>
      <c r="F1998" s="60">
        <v>3500</v>
      </c>
      <c r="G1998" s="60">
        <f>+OtherClients[[#This Row],[Boxes / Pieces]]*OtherClients[[#This Row],[Unit Quantity]]</f>
        <v>77000</v>
      </c>
      <c r="H1998" s="60">
        <v>280</v>
      </c>
      <c r="I1998" s="130" t="s">
        <v>278</v>
      </c>
      <c r="J1998" s="131"/>
      <c r="K1998" s="33" t="s">
        <v>278</v>
      </c>
      <c r="L1998" s="132"/>
      <c r="M1998" s="33" t="s">
        <v>278</v>
      </c>
      <c r="N1998" s="132"/>
      <c r="O1998" s="33" t="s">
        <v>278</v>
      </c>
      <c r="P1998" s="132"/>
      <c r="Q1998" s="33" t="s">
        <v>587</v>
      </c>
      <c r="R1998" s="132"/>
      <c r="S1998" s="33" t="s">
        <v>278</v>
      </c>
      <c r="T1998" s="132"/>
      <c r="U1998" s="33" t="s">
        <v>278</v>
      </c>
      <c r="V1998" s="132"/>
      <c r="W1998" s="59" t="s">
        <v>633</v>
      </c>
      <c r="X1998" s="33" t="str">
        <f>+VLOOKUP(OtherClients[[#This Row],[Part]],PartControl!$A$2:$E$564,5,FALSE)</f>
        <v>infasco</v>
      </c>
      <c r="Y1998" s="108">
        <f>IF(OtherClients[[#This Row],[Re-certified or New]]&lt;&gt;"Re-certified",IF(OtherClients[[#This Row],[Client]]="infasco",VLOOKUP(OtherClients[[#This Row],[Part]],PartControl!$A$2:$E$564,2,FALSE),OtherClients[[#This Row],[Total Quantity]]*VLOOKUP(OtherClients[[#This Row],[Part]],PartControl!$A$2:$E$564,2,FALSE)),0)</f>
        <v>0</v>
      </c>
      <c r="Z1998" s="108">
        <f>IF(OtherClients[[#This Row],[Re-certified or New]]&lt;&gt;"Re-certified",IF(OtherClients[[#This Row],[Client]]="infasco",VLOOKUP(OtherClients[[#This Row],[Part]],PartControl!$A$2:$E$564,2,FALSE),OtherClients[[#This Row],[Total Quantity]]*VLOOKUP(OtherClients[[#This Row],[Part]],PartControl!$A$2:$E$564,2,FALSE)),0)</f>
        <v>0</v>
      </c>
    </row>
    <row r="1999" spans="1:26" ht="25.15" hidden="1" customHeight="1" x14ac:dyDescent="0.25">
      <c r="A1999" s="112">
        <v>46262.694409722222</v>
      </c>
      <c r="B1999" s="5" t="s">
        <v>636</v>
      </c>
      <c r="C1999" s="5" t="s">
        <v>703</v>
      </c>
      <c r="D1999" s="5">
        <v>717040</v>
      </c>
      <c r="E1999" s="33">
        <f>42-20</f>
        <v>22</v>
      </c>
      <c r="F1999" s="60">
        <v>700</v>
      </c>
      <c r="G1999" s="60">
        <f>+OtherClients[[#This Row],[Boxes / Pieces]]*OtherClients[[#This Row],[Unit Quantity]]</f>
        <v>15400</v>
      </c>
      <c r="H1999" s="60">
        <v>280</v>
      </c>
      <c r="I1999" s="130" t="s">
        <v>278</v>
      </c>
      <c r="J1999" s="131"/>
      <c r="K1999" s="33" t="s">
        <v>278</v>
      </c>
      <c r="L1999" s="132"/>
      <c r="M1999" s="33" t="s">
        <v>278</v>
      </c>
      <c r="N1999" s="132"/>
      <c r="O1999" s="33" t="s">
        <v>278</v>
      </c>
      <c r="P1999" s="132"/>
      <c r="Q1999" s="33" t="s">
        <v>587</v>
      </c>
      <c r="R1999" s="132"/>
      <c r="S1999" s="33" t="s">
        <v>278</v>
      </c>
      <c r="T1999" s="132"/>
      <c r="U1999" s="33" t="s">
        <v>278</v>
      </c>
      <c r="V1999" s="132"/>
      <c r="W1999" s="59" t="s">
        <v>548</v>
      </c>
      <c r="X1999" s="33" t="str">
        <f>+VLOOKUP(OtherClients[[#This Row],[Part]],PartControl!$A$2:$E$564,5,FALSE)</f>
        <v>infasco</v>
      </c>
      <c r="Y1999" s="108">
        <f>IF(OtherClients[[#This Row],[Re-certified or New]]&lt;&gt;"Re-certified",IF(OtherClients[[#This Row],[Client]]="infasco",VLOOKUP(OtherClients[[#This Row],[Part]],PartControl!$A$2:$E$564,2,FALSE),OtherClients[[#This Row],[Total Quantity]]*VLOOKUP(OtherClients[[#This Row],[Part]],PartControl!$A$2:$E$564,2,FALSE)),0)</f>
        <v>106.94</v>
      </c>
      <c r="Z1999" s="108">
        <f>IF(OtherClients[[#This Row],[Re-certified or New]]&lt;&gt;"Re-certified",IF(OtherClients[[#This Row],[Client]]="infasco",VLOOKUP(OtherClients[[#This Row],[Part]],PartControl!$A$2:$E$564,2,FALSE),OtherClients[[#This Row],[Total Quantity]]*VLOOKUP(OtherClients[[#This Row],[Part]],PartControl!$A$2:$E$564,2,FALSE)),0)</f>
        <v>106.94</v>
      </c>
    </row>
    <row r="2000" spans="1:26" ht="25.15" hidden="1" customHeight="1" x14ac:dyDescent="0.25">
      <c r="A2000" s="112">
        <v>46262.694409722222</v>
      </c>
      <c r="B2000" s="5" t="s">
        <v>636</v>
      </c>
      <c r="C2000" s="5">
        <v>11549168</v>
      </c>
      <c r="D2000" s="5">
        <v>716561</v>
      </c>
      <c r="E2000" s="33">
        <v>23</v>
      </c>
      <c r="F2000" s="60">
        <v>1000</v>
      </c>
      <c r="G2000" s="60">
        <f>+OtherClients[[#This Row],[Boxes / Pieces]]*OtherClients[[#This Row],[Unit Quantity]]</f>
        <v>23000</v>
      </c>
      <c r="H2000" s="60">
        <v>280</v>
      </c>
      <c r="I2000" s="130" t="s">
        <v>278</v>
      </c>
      <c r="J2000" s="131"/>
      <c r="K2000" s="33" t="s">
        <v>278</v>
      </c>
      <c r="L2000" s="132"/>
      <c r="M2000" s="33" t="s">
        <v>278</v>
      </c>
      <c r="N2000" s="132"/>
      <c r="O2000" s="33" t="s">
        <v>278</v>
      </c>
      <c r="P2000" s="132"/>
      <c r="Q2000" s="33" t="s">
        <v>587</v>
      </c>
      <c r="R2000" s="132"/>
      <c r="S2000" s="33" t="s">
        <v>278</v>
      </c>
      <c r="T2000" s="132"/>
      <c r="U2000" s="33" t="s">
        <v>278</v>
      </c>
      <c r="V2000" s="132"/>
      <c r="W2000" s="59" t="s">
        <v>633</v>
      </c>
      <c r="X2000" s="33" t="str">
        <f>+VLOOKUP(OtherClients[[#This Row],[Part]],PartControl!$A$2:$E$564,5,FALSE)</f>
        <v>INFASCO</v>
      </c>
      <c r="Y2000" s="108">
        <f>IF(OtherClients[[#This Row],[Re-certified or New]]&lt;&gt;"Re-certified",IF(OtherClients[[#This Row],[Client]]="infasco",VLOOKUP(OtherClients[[#This Row],[Part]],PartControl!$A$2:$E$564,2,FALSE),OtherClients[[#This Row],[Total Quantity]]*VLOOKUP(OtherClients[[#This Row],[Part]],PartControl!$A$2:$E$564,2,FALSE)),0)</f>
        <v>0</v>
      </c>
      <c r="Z2000" s="108">
        <f>IF(OtherClients[[#This Row],[Re-certified or New]]&lt;&gt;"Re-certified",IF(OtherClients[[#This Row],[Client]]="infasco",VLOOKUP(OtherClients[[#This Row],[Part]],PartControl!$A$2:$E$564,2,FALSE),OtherClients[[#This Row],[Total Quantity]]*VLOOKUP(OtherClients[[#This Row],[Part]],PartControl!$A$2:$E$564,2,FALSE)),0)</f>
        <v>0</v>
      </c>
    </row>
    <row r="2001" spans="1:26" ht="25.15" hidden="1" customHeight="1" x14ac:dyDescent="0.25">
      <c r="A2001" s="112">
        <v>46262.694409722222</v>
      </c>
      <c r="B2001" s="5" t="s">
        <v>637</v>
      </c>
      <c r="C2001" s="5">
        <v>11561645</v>
      </c>
      <c r="D2001" s="5">
        <v>716907</v>
      </c>
      <c r="E2001" s="33">
        <f>28-20</f>
        <v>8</v>
      </c>
      <c r="F2001" s="60">
        <v>4000</v>
      </c>
      <c r="G2001" s="60">
        <f>+OtherClients[[#This Row],[Boxes / Pieces]]*OtherClients[[#This Row],[Unit Quantity]]</f>
        <v>32000</v>
      </c>
      <c r="H2001" s="60">
        <v>280</v>
      </c>
      <c r="I2001" s="130" t="s">
        <v>278</v>
      </c>
      <c r="J2001" s="131"/>
      <c r="K2001" s="33" t="s">
        <v>278</v>
      </c>
      <c r="L2001" s="132"/>
      <c r="M2001" s="33" t="s">
        <v>278</v>
      </c>
      <c r="N2001" s="132"/>
      <c r="O2001" s="33" t="s">
        <v>278</v>
      </c>
      <c r="P2001" s="132"/>
      <c r="Q2001" s="33" t="s">
        <v>587</v>
      </c>
      <c r="R2001" s="132"/>
      <c r="S2001" s="33" t="s">
        <v>278</v>
      </c>
      <c r="T2001" s="132"/>
      <c r="U2001" s="33" t="s">
        <v>278</v>
      </c>
      <c r="V2001" s="132"/>
      <c r="W2001" s="59" t="s">
        <v>548</v>
      </c>
      <c r="X2001" s="33" t="str">
        <f>+VLOOKUP(OtherClients[[#This Row],[Part]],PartControl!$A$2:$E$564,5,FALSE)</f>
        <v>infasco</v>
      </c>
      <c r="Y2001" s="108">
        <f>IF(OtherClients[[#This Row],[Re-certified or New]]&lt;&gt;"Re-certified",IF(OtherClients[[#This Row],[Client]]="infasco",VLOOKUP(OtherClients[[#This Row],[Part]],PartControl!$A$2:$E$564,2,FALSE),OtherClients[[#This Row],[Total Quantity]]*VLOOKUP(OtherClients[[#This Row],[Part]],PartControl!$A$2:$E$564,2,FALSE)),0)</f>
        <v>106.94</v>
      </c>
      <c r="Z2001" s="108">
        <f>IF(OtherClients[[#This Row],[Re-certified or New]]&lt;&gt;"Re-certified",IF(OtherClients[[#This Row],[Client]]="infasco",VLOOKUP(OtherClients[[#This Row],[Part]],PartControl!$A$2:$E$564,2,FALSE),OtherClients[[#This Row],[Total Quantity]]*VLOOKUP(OtherClients[[#This Row],[Part]],PartControl!$A$2:$E$564,2,FALSE)),0)</f>
        <v>106.94</v>
      </c>
    </row>
    <row r="2002" spans="1:26" ht="25.15" hidden="1" customHeight="1" x14ac:dyDescent="0.25">
      <c r="A2002" s="112">
        <v>46262.694409722222</v>
      </c>
      <c r="B2002" s="5" t="s">
        <v>637</v>
      </c>
      <c r="C2002" s="5">
        <v>11549168</v>
      </c>
      <c r="D2002" s="5">
        <v>716232</v>
      </c>
      <c r="E2002" s="33">
        <v>36</v>
      </c>
      <c r="F2002" s="60">
        <v>1000</v>
      </c>
      <c r="G2002" s="60">
        <f>+OtherClients[[#This Row],[Boxes / Pieces]]*OtherClients[[#This Row],[Unit Quantity]]</f>
        <v>36000</v>
      </c>
      <c r="H2002" s="60">
        <v>280</v>
      </c>
      <c r="I2002" s="130" t="s">
        <v>278</v>
      </c>
      <c r="J2002" s="131"/>
      <c r="K2002" s="33" t="s">
        <v>278</v>
      </c>
      <c r="L2002" s="132"/>
      <c r="M2002" s="33" t="s">
        <v>278</v>
      </c>
      <c r="N2002" s="132"/>
      <c r="O2002" s="33" t="s">
        <v>278</v>
      </c>
      <c r="P2002" s="132"/>
      <c r="Q2002" s="33" t="s">
        <v>587</v>
      </c>
      <c r="R2002" s="132"/>
      <c r="S2002" s="33" t="s">
        <v>278</v>
      </c>
      <c r="T2002" s="132"/>
      <c r="U2002" s="33" t="s">
        <v>278</v>
      </c>
      <c r="V2002" s="132"/>
      <c r="W2002" s="59" t="s">
        <v>548</v>
      </c>
      <c r="X2002" s="33" t="str">
        <f>+VLOOKUP(OtherClients[[#This Row],[Part]],PartControl!$A$2:$E$564,5,FALSE)</f>
        <v>INFASCO</v>
      </c>
      <c r="Y2002" s="108">
        <f>IF(OtherClients[[#This Row],[Re-certified or New]]&lt;&gt;"Re-certified",IF(OtherClients[[#This Row],[Client]]="infasco",VLOOKUP(OtherClients[[#This Row],[Part]],PartControl!$A$2:$E$564,2,FALSE),OtherClients[[#This Row],[Total Quantity]]*VLOOKUP(OtherClients[[#This Row],[Part]],PartControl!$A$2:$E$564,2,FALSE)),0)</f>
        <v>106.94</v>
      </c>
      <c r="Z2002" s="108">
        <f>IF(OtherClients[[#This Row],[Re-certified or New]]&lt;&gt;"Re-certified",IF(OtherClients[[#This Row],[Client]]="infasco",VLOOKUP(OtherClients[[#This Row],[Part]],PartControl!$A$2:$E$564,2,FALSE),OtherClients[[#This Row],[Total Quantity]]*VLOOKUP(OtherClients[[#This Row],[Part]],PartControl!$A$2:$E$564,2,FALSE)),0)</f>
        <v>106.94</v>
      </c>
    </row>
    <row r="2003" spans="1:26" ht="25.15" hidden="1" customHeight="1" x14ac:dyDescent="0.25">
      <c r="A2003" s="112">
        <v>46262.694409722222</v>
      </c>
      <c r="B2003" s="5" t="s">
        <v>637</v>
      </c>
      <c r="C2003" s="5">
        <v>11549168</v>
      </c>
      <c r="D2003" s="5">
        <v>716550</v>
      </c>
      <c r="E2003" s="33">
        <v>31</v>
      </c>
      <c r="F2003" s="60">
        <v>1000</v>
      </c>
      <c r="G2003" s="60">
        <f>+OtherClients[[#This Row],[Boxes / Pieces]]*OtherClients[[#This Row],[Unit Quantity]]</f>
        <v>31000</v>
      </c>
      <c r="H2003" s="60">
        <v>280</v>
      </c>
      <c r="I2003" s="130" t="s">
        <v>278</v>
      </c>
      <c r="J2003" s="131"/>
      <c r="K2003" s="33" t="s">
        <v>278</v>
      </c>
      <c r="L2003" s="132"/>
      <c r="M2003" s="33" t="s">
        <v>278</v>
      </c>
      <c r="N2003" s="132"/>
      <c r="O2003" s="33" t="s">
        <v>278</v>
      </c>
      <c r="P2003" s="132"/>
      <c r="Q2003" s="33" t="s">
        <v>587</v>
      </c>
      <c r="R2003" s="132"/>
      <c r="S2003" s="33" t="s">
        <v>278</v>
      </c>
      <c r="T2003" s="132"/>
      <c r="U2003" s="33" t="s">
        <v>278</v>
      </c>
      <c r="V2003" s="132"/>
      <c r="W2003" s="59" t="s">
        <v>548</v>
      </c>
      <c r="X2003" s="33" t="str">
        <f>+VLOOKUP(OtherClients[[#This Row],[Part]],PartControl!$A$2:$E$564,5,FALSE)</f>
        <v>INFASCO</v>
      </c>
      <c r="Y2003" s="108">
        <f>IF(OtherClients[[#This Row],[Re-certified or New]]&lt;&gt;"Re-certified",IF(OtherClients[[#This Row],[Client]]="infasco",VLOOKUP(OtherClients[[#This Row],[Part]],PartControl!$A$2:$E$564,2,FALSE),OtherClients[[#This Row],[Total Quantity]]*VLOOKUP(OtherClients[[#This Row],[Part]],PartControl!$A$2:$E$564,2,FALSE)),0)</f>
        <v>106.94</v>
      </c>
      <c r="Z2003" s="108">
        <f>IF(OtherClients[[#This Row],[Re-certified or New]]&lt;&gt;"Re-certified",IF(OtherClients[[#This Row],[Client]]="infasco",VLOOKUP(OtherClients[[#This Row],[Part]],PartControl!$A$2:$E$564,2,FALSE),OtherClients[[#This Row],[Total Quantity]]*VLOOKUP(OtherClients[[#This Row],[Part]],PartControl!$A$2:$E$564,2,FALSE)),0)</f>
        <v>106.94</v>
      </c>
    </row>
    <row r="2004" spans="1:26" ht="25.15" hidden="1" customHeight="1" x14ac:dyDescent="0.25">
      <c r="A2004" s="112">
        <v>46262.694409722222</v>
      </c>
      <c r="B2004" s="5" t="s">
        <v>634</v>
      </c>
      <c r="C2004" s="5" t="s">
        <v>848</v>
      </c>
      <c r="D2004" s="5">
        <v>716775</v>
      </c>
      <c r="E2004" s="33">
        <f>22-7</f>
        <v>15</v>
      </c>
      <c r="F2004" s="60">
        <v>3200</v>
      </c>
      <c r="G2004" s="60">
        <f>+OtherClients[[#This Row],[Boxes / Pieces]]*OtherClients[[#This Row],[Unit Quantity]]</f>
        <v>48000</v>
      </c>
      <c r="H2004" s="60">
        <v>280</v>
      </c>
      <c r="I2004" s="130" t="s">
        <v>278</v>
      </c>
      <c r="J2004" s="131"/>
      <c r="K2004" s="33" t="s">
        <v>278</v>
      </c>
      <c r="L2004" s="132"/>
      <c r="M2004" s="33" t="s">
        <v>278</v>
      </c>
      <c r="N2004" s="132"/>
      <c r="O2004" s="33" t="s">
        <v>278</v>
      </c>
      <c r="P2004" s="132"/>
      <c r="Q2004" s="33" t="s">
        <v>587</v>
      </c>
      <c r="R2004" s="132"/>
      <c r="S2004" s="33" t="s">
        <v>278</v>
      </c>
      <c r="T2004" s="132"/>
      <c r="U2004" s="33" t="s">
        <v>278</v>
      </c>
      <c r="V2004" s="132"/>
      <c r="W2004" s="59" t="s">
        <v>633</v>
      </c>
      <c r="X2004" s="33" t="str">
        <f>+VLOOKUP(OtherClients[[#This Row],[Part]],PartControl!$A$2:$E$564,5,FALSE)</f>
        <v>infasco</v>
      </c>
      <c r="Y2004" s="108">
        <f>IF(OtherClients[[#This Row],[Re-certified or New]]&lt;&gt;"Re-certified",IF(OtherClients[[#This Row],[Client]]="infasco",VLOOKUP(OtherClients[[#This Row],[Part]],PartControl!$A$2:$E$564,2,FALSE),OtherClients[[#This Row],[Total Quantity]]*VLOOKUP(OtherClients[[#This Row],[Part]],PartControl!$A$2:$E$564,2,FALSE)),0)</f>
        <v>0</v>
      </c>
      <c r="Z2004" s="108">
        <f>IF(OtherClients[[#This Row],[Re-certified or New]]&lt;&gt;"Re-certified",IF(OtherClients[[#This Row],[Client]]="infasco",VLOOKUP(OtherClients[[#This Row],[Part]],PartControl!$A$2:$E$564,2,FALSE),OtherClients[[#This Row],[Total Quantity]]*VLOOKUP(OtherClients[[#This Row],[Part]],PartControl!$A$2:$E$564,2,FALSE)),0)</f>
        <v>0</v>
      </c>
    </row>
    <row r="2005" spans="1:26" ht="25.15" hidden="1" customHeight="1" x14ac:dyDescent="0.25">
      <c r="A2005" s="112">
        <v>46262.694409722222</v>
      </c>
      <c r="B2005" s="5" t="s">
        <v>834</v>
      </c>
      <c r="C2005" s="5" t="s">
        <v>719</v>
      </c>
      <c r="D2005" s="5">
        <v>717697</v>
      </c>
      <c r="E2005" s="33">
        <f>36-9</f>
        <v>27</v>
      </c>
      <c r="F2005" s="60">
        <v>2150</v>
      </c>
      <c r="G2005" s="60">
        <f>+OtherClients[[#This Row],[Boxes / Pieces]]*OtherClients[[#This Row],[Unit Quantity]]</f>
        <v>58050</v>
      </c>
      <c r="H2005" s="60">
        <v>280</v>
      </c>
      <c r="I2005" s="130" t="s">
        <v>278</v>
      </c>
      <c r="J2005" s="131"/>
      <c r="K2005" s="33" t="s">
        <v>278</v>
      </c>
      <c r="L2005" s="132"/>
      <c r="M2005" s="33" t="s">
        <v>278</v>
      </c>
      <c r="N2005" s="132"/>
      <c r="O2005" s="33" t="s">
        <v>278</v>
      </c>
      <c r="P2005" s="132"/>
      <c r="Q2005" s="33" t="s">
        <v>587</v>
      </c>
      <c r="R2005" s="132"/>
      <c r="S2005" s="33" t="s">
        <v>278</v>
      </c>
      <c r="T2005" s="132"/>
      <c r="U2005" s="33" t="s">
        <v>278</v>
      </c>
      <c r="V2005" s="132"/>
      <c r="W2005" s="59" t="s">
        <v>548</v>
      </c>
      <c r="X2005" s="33" t="str">
        <f>+VLOOKUP(OtherClients[[#This Row],[Part]],PartControl!$A$2:$E$564,5,FALSE)</f>
        <v>infasco</v>
      </c>
      <c r="Y2005" s="108">
        <f>IF(OtherClients[[#This Row],[Re-certified or New]]&lt;&gt;"Re-certified",IF(OtherClients[[#This Row],[Client]]="infasco",VLOOKUP(OtherClients[[#This Row],[Part]],PartControl!$A$2:$E$564,2,FALSE),OtherClients[[#This Row],[Total Quantity]]*VLOOKUP(OtherClients[[#This Row],[Part]],PartControl!$A$2:$E$564,2,FALSE)),0)</f>
        <v>106.94</v>
      </c>
      <c r="Z2005" s="108">
        <f>IF(OtherClients[[#This Row],[Re-certified or New]]&lt;&gt;"Re-certified",IF(OtherClients[[#This Row],[Client]]="infasco",VLOOKUP(OtherClients[[#This Row],[Part]],PartControl!$A$2:$E$564,2,FALSE),OtherClients[[#This Row],[Total Quantity]]*VLOOKUP(OtherClients[[#This Row],[Part]],PartControl!$A$2:$E$564,2,FALSE)),0)</f>
        <v>106.94</v>
      </c>
    </row>
    <row r="2006" spans="1:26" ht="25.15" hidden="1" customHeight="1" x14ac:dyDescent="0.25">
      <c r="A2006" s="112">
        <v>46262.694409722222</v>
      </c>
      <c r="B2006" s="5" t="s">
        <v>357</v>
      </c>
      <c r="C2006" s="5">
        <v>11546448</v>
      </c>
      <c r="D2006" s="5">
        <v>716855</v>
      </c>
      <c r="E2006" s="33">
        <f>36-27</f>
        <v>9</v>
      </c>
      <c r="F2006" s="60">
        <v>3300</v>
      </c>
      <c r="G2006" s="60">
        <f>+OtherClients[[#This Row],[Boxes / Pieces]]*OtherClients[[#This Row],[Unit Quantity]]</f>
        <v>29700</v>
      </c>
      <c r="H2006" s="60">
        <v>280</v>
      </c>
      <c r="I2006" s="130" t="s">
        <v>278</v>
      </c>
      <c r="J2006" s="131"/>
      <c r="K2006" s="33" t="s">
        <v>278</v>
      </c>
      <c r="L2006" s="132"/>
      <c r="M2006" s="33" t="s">
        <v>278</v>
      </c>
      <c r="N2006" s="132"/>
      <c r="O2006" s="33" t="s">
        <v>278</v>
      </c>
      <c r="P2006" s="132"/>
      <c r="Q2006" s="33" t="s">
        <v>587</v>
      </c>
      <c r="R2006" s="132"/>
      <c r="S2006" s="33" t="s">
        <v>278</v>
      </c>
      <c r="T2006" s="132"/>
      <c r="U2006" s="33" t="s">
        <v>278</v>
      </c>
      <c r="V2006" s="132"/>
      <c r="W2006" s="59" t="s">
        <v>548</v>
      </c>
      <c r="X2006" s="33" t="str">
        <f>+VLOOKUP(OtherClients[[#This Row],[Part]],PartControl!$A$2:$E$564,5,FALSE)</f>
        <v>Infasco</v>
      </c>
      <c r="Y2006" s="108">
        <f>IF(OtherClients[[#This Row],[Re-certified or New]]&lt;&gt;"Re-certified",IF(OtherClients[[#This Row],[Client]]="infasco",VLOOKUP(OtherClients[[#This Row],[Part]],PartControl!$A$2:$E$564,2,FALSE),OtherClients[[#This Row],[Total Quantity]]*VLOOKUP(OtherClients[[#This Row],[Part]],PartControl!$A$2:$E$564,2,FALSE)),0)</f>
        <v>106.94</v>
      </c>
      <c r="Z2006" s="108">
        <f>IF(OtherClients[[#This Row],[Re-certified or New]]&lt;&gt;"Re-certified",IF(OtherClients[[#This Row],[Client]]="infasco",VLOOKUP(OtherClients[[#This Row],[Part]],PartControl!$A$2:$E$564,2,FALSE),OtherClients[[#This Row],[Total Quantity]]*VLOOKUP(OtherClients[[#This Row],[Part]],PartControl!$A$2:$E$564,2,FALSE)),0)</f>
        <v>106.94</v>
      </c>
    </row>
    <row r="2007" spans="1:26" ht="25.15" hidden="1" customHeight="1" x14ac:dyDescent="0.25">
      <c r="A2007" s="112">
        <v>46262.694409722222</v>
      </c>
      <c r="B2007" s="5" t="s">
        <v>357</v>
      </c>
      <c r="C2007" s="5" t="s">
        <v>897</v>
      </c>
      <c r="D2007" s="5">
        <v>717137</v>
      </c>
      <c r="E2007" s="33">
        <v>28</v>
      </c>
      <c r="F2007" s="60">
        <v>2500</v>
      </c>
      <c r="G2007" s="60">
        <f>+OtherClients[[#This Row],[Boxes / Pieces]]*OtherClients[[#This Row],[Unit Quantity]]</f>
        <v>70000</v>
      </c>
      <c r="H2007" s="60">
        <v>280</v>
      </c>
      <c r="I2007" s="130" t="s">
        <v>278</v>
      </c>
      <c r="J2007" s="131"/>
      <c r="K2007" s="33" t="s">
        <v>278</v>
      </c>
      <c r="L2007" s="132"/>
      <c r="M2007" s="33" t="s">
        <v>278</v>
      </c>
      <c r="N2007" s="132"/>
      <c r="O2007" s="33" t="s">
        <v>278</v>
      </c>
      <c r="P2007" s="132"/>
      <c r="Q2007" s="33" t="s">
        <v>587</v>
      </c>
      <c r="R2007" s="132"/>
      <c r="S2007" s="33" t="s">
        <v>278</v>
      </c>
      <c r="T2007" s="132"/>
      <c r="U2007" s="33" t="s">
        <v>278</v>
      </c>
      <c r="V2007" s="132"/>
      <c r="W2007" s="59" t="s">
        <v>548</v>
      </c>
      <c r="X2007" s="33" t="str">
        <f>+VLOOKUP(OtherClients[[#This Row],[Part]],PartControl!$A$2:$E$564,5,FALSE)</f>
        <v>infasco</v>
      </c>
      <c r="Y2007" s="108">
        <f>IF(OtherClients[[#This Row],[Re-certified or New]]&lt;&gt;"Re-certified",IF(OtherClients[[#This Row],[Client]]="infasco",VLOOKUP(OtherClients[[#This Row],[Part]],PartControl!$A$2:$E$564,2,FALSE),OtherClients[[#This Row],[Total Quantity]]*VLOOKUP(OtherClients[[#This Row],[Part]],PartControl!$A$2:$E$564,2,FALSE)),0)</f>
        <v>106.94</v>
      </c>
      <c r="Z2007" s="108">
        <f>IF(OtherClients[[#This Row],[Re-certified or New]]&lt;&gt;"Re-certified",IF(OtherClients[[#This Row],[Client]]="infasco",VLOOKUP(OtherClients[[#This Row],[Part]],PartControl!$A$2:$E$564,2,FALSE),OtherClients[[#This Row],[Total Quantity]]*VLOOKUP(OtherClients[[#This Row],[Part]],PartControl!$A$2:$E$564,2,FALSE)),0)</f>
        <v>106.94</v>
      </c>
    </row>
    <row r="2008" spans="1:26" ht="25.15" hidden="1" customHeight="1" x14ac:dyDescent="0.25">
      <c r="A2008" s="112">
        <v>46262.694409722222</v>
      </c>
      <c r="B2008" s="5" t="s">
        <v>342</v>
      </c>
      <c r="C2008" s="5" t="s">
        <v>687</v>
      </c>
      <c r="D2008" s="5">
        <v>717213</v>
      </c>
      <c r="E2008" s="33">
        <v>35</v>
      </c>
      <c r="F2008" s="60">
        <v>280</v>
      </c>
      <c r="G2008" s="60">
        <f>+OtherClients[[#This Row],[Boxes / Pieces]]*OtherClients[[#This Row],[Unit Quantity]]</f>
        <v>9800</v>
      </c>
      <c r="H2008" s="60" t="s">
        <v>893</v>
      </c>
      <c r="I2008" s="130" t="s">
        <v>278</v>
      </c>
      <c r="J2008" s="131"/>
      <c r="K2008" s="33" t="s">
        <v>278</v>
      </c>
      <c r="L2008" s="132"/>
      <c r="M2008" s="33" t="s">
        <v>278</v>
      </c>
      <c r="N2008" s="132"/>
      <c r="O2008" s="33" t="s">
        <v>278</v>
      </c>
      <c r="P2008" s="132"/>
      <c r="Q2008" s="33" t="s">
        <v>587</v>
      </c>
      <c r="R2008" s="132"/>
      <c r="S2008" s="33" t="s">
        <v>278</v>
      </c>
      <c r="T2008" s="132"/>
      <c r="U2008" s="33" t="s">
        <v>278</v>
      </c>
      <c r="V2008" s="132"/>
      <c r="W2008" s="59" t="s">
        <v>548</v>
      </c>
      <c r="X2008" s="33" t="str">
        <f>+VLOOKUP(OtherClients[[#This Row],[Part]],PartControl!$A$2:$E$564,5,FALSE)</f>
        <v>infasco</v>
      </c>
      <c r="Y2008" s="108">
        <f>IF(OtherClients[[#This Row],[Re-certified or New]]&lt;&gt;"Re-certified",IF(OtherClients[[#This Row],[Client]]="infasco",VLOOKUP(OtherClients[[#This Row],[Part]],PartControl!$A$2:$E$564,2,FALSE),OtherClients[[#This Row],[Total Quantity]]*VLOOKUP(OtherClients[[#This Row],[Part]],PartControl!$A$2:$E$564,2,FALSE)),0)</f>
        <v>106.94</v>
      </c>
      <c r="Z2008" s="108">
        <f>IF(OtherClients[[#This Row],[Re-certified or New]]&lt;&gt;"Re-certified",IF(OtherClients[[#This Row],[Client]]="infasco",VLOOKUP(OtherClients[[#This Row],[Part]],PartControl!$A$2:$E$564,2,FALSE),OtherClients[[#This Row],[Total Quantity]]*VLOOKUP(OtherClients[[#This Row],[Part]],PartControl!$A$2:$E$564,2,FALSE)),0)</f>
        <v>106.94</v>
      </c>
    </row>
    <row r="2009" spans="1:26" ht="25.15" hidden="1" customHeight="1" x14ac:dyDescent="0.25">
      <c r="A2009" s="112">
        <v>46262.694409722222</v>
      </c>
      <c r="B2009" s="5" t="s">
        <v>342</v>
      </c>
      <c r="C2009" s="5" t="s">
        <v>880</v>
      </c>
      <c r="D2009" s="5">
        <v>716324</v>
      </c>
      <c r="E2009" s="33">
        <v>36</v>
      </c>
      <c r="F2009" s="60">
        <v>120</v>
      </c>
      <c r="G2009" s="60">
        <f>+OtherClients[[#This Row],[Boxes / Pieces]]*OtherClients[[#This Row],[Unit Quantity]]</f>
        <v>4320</v>
      </c>
      <c r="H2009" s="60" t="s">
        <v>893</v>
      </c>
      <c r="I2009" s="130" t="s">
        <v>278</v>
      </c>
      <c r="J2009" s="131"/>
      <c r="K2009" s="33" t="s">
        <v>278</v>
      </c>
      <c r="L2009" s="132"/>
      <c r="M2009" s="33" t="s">
        <v>278</v>
      </c>
      <c r="N2009" s="132"/>
      <c r="O2009" s="33" t="s">
        <v>278</v>
      </c>
      <c r="P2009" s="132"/>
      <c r="Q2009" s="33" t="s">
        <v>587</v>
      </c>
      <c r="R2009" s="132"/>
      <c r="S2009" s="33" t="s">
        <v>278</v>
      </c>
      <c r="T2009" s="132"/>
      <c r="U2009" s="33" t="s">
        <v>278</v>
      </c>
      <c r="V2009" s="132"/>
      <c r="W2009" s="59" t="s">
        <v>548</v>
      </c>
      <c r="X2009" s="33" t="str">
        <f>+VLOOKUP(OtherClients[[#This Row],[Part]],PartControl!$A$2:$E$564,5,FALSE)</f>
        <v>infasco</v>
      </c>
      <c r="Y2009" s="108">
        <f>IF(OtherClients[[#This Row],[Re-certified or New]]&lt;&gt;"Re-certified",IF(OtherClients[[#This Row],[Client]]="infasco",VLOOKUP(OtherClients[[#This Row],[Part]],PartControl!$A$2:$E$564,2,FALSE),OtherClients[[#This Row],[Total Quantity]]*VLOOKUP(OtherClients[[#This Row],[Part]],PartControl!$A$2:$E$564,2,FALSE)),0)</f>
        <v>106.94</v>
      </c>
      <c r="Z2009" s="108">
        <f>IF(OtherClients[[#This Row],[Re-certified or New]]&lt;&gt;"Re-certified",IF(OtherClients[[#This Row],[Client]]="infasco",VLOOKUP(OtherClients[[#This Row],[Part]],PartControl!$A$2:$E$564,2,FALSE),OtherClients[[#This Row],[Total Quantity]]*VLOOKUP(OtherClients[[#This Row],[Part]],PartControl!$A$2:$E$564,2,FALSE)),0)</f>
        <v>106.94</v>
      </c>
    </row>
    <row r="2010" spans="1:26" ht="25.15" hidden="1" customHeight="1" x14ac:dyDescent="0.25">
      <c r="A2010" s="112">
        <v>46262.694409722222</v>
      </c>
      <c r="B2010" s="5" t="s">
        <v>342</v>
      </c>
      <c r="C2010" s="5" t="s">
        <v>880</v>
      </c>
      <c r="D2010" s="5">
        <v>716317</v>
      </c>
      <c r="E2010" s="33">
        <v>36</v>
      </c>
      <c r="F2010" s="60">
        <v>120</v>
      </c>
      <c r="G2010" s="60">
        <f>+OtherClients[[#This Row],[Boxes / Pieces]]*OtherClients[[#This Row],[Unit Quantity]]</f>
        <v>4320</v>
      </c>
      <c r="H2010" s="60" t="s">
        <v>893</v>
      </c>
      <c r="I2010" s="130" t="s">
        <v>278</v>
      </c>
      <c r="J2010" s="131"/>
      <c r="K2010" s="33" t="s">
        <v>278</v>
      </c>
      <c r="L2010" s="132"/>
      <c r="M2010" s="33" t="s">
        <v>278</v>
      </c>
      <c r="N2010" s="132"/>
      <c r="O2010" s="33" t="s">
        <v>278</v>
      </c>
      <c r="P2010" s="132"/>
      <c r="Q2010" s="33" t="s">
        <v>587</v>
      </c>
      <c r="R2010" s="132"/>
      <c r="S2010" s="33" t="s">
        <v>278</v>
      </c>
      <c r="T2010" s="132"/>
      <c r="U2010" s="33" t="s">
        <v>278</v>
      </c>
      <c r="V2010" s="132"/>
      <c r="W2010" s="59" t="s">
        <v>548</v>
      </c>
      <c r="X2010" s="33" t="str">
        <f>+VLOOKUP(OtherClients[[#This Row],[Part]],PartControl!$A$2:$E$564,5,FALSE)</f>
        <v>infasco</v>
      </c>
      <c r="Y2010" s="108">
        <f>IF(OtherClients[[#This Row],[Re-certified or New]]&lt;&gt;"Re-certified",IF(OtherClients[[#This Row],[Client]]="infasco",VLOOKUP(OtherClients[[#This Row],[Part]],PartControl!$A$2:$E$564,2,FALSE),OtherClients[[#This Row],[Total Quantity]]*VLOOKUP(OtherClients[[#This Row],[Part]],PartControl!$A$2:$E$564,2,FALSE)),0)</f>
        <v>106.94</v>
      </c>
      <c r="Z2010" s="108">
        <f>IF(OtherClients[[#This Row],[Re-certified or New]]&lt;&gt;"Re-certified",IF(OtherClients[[#This Row],[Client]]="infasco",VLOOKUP(OtherClients[[#This Row],[Part]],PartControl!$A$2:$E$564,2,FALSE),OtherClients[[#This Row],[Total Quantity]]*VLOOKUP(OtherClients[[#This Row],[Part]],PartControl!$A$2:$E$564,2,FALSE)),0)</f>
        <v>106.94</v>
      </c>
    </row>
    <row r="2011" spans="1:26" ht="25.15" hidden="1" customHeight="1" x14ac:dyDescent="0.25">
      <c r="A2011" s="112">
        <v>46262.694409722222</v>
      </c>
      <c r="B2011" s="5" t="s">
        <v>342</v>
      </c>
      <c r="C2011" s="5" t="s">
        <v>880</v>
      </c>
      <c r="D2011" s="5">
        <v>716318</v>
      </c>
      <c r="E2011" s="33">
        <v>39</v>
      </c>
      <c r="F2011" s="60">
        <v>120</v>
      </c>
      <c r="G2011" s="60">
        <f>+OtherClients[[#This Row],[Boxes / Pieces]]*OtherClients[[#This Row],[Unit Quantity]]</f>
        <v>4680</v>
      </c>
      <c r="H2011" s="60" t="s">
        <v>893</v>
      </c>
      <c r="I2011" s="130" t="s">
        <v>278</v>
      </c>
      <c r="J2011" s="131"/>
      <c r="K2011" s="33" t="s">
        <v>278</v>
      </c>
      <c r="L2011" s="132"/>
      <c r="M2011" s="33" t="s">
        <v>278</v>
      </c>
      <c r="N2011" s="132"/>
      <c r="O2011" s="33" t="s">
        <v>278</v>
      </c>
      <c r="P2011" s="132"/>
      <c r="Q2011" s="33" t="s">
        <v>587</v>
      </c>
      <c r="R2011" s="132"/>
      <c r="S2011" s="33" t="s">
        <v>278</v>
      </c>
      <c r="T2011" s="132"/>
      <c r="U2011" s="33" t="s">
        <v>278</v>
      </c>
      <c r="V2011" s="132"/>
      <c r="W2011" s="59" t="s">
        <v>548</v>
      </c>
      <c r="X2011" s="33" t="str">
        <f>+VLOOKUP(OtherClients[[#This Row],[Part]],PartControl!$A$2:$E$564,5,FALSE)</f>
        <v>infasco</v>
      </c>
      <c r="Y2011" s="108">
        <f>IF(OtherClients[[#This Row],[Re-certified or New]]&lt;&gt;"Re-certified",IF(OtherClients[[#This Row],[Client]]="infasco",VLOOKUP(OtherClients[[#This Row],[Part]],PartControl!$A$2:$E$564,2,FALSE),OtherClients[[#This Row],[Total Quantity]]*VLOOKUP(OtherClients[[#This Row],[Part]],PartControl!$A$2:$E$564,2,FALSE)),0)</f>
        <v>106.94</v>
      </c>
      <c r="Z2011" s="108">
        <f>IF(OtherClients[[#This Row],[Re-certified or New]]&lt;&gt;"Re-certified",IF(OtherClients[[#This Row],[Client]]="infasco",VLOOKUP(OtherClients[[#This Row],[Part]],PartControl!$A$2:$E$564,2,FALSE),OtherClients[[#This Row],[Total Quantity]]*VLOOKUP(OtherClients[[#This Row],[Part]],PartControl!$A$2:$E$564,2,FALSE)),0)</f>
        <v>106.94</v>
      </c>
    </row>
    <row r="2012" spans="1:26" ht="25.15" hidden="1" customHeight="1" x14ac:dyDescent="0.25">
      <c r="A2012" s="112">
        <v>46262.694409722222</v>
      </c>
      <c r="B2012" s="5" t="s">
        <v>342</v>
      </c>
      <c r="C2012" s="5" t="s">
        <v>853</v>
      </c>
      <c r="D2012" s="5">
        <v>717239</v>
      </c>
      <c r="E2012" s="33">
        <v>1</v>
      </c>
      <c r="F2012" s="60">
        <v>10000</v>
      </c>
      <c r="G2012" s="60">
        <f>+OtherClients[[#This Row],[Boxes / Pieces]]*OtherClients[[#This Row],[Unit Quantity]]</f>
        <v>10000</v>
      </c>
      <c r="H2012" s="60" t="s">
        <v>893</v>
      </c>
      <c r="I2012" s="130" t="s">
        <v>278</v>
      </c>
      <c r="J2012" s="131"/>
      <c r="K2012" s="33" t="s">
        <v>278</v>
      </c>
      <c r="L2012" s="132"/>
      <c r="M2012" s="33" t="s">
        <v>278</v>
      </c>
      <c r="N2012" s="132"/>
      <c r="O2012" s="33" t="s">
        <v>278</v>
      </c>
      <c r="P2012" s="132"/>
      <c r="Q2012" s="33" t="s">
        <v>587</v>
      </c>
      <c r="R2012" s="132"/>
      <c r="S2012" s="33" t="s">
        <v>278</v>
      </c>
      <c r="T2012" s="132"/>
      <c r="U2012" s="33" t="s">
        <v>278</v>
      </c>
      <c r="V2012" s="132"/>
      <c r="W2012" s="59" t="s">
        <v>548</v>
      </c>
      <c r="X2012" s="33" t="str">
        <f>+VLOOKUP(OtherClients[[#This Row],[Part]],PartControl!$A$2:$E$564,5,FALSE)</f>
        <v>Infasco</v>
      </c>
      <c r="Y2012" s="108">
        <f>IF(OtherClients[[#This Row],[Re-certified or New]]&lt;&gt;"Re-certified",IF(OtherClients[[#This Row],[Client]]="infasco",VLOOKUP(OtherClients[[#This Row],[Part]],PartControl!$A$2:$E$564,2,FALSE),OtherClients[[#This Row],[Total Quantity]]*VLOOKUP(OtherClients[[#This Row],[Part]],PartControl!$A$2:$E$564,2,FALSE)),0)</f>
        <v>129.44999999999999</v>
      </c>
      <c r="Z2012" s="108">
        <f>IF(OtherClients[[#This Row],[Re-certified or New]]&lt;&gt;"Re-certified",IF(OtherClients[[#This Row],[Client]]="infasco",VLOOKUP(OtherClients[[#This Row],[Part]],PartControl!$A$2:$E$564,2,FALSE),OtherClients[[#This Row],[Total Quantity]]*VLOOKUP(OtherClients[[#This Row],[Part]],PartControl!$A$2:$E$564,2,FALSE)),0)</f>
        <v>129.44999999999999</v>
      </c>
    </row>
    <row r="2013" spans="1:26" ht="25.15" hidden="1" customHeight="1" x14ac:dyDescent="0.25">
      <c r="A2013" s="112">
        <v>46262.694409722222</v>
      </c>
      <c r="B2013" s="5" t="s">
        <v>342</v>
      </c>
      <c r="C2013" s="5" t="s">
        <v>853</v>
      </c>
      <c r="D2013" s="5">
        <v>717236</v>
      </c>
      <c r="E2013" s="33">
        <v>1</v>
      </c>
      <c r="F2013" s="60">
        <v>7790</v>
      </c>
      <c r="G2013" s="60">
        <f>+OtherClients[[#This Row],[Boxes / Pieces]]*OtherClients[[#This Row],[Unit Quantity]]</f>
        <v>7790</v>
      </c>
      <c r="H2013" s="60" t="s">
        <v>893</v>
      </c>
      <c r="I2013" s="130" t="s">
        <v>278</v>
      </c>
      <c r="J2013" s="131"/>
      <c r="K2013" s="33" t="s">
        <v>278</v>
      </c>
      <c r="L2013" s="132"/>
      <c r="M2013" s="33" t="s">
        <v>278</v>
      </c>
      <c r="N2013" s="132"/>
      <c r="O2013" s="33" t="s">
        <v>278</v>
      </c>
      <c r="P2013" s="132"/>
      <c r="Q2013" s="33" t="s">
        <v>587</v>
      </c>
      <c r="R2013" s="132"/>
      <c r="S2013" s="33" t="s">
        <v>278</v>
      </c>
      <c r="T2013" s="132"/>
      <c r="U2013" s="33" t="s">
        <v>278</v>
      </c>
      <c r="V2013" s="132"/>
      <c r="W2013" s="59" t="s">
        <v>548</v>
      </c>
      <c r="X2013" s="33" t="str">
        <f>+VLOOKUP(OtherClients[[#This Row],[Part]],PartControl!$A$2:$E$564,5,FALSE)</f>
        <v>Infasco</v>
      </c>
      <c r="Y2013" s="108">
        <f>IF(OtherClients[[#This Row],[Re-certified or New]]&lt;&gt;"Re-certified",IF(OtherClients[[#This Row],[Client]]="infasco",VLOOKUP(OtherClients[[#This Row],[Part]],PartControl!$A$2:$E$564,2,FALSE),OtherClients[[#This Row],[Total Quantity]]*VLOOKUP(OtherClients[[#This Row],[Part]],PartControl!$A$2:$E$564,2,FALSE)),0)</f>
        <v>129.44999999999999</v>
      </c>
      <c r="Z2013" s="108">
        <f>IF(OtherClients[[#This Row],[Re-certified or New]]&lt;&gt;"Re-certified",IF(OtherClients[[#This Row],[Client]]="infasco",VLOOKUP(OtherClients[[#This Row],[Part]],PartControl!$A$2:$E$564,2,FALSE),OtherClients[[#This Row],[Total Quantity]]*VLOOKUP(OtherClients[[#This Row],[Part]],PartControl!$A$2:$E$564,2,FALSE)),0)</f>
        <v>129.44999999999999</v>
      </c>
    </row>
    <row r="2014" spans="1:26" ht="25.15" hidden="1" customHeight="1" x14ac:dyDescent="0.25">
      <c r="A2014" s="112">
        <v>46262.694409722222</v>
      </c>
      <c r="B2014" s="5" t="s">
        <v>342</v>
      </c>
      <c r="C2014" s="5" t="s">
        <v>824</v>
      </c>
      <c r="D2014" s="5">
        <v>716724</v>
      </c>
      <c r="E2014" s="33">
        <v>1</v>
      </c>
      <c r="F2014" s="60">
        <v>4700</v>
      </c>
      <c r="G2014" s="60">
        <f>+OtherClients[[#This Row],[Boxes / Pieces]]*OtherClients[[#This Row],[Unit Quantity]]</f>
        <v>4700</v>
      </c>
      <c r="H2014" s="60" t="s">
        <v>893</v>
      </c>
      <c r="I2014" s="130" t="s">
        <v>278</v>
      </c>
      <c r="J2014" s="131"/>
      <c r="K2014" s="33" t="s">
        <v>278</v>
      </c>
      <c r="L2014" s="132"/>
      <c r="M2014" s="33" t="s">
        <v>278</v>
      </c>
      <c r="N2014" s="132"/>
      <c r="O2014" s="33" t="s">
        <v>278</v>
      </c>
      <c r="P2014" s="132"/>
      <c r="Q2014" s="33" t="s">
        <v>587</v>
      </c>
      <c r="R2014" s="132"/>
      <c r="S2014" s="33" t="s">
        <v>278</v>
      </c>
      <c r="T2014" s="132"/>
      <c r="U2014" s="33" t="s">
        <v>278</v>
      </c>
      <c r="V2014" s="132"/>
      <c r="W2014" s="59" t="s">
        <v>548</v>
      </c>
      <c r="X2014" s="33" t="str">
        <f>+VLOOKUP(OtherClients[[#This Row],[Part]],PartControl!$A$2:$E$564,5,FALSE)</f>
        <v>Infasco</v>
      </c>
      <c r="Y2014" s="108">
        <f>IF(OtherClients[[#This Row],[Re-certified or New]]&lt;&gt;"Re-certified",IF(OtherClients[[#This Row],[Client]]="infasco",VLOOKUP(OtherClients[[#This Row],[Part]],PartControl!$A$2:$E$564,2,FALSE),OtherClients[[#This Row],[Total Quantity]]*VLOOKUP(OtherClients[[#This Row],[Part]],PartControl!$A$2:$E$564,2,FALSE)),0)</f>
        <v>129.44999999999999</v>
      </c>
      <c r="Z2014" s="108">
        <f>IF(OtherClients[[#This Row],[Re-certified or New]]&lt;&gt;"Re-certified",IF(OtherClients[[#This Row],[Client]]="infasco",VLOOKUP(OtherClients[[#This Row],[Part]],PartControl!$A$2:$E$564,2,FALSE),OtherClients[[#This Row],[Total Quantity]]*VLOOKUP(OtherClients[[#This Row],[Part]],PartControl!$A$2:$E$564,2,FALSE)),0)</f>
        <v>129.44999999999999</v>
      </c>
    </row>
    <row r="2015" spans="1:26" ht="25.15" hidden="1" customHeight="1" x14ac:dyDescent="0.25">
      <c r="A2015" s="112">
        <v>46262.694409722222</v>
      </c>
      <c r="B2015" s="5" t="s">
        <v>342</v>
      </c>
      <c r="C2015" s="5" t="s">
        <v>824</v>
      </c>
      <c r="D2015" s="5">
        <v>716731</v>
      </c>
      <c r="E2015" s="33">
        <v>1</v>
      </c>
      <c r="F2015" s="60">
        <v>4970</v>
      </c>
      <c r="G2015" s="60">
        <f>+OtherClients[[#This Row],[Boxes / Pieces]]*OtherClients[[#This Row],[Unit Quantity]]</f>
        <v>4970</v>
      </c>
      <c r="H2015" s="60" t="s">
        <v>893</v>
      </c>
      <c r="I2015" s="130" t="s">
        <v>278</v>
      </c>
      <c r="J2015" s="131"/>
      <c r="K2015" s="33" t="s">
        <v>278</v>
      </c>
      <c r="L2015" s="132"/>
      <c r="M2015" s="33" t="s">
        <v>278</v>
      </c>
      <c r="N2015" s="132"/>
      <c r="O2015" s="33" t="s">
        <v>278</v>
      </c>
      <c r="P2015" s="132"/>
      <c r="Q2015" s="33" t="s">
        <v>587</v>
      </c>
      <c r="R2015" s="132"/>
      <c r="S2015" s="33" t="s">
        <v>278</v>
      </c>
      <c r="T2015" s="132"/>
      <c r="U2015" s="33" t="s">
        <v>278</v>
      </c>
      <c r="V2015" s="132"/>
      <c r="W2015" s="59" t="s">
        <v>548</v>
      </c>
      <c r="X2015" s="33" t="str">
        <f>+VLOOKUP(OtherClients[[#This Row],[Part]],PartControl!$A$2:$E$564,5,FALSE)</f>
        <v>Infasco</v>
      </c>
      <c r="Y2015" s="108">
        <f>IF(OtherClients[[#This Row],[Re-certified or New]]&lt;&gt;"Re-certified",IF(OtherClients[[#This Row],[Client]]="infasco",VLOOKUP(OtherClients[[#This Row],[Part]],PartControl!$A$2:$E$564,2,FALSE),OtherClients[[#This Row],[Total Quantity]]*VLOOKUP(OtherClients[[#This Row],[Part]],PartControl!$A$2:$E$564,2,FALSE)),0)</f>
        <v>129.44999999999999</v>
      </c>
      <c r="Z2015" s="108">
        <f>IF(OtherClients[[#This Row],[Re-certified or New]]&lt;&gt;"Re-certified",IF(OtherClients[[#This Row],[Client]]="infasco",VLOOKUP(OtherClients[[#This Row],[Part]],PartControl!$A$2:$E$564,2,FALSE),OtherClients[[#This Row],[Total Quantity]]*VLOOKUP(OtherClients[[#This Row],[Part]],PartControl!$A$2:$E$564,2,FALSE)),0)</f>
        <v>129.44999999999999</v>
      </c>
    </row>
    <row r="2016" spans="1:26" ht="25.15" hidden="1" customHeight="1" x14ac:dyDescent="0.25">
      <c r="A2016" s="112">
        <v>46262.694409722222</v>
      </c>
      <c r="B2016" s="5" t="s">
        <v>342</v>
      </c>
      <c r="C2016" s="5" t="s">
        <v>16</v>
      </c>
      <c r="D2016" s="5">
        <v>714523</v>
      </c>
      <c r="E2016" s="33">
        <v>30</v>
      </c>
      <c r="F2016" s="60">
        <v>1400</v>
      </c>
      <c r="G2016" s="60">
        <f>+OtherClients[[#This Row],[Boxes / Pieces]]*OtherClients[[#This Row],[Unit Quantity]]</f>
        <v>42000</v>
      </c>
      <c r="H2016" s="60" t="s">
        <v>893</v>
      </c>
      <c r="I2016" s="130" t="s">
        <v>278</v>
      </c>
      <c r="J2016" s="131"/>
      <c r="K2016" s="33" t="s">
        <v>278</v>
      </c>
      <c r="L2016" s="132"/>
      <c r="M2016" s="33" t="s">
        <v>278</v>
      </c>
      <c r="N2016" s="132"/>
      <c r="O2016" s="33" t="s">
        <v>278</v>
      </c>
      <c r="P2016" s="132"/>
      <c r="Q2016" s="33" t="s">
        <v>587</v>
      </c>
      <c r="R2016" s="132"/>
      <c r="S2016" s="33" t="s">
        <v>278</v>
      </c>
      <c r="T2016" s="132"/>
      <c r="U2016" s="33" t="s">
        <v>278</v>
      </c>
      <c r="V2016" s="132"/>
      <c r="W2016" s="59" t="s">
        <v>548</v>
      </c>
      <c r="X2016" s="33" t="str">
        <f>+VLOOKUP(OtherClients[[#This Row],[Part]],PartControl!$A$2:$E$564,5,FALSE)</f>
        <v>infasco</v>
      </c>
      <c r="Y2016" s="108">
        <f>IF(OtherClients[[#This Row],[Re-certified or New]]&lt;&gt;"Re-certified",IF(OtherClients[[#This Row],[Client]]="infasco",VLOOKUP(OtherClients[[#This Row],[Part]],PartControl!$A$2:$E$564,2,FALSE),OtherClients[[#This Row],[Total Quantity]]*VLOOKUP(OtherClients[[#This Row],[Part]],PartControl!$A$2:$E$564,2,FALSE)),0)</f>
        <v>106.94</v>
      </c>
      <c r="Z2016" s="108">
        <f>IF(OtherClients[[#This Row],[Re-certified or New]]&lt;&gt;"Re-certified",IF(OtherClients[[#This Row],[Client]]="infasco",VLOOKUP(OtherClients[[#This Row],[Part]],PartControl!$A$2:$E$564,2,FALSE),OtherClients[[#This Row],[Total Quantity]]*VLOOKUP(OtherClients[[#This Row],[Part]],PartControl!$A$2:$E$564,2,FALSE)),0)</f>
        <v>106.94</v>
      </c>
    </row>
    <row r="2017" spans="1:26" ht="25.15" hidden="1" customHeight="1" x14ac:dyDescent="0.25">
      <c r="A2017" s="112">
        <v>46262.694409722222</v>
      </c>
      <c r="B2017" s="5" t="s">
        <v>343</v>
      </c>
      <c r="C2017" s="5" t="s">
        <v>853</v>
      </c>
      <c r="D2017" s="5">
        <v>717240</v>
      </c>
      <c r="E2017" s="33">
        <v>1</v>
      </c>
      <c r="F2017" s="60">
        <v>10000</v>
      </c>
      <c r="G2017" s="60">
        <f>+OtherClients[[#This Row],[Boxes / Pieces]]*OtherClients[[#This Row],[Unit Quantity]]</f>
        <v>10000</v>
      </c>
      <c r="H2017" s="60" t="s">
        <v>757</v>
      </c>
      <c r="I2017" s="130" t="s">
        <v>278</v>
      </c>
      <c r="J2017" s="131"/>
      <c r="K2017" s="33" t="s">
        <v>278</v>
      </c>
      <c r="L2017" s="132"/>
      <c r="M2017" s="33" t="s">
        <v>278</v>
      </c>
      <c r="N2017" s="132"/>
      <c r="O2017" s="33" t="s">
        <v>278</v>
      </c>
      <c r="P2017" s="132"/>
      <c r="Q2017" s="33" t="s">
        <v>587</v>
      </c>
      <c r="R2017" s="132"/>
      <c r="S2017" s="33" t="s">
        <v>278</v>
      </c>
      <c r="T2017" s="132"/>
      <c r="U2017" s="33" t="s">
        <v>278</v>
      </c>
      <c r="V2017" s="132"/>
      <c r="W2017" s="59" t="s">
        <v>548</v>
      </c>
      <c r="X2017" s="33" t="str">
        <f>+VLOOKUP(OtherClients[[#This Row],[Part]],PartControl!$A$2:$E$564,5,FALSE)</f>
        <v>Infasco</v>
      </c>
      <c r="Y2017" s="108">
        <f>IF(OtherClients[[#This Row],[Re-certified or New]]&lt;&gt;"Re-certified",IF(OtherClients[[#This Row],[Client]]="infasco",VLOOKUP(OtherClients[[#This Row],[Part]],PartControl!$A$2:$E$564,2,FALSE),OtherClients[[#This Row],[Total Quantity]]*VLOOKUP(OtherClients[[#This Row],[Part]],PartControl!$A$2:$E$564,2,FALSE)),0)</f>
        <v>129.44999999999999</v>
      </c>
      <c r="Z2017" s="108">
        <f>IF(OtherClients[[#This Row],[Re-certified or New]]&lt;&gt;"Re-certified",IF(OtherClients[[#This Row],[Client]]="infasco",VLOOKUP(OtherClients[[#This Row],[Part]],PartControl!$A$2:$E$564,2,FALSE),OtherClients[[#This Row],[Total Quantity]]*VLOOKUP(OtherClients[[#This Row],[Part]],PartControl!$A$2:$E$564,2,FALSE)),0)</f>
        <v>129.44999999999999</v>
      </c>
    </row>
    <row r="2018" spans="1:26" ht="25.15" hidden="1" customHeight="1" x14ac:dyDescent="0.25">
      <c r="A2018" s="112">
        <v>46262.694409722222</v>
      </c>
      <c r="B2018" s="5" t="s">
        <v>343</v>
      </c>
      <c r="C2018" s="5" t="s">
        <v>853</v>
      </c>
      <c r="D2018" s="5">
        <v>717242</v>
      </c>
      <c r="E2018" s="33">
        <v>1</v>
      </c>
      <c r="F2018" s="60">
        <v>0</v>
      </c>
      <c r="G2018" s="60">
        <f>+OtherClients[[#This Row],[Boxes / Pieces]]*OtherClients[[#This Row],[Unit Quantity]]</f>
        <v>0</v>
      </c>
      <c r="H2018" s="60" t="s">
        <v>757</v>
      </c>
      <c r="I2018" s="130" t="s">
        <v>278</v>
      </c>
      <c r="J2018" s="131"/>
      <c r="K2018" s="33" t="s">
        <v>278</v>
      </c>
      <c r="L2018" s="132"/>
      <c r="M2018" s="33" t="s">
        <v>278</v>
      </c>
      <c r="N2018" s="132"/>
      <c r="O2018" s="33" t="s">
        <v>278</v>
      </c>
      <c r="P2018" s="132"/>
      <c r="Q2018" s="33" t="s">
        <v>587</v>
      </c>
      <c r="R2018" s="132"/>
      <c r="S2018" s="33" t="s">
        <v>278</v>
      </c>
      <c r="T2018" s="132"/>
      <c r="U2018" s="33" t="s">
        <v>278</v>
      </c>
      <c r="V2018" s="132"/>
      <c r="W2018" s="59" t="s">
        <v>548</v>
      </c>
      <c r="X2018" s="33" t="str">
        <f>+VLOOKUP(OtherClients[[#This Row],[Part]],PartControl!$A$2:$E$564,5,FALSE)</f>
        <v>Infasco</v>
      </c>
      <c r="Y2018" s="108">
        <f>IF(OtherClients[[#This Row],[Re-certified or New]]&lt;&gt;"Re-certified",IF(OtherClients[[#This Row],[Client]]="infasco",VLOOKUP(OtherClients[[#This Row],[Part]],PartControl!$A$2:$E$564,2,FALSE),OtherClients[[#This Row],[Total Quantity]]*VLOOKUP(OtherClients[[#This Row],[Part]],PartControl!$A$2:$E$564,2,FALSE)),0)</f>
        <v>129.44999999999999</v>
      </c>
      <c r="Z2018" s="108">
        <f>IF(OtherClients[[#This Row],[Re-certified or New]]&lt;&gt;"Re-certified",IF(OtherClients[[#This Row],[Client]]="infasco",VLOOKUP(OtherClients[[#This Row],[Part]],PartControl!$A$2:$E$564,2,FALSE),OtherClients[[#This Row],[Total Quantity]]*VLOOKUP(OtherClients[[#This Row],[Part]],PartControl!$A$2:$E$564,2,FALSE)),0)</f>
        <v>129.44999999999999</v>
      </c>
    </row>
    <row r="2019" spans="1:26" ht="25.15" hidden="1" customHeight="1" x14ac:dyDescent="0.25">
      <c r="A2019" s="112">
        <v>46262.694409722222</v>
      </c>
      <c r="B2019" s="5" t="s">
        <v>343</v>
      </c>
      <c r="C2019" s="5" t="s">
        <v>853</v>
      </c>
      <c r="D2019" s="5">
        <v>717238</v>
      </c>
      <c r="E2019" s="33">
        <v>1</v>
      </c>
      <c r="F2019" s="60">
        <v>3980</v>
      </c>
      <c r="G2019" s="60">
        <f>+OtherClients[[#This Row],[Boxes / Pieces]]*OtherClients[[#This Row],[Unit Quantity]]</f>
        <v>3980</v>
      </c>
      <c r="H2019" s="60" t="s">
        <v>757</v>
      </c>
      <c r="I2019" s="130" t="s">
        <v>278</v>
      </c>
      <c r="J2019" s="131"/>
      <c r="K2019" s="33" t="s">
        <v>278</v>
      </c>
      <c r="L2019" s="132"/>
      <c r="M2019" s="33" t="s">
        <v>278</v>
      </c>
      <c r="N2019" s="132"/>
      <c r="O2019" s="33" t="s">
        <v>278</v>
      </c>
      <c r="P2019" s="132"/>
      <c r="Q2019" s="33" t="s">
        <v>587</v>
      </c>
      <c r="R2019" s="132"/>
      <c r="S2019" s="33" t="s">
        <v>278</v>
      </c>
      <c r="T2019" s="132"/>
      <c r="U2019" s="33" t="s">
        <v>278</v>
      </c>
      <c r="V2019" s="132"/>
      <c r="W2019" s="59" t="s">
        <v>548</v>
      </c>
      <c r="X2019" s="33" t="str">
        <f>+VLOOKUP(OtherClients[[#This Row],[Part]],PartControl!$A$2:$E$564,5,FALSE)</f>
        <v>Infasco</v>
      </c>
      <c r="Y2019" s="108">
        <f>IF(OtherClients[[#This Row],[Re-certified or New]]&lt;&gt;"Re-certified",IF(OtherClients[[#This Row],[Client]]="infasco",VLOOKUP(OtherClients[[#This Row],[Part]],PartControl!$A$2:$E$564,2,FALSE),OtherClients[[#This Row],[Total Quantity]]*VLOOKUP(OtherClients[[#This Row],[Part]],PartControl!$A$2:$E$564,2,FALSE)),0)</f>
        <v>129.44999999999999</v>
      </c>
      <c r="Z2019" s="108">
        <f>IF(OtherClients[[#This Row],[Re-certified or New]]&lt;&gt;"Re-certified",IF(OtherClients[[#This Row],[Client]]="infasco",VLOOKUP(OtherClients[[#This Row],[Part]],PartControl!$A$2:$E$564,2,FALSE),OtherClients[[#This Row],[Total Quantity]]*VLOOKUP(OtherClients[[#This Row],[Part]],PartControl!$A$2:$E$564,2,FALSE)),0)</f>
        <v>129.44999999999999</v>
      </c>
    </row>
    <row r="2020" spans="1:26" ht="25.15" hidden="1" customHeight="1" x14ac:dyDescent="0.25">
      <c r="A2020" s="112">
        <v>46262.694409722222</v>
      </c>
      <c r="B2020" s="5" t="s">
        <v>343</v>
      </c>
      <c r="C2020" s="5" t="s">
        <v>35</v>
      </c>
      <c r="D2020" s="5">
        <v>714597</v>
      </c>
      <c r="E2020" s="33">
        <v>25</v>
      </c>
      <c r="F2020" s="60">
        <v>850</v>
      </c>
      <c r="G2020" s="60">
        <f>+OtherClients[[#This Row],[Boxes / Pieces]]*OtherClients[[#This Row],[Unit Quantity]]</f>
        <v>21250</v>
      </c>
      <c r="H2020" s="60" t="s">
        <v>757</v>
      </c>
      <c r="I2020" s="130" t="s">
        <v>278</v>
      </c>
      <c r="J2020" s="131"/>
      <c r="K2020" s="33" t="s">
        <v>278</v>
      </c>
      <c r="L2020" s="132"/>
      <c r="M2020" s="33" t="s">
        <v>278</v>
      </c>
      <c r="N2020" s="132"/>
      <c r="O2020" s="33" t="s">
        <v>278</v>
      </c>
      <c r="P2020" s="132"/>
      <c r="Q2020" s="33" t="s">
        <v>587</v>
      </c>
      <c r="R2020" s="132"/>
      <c r="S2020" s="33" t="s">
        <v>278</v>
      </c>
      <c r="T2020" s="132"/>
      <c r="U2020" s="33" t="s">
        <v>278</v>
      </c>
      <c r="V2020" s="132"/>
      <c r="W2020" s="59" t="s">
        <v>548</v>
      </c>
      <c r="X2020" s="33" t="str">
        <f>+VLOOKUP(OtherClients[[#This Row],[Part]],PartControl!$A$2:$E$564,5,FALSE)</f>
        <v>infasco</v>
      </c>
      <c r="Y2020" s="108">
        <f>IF(OtherClients[[#This Row],[Re-certified or New]]&lt;&gt;"Re-certified",IF(OtherClients[[#This Row],[Client]]="infasco",VLOOKUP(OtherClients[[#This Row],[Part]],PartControl!$A$2:$E$564,2,FALSE),OtherClients[[#This Row],[Total Quantity]]*VLOOKUP(OtherClients[[#This Row],[Part]],PartControl!$A$2:$E$564,2,FALSE)),0)</f>
        <v>106.94</v>
      </c>
      <c r="Z2020" s="108">
        <f>IF(OtherClients[[#This Row],[Re-certified or New]]&lt;&gt;"Re-certified",IF(OtherClients[[#This Row],[Client]]="infasco",VLOOKUP(OtherClients[[#This Row],[Part]],PartControl!$A$2:$E$564,2,FALSE),OtherClients[[#This Row],[Total Quantity]]*VLOOKUP(OtherClients[[#This Row],[Part]],PartControl!$A$2:$E$564,2,FALSE)),0)</f>
        <v>106.94</v>
      </c>
    </row>
    <row r="2021" spans="1:26" ht="25.15" hidden="1" customHeight="1" x14ac:dyDescent="0.25">
      <c r="A2021" s="112">
        <v>46262.694409722222</v>
      </c>
      <c r="B2021" s="5" t="s">
        <v>343</v>
      </c>
      <c r="C2021" s="5" t="s">
        <v>35</v>
      </c>
      <c r="D2021" s="5">
        <v>714598</v>
      </c>
      <c r="E2021" s="33">
        <v>14</v>
      </c>
      <c r="F2021" s="60">
        <v>850</v>
      </c>
      <c r="G2021" s="60">
        <f>+OtherClients[[#This Row],[Boxes / Pieces]]*OtherClients[[#This Row],[Unit Quantity]]</f>
        <v>11900</v>
      </c>
      <c r="H2021" s="60" t="s">
        <v>757</v>
      </c>
      <c r="I2021" s="130" t="s">
        <v>278</v>
      </c>
      <c r="J2021" s="131"/>
      <c r="K2021" s="33" t="s">
        <v>278</v>
      </c>
      <c r="L2021" s="132"/>
      <c r="M2021" s="33" t="s">
        <v>278</v>
      </c>
      <c r="N2021" s="132"/>
      <c r="O2021" s="33" t="s">
        <v>278</v>
      </c>
      <c r="P2021" s="132"/>
      <c r="Q2021" s="33" t="s">
        <v>587</v>
      </c>
      <c r="R2021" s="132"/>
      <c r="S2021" s="33" t="s">
        <v>278</v>
      </c>
      <c r="T2021" s="132"/>
      <c r="U2021" s="33" t="s">
        <v>278</v>
      </c>
      <c r="V2021" s="132"/>
      <c r="W2021" s="59" t="s">
        <v>548</v>
      </c>
      <c r="X2021" s="33" t="str">
        <f>+VLOOKUP(OtherClients[[#This Row],[Part]],PartControl!$A$2:$E$564,5,FALSE)</f>
        <v>infasco</v>
      </c>
      <c r="Y2021" s="108">
        <f>IF(OtherClients[[#This Row],[Re-certified or New]]&lt;&gt;"Re-certified",IF(OtherClients[[#This Row],[Client]]="infasco",VLOOKUP(OtherClients[[#This Row],[Part]],PartControl!$A$2:$E$564,2,FALSE),OtherClients[[#This Row],[Total Quantity]]*VLOOKUP(OtherClients[[#This Row],[Part]],PartControl!$A$2:$E$564,2,FALSE)),0)</f>
        <v>106.94</v>
      </c>
      <c r="Z2021" s="108">
        <f>IF(OtherClients[[#This Row],[Re-certified or New]]&lt;&gt;"Re-certified",IF(OtherClients[[#This Row],[Client]]="infasco",VLOOKUP(OtherClients[[#This Row],[Part]],PartControl!$A$2:$E$564,2,FALSE),OtherClients[[#This Row],[Total Quantity]]*VLOOKUP(OtherClients[[#This Row],[Part]],PartControl!$A$2:$E$564,2,FALSE)),0)</f>
        <v>106.94</v>
      </c>
    </row>
    <row r="2022" spans="1:26" ht="25.15" hidden="1" customHeight="1" x14ac:dyDescent="0.25">
      <c r="A2022" s="112">
        <v>46262.694409722222</v>
      </c>
      <c r="B2022" s="5" t="s">
        <v>344</v>
      </c>
      <c r="C2022" s="5" t="s">
        <v>853</v>
      </c>
      <c r="D2022" s="5">
        <v>717237</v>
      </c>
      <c r="E2022" s="33">
        <v>1</v>
      </c>
      <c r="F2022" s="60">
        <v>10000</v>
      </c>
      <c r="G2022" s="60">
        <f>+OtherClients[[#This Row],[Boxes / Pieces]]*OtherClients[[#This Row],[Unit Quantity]]</f>
        <v>10000</v>
      </c>
      <c r="H2022" s="60" t="s">
        <v>816</v>
      </c>
      <c r="I2022" s="130" t="s">
        <v>278</v>
      </c>
      <c r="J2022" s="131"/>
      <c r="K2022" s="33" t="s">
        <v>278</v>
      </c>
      <c r="L2022" s="132"/>
      <c r="M2022" s="33" t="s">
        <v>278</v>
      </c>
      <c r="N2022" s="132"/>
      <c r="O2022" s="33" t="s">
        <v>278</v>
      </c>
      <c r="P2022" s="132"/>
      <c r="Q2022" s="33" t="s">
        <v>587</v>
      </c>
      <c r="R2022" s="132"/>
      <c r="S2022" s="33" t="s">
        <v>278</v>
      </c>
      <c r="T2022" s="132"/>
      <c r="U2022" s="33" t="s">
        <v>278</v>
      </c>
      <c r="V2022" s="132"/>
      <c r="W2022" s="59" t="s">
        <v>548</v>
      </c>
      <c r="X2022" s="33" t="str">
        <f>+VLOOKUP(OtherClients[[#This Row],[Part]],PartControl!$A$2:$E$564,5,FALSE)</f>
        <v>Infasco</v>
      </c>
      <c r="Y2022" s="108">
        <f>IF(OtherClients[[#This Row],[Re-certified or New]]&lt;&gt;"Re-certified",IF(OtherClients[[#This Row],[Client]]="infasco",VLOOKUP(OtherClients[[#This Row],[Part]],PartControl!$A$2:$E$564,2,FALSE),OtherClients[[#This Row],[Total Quantity]]*VLOOKUP(OtherClients[[#This Row],[Part]],PartControl!$A$2:$E$564,2,FALSE)),0)</f>
        <v>129.44999999999999</v>
      </c>
      <c r="Z2022" s="108">
        <f>IF(OtherClients[[#This Row],[Re-certified or New]]&lt;&gt;"Re-certified",IF(OtherClients[[#This Row],[Client]]="infasco",VLOOKUP(OtherClients[[#This Row],[Part]],PartControl!$A$2:$E$564,2,FALSE),OtherClients[[#This Row],[Total Quantity]]*VLOOKUP(OtherClients[[#This Row],[Part]],PartControl!$A$2:$E$564,2,FALSE)),0)</f>
        <v>129.44999999999999</v>
      </c>
    </row>
    <row r="2023" spans="1:26" ht="25.15" hidden="1" customHeight="1" x14ac:dyDescent="0.25">
      <c r="A2023" s="112">
        <v>46262.694409722222</v>
      </c>
      <c r="B2023" s="5" t="s">
        <v>344</v>
      </c>
      <c r="C2023" s="5" t="s">
        <v>853</v>
      </c>
      <c r="D2023" s="5">
        <v>717241</v>
      </c>
      <c r="E2023" s="33">
        <v>1</v>
      </c>
      <c r="F2023" s="60">
        <v>7480</v>
      </c>
      <c r="G2023" s="60">
        <f>+OtherClients[[#This Row],[Boxes / Pieces]]*OtherClients[[#This Row],[Unit Quantity]]</f>
        <v>7480</v>
      </c>
      <c r="H2023" s="60" t="s">
        <v>816</v>
      </c>
      <c r="I2023" s="130" t="s">
        <v>278</v>
      </c>
      <c r="J2023" s="131"/>
      <c r="K2023" s="33" t="s">
        <v>278</v>
      </c>
      <c r="L2023" s="132"/>
      <c r="M2023" s="33" t="s">
        <v>278</v>
      </c>
      <c r="N2023" s="132"/>
      <c r="O2023" s="33" t="s">
        <v>278</v>
      </c>
      <c r="P2023" s="132"/>
      <c r="Q2023" s="33" t="s">
        <v>587</v>
      </c>
      <c r="R2023" s="132"/>
      <c r="S2023" s="33" t="s">
        <v>278</v>
      </c>
      <c r="T2023" s="132"/>
      <c r="U2023" s="33" t="s">
        <v>278</v>
      </c>
      <c r="V2023" s="132"/>
      <c r="W2023" s="59" t="s">
        <v>548</v>
      </c>
      <c r="X2023" s="33" t="str">
        <f>+VLOOKUP(OtherClients[[#This Row],[Part]],PartControl!$A$2:$E$564,5,FALSE)</f>
        <v>Infasco</v>
      </c>
      <c r="Y2023" s="108">
        <f>IF(OtherClients[[#This Row],[Re-certified or New]]&lt;&gt;"Re-certified",IF(OtherClients[[#This Row],[Client]]="infasco",VLOOKUP(OtherClients[[#This Row],[Part]],PartControl!$A$2:$E$564,2,FALSE),OtherClients[[#This Row],[Total Quantity]]*VLOOKUP(OtherClients[[#This Row],[Part]],PartControl!$A$2:$E$564,2,FALSE)),0)</f>
        <v>129.44999999999999</v>
      </c>
      <c r="Z2023" s="108">
        <f>IF(OtherClients[[#This Row],[Re-certified or New]]&lt;&gt;"Re-certified",IF(OtherClients[[#This Row],[Client]]="infasco",VLOOKUP(OtherClients[[#This Row],[Part]],PartControl!$A$2:$E$564,2,FALSE),OtherClients[[#This Row],[Total Quantity]]*VLOOKUP(OtherClients[[#This Row],[Part]],PartControl!$A$2:$E$564,2,FALSE)),0)</f>
        <v>129.44999999999999</v>
      </c>
    </row>
    <row r="2024" spans="1:26" ht="25.15" hidden="1" customHeight="1" x14ac:dyDescent="0.25">
      <c r="A2024" s="112">
        <v>46262.694409722222</v>
      </c>
      <c r="B2024" s="5" t="s">
        <v>344</v>
      </c>
      <c r="C2024" s="5" t="s">
        <v>824</v>
      </c>
      <c r="D2024" s="5">
        <v>716725</v>
      </c>
      <c r="E2024" s="33">
        <v>1</v>
      </c>
      <c r="F2024" s="60">
        <v>4780</v>
      </c>
      <c r="G2024" s="60">
        <f>+OtherClients[[#This Row],[Boxes / Pieces]]*OtherClients[[#This Row],[Unit Quantity]]</f>
        <v>4780</v>
      </c>
      <c r="H2024" s="60" t="s">
        <v>816</v>
      </c>
      <c r="I2024" s="130" t="s">
        <v>278</v>
      </c>
      <c r="J2024" s="131"/>
      <c r="K2024" s="33" t="s">
        <v>278</v>
      </c>
      <c r="L2024" s="132"/>
      <c r="M2024" s="33" t="s">
        <v>278</v>
      </c>
      <c r="N2024" s="132"/>
      <c r="O2024" s="33" t="s">
        <v>278</v>
      </c>
      <c r="P2024" s="132"/>
      <c r="Q2024" s="33" t="s">
        <v>587</v>
      </c>
      <c r="R2024" s="132"/>
      <c r="S2024" s="33" t="s">
        <v>278</v>
      </c>
      <c r="T2024" s="132"/>
      <c r="U2024" s="33" t="s">
        <v>278</v>
      </c>
      <c r="V2024" s="132"/>
      <c r="W2024" s="59" t="s">
        <v>548</v>
      </c>
      <c r="X2024" s="33" t="str">
        <f>+VLOOKUP(OtherClients[[#This Row],[Part]],PartControl!$A$2:$E$564,5,FALSE)</f>
        <v>Infasco</v>
      </c>
      <c r="Y2024" s="108">
        <f>IF(OtherClients[[#This Row],[Re-certified or New]]&lt;&gt;"Re-certified",IF(OtherClients[[#This Row],[Client]]="infasco",VLOOKUP(OtherClients[[#This Row],[Part]],PartControl!$A$2:$E$564,2,FALSE),OtherClients[[#This Row],[Total Quantity]]*VLOOKUP(OtherClients[[#This Row],[Part]],PartControl!$A$2:$E$564,2,FALSE)),0)</f>
        <v>129.44999999999999</v>
      </c>
      <c r="Z2024" s="108">
        <f>IF(OtherClients[[#This Row],[Re-certified or New]]&lt;&gt;"Re-certified",IF(OtherClients[[#This Row],[Client]]="infasco",VLOOKUP(OtherClients[[#This Row],[Part]],PartControl!$A$2:$E$564,2,FALSE),OtherClients[[#This Row],[Total Quantity]]*VLOOKUP(OtherClients[[#This Row],[Part]],PartControl!$A$2:$E$564,2,FALSE)),0)</f>
        <v>129.44999999999999</v>
      </c>
    </row>
    <row r="2025" spans="1:26" ht="25.15" hidden="1" customHeight="1" x14ac:dyDescent="0.25">
      <c r="A2025" s="112">
        <v>46262.694409722222</v>
      </c>
      <c r="B2025" s="5" t="s">
        <v>344</v>
      </c>
      <c r="C2025" s="5" t="s">
        <v>824</v>
      </c>
      <c r="D2025" s="5">
        <v>715973</v>
      </c>
      <c r="E2025" s="33">
        <v>1</v>
      </c>
      <c r="F2025" s="60">
        <v>4780</v>
      </c>
      <c r="G2025" s="60">
        <f>+OtherClients[[#This Row],[Boxes / Pieces]]*OtherClients[[#This Row],[Unit Quantity]]</f>
        <v>4780</v>
      </c>
      <c r="H2025" s="60" t="s">
        <v>816</v>
      </c>
      <c r="I2025" s="130" t="s">
        <v>278</v>
      </c>
      <c r="J2025" s="131"/>
      <c r="K2025" s="33" t="s">
        <v>278</v>
      </c>
      <c r="L2025" s="132"/>
      <c r="M2025" s="33" t="s">
        <v>278</v>
      </c>
      <c r="N2025" s="132"/>
      <c r="O2025" s="33" t="s">
        <v>278</v>
      </c>
      <c r="P2025" s="132"/>
      <c r="Q2025" s="33" t="s">
        <v>587</v>
      </c>
      <c r="R2025" s="132"/>
      <c r="S2025" s="33" t="s">
        <v>278</v>
      </c>
      <c r="T2025" s="132"/>
      <c r="U2025" s="33" t="s">
        <v>278</v>
      </c>
      <c r="V2025" s="132"/>
      <c r="W2025" s="59" t="s">
        <v>548</v>
      </c>
      <c r="X2025" s="33" t="str">
        <f>+VLOOKUP(OtherClients[[#This Row],[Part]],PartControl!$A$2:$E$564,5,FALSE)</f>
        <v>Infasco</v>
      </c>
      <c r="Y2025" s="108">
        <f>IF(OtherClients[[#This Row],[Re-certified or New]]&lt;&gt;"Re-certified",IF(OtherClients[[#This Row],[Client]]="infasco",VLOOKUP(OtherClients[[#This Row],[Part]],PartControl!$A$2:$E$564,2,FALSE),OtherClients[[#This Row],[Total Quantity]]*VLOOKUP(OtherClients[[#This Row],[Part]],PartControl!$A$2:$E$564,2,FALSE)),0)</f>
        <v>129.44999999999999</v>
      </c>
      <c r="Z2025" s="108">
        <f>IF(OtherClients[[#This Row],[Re-certified or New]]&lt;&gt;"Re-certified",IF(OtherClients[[#This Row],[Client]]="infasco",VLOOKUP(OtherClients[[#This Row],[Part]],PartControl!$A$2:$E$564,2,FALSE),OtherClients[[#This Row],[Total Quantity]]*VLOOKUP(OtherClients[[#This Row],[Part]],PartControl!$A$2:$E$564,2,FALSE)),0)</f>
        <v>129.44999999999999</v>
      </c>
    </row>
    <row r="2026" spans="1:26" ht="25.15" hidden="1" customHeight="1" x14ac:dyDescent="0.25">
      <c r="A2026" s="112">
        <v>46262.694409722222</v>
      </c>
      <c r="B2026" s="5" t="s">
        <v>344</v>
      </c>
      <c r="C2026" s="5" t="s">
        <v>824</v>
      </c>
      <c r="D2026" s="5">
        <v>716726</v>
      </c>
      <c r="E2026" s="33">
        <v>1</v>
      </c>
      <c r="F2026" s="60">
        <v>5030</v>
      </c>
      <c r="G2026" s="60">
        <f>+OtherClients[[#This Row],[Boxes / Pieces]]*OtherClients[[#This Row],[Unit Quantity]]</f>
        <v>5030</v>
      </c>
      <c r="H2026" s="60" t="s">
        <v>816</v>
      </c>
      <c r="I2026" s="130" t="s">
        <v>278</v>
      </c>
      <c r="J2026" s="131"/>
      <c r="K2026" s="33" t="s">
        <v>278</v>
      </c>
      <c r="L2026" s="132"/>
      <c r="M2026" s="33" t="s">
        <v>278</v>
      </c>
      <c r="N2026" s="132"/>
      <c r="O2026" s="33" t="s">
        <v>278</v>
      </c>
      <c r="P2026" s="132"/>
      <c r="Q2026" s="33" t="s">
        <v>587</v>
      </c>
      <c r="R2026" s="132"/>
      <c r="S2026" s="33" t="s">
        <v>278</v>
      </c>
      <c r="T2026" s="132"/>
      <c r="U2026" s="33" t="s">
        <v>278</v>
      </c>
      <c r="V2026" s="132"/>
      <c r="W2026" s="59" t="s">
        <v>548</v>
      </c>
      <c r="X2026" s="33" t="str">
        <f>+VLOOKUP(OtherClients[[#This Row],[Part]],PartControl!$A$2:$E$564,5,FALSE)</f>
        <v>Infasco</v>
      </c>
      <c r="Y2026" s="108">
        <f>IF(OtherClients[[#This Row],[Re-certified or New]]&lt;&gt;"Re-certified",IF(OtherClients[[#This Row],[Client]]="infasco",VLOOKUP(OtherClients[[#This Row],[Part]],PartControl!$A$2:$E$564,2,FALSE),OtherClients[[#This Row],[Total Quantity]]*VLOOKUP(OtherClients[[#This Row],[Part]],PartControl!$A$2:$E$564,2,FALSE)),0)</f>
        <v>129.44999999999999</v>
      </c>
      <c r="Z2026" s="108">
        <f>IF(OtherClients[[#This Row],[Re-certified or New]]&lt;&gt;"Re-certified",IF(OtherClients[[#This Row],[Client]]="infasco",VLOOKUP(OtherClients[[#This Row],[Part]],PartControl!$A$2:$E$564,2,FALSE),OtherClients[[#This Row],[Total Quantity]]*VLOOKUP(OtherClients[[#This Row],[Part]],PartControl!$A$2:$E$564,2,FALSE)),0)</f>
        <v>129.44999999999999</v>
      </c>
    </row>
    <row r="2027" spans="1:26" ht="25.15" hidden="1" customHeight="1" x14ac:dyDescent="0.25">
      <c r="A2027" s="112">
        <v>46262.694409722222</v>
      </c>
      <c r="B2027" s="5" t="s">
        <v>344</v>
      </c>
      <c r="C2027" s="5" t="s">
        <v>856</v>
      </c>
      <c r="D2027" s="5">
        <v>717423</v>
      </c>
      <c r="E2027" s="33">
        <v>36</v>
      </c>
      <c r="F2027" s="60">
        <v>440</v>
      </c>
      <c r="G2027" s="60">
        <f>+OtherClients[[#This Row],[Boxes / Pieces]]*OtherClients[[#This Row],[Unit Quantity]]</f>
        <v>15840</v>
      </c>
      <c r="H2027" s="60" t="s">
        <v>816</v>
      </c>
      <c r="I2027" s="130" t="s">
        <v>278</v>
      </c>
      <c r="J2027" s="131"/>
      <c r="K2027" s="33" t="s">
        <v>278</v>
      </c>
      <c r="L2027" s="132"/>
      <c r="M2027" s="33" t="s">
        <v>278</v>
      </c>
      <c r="N2027" s="132"/>
      <c r="O2027" s="33" t="s">
        <v>278</v>
      </c>
      <c r="P2027" s="132"/>
      <c r="Q2027" s="33" t="s">
        <v>587</v>
      </c>
      <c r="R2027" s="132"/>
      <c r="S2027" s="33" t="s">
        <v>278</v>
      </c>
      <c r="T2027" s="132"/>
      <c r="U2027" s="33" t="s">
        <v>278</v>
      </c>
      <c r="V2027" s="132"/>
      <c r="W2027" s="59" t="s">
        <v>548</v>
      </c>
      <c r="X2027" s="33" t="str">
        <f>+VLOOKUP(OtherClients[[#This Row],[Part]],PartControl!$A$2:$E$564,5,FALSE)</f>
        <v>infasco</v>
      </c>
      <c r="Y2027" s="108">
        <f>IF(OtherClients[[#This Row],[Re-certified or New]]&lt;&gt;"Re-certified",IF(OtherClients[[#This Row],[Client]]="infasco",VLOOKUP(OtherClients[[#This Row],[Part]],PartControl!$A$2:$E$564,2,FALSE),OtherClients[[#This Row],[Total Quantity]]*VLOOKUP(OtherClients[[#This Row],[Part]],PartControl!$A$2:$E$564,2,FALSE)),0)</f>
        <v>106.94</v>
      </c>
      <c r="Z2027" s="108">
        <f>IF(OtherClients[[#This Row],[Re-certified or New]]&lt;&gt;"Re-certified",IF(OtherClients[[#This Row],[Client]]="infasco",VLOOKUP(OtherClients[[#This Row],[Part]],PartControl!$A$2:$E$564,2,FALSE),OtherClients[[#This Row],[Total Quantity]]*VLOOKUP(OtherClients[[#This Row],[Part]],PartControl!$A$2:$E$564,2,FALSE)),0)</f>
        <v>106.94</v>
      </c>
    </row>
    <row r="2028" spans="1:26" ht="25.15" hidden="1" customHeight="1" x14ac:dyDescent="0.25">
      <c r="A2028" s="112">
        <v>46262.694409722222</v>
      </c>
      <c r="B2028" s="5" t="s">
        <v>344</v>
      </c>
      <c r="C2028" s="5">
        <v>11546389</v>
      </c>
      <c r="D2028" s="5">
        <v>717701</v>
      </c>
      <c r="E2028" s="33">
        <v>36</v>
      </c>
      <c r="F2028" s="60">
        <v>4500</v>
      </c>
      <c r="G2028" s="60">
        <f>+OtherClients[[#This Row],[Boxes / Pieces]]*OtherClients[[#This Row],[Unit Quantity]]</f>
        <v>162000</v>
      </c>
      <c r="H2028" s="60" t="s">
        <v>816</v>
      </c>
      <c r="I2028" s="130" t="s">
        <v>278</v>
      </c>
      <c r="J2028" s="131"/>
      <c r="K2028" s="33" t="s">
        <v>278</v>
      </c>
      <c r="L2028" s="132"/>
      <c r="M2028" s="33" t="s">
        <v>278</v>
      </c>
      <c r="N2028" s="132"/>
      <c r="O2028" s="33" t="s">
        <v>278</v>
      </c>
      <c r="P2028" s="132"/>
      <c r="Q2028" s="33" t="s">
        <v>587</v>
      </c>
      <c r="R2028" s="132"/>
      <c r="S2028" s="33" t="s">
        <v>278</v>
      </c>
      <c r="T2028" s="132"/>
      <c r="U2028" s="33" t="s">
        <v>278</v>
      </c>
      <c r="V2028" s="132"/>
      <c r="W2028" s="59" t="s">
        <v>548</v>
      </c>
      <c r="X2028" s="33" t="str">
        <f>+VLOOKUP(OtherClients[[#This Row],[Part]],PartControl!$A$2:$E$564,5,FALSE)</f>
        <v>INFASCO</v>
      </c>
      <c r="Y2028" s="108">
        <f>IF(OtherClients[[#This Row],[Re-certified or New]]&lt;&gt;"Re-certified",IF(OtherClients[[#This Row],[Client]]="infasco",VLOOKUP(OtherClients[[#This Row],[Part]],PartControl!$A$2:$E$564,2,FALSE),OtherClients[[#This Row],[Total Quantity]]*VLOOKUP(OtherClients[[#This Row],[Part]],PartControl!$A$2:$E$564,2,FALSE)),0)</f>
        <v>106.94</v>
      </c>
      <c r="Z2028" s="108">
        <f>IF(OtherClients[[#This Row],[Re-certified or New]]&lt;&gt;"Re-certified",IF(OtherClients[[#This Row],[Client]]="infasco",VLOOKUP(OtherClients[[#This Row],[Part]],PartControl!$A$2:$E$564,2,FALSE),OtherClients[[#This Row],[Total Quantity]]*VLOOKUP(OtherClients[[#This Row],[Part]],PartControl!$A$2:$E$564,2,FALSE)),0)</f>
        <v>106.94</v>
      </c>
    </row>
    <row r="2029" spans="1:26" ht="25.15" hidden="1" customHeight="1" x14ac:dyDescent="0.25">
      <c r="A2029" s="112">
        <v>46262.694409722222</v>
      </c>
      <c r="B2029" s="5" t="s">
        <v>344</v>
      </c>
      <c r="C2029" s="5">
        <v>11546389</v>
      </c>
      <c r="D2029" s="5">
        <v>717705</v>
      </c>
      <c r="E2029" s="33">
        <v>19</v>
      </c>
      <c r="F2029" s="60">
        <v>4500</v>
      </c>
      <c r="G2029" s="60">
        <f>+OtherClients[[#This Row],[Boxes / Pieces]]*OtherClients[[#This Row],[Unit Quantity]]</f>
        <v>85500</v>
      </c>
      <c r="H2029" s="60" t="s">
        <v>816</v>
      </c>
      <c r="I2029" s="130" t="s">
        <v>278</v>
      </c>
      <c r="J2029" s="131"/>
      <c r="K2029" s="33" t="s">
        <v>278</v>
      </c>
      <c r="L2029" s="132"/>
      <c r="M2029" s="33" t="s">
        <v>278</v>
      </c>
      <c r="N2029" s="132"/>
      <c r="O2029" s="33" t="s">
        <v>278</v>
      </c>
      <c r="P2029" s="132"/>
      <c r="Q2029" s="33" t="s">
        <v>587</v>
      </c>
      <c r="R2029" s="132"/>
      <c r="S2029" s="33" t="s">
        <v>278</v>
      </c>
      <c r="T2029" s="132"/>
      <c r="U2029" s="33" t="s">
        <v>278</v>
      </c>
      <c r="V2029" s="132"/>
      <c r="W2029" s="59" t="s">
        <v>548</v>
      </c>
      <c r="X2029" s="33" t="str">
        <f>+VLOOKUP(OtherClients[[#This Row],[Part]],PartControl!$A$2:$E$564,5,FALSE)</f>
        <v>INFASCO</v>
      </c>
      <c r="Y2029" s="108">
        <f>IF(OtherClients[[#This Row],[Re-certified or New]]&lt;&gt;"Re-certified",IF(OtherClients[[#This Row],[Client]]="infasco",VLOOKUP(OtherClients[[#This Row],[Part]],PartControl!$A$2:$E$564,2,FALSE),OtherClients[[#This Row],[Total Quantity]]*VLOOKUP(OtherClients[[#This Row],[Part]],PartControl!$A$2:$E$564,2,FALSE)),0)</f>
        <v>106.94</v>
      </c>
      <c r="Z2029" s="108">
        <f>IF(OtherClients[[#This Row],[Re-certified or New]]&lt;&gt;"Re-certified",IF(OtherClients[[#This Row],[Client]]="infasco",VLOOKUP(OtherClients[[#This Row],[Part]],PartControl!$A$2:$E$564,2,FALSE),OtherClients[[#This Row],[Total Quantity]]*VLOOKUP(OtherClients[[#This Row],[Part]],PartControl!$A$2:$E$564,2,FALSE)),0)</f>
        <v>106.94</v>
      </c>
    </row>
    <row r="2030" spans="1:26" ht="25.15" hidden="1" customHeight="1" x14ac:dyDescent="0.25">
      <c r="A2030" s="112">
        <v>46262.694409722222</v>
      </c>
      <c r="B2030" s="5" t="s">
        <v>344</v>
      </c>
      <c r="C2030" s="5" t="s">
        <v>880</v>
      </c>
      <c r="D2030" s="5">
        <v>716322</v>
      </c>
      <c r="E2030" s="33">
        <v>38</v>
      </c>
      <c r="F2030" s="60">
        <v>120</v>
      </c>
      <c r="G2030" s="60">
        <f>+OtherClients[[#This Row],[Boxes / Pieces]]*OtherClients[[#This Row],[Unit Quantity]]</f>
        <v>4560</v>
      </c>
      <c r="H2030" s="60" t="s">
        <v>816</v>
      </c>
      <c r="I2030" s="130" t="s">
        <v>278</v>
      </c>
      <c r="J2030" s="131"/>
      <c r="K2030" s="33" t="s">
        <v>278</v>
      </c>
      <c r="L2030" s="132"/>
      <c r="M2030" s="33" t="s">
        <v>278</v>
      </c>
      <c r="N2030" s="132"/>
      <c r="O2030" s="33" t="s">
        <v>278</v>
      </c>
      <c r="P2030" s="132"/>
      <c r="Q2030" s="33" t="s">
        <v>587</v>
      </c>
      <c r="R2030" s="132"/>
      <c r="S2030" s="33" t="s">
        <v>278</v>
      </c>
      <c r="T2030" s="132"/>
      <c r="U2030" s="33" t="s">
        <v>278</v>
      </c>
      <c r="V2030" s="132"/>
      <c r="W2030" s="59" t="s">
        <v>548</v>
      </c>
      <c r="X2030" s="33" t="str">
        <f>+VLOOKUP(OtherClients[[#This Row],[Part]],PartControl!$A$2:$E$564,5,FALSE)</f>
        <v>infasco</v>
      </c>
      <c r="Y2030" s="108">
        <f>IF(OtherClients[[#This Row],[Re-certified or New]]&lt;&gt;"Re-certified",IF(OtherClients[[#This Row],[Client]]="infasco",VLOOKUP(OtherClients[[#This Row],[Part]],PartControl!$A$2:$E$564,2,FALSE),OtherClients[[#This Row],[Total Quantity]]*VLOOKUP(OtherClients[[#This Row],[Part]],PartControl!$A$2:$E$564,2,FALSE)),0)</f>
        <v>106.94</v>
      </c>
      <c r="Z2030" s="108">
        <f>IF(OtherClients[[#This Row],[Re-certified or New]]&lt;&gt;"Re-certified",IF(OtherClients[[#This Row],[Client]]="infasco",VLOOKUP(OtherClients[[#This Row],[Part]],PartControl!$A$2:$E$564,2,FALSE),OtherClients[[#This Row],[Total Quantity]]*VLOOKUP(OtherClients[[#This Row],[Part]],PartControl!$A$2:$E$564,2,FALSE)),0)</f>
        <v>106.94</v>
      </c>
    </row>
    <row r="2031" spans="1:26" ht="25.15" hidden="1" customHeight="1" x14ac:dyDescent="0.25">
      <c r="A2031" s="112">
        <v>46262.694409722222</v>
      </c>
      <c r="B2031" s="5" t="s">
        <v>345</v>
      </c>
      <c r="C2031" s="5" t="s">
        <v>853</v>
      </c>
      <c r="D2031" s="5">
        <v>716493</v>
      </c>
      <c r="E2031" s="33">
        <v>1</v>
      </c>
      <c r="F2031" s="60">
        <v>4600</v>
      </c>
      <c r="G2031" s="60">
        <f>+OtherClients[[#This Row],[Boxes / Pieces]]*OtherClients[[#This Row],[Unit Quantity]]</f>
        <v>4600</v>
      </c>
      <c r="H2031" s="60" t="s">
        <v>892</v>
      </c>
      <c r="I2031" s="130" t="s">
        <v>278</v>
      </c>
      <c r="J2031" s="131"/>
      <c r="K2031" s="33" t="s">
        <v>278</v>
      </c>
      <c r="L2031" s="132"/>
      <c r="M2031" s="33" t="s">
        <v>278</v>
      </c>
      <c r="N2031" s="132"/>
      <c r="O2031" s="33" t="s">
        <v>278</v>
      </c>
      <c r="P2031" s="132"/>
      <c r="Q2031" s="33" t="s">
        <v>587</v>
      </c>
      <c r="R2031" s="132"/>
      <c r="S2031" s="33" t="s">
        <v>278</v>
      </c>
      <c r="T2031" s="132"/>
      <c r="U2031" s="33" t="s">
        <v>278</v>
      </c>
      <c r="V2031" s="132"/>
      <c r="W2031" s="59" t="s">
        <v>548</v>
      </c>
      <c r="X2031" s="33" t="str">
        <f>+VLOOKUP(OtherClients[[#This Row],[Part]],PartControl!$A$2:$E$564,5,FALSE)</f>
        <v>Infasco</v>
      </c>
      <c r="Y2031" s="108">
        <f>IF(OtherClients[[#This Row],[Re-certified or New]]&lt;&gt;"Re-certified",IF(OtherClients[[#This Row],[Client]]="infasco",VLOOKUP(OtherClients[[#This Row],[Part]],PartControl!$A$2:$E$564,2,FALSE),OtherClients[[#This Row],[Total Quantity]]*VLOOKUP(OtherClients[[#This Row],[Part]],PartControl!$A$2:$E$564,2,FALSE)),0)</f>
        <v>129.44999999999999</v>
      </c>
      <c r="Z2031" s="108">
        <f>IF(OtherClients[[#This Row],[Re-certified or New]]&lt;&gt;"Re-certified",IF(OtherClients[[#This Row],[Client]]="infasco",VLOOKUP(OtherClients[[#This Row],[Part]],PartControl!$A$2:$E$564,2,FALSE),OtherClients[[#This Row],[Total Quantity]]*VLOOKUP(OtherClients[[#This Row],[Part]],PartControl!$A$2:$E$564,2,FALSE)),0)</f>
        <v>129.44999999999999</v>
      </c>
    </row>
    <row r="2032" spans="1:26" ht="25.15" hidden="1" customHeight="1" x14ac:dyDescent="0.25">
      <c r="A2032" s="112">
        <v>46262.694409722222</v>
      </c>
      <c r="B2032" s="5" t="s">
        <v>345</v>
      </c>
      <c r="C2032" s="5" t="s">
        <v>853</v>
      </c>
      <c r="D2032" s="5">
        <v>717243</v>
      </c>
      <c r="E2032" s="33">
        <v>1</v>
      </c>
      <c r="F2032" s="60">
        <v>7620</v>
      </c>
      <c r="G2032" s="60">
        <f>+OtherClients[[#This Row],[Boxes / Pieces]]*OtherClients[[#This Row],[Unit Quantity]]</f>
        <v>7620</v>
      </c>
      <c r="H2032" s="60" t="s">
        <v>892</v>
      </c>
      <c r="I2032" s="130" t="s">
        <v>278</v>
      </c>
      <c r="J2032" s="131"/>
      <c r="K2032" s="33" t="s">
        <v>278</v>
      </c>
      <c r="L2032" s="132"/>
      <c r="M2032" s="33" t="s">
        <v>278</v>
      </c>
      <c r="N2032" s="132"/>
      <c r="O2032" s="33" t="s">
        <v>278</v>
      </c>
      <c r="P2032" s="132"/>
      <c r="Q2032" s="33" t="s">
        <v>587</v>
      </c>
      <c r="R2032" s="132"/>
      <c r="S2032" s="33" t="s">
        <v>278</v>
      </c>
      <c r="T2032" s="132"/>
      <c r="U2032" s="33" t="s">
        <v>278</v>
      </c>
      <c r="V2032" s="132"/>
      <c r="W2032" s="59" t="s">
        <v>548</v>
      </c>
      <c r="X2032" s="33" t="str">
        <f>+VLOOKUP(OtherClients[[#This Row],[Part]],PartControl!$A$2:$E$564,5,FALSE)</f>
        <v>Infasco</v>
      </c>
      <c r="Y2032" s="108">
        <f>IF(OtherClients[[#This Row],[Re-certified or New]]&lt;&gt;"Re-certified",IF(OtherClients[[#This Row],[Client]]="infasco",VLOOKUP(OtherClients[[#This Row],[Part]],PartControl!$A$2:$E$564,2,FALSE),OtherClients[[#This Row],[Total Quantity]]*VLOOKUP(OtherClients[[#This Row],[Part]],PartControl!$A$2:$E$564,2,FALSE)),0)</f>
        <v>129.44999999999999</v>
      </c>
      <c r="Z2032" s="108">
        <f>IF(OtherClients[[#This Row],[Re-certified or New]]&lt;&gt;"Re-certified",IF(OtherClients[[#This Row],[Client]]="infasco",VLOOKUP(OtherClients[[#This Row],[Part]],PartControl!$A$2:$E$564,2,FALSE),OtherClients[[#This Row],[Total Quantity]]*VLOOKUP(OtherClients[[#This Row],[Part]],PartControl!$A$2:$E$564,2,FALSE)),0)</f>
        <v>129.44999999999999</v>
      </c>
    </row>
    <row r="2033" spans="1:26" ht="25.15" hidden="1" customHeight="1" x14ac:dyDescent="0.25">
      <c r="A2033" s="112">
        <v>46262.694409722222</v>
      </c>
      <c r="B2033" s="5" t="s">
        <v>345</v>
      </c>
      <c r="C2033" s="5" t="s">
        <v>824</v>
      </c>
      <c r="D2033" s="5">
        <v>716730</v>
      </c>
      <c r="E2033" s="33">
        <v>1</v>
      </c>
      <c r="F2033" s="60">
        <v>4700</v>
      </c>
      <c r="G2033" s="60">
        <f>+OtherClients[[#This Row],[Boxes / Pieces]]*OtherClients[[#This Row],[Unit Quantity]]</f>
        <v>4700</v>
      </c>
      <c r="H2033" s="60" t="s">
        <v>892</v>
      </c>
      <c r="I2033" s="130" t="s">
        <v>278</v>
      </c>
      <c r="J2033" s="131"/>
      <c r="K2033" s="33" t="s">
        <v>278</v>
      </c>
      <c r="L2033" s="132"/>
      <c r="M2033" s="33" t="s">
        <v>278</v>
      </c>
      <c r="N2033" s="132"/>
      <c r="O2033" s="33" t="s">
        <v>278</v>
      </c>
      <c r="P2033" s="132"/>
      <c r="Q2033" s="33" t="s">
        <v>587</v>
      </c>
      <c r="R2033" s="132"/>
      <c r="S2033" s="33" t="s">
        <v>278</v>
      </c>
      <c r="T2033" s="132"/>
      <c r="U2033" s="33" t="s">
        <v>278</v>
      </c>
      <c r="V2033" s="132"/>
      <c r="W2033" s="59" t="s">
        <v>548</v>
      </c>
      <c r="X2033" s="33" t="str">
        <f>+VLOOKUP(OtherClients[[#This Row],[Part]],PartControl!$A$2:$E$564,5,FALSE)</f>
        <v>Infasco</v>
      </c>
      <c r="Y2033" s="108">
        <f>IF(OtherClients[[#This Row],[Re-certified or New]]&lt;&gt;"Re-certified",IF(OtherClients[[#This Row],[Client]]="infasco",VLOOKUP(OtherClients[[#This Row],[Part]],PartControl!$A$2:$E$564,2,FALSE),OtherClients[[#This Row],[Total Quantity]]*VLOOKUP(OtherClients[[#This Row],[Part]],PartControl!$A$2:$E$564,2,FALSE)),0)</f>
        <v>129.44999999999999</v>
      </c>
      <c r="Z2033" s="108">
        <f>IF(OtherClients[[#This Row],[Re-certified or New]]&lt;&gt;"Re-certified",IF(OtherClients[[#This Row],[Client]]="infasco",VLOOKUP(OtherClients[[#This Row],[Part]],PartControl!$A$2:$E$564,2,FALSE),OtherClients[[#This Row],[Total Quantity]]*VLOOKUP(OtherClients[[#This Row],[Part]],PartControl!$A$2:$E$564,2,FALSE)),0)</f>
        <v>129.44999999999999</v>
      </c>
    </row>
    <row r="2034" spans="1:26" ht="25.15" hidden="1" customHeight="1" x14ac:dyDescent="0.25">
      <c r="A2034" s="112">
        <v>46262.694409722222</v>
      </c>
      <c r="B2034" s="5" t="s">
        <v>345</v>
      </c>
      <c r="C2034" s="5" t="s">
        <v>824</v>
      </c>
      <c r="D2034" s="5">
        <v>716736</v>
      </c>
      <c r="E2034" s="33">
        <v>1</v>
      </c>
      <c r="F2034" s="60">
        <v>5250</v>
      </c>
      <c r="G2034" s="60">
        <f>+OtherClients[[#This Row],[Boxes / Pieces]]*OtherClients[[#This Row],[Unit Quantity]]</f>
        <v>5250</v>
      </c>
      <c r="H2034" s="60" t="s">
        <v>892</v>
      </c>
      <c r="I2034" s="130" t="s">
        <v>278</v>
      </c>
      <c r="J2034" s="131"/>
      <c r="K2034" s="33" t="s">
        <v>278</v>
      </c>
      <c r="L2034" s="132"/>
      <c r="M2034" s="33" t="s">
        <v>278</v>
      </c>
      <c r="N2034" s="132"/>
      <c r="O2034" s="33" t="s">
        <v>278</v>
      </c>
      <c r="P2034" s="132"/>
      <c r="Q2034" s="33" t="s">
        <v>587</v>
      </c>
      <c r="R2034" s="132"/>
      <c r="S2034" s="33" t="s">
        <v>278</v>
      </c>
      <c r="T2034" s="132"/>
      <c r="U2034" s="33" t="s">
        <v>278</v>
      </c>
      <c r="V2034" s="132"/>
      <c r="W2034" s="59" t="s">
        <v>548</v>
      </c>
      <c r="X2034" s="33" t="str">
        <f>+VLOOKUP(OtherClients[[#This Row],[Part]],PartControl!$A$2:$E$564,5,FALSE)</f>
        <v>Infasco</v>
      </c>
      <c r="Y2034" s="108">
        <f>IF(OtherClients[[#This Row],[Re-certified or New]]&lt;&gt;"Re-certified",IF(OtherClients[[#This Row],[Client]]="infasco",VLOOKUP(OtherClients[[#This Row],[Part]],PartControl!$A$2:$E$564,2,FALSE),OtherClients[[#This Row],[Total Quantity]]*VLOOKUP(OtherClients[[#This Row],[Part]],PartControl!$A$2:$E$564,2,FALSE)),0)</f>
        <v>129.44999999999999</v>
      </c>
      <c r="Z2034" s="108">
        <f>IF(OtherClients[[#This Row],[Re-certified or New]]&lt;&gt;"Re-certified",IF(OtherClients[[#This Row],[Client]]="infasco",VLOOKUP(OtherClients[[#This Row],[Part]],PartControl!$A$2:$E$564,2,FALSE),OtherClients[[#This Row],[Total Quantity]]*VLOOKUP(OtherClients[[#This Row],[Part]],PartControl!$A$2:$E$564,2,FALSE)),0)</f>
        <v>129.44999999999999</v>
      </c>
    </row>
    <row r="2035" spans="1:26" ht="25.15" hidden="1" customHeight="1" x14ac:dyDescent="0.25">
      <c r="A2035" s="112">
        <v>46262.694409722222</v>
      </c>
      <c r="B2035" s="5" t="s">
        <v>345</v>
      </c>
      <c r="C2035" s="5" t="s">
        <v>824</v>
      </c>
      <c r="D2035" s="5">
        <v>716733</v>
      </c>
      <c r="E2035" s="33">
        <v>1</v>
      </c>
      <c r="F2035" s="60">
        <v>5400</v>
      </c>
      <c r="G2035" s="60">
        <f>+OtherClients[[#This Row],[Boxes / Pieces]]*OtherClients[[#This Row],[Unit Quantity]]</f>
        <v>5400</v>
      </c>
      <c r="H2035" s="60" t="s">
        <v>892</v>
      </c>
      <c r="I2035" s="130" t="s">
        <v>278</v>
      </c>
      <c r="J2035" s="131"/>
      <c r="K2035" s="33" t="s">
        <v>278</v>
      </c>
      <c r="L2035" s="132"/>
      <c r="M2035" s="33" t="s">
        <v>278</v>
      </c>
      <c r="N2035" s="132"/>
      <c r="O2035" s="33" t="s">
        <v>278</v>
      </c>
      <c r="P2035" s="132"/>
      <c r="Q2035" s="33" t="s">
        <v>587</v>
      </c>
      <c r="R2035" s="132"/>
      <c r="S2035" s="33" t="s">
        <v>278</v>
      </c>
      <c r="T2035" s="132"/>
      <c r="U2035" s="33" t="s">
        <v>278</v>
      </c>
      <c r="V2035" s="132"/>
      <c r="W2035" s="59" t="s">
        <v>548</v>
      </c>
      <c r="X2035" s="33" t="str">
        <f>+VLOOKUP(OtherClients[[#This Row],[Part]],PartControl!$A$2:$E$564,5,FALSE)</f>
        <v>Infasco</v>
      </c>
      <c r="Y2035" s="108">
        <f>IF(OtherClients[[#This Row],[Re-certified or New]]&lt;&gt;"Re-certified",IF(OtherClients[[#This Row],[Client]]="infasco",VLOOKUP(OtherClients[[#This Row],[Part]],PartControl!$A$2:$E$564,2,FALSE),OtherClients[[#This Row],[Total Quantity]]*VLOOKUP(OtherClients[[#This Row],[Part]],PartControl!$A$2:$E$564,2,FALSE)),0)</f>
        <v>129.44999999999999</v>
      </c>
      <c r="Z2035" s="108">
        <f>IF(OtherClients[[#This Row],[Re-certified or New]]&lt;&gt;"Re-certified",IF(OtherClients[[#This Row],[Client]]="infasco",VLOOKUP(OtherClients[[#This Row],[Part]],PartControl!$A$2:$E$564,2,FALSE),OtherClients[[#This Row],[Total Quantity]]*VLOOKUP(OtherClients[[#This Row],[Part]],PartControl!$A$2:$E$564,2,FALSE)),0)</f>
        <v>129.44999999999999</v>
      </c>
    </row>
    <row r="2036" spans="1:26" ht="25.15" hidden="1" customHeight="1" x14ac:dyDescent="0.25">
      <c r="A2036" s="112">
        <v>46262.694409722222</v>
      </c>
      <c r="B2036" s="5" t="s">
        <v>345</v>
      </c>
      <c r="C2036" s="5" t="s">
        <v>824</v>
      </c>
      <c r="D2036" s="5">
        <v>716727</v>
      </c>
      <c r="E2036" s="33">
        <v>1</v>
      </c>
      <c r="F2036" s="60">
        <v>4760</v>
      </c>
      <c r="G2036" s="60">
        <f>+OtherClients[[#This Row],[Boxes / Pieces]]*OtherClients[[#This Row],[Unit Quantity]]</f>
        <v>4760</v>
      </c>
      <c r="H2036" s="60" t="s">
        <v>892</v>
      </c>
      <c r="I2036" s="130" t="s">
        <v>278</v>
      </c>
      <c r="J2036" s="131"/>
      <c r="K2036" s="33" t="s">
        <v>278</v>
      </c>
      <c r="L2036" s="132"/>
      <c r="M2036" s="33" t="s">
        <v>278</v>
      </c>
      <c r="N2036" s="132"/>
      <c r="O2036" s="33" t="s">
        <v>278</v>
      </c>
      <c r="P2036" s="132"/>
      <c r="Q2036" s="33" t="s">
        <v>587</v>
      </c>
      <c r="R2036" s="132"/>
      <c r="S2036" s="33" t="s">
        <v>278</v>
      </c>
      <c r="T2036" s="132"/>
      <c r="U2036" s="33" t="s">
        <v>278</v>
      </c>
      <c r="V2036" s="132"/>
      <c r="W2036" s="59" t="s">
        <v>548</v>
      </c>
      <c r="X2036" s="33" t="str">
        <f>+VLOOKUP(OtherClients[[#This Row],[Part]],PartControl!$A$2:$E$564,5,FALSE)</f>
        <v>Infasco</v>
      </c>
      <c r="Y2036" s="108">
        <f>IF(OtherClients[[#This Row],[Re-certified or New]]&lt;&gt;"Re-certified",IF(OtherClients[[#This Row],[Client]]="infasco",VLOOKUP(OtherClients[[#This Row],[Part]],PartControl!$A$2:$E$564,2,FALSE),OtherClients[[#This Row],[Total Quantity]]*VLOOKUP(OtherClients[[#This Row],[Part]],PartControl!$A$2:$E$564,2,FALSE)),0)</f>
        <v>129.44999999999999</v>
      </c>
      <c r="Z2036" s="108">
        <f>IF(OtherClients[[#This Row],[Re-certified or New]]&lt;&gt;"Re-certified",IF(OtherClients[[#This Row],[Client]]="infasco",VLOOKUP(OtherClients[[#This Row],[Part]],PartControl!$A$2:$E$564,2,FALSE),OtherClients[[#This Row],[Total Quantity]]*VLOOKUP(OtherClients[[#This Row],[Part]],PartControl!$A$2:$E$564,2,FALSE)),0)</f>
        <v>129.44999999999999</v>
      </c>
    </row>
    <row r="2037" spans="1:26" ht="25.15" hidden="1" customHeight="1" x14ac:dyDescent="0.25">
      <c r="A2037" s="112">
        <v>46262.694409722222</v>
      </c>
      <c r="B2037" s="5" t="s">
        <v>345</v>
      </c>
      <c r="C2037" s="5" t="s">
        <v>682</v>
      </c>
      <c r="D2037" s="5">
        <v>716902</v>
      </c>
      <c r="E2037" s="33">
        <v>26</v>
      </c>
      <c r="F2037" s="60">
        <v>330</v>
      </c>
      <c r="G2037" s="60">
        <f>+OtherClients[[#This Row],[Boxes / Pieces]]*OtherClients[[#This Row],[Unit Quantity]]</f>
        <v>8580</v>
      </c>
      <c r="H2037" s="60" t="s">
        <v>892</v>
      </c>
      <c r="I2037" s="130" t="s">
        <v>278</v>
      </c>
      <c r="J2037" s="131"/>
      <c r="K2037" s="33" t="s">
        <v>278</v>
      </c>
      <c r="L2037" s="132"/>
      <c r="M2037" s="33" t="s">
        <v>278</v>
      </c>
      <c r="N2037" s="132"/>
      <c r="O2037" s="33" t="s">
        <v>278</v>
      </c>
      <c r="P2037" s="132"/>
      <c r="Q2037" s="33" t="s">
        <v>587</v>
      </c>
      <c r="R2037" s="132"/>
      <c r="S2037" s="33" t="s">
        <v>278</v>
      </c>
      <c r="T2037" s="132"/>
      <c r="U2037" s="33" t="s">
        <v>278</v>
      </c>
      <c r="V2037" s="132"/>
      <c r="W2037" s="59" t="s">
        <v>548</v>
      </c>
      <c r="X2037" s="33" t="str">
        <f>+VLOOKUP(OtherClients[[#This Row],[Part]],PartControl!$A$2:$E$564,5,FALSE)</f>
        <v>infasco</v>
      </c>
      <c r="Y2037" s="108">
        <f>IF(OtherClients[[#This Row],[Re-certified or New]]&lt;&gt;"Re-certified",IF(OtherClients[[#This Row],[Client]]="infasco",VLOOKUP(OtherClients[[#This Row],[Part]],PartControl!$A$2:$E$564,2,FALSE),OtherClients[[#This Row],[Total Quantity]]*VLOOKUP(OtherClients[[#This Row],[Part]],PartControl!$A$2:$E$564,2,FALSE)),0)</f>
        <v>280.16000000000003</v>
      </c>
      <c r="Z2037" s="108">
        <f>IF(OtherClients[[#This Row],[Re-certified or New]]&lt;&gt;"Re-certified",IF(OtherClients[[#This Row],[Client]]="infasco",VLOOKUP(OtherClients[[#This Row],[Part]],PartControl!$A$2:$E$564,2,FALSE),OtherClients[[#This Row],[Total Quantity]]*VLOOKUP(OtherClients[[#This Row],[Part]],PartControl!$A$2:$E$564,2,FALSE)),0)</f>
        <v>280.16000000000003</v>
      </c>
    </row>
    <row r="2038" spans="1:26" ht="25.15" hidden="1" customHeight="1" x14ac:dyDescent="0.25">
      <c r="A2038" s="112">
        <v>46262.694409722222</v>
      </c>
      <c r="B2038" s="5" t="s">
        <v>345</v>
      </c>
      <c r="C2038" s="5" t="s">
        <v>880</v>
      </c>
      <c r="D2038" s="5">
        <v>716323</v>
      </c>
      <c r="E2038" s="33">
        <v>37</v>
      </c>
      <c r="F2038" s="60">
        <v>120</v>
      </c>
      <c r="G2038" s="60">
        <f>+OtherClients[[#This Row],[Boxes / Pieces]]*OtherClients[[#This Row],[Unit Quantity]]</f>
        <v>4440</v>
      </c>
      <c r="H2038" s="60" t="s">
        <v>892</v>
      </c>
      <c r="I2038" s="130" t="s">
        <v>278</v>
      </c>
      <c r="J2038" s="131"/>
      <c r="K2038" s="33" t="s">
        <v>278</v>
      </c>
      <c r="L2038" s="132"/>
      <c r="M2038" s="33" t="s">
        <v>278</v>
      </c>
      <c r="N2038" s="132"/>
      <c r="O2038" s="33" t="s">
        <v>278</v>
      </c>
      <c r="P2038" s="132"/>
      <c r="Q2038" s="33" t="s">
        <v>587</v>
      </c>
      <c r="R2038" s="132"/>
      <c r="S2038" s="33" t="s">
        <v>278</v>
      </c>
      <c r="T2038" s="132"/>
      <c r="U2038" s="33" t="s">
        <v>278</v>
      </c>
      <c r="V2038" s="132"/>
      <c r="W2038" s="59" t="s">
        <v>548</v>
      </c>
      <c r="X2038" s="33" t="str">
        <f>+VLOOKUP(OtherClients[[#This Row],[Part]],PartControl!$A$2:$E$564,5,FALSE)</f>
        <v>infasco</v>
      </c>
      <c r="Y2038" s="108">
        <f>IF(OtherClients[[#This Row],[Re-certified or New]]&lt;&gt;"Re-certified",IF(OtherClients[[#This Row],[Client]]="infasco",VLOOKUP(OtherClients[[#This Row],[Part]],PartControl!$A$2:$E$564,2,FALSE),OtherClients[[#This Row],[Total Quantity]]*VLOOKUP(OtherClients[[#This Row],[Part]],PartControl!$A$2:$E$564,2,FALSE)),0)</f>
        <v>106.94</v>
      </c>
      <c r="Z2038" s="108">
        <f>IF(OtherClients[[#This Row],[Re-certified or New]]&lt;&gt;"Re-certified",IF(OtherClients[[#This Row],[Client]]="infasco",VLOOKUP(OtherClients[[#This Row],[Part]],PartControl!$A$2:$E$564,2,FALSE),OtherClients[[#This Row],[Total Quantity]]*VLOOKUP(OtherClients[[#This Row],[Part]],PartControl!$A$2:$E$564,2,FALSE)),0)</f>
        <v>106.94</v>
      </c>
    </row>
    <row r="2039" spans="1:26" ht="25.15" hidden="1" customHeight="1" x14ac:dyDescent="0.25">
      <c r="A2039" s="112">
        <v>46262.694409722222</v>
      </c>
      <c r="B2039" s="5" t="s">
        <v>345</v>
      </c>
      <c r="C2039" s="5" t="s">
        <v>880</v>
      </c>
      <c r="D2039" s="5">
        <v>716321</v>
      </c>
      <c r="E2039" s="33">
        <v>39</v>
      </c>
      <c r="F2039" s="60">
        <v>120</v>
      </c>
      <c r="G2039" s="60">
        <f>+OtherClients[[#This Row],[Boxes / Pieces]]*OtherClients[[#This Row],[Unit Quantity]]</f>
        <v>4680</v>
      </c>
      <c r="H2039" s="60" t="s">
        <v>892</v>
      </c>
      <c r="I2039" s="130" t="s">
        <v>278</v>
      </c>
      <c r="J2039" s="131"/>
      <c r="K2039" s="33" t="s">
        <v>278</v>
      </c>
      <c r="L2039" s="132"/>
      <c r="M2039" s="33" t="s">
        <v>278</v>
      </c>
      <c r="N2039" s="132"/>
      <c r="O2039" s="33" t="s">
        <v>278</v>
      </c>
      <c r="P2039" s="132"/>
      <c r="Q2039" s="33" t="s">
        <v>587</v>
      </c>
      <c r="R2039" s="132"/>
      <c r="S2039" s="33" t="s">
        <v>278</v>
      </c>
      <c r="T2039" s="132"/>
      <c r="U2039" s="33" t="s">
        <v>278</v>
      </c>
      <c r="V2039" s="132"/>
      <c r="W2039" s="59" t="s">
        <v>548</v>
      </c>
      <c r="X2039" s="33" t="str">
        <f>+VLOOKUP(OtherClients[[#This Row],[Part]],PartControl!$A$2:$E$564,5,FALSE)</f>
        <v>infasco</v>
      </c>
      <c r="Y2039" s="108">
        <f>IF(OtherClients[[#This Row],[Re-certified or New]]&lt;&gt;"Re-certified",IF(OtherClients[[#This Row],[Client]]="infasco",VLOOKUP(OtherClients[[#This Row],[Part]],PartControl!$A$2:$E$564,2,FALSE),OtherClients[[#This Row],[Total Quantity]]*VLOOKUP(OtherClients[[#This Row],[Part]],PartControl!$A$2:$E$564,2,FALSE)),0)</f>
        <v>106.94</v>
      </c>
      <c r="Z2039" s="108">
        <f>IF(OtherClients[[#This Row],[Re-certified or New]]&lt;&gt;"Re-certified",IF(OtherClients[[#This Row],[Client]]="infasco",VLOOKUP(OtherClients[[#This Row],[Part]],PartControl!$A$2:$E$564,2,FALSE),OtherClients[[#This Row],[Total Quantity]]*VLOOKUP(OtherClients[[#This Row],[Part]],PartControl!$A$2:$E$564,2,FALSE)),0)</f>
        <v>106.94</v>
      </c>
    </row>
    <row r="2040" spans="1:26" ht="25.15" hidden="1" customHeight="1" x14ac:dyDescent="0.25">
      <c r="A2040" s="112">
        <v>46262.694409722222</v>
      </c>
      <c r="B2040" s="5" t="s">
        <v>345</v>
      </c>
      <c r="C2040" s="5" t="s">
        <v>687</v>
      </c>
      <c r="D2040" s="5">
        <v>717211</v>
      </c>
      <c r="E2040" s="33">
        <v>38</v>
      </c>
      <c r="F2040" s="60">
        <v>280</v>
      </c>
      <c r="G2040" s="60">
        <f>+OtherClients[[#This Row],[Boxes / Pieces]]*OtherClients[[#This Row],[Unit Quantity]]</f>
        <v>10640</v>
      </c>
      <c r="H2040" s="60" t="s">
        <v>892</v>
      </c>
      <c r="I2040" s="130" t="s">
        <v>278</v>
      </c>
      <c r="J2040" s="131"/>
      <c r="K2040" s="33" t="s">
        <v>278</v>
      </c>
      <c r="L2040" s="132"/>
      <c r="M2040" s="33" t="s">
        <v>278</v>
      </c>
      <c r="N2040" s="132"/>
      <c r="O2040" s="33" t="s">
        <v>278</v>
      </c>
      <c r="P2040" s="132"/>
      <c r="Q2040" s="33" t="s">
        <v>587</v>
      </c>
      <c r="R2040" s="132"/>
      <c r="S2040" s="33" t="s">
        <v>278</v>
      </c>
      <c r="T2040" s="132"/>
      <c r="U2040" s="33" t="s">
        <v>278</v>
      </c>
      <c r="V2040" s="132"/>
      <c r="W2040" s="59" t="s">
        <v>548</v>
      </c>
      <c r="X2040" s="33" t="str">
        <f>+VLOOKUP(OtherClients[[#This Row],[Part]],PartControl!$A$2:$E$564,5,FALSE)</f>
        <v>infasco</v>
      </c>
      <c r="Y2040" s="108">
        <f>IF(OtherClients[[#This Row],[Re-certified or New]]&lt;&gt;"Re-certified",IF(OtherClients[[#This Row],[Client]]="infasco",VLOOKUP(OtherClients[[#This Row],[Part]],PartControl!$A$2:$E$564,2,FALSE),OtherClients[[#This Row],[Total Quantity]]*VLOOKUP(OtherClients[[#This Row],[Part]],PartControl!$A$2:$E$564,2,FALSE)),0)</f>
        <v>106.94</v>
      </c>
      <c r="Z2040" s="108">
        <f>IF(OtherClients[[#This Row],[Re-certified or New]]&lt;&gt;"Re-certified",IF(OtherClients[[#This Row],[Client]]="infasco",VLOOKUP(OtherClients[[#This Row],[Part]],PartControl!$A$2:$E$564,2,FALSE),OtherClients[[#This Row],[Total Quantity]]*VLOOKUP(OtherClients[[#This Row],[Part]],PartControl!$A$2:$E$564,2,FALSE)),0)</f>
        <v>106.94</v>
      </c>
    </row>
    <row r="2041" spans="1:26" ht="25.15" hidden="1" customHeight="1" x14ac:dyDescent="0.25">
      <c r="A2041" s="112">
        <v>46262.694409722222</v>
      </c>
      <c r="B2041" s="5" t="s">
        <v>345</v>
      </c>
      <c r="C2041" s="5" t="s">
        <v>880</v>
      </c>
      <c r="D2041" s="5">
        <v>716319</v>
      </c>
      <c r="E2041" s="33">
        <v>36</v>
      </c>
      <c r="F2041" s="60">
        <v>120</v>
      </c>
      <c r="G2041" s="60">
        <f>+OtherClients[[#This Row],[Boxes / Pieces]]*OtherClients[[#This Row],[Unit Quantity]]</f>
        <v>4320</v>
      </c>
      <c r="H2041" s="60" t="s">
        <v>892</v>
      </c>
      <c r="I2041" s="130" t="s">
        <v>278</v>
      </c>
      <c r="J2041" s="131"/>
      <c r="K2041" s="33" t="s">
        <v>278</v>
      </c>
      <c r="L2041" s="132"/>
      <c r="M2041" s="33" t="s">
        <v>278</v>
      </c>
      <c r="N2041" s="132"/>
      <c r="O2041" s="33" t="s">
        <v>278</v>
      </c>
      <c r="P2041" s="132"/>
      <c r="Q2041" s="33" t="s">
        <v>587</v>
      </c>
      <c r="R2041" s="132"/>
      <c r="S2041" s="33" t="s">
        <v>278</v>
      </c>
      <c r="T2041" s="132"/>
      <c r="U2041" s="33" t="s">
        <v>278</v>
      </c>
      <c r="V2041" s="132"/>
      <c r="W2041" s="59" t="s">
        <v>548</v>
      </c>
      <c r="X2041" s="33" t="str">
        <f>+VLOOKUP(OtherClients[[#This Row],[Part]],PartControl!$A$2:$E$564,5,FALSE)</f>
        <v>infasco</v>
      </c>
      <c r="Y2041" s="108">
        <f>IF(OtherClients[[#This Row],[Re-certified or New]]&lt;&gt;"Re-certified",IF(OtherClients[[#This Row],[Client]]="infasco",VLOOKUP(OtherClients[[#This Row],[Part]],PartControl!$A$2:$E$564,2,FALSE),OtherClients[[#This Row],[Total Quantity]]*VLOOKUP(OtherClients[[#This Row],[Part]],PartControl!$A$2:$E$564,2,FALSE)),0)</f>
        <v>106.94</v>
      </c>
      <c r="Z2041" s="108">
        <f>IF(OtherClients[[#This Row],[Re-certified or New]]&lt;&gt;"Re-certified",IF(OtherClients[[#This Row],[Client]]="infasco",VLOOKUP(OtherClients[[#This Row],[Part]],PartControl!$A$2:$E$564,2,FALSE),OtherClients[[#This Row],[Total Quantity]]*VLOOKUP(OtherClients[[#This Row],[Part]],PartControl!$A$2:$E$564,2,FALSE)),0)</f>
        <v>106.94</v>
      </c>
    </row>
    <row r="2042" spans="1:26" ht="25.15" hidden="1" customHeight="1" x14ac:dyDescent="0.25">
      <c r="A2042" s="112">
        <v>46262.694409722222</v>
      </c>
      <c r="B2042" s="5" t="s">
        <v>345</v>
      </c>
      <c r="C2042" s="5" t="s">
        <v>880</v>
      </c>
      <c r="D2042" s="5">
        <v>716320</v>
      </c>
      <c r="E2042" s="33">
        <v>38</v>
      </c>
      <c r="F2042" s="60">
        <v>120</v>
      </c>
      <c r="G2042" s="60">
        <f>+OtherClients[[#This Row],[Boxes / Pieces]]*OtherClients[[#This Row],[Unit Quantity]]</f>
        <v>4560</v>
      </c>
      <c r="H2042" s="60" t="s">
        <v>892</v>
      </c>
      <c r="I2042" s="130" t="s">
        <v>278</v>
      </c>
      <c r="J2042" s="131"/>
      <c r="K2042" s="33" t="s">
        <v>278</v>
      </c>
      <c r="L2042" s="132"/>
      <c r="M2042" s="33" t="s">
        <v>278</v>
      </c>
      <c r="N2042" s="132"/>
      <c r="O2042" s="33" t="s">
        <v>278</v>
      </c>
      <c r="P2042" s="132"/>
      <c r="Q2042" s="33" t="s">
        <v>587</v>
      </c>
      <c r="R2042" s="132"/>
      <c r="S2042" s="33" t="s">
        <v>278</v>
      </c>
      <c r="T2042" s="132"/>
      <c r="U2042" s="33" t="s">
        <v>278</v>
      </c>
      <c r="V2042" s="132"/>
      <c r="W2042" s="59" t="s">
        <v>548</v>
      </c>
      <c r="X2042" s="33" t="str">
        <f>+VLOOKUP(OtherClients[[#This Row],[Part]],PartControl!$A$2:$E$564,5,FALSE)</f>
        <v>infasco</v>
      </c>
      <c r="Y2042" s="108">
        <f>IF(OtherClients[[#This Row],[Re-certified or New]]&lt;&gt;"Re-certified",IF(OtherClients[[#This Row],[Client]]="infasco",VLOOKUP(OtherClients[[#This Row],[Part]],PartControl!$A$2:$E$564,2,FALSE),OtherClients[[#This Row],[Total Quantity]]*VLOOKUP(OtherClients[[#This Row],[Part]],PartControl!$A$2:$E$564,2,FALSE)),0)</f>
        <v>106.94</v>
      </c>
      <c r="Z2042" s="108">
        <f>IF(OtherClients[[#This Row],[Re-certified or New]]&lt;&gt;"Re-certified",IF(OtherClients[[#This Row],[Client]]="infasco",VLOOKUP(OtherClients[[#This Row],[Part]],PartControl!$A$2:$E$564,2,FALSE),OtherClients[[#This Row],[Total Quantity]]*VLOOKUP(OtherClients[[#This Row],[Part]],PartControl!$A$2:$E$564,2,FALSE)),0)</f>
        <v>106.94</v>
      </c>
    </row>
    <row r="2043" spans="1:26" ht="25.15" hidden="1" customHeight="1" x14ac:dyDescent="0.25">
      <c r="A2043" s="112">
        <v>46262.694409722222</v>
      </c>
      <c r="B2043" s="5" t="s">
        <v>345</v>
      </c>
      <c r="C2043" s="5" t="s">
        <v>827</v>
      </c>
      <c r="D2043" s="5">
        <v>716830</v>
      </c>
      <c r="E2043" s="33">
        <v>12</v>
      </c>
      <c r="F2043" s="60">
        <v>940</v>
      </c>
      <c r="G2043" s="60">
        <f>+OtherClients[[#This Row],[Boxes / Pieces]]*OtherClients[[#This Row],[Unit Quantity]]</f>
        <v>11280</v>
      </c>
      <c r="H2043" s="60" t="s">
        <v>892</v>
      </c>
      <c r="I2043" s="130" t="s">
        <v>278</v>
      </c>
      <c r="J2043" s="131"/>
      <c r="K2043" s="33" t="s">
        <v>278</v>
      </c>
      <c r="L2043" s="132"/>
      <c r="M2043" s="33" t="s">
        <v>278</v>
      </c>
      <c r="N2043" s="132"/>
      <c r="O2043" s="33" t="s">
        <v>278</v>
      </c>
      <c r="P2043" s="132"/>
      <c r="Q2043" s="33" t="s">
        <v>587</v>
      </c>
      <c r="R2043" s="132"/>
      <c r="S2043" s="33" t="s">
        <v>278</v>
      </c>
      <c r="T2043" s="132"/>
      <c r="U2043" s="33" t="s">
        <v>278</v>
      </c>
      <c r="V2043" s="132"/>
      <c r="W2043" s="59" t="s">
        <v>633</v>
      </c>
      <c r="X2043" s="33" t="str">
        <f>+VLOOKUP(OtherClients[[#This Row],[Part]],PartControl!$A$2:$E$564,5,FALSE)</f>
        <v>infasco</v>
      </c>
      <c r="Y2043" s="108">
        <f>IF(OtherClients[[#This Row],[Re-certified or New]]&lt;&gt;"Re-certified",IF(OtherClients[[#This Row],[Client]]="infasco",VLOOKUP(OtherClients[[#This Row],[Part]],PartControl!$A$2:$E$564,2,FALSE),OtherClients[[#This Row],[Total Quantity]]*VLOOKUP(OtherClients[[#This Row],[Part]],PartControl!$A$2:$E$564,2,FALSE)),0)</f>
        <v>0</v>
      </c>
      <c r="Z2043" s="108">
        <f>IF(OtherClients[[#This Row],[Re-certified or New]]&lt;&gt;"Re-certified",IF(OtherClients[[#This Row],[Client]]="infasco",VLOOKUP(OtherClients[[#This Row],[Part]],PartControl!$A$2:$E$564,2,FALSE),OtherClients[[#This Row],[Total Quantity]]*VLOOKUP(OtherClients[[#This Row],[Part]],PartControl!$A$2:$E$564,2,FALSE)),0)</f>
        <v>0</v>
      </c>
    </row>
    <row r="2044" spans="1:26" ht="25.15" hidden="1" customHeight="1" x14ac:dyDescent="0.25">
      <c r="A2044" s="112">
        <v>46262.694409722222</v>
      </c>
      <c r="B2044" s="5" t="s">
        <v>346</v>
      </c>
      <c r="C2044" s="5" t="s">
        <v>794</v>
      </c>
      <c r="D2044" s="5">
        <v>716410</v>
      </c>
      <c r="E2044" s="33">
        <v>15</v>
      </c>
      <c r="F2044" s="60">
        <v>195</v>
      </c>
      <c r="G2044" s="60">
        <f>+OtherClients[[#This Row],[Boxes / Pieces]]*OtherClients[[#This Row],[Unit Quantity]]</f>
        <v>2925</v>
      </c>
      <c r="H2044" s="60">
        <v>197</v>
      </c>
      <c r="I2044" s="130" t="s">
        <v>278</v>
      </c>
      <c r="J2044" s="131"/>
      <c r="K2044" s="33" t="s">
        <v>278</v>
      </c>
      <c r="L2044" s="132"/>
      <c r="M2044" s="33" t="s">
        <v>278</v>
      </c>
      <c r="N2044" s="132"/>
      <c r="O2044" s="33" t="s">
        <v>278</v>
      </c>
      <c r="P2044" s="132"/>
      <c r="Q2044" s="33" t="s">
        <v>587</v>
      </c>
      <c r="R2044" s="132"/>
      <c r="S2044" s="33" t="s">
        <v>278</v>
      </c>
      <c r="T2044" s="132"/>
      <c r="U2044" s="33" t="s">
        <v>278</v>
      </c>
      <c r="V2044" s="132"/>
      <c r="W2044" s="59" t="s">
        <v>548</v>
      </c>
      <c r="X2044" s="33" t="str">
        <f>+VLOOKUP(OtherClients[[#This Row],[Part]],PartControl!$A$2:$E$564,5,FALSE)</f>
        <v>infasco</v>
      </c>
      <c r="Y2044" s="108">
        <f>IF(OtherClients[[#This Row],[Re-certified or New]]&lt;&gt;"Re-certified",IF(OtherClients[[#This Row],[Client]]="infasco",VLOOKUP(OtherClients[[#This Row],[Part]],PartControl!$A$2:$E$564,2,FALSE),OtherClients[[#This Row],[Total Quantity]]*VLOOKUP(OtherClients[[#This Row],[Part]],PartControl!$A$2:$E$564,2,FALSE)),0)</f>
        <v>51.78</v>
      </c>
      <c r="Z2044" s="108">
        <f>IF(OtherClients[[#This Row],[Re-certified or New]]&lt;&gt;"Re-certified",IF(OtherClients[[#This Row],[Client]]="infasco",VLOOKUP(OtherClients[[#This Row],[Part]],PartControl!$A$2:$E$564,2,FALSE),OtherClients[[#This Row],[Total Quantity]]*VLOOKUP(OtherClients[[#This Row],[Part]],PartControl!$A$2:$E$564,2,FALSE)),0)</f>
        <v>51.78</v>
      </c>
    </row>
    <row r="2045" spans="1:26" ht="25.15" hidden="1" customHeight="1" x14ac:dyDescent="0.25">
      <c r="A2045" s="112">
        <v>46262.694409722222</v>
      </c>
      <c r="B2045" s="5" t="s">
        <v>347</v>
      </c>
      <c r="C2045" s="5" t="s">
        <v>730</v>
      </c>
      <c r="D2045" s="5">
        <v>713721</v>
      </c>
      <c r="E2045" s="33">
        <v>10</v>
      </c>
      <c r="F2045" s="60">
        <v>3500</v>
      </c>
      <c r="G2045" s="60">
        <f>+OtherClients[[#This Row],[Boxes / Pieces]]*OtherClients[[#This Row],[Unit Quantity]]</f>
        <v>35000</v>
      </c>
      <c r="H2045" s="60">
        <v>272</v>
      </c>
      <c r="I2045" s="130" t="s">
        <v>278</v>
      </c>
      <c r="J2045" s="131"/>
      <c r="K2045" s="33" t="s">
        <v>278</v>
      </c>
      <c r="L2045" s="132"/>
      <c r="M2045" s="33" t="s">
        <v>278</v>
      </c>
      <c r="N2045" s="132"/>
      <c r="O2045" s="33" t="s">
        <v>278</v>
      </c>
      <c r="P2045" s="132"/>
      <c r="Q2045" s="33" t="s">
        <v>587</v>
      </c>
      <c r="R2045" s="132"/>
      <c r="S2045" s="33" t="s">
        <v>278</v>
      </c>
      <c r="T2045" s="132"/>
      <c r="U2045" s="33" t="s">
        <v>278</v>
      </c>
      <c r="V2045" s="132"/>
      <c r="W2045" s="59" t="s">
        <v>633</v>
      </c>
      <c r="X2045" s="33" t="str">
        <f>+VLOOKUP(OtherClients[[#This Row],[Part]],PartControl!$A$2:$E$564,5,FALSE)</f>
        <v>infasco</v>
      </c>
      <c r="Y2045" s="108">
        <f>IF(OtherClients[[#This Row],[Re-certified or New]]&lt;&gt;"Re-certified",IF(OtherClients[[#This Row],[Client]]="infasco",VLOOKUP(OtherClients[[#This Row],[Part]],PartControl!$A$2:$E$564,2,FALSE),OtherClients[[#This Row],[Total Quantity]]*VLOOKUP(OtherClients[[#This Row],[Part]],PartControl!$A$2:$E$564,2,FALSE)),0)</f>
        <v>0</v>
      </c>
      <c r="Z2045" s="108">
        <f>IF(OtherClients[[#This Row],[Re-certified or New]]&lt;&gt;"Re-certified",IF(OtherClients[[#This Row],[Client]]="infasco",VLOOKUP(OtherClients[[#This Row],[Part]],PartControl!$A$2:$E$564,2,FALSE),OtherClients[[#This Row],[Total Quantity]]*VLOOKUP(OtherClients[[#This Row],[Part]],PartControl!$A$2:$E$564,2,FALSE)),0)</f>
        <v>0</v>
      </c>
    </row>
    <row r="2046" spans="1:26" ht="25.15" hidden="1" customHeight="1" x14ac:dyDescent="0.25">
      <c r="A2046" s="112">
        <v>46262.694409722222</v>
      </c>
      <c r="B2046" s="5" t="s">
        <v>249</v>
      </c>
      <c r="C2046" s="5">
        <v>11612078</v>
      </c>
      <c r="D2046" s="5">
        <v>707328</v>
      </c>
      <c r="E2046" s="33">
        <v>22</v>
      </c>
      <c r="F2046" s="60">
        <v>1850</v>
      </c>
      <c r="G2046" s="60">
        <f>+OtherClients[[#This Row],[Boxes / Pieces]]*OtherClients[[#This Row],[Unit Quantity]]</f>
        <v>40700</v>
      </c>
      <c r="H2046" s="60">
        <v>4</v>
      </c>
      <c r="I2046" s="130" t="s">
        <v>278</v>
      </c>
      <c r="J2046" s="131"/>
      <c r="K2046" s="33" t="s">
        <v>278</v>
      </c>
      <c r="L2046" s="132"/>
      <c r="M2046" s="33" t="s">
        <v>278</v>
      </c>
      <c r="N2046" s="132"/>
      <c r="O2046" s="33" t="s">
        <v>278</v>
      </c>
      <c r="P2046" s="132"/>
      <c r="Q2046" s="33" t="s">
        <v>587</v>
      </c>
      <c r="R2046" s="132"/>
      <c r="S2046" s="33" t="s">
        <v>278</v>
      </c>
      <c r="T2046" s="132"/>
      <c r="U2046" s="33" t="s">
        <v>278</v>
      </c>
      <c r="V2046" s="132"/>
      <c r="W2046" s="59" t="s">
        <v>633</v>
      </c>
      <c r="X2046" s="33" t="str">
        <f>+VLOOKUP(OtherClients[[#This Row],[Part]],PartControl!$A$2:$E$564,5,FALSE)</f>
        <v>infasco</v>
      </c>
      <c r="Y2046" s="108">
        <f>IF(OtherClients[[#This Row],[Re-certified or New]]&lt;&gt;"Re-certified",IF(OtherClients[[#This Row],[Client]]="infasco",VLOOKUP(OtherClients[[#This Row],[Part]],PartControl!$A$2:$E$564,2,FALSE),OtherClients[[#This Row],[Total Quantity]]*VLOOKUP(OtherClients[[#This Row],[Part]],PartControl!$A$2:$E$564,2,FALSE)),0)</f>
        <v>0</v>
      </c>
      <c r="Z2046" s="108">
        <f>IF(OtherClients[[#This Row],[Re-certified or New]]&lt;&gt;"Re-certified",IF(OtherClients[[#This Row],[Client]]="infasco",VLOOKUP(OtherClients[[#This Row],[Part]],PartControl!$A$2:$E$564,2,FALSE),OtherClients[[#This Row],[Total Quantity]]*VLOOKUP(OtherClients[[#This Row],[Part]],PartControl!$A$2:$E$564,2,FALSE)),0)</f>
        <v>0</v>
      </c>
    </row>
    <row r="2047" spans="1:26" ht="25.15" hidden="1" customHeight="1" x14ac:dyDescent="0.25">
      <c r="A2047" s="112">
        <v>46263</v>
      </c>
      <c r="B2047" s="5" t="s">
        <v>244</v>
      </c>
      <c r="C2047" s="5" t="s">
        <v>706</v>
      </c>
      <c r="D2047" s="5">
        <v>716822</v>
      </c>
      <c r="E2047" s="33">
        <v>10</v>
      </c>
      <c r="F2047" s="60">
        <v>1900</v>
      </c>
      <c r="G2047" s="60">
        <v>19000</v>
      </c>
      <c r="H2047" s="60">
        <v>292</v>
      </c>
      <c r="I2047" s="130" t="s">
        <v>278</v>
      </c>
      <c r="J2047" s="131"/>
      <c r="K2047" s="33" t="s">
        <v>278</v>
      </c>
      <c r="L2047" s="132"/>
      <c r="M2047" s="33" t="s">
        <v>278</v>
      </c>
      <c r="N2047" s="132"/>
      <c r="O2047" s="33" t="s">
        <v>278</v>
      </c>
      <c r="P2047" s="132"/>
      <c r="Q2047" s="33" t="s">
        <v>587</v>
      </c>
      <c r="R2047" s="132"/>
      <c r="S2047" s="33" t="s">
        <v>278</v>
      </c>
      <c r="T2047" s="132"/>
      <c r="U2047" s="33" t="s">
        <v>278</v>
      </c>
      <c r="V2047" s="132"/>
      <c r="W2047" s="59" t="s">
        <v>633</v>
      </c>
      <c r="X2047" s="33" t="str">
        <f>+VLOOKUP(OtherClients[[#This Row],[Part]],PartControl!$A$2:$E$564,5,FALSE)</f>
        <v>infasco</v>
      </c>
      <c r="Y2047" s="132">
        <v>106.94</v>
      </c>
      <c r="Z2047" s="108">
        <f>IF(OtherClients[[#This Row],[Re-certified or New]]&lt;&gt;"Re-certified",IF(OtherClients[[#This Row],[Client]]="infasco",VLOOKUP(OtherClients[[#This Row],[Part]],PartControl!$A$2:$E$564,2,FALSE),OtherClients[[#This Row],[Total Quantity]]*VLOOKUP(OtherClients[[#This Row],[Part]],PartControl!$A$2:$E$564,2,FALSE)),0)</f>
        <v>0</v>
      </c>
    </row>
    <row r="2048" spans="1:26" ht="25.15" hidden="1" customHeight="1" x14ac:dyDescent="0.25">
      <c r="A2048" s="112">
        <v>46263</v>
      </c>
      <c r="B2048" s="5" t="s">
        <v>251</v>
      </c>
      <c r="C2048" s="5">
        <v>11549168</v>
      </c>
      <c r="D2048" s="5">
        <v>716562</v>
      </c>
      <c r="E2048" s="33">
        <f>36-30</f>
        <v>6</v>
      </c>
      <c r="F2048" s="60">
        <v>1000</v>
      </c>
      <c r="G2048" s="60">
        <f>+OtherClients[[#This Row],[Boxes / Pieces]]*OtherClients[[#This Row],[Unit Quantity]]</f>
        <v>6000</v>
      </c>
      <c r="H2048" s="60">
        <v>292</v>
      </c>
      <c r="I2048" s="130" t="s">
        <v>278</v>
      </c>
      <c r="J2048" s="131"/>
      <c r="K2048" s="33" t="s">
        <v>278</v>
      </c>
      <c r="L2048" s="132"/>
      <c r="M2048" s="33" t="s">
        <v>278</v>
      </c>
      <c r="N2048" s="132"/>
      <c r="O2048" s="33" t="s">
        <v>278</v>
      </c>
      <c r="P2048" s="132"/>
      <c r="Q2048" s="33" t="s">
        <v>587</v>
      </c>
      <c r="R2048" s="132"/>
      <c r="S2048" s="33" t="s">
        <v>278</v>
      </c>
      <c r="T2048" s="132"/>
      <c r="U2048" s="33" t="s">
        <v>278</v>
      </c>
      <c r="V2048" s="132"/>
      <c r="W2048" s="59" t="s">
        <v>548</v>
      </c>
      <c r="X2048" s="33" t="str">
        <f>+VLOOKUP(OtherClients[[#This Row],[Part]],PartControl!$A$2:$E$564,5,FALSE)</f>
        <v>INFASCO</v>
      </c>
      <c r="Y2048" s="108">
        <f>IF(OtherClients[[#This Row],[Re-certified or New]]&lt;&gt;"Re-certified",IF(OtherClients[[#This Row],[Client]]="infasco",VLOOKUP(OtherClients[[#This Row],[Part]],PartControl!$A$2:$E$564,2,FALSE),OtherClients[[#This Row],[Total Quantity]]*VLOOKUP(OtherClients[[#This Row],[Part]],PartControl!$A$2:$E$564,2,FALSE)),0)</f>
        <v>106.94</v>
      </c>
      <c r="Z2048" s="108">
        <f>IF(OtherClients[[#This Row],[Re-certified or New]]&lt;&gt;"Re-certified",IF(OtherClients[[#This Row],[Client]]="infasco",VLOOKUP(OtherClients[[#This Row],[Part]],PartControl!$A$2:$E$564,2,FALSE),OtherClients[[#This Row],[Total Quantity]]*VLOOKUP(OtherClients[[#This Row],[Part]],PartControl!$A$2:$E$564,2,FALSE)),0)</f>
        <v>106.94</v>
      </c>
    </row>
    <row r="2049" spans="1:26" ht="25.15" hidden="1" customHeight="1" x14ac:dyDescent="0.25">
      <c r="A2049" s="112">
        <v>46263</v>
      </c>
      <c r="B2049" s="5" t="s">
        <v>251</v>
      </c>
      <c r="C2049" s="5">
        <v>11549168</v>
      </c>
      <c r="D2049" s="5">
        <v>716228</v>
      </c>
      <c r="E2049" s="33">
        <v>20</v>
      </c>
      <c r="F2049" s="60">
        <v>1000</v>
      </c>
      <c r="G2049" s="60">
        <f>+OtherClients[[#This Row],[Boxes / Pieces]]*OtherClients[[#This Row],[Unit Quantity]]</f>
        <v>20000</v>
      </c>
      <c r="H2049" s="60">
        <v>292</v>
      </c>
      <c r="I2049" s="130" t="s">
        <v>278</v>
      </c>
      <c r="J2049" s="131"/>
      <c r="K2049" s="33" t="s">
        <v>278</v>
      </c>
      <c r="L2049" s="132"/>
      <c r="M2049" s="33" t="s">
        <v>278</v>
      </c>
      <c r="N2049" s="132"/>
      <c r="O2049" s="33" t="s">
        <v>278</v>
      </c>
      <c r="P2049" s="132"/>
      <c r="Q2049" s="33" t="s">
        <v>587</v>
      </c>
      <c r="R2049" s="132"/>
      <c r="S2049" s="33" t="s">
        <v>278</v>
      </c>
      <c r="T2049" s="132"/>
      <c r="U2049" s="33" t="s">
        <v>278</v>
      </c>
      <c r="V2049" s="132"/>
      <c r="W2049" s="59" t="s">
        <v>633</v>
      </c>
      <c r="X2049" s="33" t="str">
        <f>+VLOOKUP(OtherClients[[#This Row],[Part]],PartControl!$A$2:$E$564,5,FALSE)</f>
        <v>INFASCO</v>
      </c>
      <c r="Y2049" s="108">
        <f>IF(OtherClients[[#This Row],[Re-certified or New]]&lt;&gt;"Re-certified",IF(OtherClients[[#This Row],[Client]]="infasco",VLOOKUP(OtherClients[[#This Row],[Part]],PartControl!$A$2:$E$564,2,FALSE),OtherClients[[#This Row],[Total Quantity]]*VLOOKUP(OtherClients[[#This Row],[Part]],PartControl!$A$2:$E$564,2,FALSE)),0)</f>
        <v>0</v>
      </c>
      <c r="Z2049" s="108">
        <f>IF(OtherClients[[#This Row],[Re-certified or New]]&lt;&gt;"Re-certified",IF(OtherClients[[#This Row],[Client]]="infasco",VLOOKUP(OtherClients[[#This Row],[Part]],PartControl!$A$2:$E$564,2,FALSE),OtherClients[[#This Row],[Total Quantity]]*VLOOKUP(OtherClients[[#This Row],[Part]],PartControl!$A$2:$E$564,2,FALSE)),0)</f>
        <v>0</v>
      </c>
    </row>
    <row r="2050" spans="1:26" ht="25.15" hidden="1" customHeight="1" x14ac:dyDescent="0.25">
      <c r="A2050" s="112">
        <v>46263</v>
      </c>
      <c r="B2050" s="5" t="s">
        <v>245</v>
      </c>
      <c r="C2050" s="5" t="s">
        <v>719</v>
      </c>
      <c r="D2050" s="5">
        <v>717635</v>
      </c>
      <c r="E2050" s="33">
        <v>15</v>
      </c>
      <c r="F2050" s="60">
        <v>2150</v>
      </c>
      <c r="G2050" s="60">
        <f>+OtherClients[[#This Row],[Boxes / Pieces]]*OtherClients[[#This Row],[Unit Quantity]]</f>
        <v>32250</v>
      </c>
      <c r="H2050" s="60">
        <v>292</v>
      </c>
      <c r="I2050" s="130" t="s">
        <v>278</v>
      </c>
      <c r="J2050" s="131"/>
      <c r="K2050" s="33" t="s">
        <v>278</v>
      </c>
      <c r="L2050" s="132"/>
      <c r="M2050" s="33" t="s">
        <v>278</v>
      </c>
      <c r="N2050" s="132"/>
      <c r="O2050" s="33" t="s">
        <v>278</v>
      </c>
      <c r="P2050" s="132"/>
      <c r="Q2050" s="33" t="s">
        <v>587</v>
      </c>
      <c r="R2050" s="132"/>
      <c r="S2050" s="33" t="s">
        <v>278</v>
      </c>
      <c r="T2050" s="132"/>
      <c r="U2050" s="33" t="s">
        <v>278</v>
      </c>
      <c r="V2050" s="132"/>
      <c r="W2050" s="59" t="s">
        <v>633</v>
      </c>
      <c r="X2050" s="33" t="str">
        <f>+VLOOKUP(OtherClients[[#This Row],[Part]],PartControl!$A$2:$E$564,5,FALSE)</f>
        <v>infasco</v>
      </c>
      <c r="Y2050" s="108">
        <f>IF(OtherClients[[#This Row],[Re-certified or New]]&lt;&gt;"Re-certified",IF(OtherClients[[#This Row],[Client]]="infasco",VLOOKUP(OtherClients[[#This Row],[Part]],PartControl!$A$2:$E$564,2,FALSE),OtherClients[[#This Row],[Total Quantity]]*VLOOKUP(OtherClients[[#This Row],[Part]],PartControl!$A$2:$E$564,2,FALSE)),0)</f>
        <v>0</v>
      </c>
      <c r="Z2050" s="108">
        <f>IF(OtherClients[[#This Row],[Re-certified or New]]&lt;&gt;"Re-certified",IF(OtherClients[[#This Row],[Client]]="infasco",VLOOKUP(OtherClients[[#This Row],[Part]],PartControl!$A$2:$E$564,2,FALSE),OtherClients[[#This Row],[Total Quantity]]*VLOOKUP(OtherClients[[#This Row],[Part]],PartControl!$A$2:$E$564,2,FALSE)),0)</f>
        <v>0</v>
      </c>
    </row>
    <row r="2051" spans="1:26" ht="25.15" hidden="1" customHeight="1" x14ac:dyDescent="0.25">
      <c r="A2051" s="112">
        <v>46263</v>
      </c>
      <c r="B2051" s="5" t="s">
        <v>246</v>
      </c>
      <c r="C2051" s="5">
        <v>11549168</v>
      </c>
      <c r="D2051" s="5">
        <v>716549</v>
      </c>
      <c r="E2051" s="33">
        <f>36-25</f>
        <v>11</v>
      </c>
      <c r="F2051" s="60">
        <v>1000</v>
      </c>
      <c r="G2051" s="60">
        <f>+OtherClients[[#This Row],[Boxes / Pieces]]*OtherClients[[#This Row],[Unit Quantity]]</f>
        <v>11000</v>
      </c>
      <c r="H2051" s="60">
        <v>292</v>
      </c>
      <c r="I2051" s="130" t="s">
        <v>278</v>
      </c>
      <c r="J2051" s="131"/>
      <c r="K2051" s="33" t="s">
        <v>278</v>
      </c>
      <c r="L2051" s="132"/>
      <c r="M2051" s="33" t="s">
        <v>278</v>
      </c>
      <c r="N2051" s="132"/>
      <c r="O2051" s="33" t="s">
        <v>278</v>
      </c>
      <c r="P2051" s="132"/>
      <c r="Q2051" s="33" t="s">
        <v>587</v>
      </c>
      <c r="R2051" s="132"/>
      <c r="S2051" s="33" t="s">
        <v>278</v>
      </c>
      <c r="T2051" s="132"/>
      <c r="U2051" s="33" t="s">
        <v>278</v>
      </c>
      <c r="V2051" s="132"/>
      <c r="W2051" s="59" t="s">
        <v>548</v>
      </c>
      <c r="X2051" s="33" t="str">
        <f>+VLOOKUP(OtherClients[[#This Row],[Part]],PartControl!$A$2:$E$564,5,FALSE)</f>
        <v>INFASCO</v>
      </c>
      <c r="Y2051" s="108">
        <f>IF(OtherClients[[#This Row],[Re-certified or New]]&lt;&gt;"Re-certified",IF(OtherClients[[#This Row],[Client]]="infasco",VLOOKUP(OtherClients[[#This Row],[Part]],PartControl!$A$2:$E$564,2,FALSE),OtherClients[[#This Row],[Total Quantity]]*VLOOKUP(OtherClients[[#This Row],[Part]],PartControl!$A$2:$E$564,2,FALSE)),0)</f>
        <v>106.94</v>
      </c>
      <c r="Z2051" s="108">
        <f>IF(OtherClients[[#This Row],[Re-certified or New]]&lt;&gt;"Re-certified",IF(OtherClients[[#This Row],[Client]]="infasco",VLOOKUP(OtherClients[[#This Row],[Part]],PartControl!$A$2:$E$564,2,FALSE),OtherClients[[#This Row],[Total Quantity]]*VLOOKUP(OtherClients[[#This Row],[Part]],PartControl!$A$2:$E$564,2,FALSE)),0)</f>
        <v>106.94</v>
      </c>
    </row>
    <row r="2052" spans="1:26" ht="25.15" hidden="1" customHeight="1" x14ac:dyDescent="0.25">
      <c r="A2052" s="112">
        <v>46263</v>
      </c>
      <c r="B2052" s="5" t="s">
        <v>246</v>
      </c>
      <c r="C2052" s="5">
        <v>11549168</v>
      </c>
      <c r="D2052" s="5">
        <v>716564</v>
      </c>
      <c r="E2052" s="33">
        <f>36+25</f>
        <v>61</v>
      </c>
      <c r="F2052" s="60">
        <v>1000</v>
      </c>
      <c r="G2052" s="60">
        <f>+OtherClients[[#This Row],[Boxes / Pieces]]*OtherClients[[#This Row],[Unit Quantity]]</f>
        <v>61000</v>
      </c>
      <c r="H2052" s="60">
        <v>292</v>
      </c>
      <c r="I2052" s="130" t="s">
        <v>278</v>
      </c>
      <c r="J2052" s="131"/>
      <c r="K2052" s="33" t="s">
        <v>278</v>
      </c>
      <c r="L2052" s="132"/>
      <c r="M2052" s="33" t="s">
        <v>278</v>
      </c>
      <c r="N2052" s="132"/>
      <c r="O2052" s="33" t="s">
        <v>278</v>
      </c>
      <c r="P2052" s="132"/>
      <c r="Q2052" s="33" t="s">
        <v>587</v>
      </c>
      <c r="R2052" s="132"/>
      <c r="S2052" s="33" t="s">
        <v>278</v>
      </c>
      <c r="T2052" s="132"/>
      <c r="U2052" s="33" t="s">
        <v>278</v>
      </c>
      <c r="V2052" s="132"/>
      <c r="W2052" s="59" t="s">
        <v>633</v>
      </c>
      <c r="X2052" s="33" t="str">
        <f>+VLOOKUP(OtherClients[[#This Row],[Part]],PartControl!$A$2:$E$564,5,FALSE)</f>
        <v>INFASCO</v>
      </c>
      <c r="Y2052" s="108">
        <f>IF(OtherClients[[#This Row],[Re-certified or New]]&lt;&gt;"Re-certified",IF(OtherClients[[#This Row],[Client]]="infasco",VLOOKUP(OtherClients[[#This Row],[Part]],PartControl!$A$2:$E$564,2,FALSE),OtherClients[[#This Row],[Total Quantity]]*VLOOKUP(OtherClients[[#This Row],[Part]],PartControl!$A$2:$E$564,2,FALSE)),0)</f>
        <v>0</v>
      </c>
      <c r="Z2052" s="108">
        <f>IF(OtherClients[[#This Row],[Re-certified or New]]&lt;&gt;"Re-certified",IF(OtherClients[[#This Row],[Client]]="infasco",VLOOKUP(OtherClients[[#This Row],[Part]],PartControl!$A$2:$E$564,2,FALSE),OtherClients[[#This Row],[Total Quantity]]*VLOOKUP(OtherClients[[#This Row],[Part]],PartControl!$A$2:$E$564,2,FALSE)),0)</f>
        <v>0</v>
      </c>
    </row>
    <row r="2053" spans="1:26" ht="25.15" hidden="1" customHeight="1" x14ac:dyDescent="0.25">
      <c r="A2053" s="112">
        <v>46263</v>
      </c>
      <c r="B2053" s="5" t="s">
        <v>624</v>
      </c>
      <c r="C2053" s="5">
        <v>11549170</v>
      </c>
      <c r="D2053" s="5">
        <v>716583</v>
      </c>
      <c r="E2053" s="33">
        <f>36-15</f>
        <v>21</v>
      </c>
      <c r="F2053" s="60">
        <v>400</v>
      </c>
      <c r="G2053" s="60">
        <f>+OtherClients[[#This Row],[Boxes / Pieces]]*OtherClients[[#This Row],[Unit Quantity]]</f>
        <v>8400</v>
      </c>
      <c r="H2053" s="60">
        <v>292</v>
      </c>
      <c r="I2053" s="130" t="s">
        <v>278</v>
      </c>
      <c r="J2053" s="131"/>
      <c r="K2053" s="33" t="s">
        <v>278</v>
      </c>
      <c r="L2053" s="132"/>
      <c r="M2053" s="33" t="s">
        <v>278</v>
      </c>
      <c r="N2053" s="132"/>
      <c r="O2053" s="33" t="s">
        <v>278</v>
      </c>
      <c r="P2053" s="132"/>
      <c r="Q2053" s="33" t="s">
        <v>587</v>
      </c>
      <c r="R2053" s="132"/>
      <c r="S2053" s="33" t="s">
        <v>278</v>
      </c>
      <c r="T2053" s="132"/>
      <c r="U2053" s="33" t="s">
        <v>278</v>
      </c>
      <c r="V2053" s="132"/>
      <c r="W2053" s="59" t="s">
        <v>548</v>
      </c>
      <c r="X2053" s="33" t="str">
        <f>+VLOOKUP(OtherClients[[#This Row],[Part]],PartControl!$A$2:$E$564,5,FALSE)</f>
        <v>INFASCO</v>
      </c>
      <c r="Y2053" s="108">
        <f>IF(OtherClients[[#This Row],[Re-certified or New]]&lt;&gt;"Re-certified",IF(OtherClients[[#This Row],[Client]]="infasco",VLOOKUP(OtherClients[[#This Row],[Part]],PartControl!$A$2:$E$564,2,FALSE),OtherClients[[#This Row],[Total Quantity]]*VLOOKUP(OtherClients[[#This Row],[Part]],PartControl!$A$2:$E$564,2,FALSE)),0)</f>
        <v>106.94</v>
      </c>
      <c r="Z2053" s="108">
        <f>IF(OtherClients[[#This Row],[Re-certified or New]]&lt;&gt;"Re-certified",IF(OtherClients[[#This Row],[Client]]="infasco",VLOOKUP(OtherClients[[#This Row],[Part]],PartControl!$A$2:$E$564,2,FALSE),OtherClients[[#This Row],[Total Quantity]]*VLOOKUP(OtherClients[[#This Row],[Part]],PartControl!$A$2:$E$564,2,FALSE)),0)</f>
        <v>106.94</v>
      </c>
    </row>
    <row r="2054" spans="1:26" ht="25.15" hidden="1" customHeight="1" x14ac:dyDescent="0.25">
      <c r="A2054" s="112">
        <v>46263</v>
      </c>
      <c r="B2054" s="5" t="s">
        <v>624</v>
      </c>
      <c r="C2054" s="5">
        <v>11549170</v>
      </c>
      <c r="D2054" s="5">
        <v>716572</v>
      </c>
      <c r="E2054" s="33">
        <v>36</v>
      </c>
      <c r="F2054" s="60">
        <v>400</v>
      </c>
      <c r="G2054" s="60">
        <f>+OtherClients[[#This Row],[Boxes / Pieces]]*OtherClients[[#This Row],[Unit Quantity]]</f>
        <v>14400</v>
      </c>
      <c r="H2054" s="60">
        <v>292</v>
      </c>
      <c r="I2054" s="130" t="s">
        <v>278</v>
      </c>
      <c r="J2054" s="131"/>
      <c r="K2054" s="33" t="s">
        <v>278</v>
      </c>
      <c r="L2054" s="132"/>
      <c r="M2054" s="33" t="s">
        <v>278</v>
      </c>
      <c r="N2054" s="132"/>
      <c r="O2054" s="33" t="s">
        <v>278</v>
      </c>
      <c r="P2054" s="132"/>
      <c r="Q2054" s="33" t="s">
        <v>587</v>
      </c>
      <c r="R2054" s="132"/>
      <c r="S2054" s="33" t="s">
        <v>278</v>
      </c>
      <c r="T2054" s="132"/>
      <c r="U2054" s="33" t="s">
        <v>278</v>
      </c>
      <c r="V2054" s="132"/>
      <c r="W2054" s="59" t="s">
        <v>548</v>
      </c>
      <c r="X2054" s="33" t="str">
        <f>+VLOOKUP(OtherClients[[#This Row],[Part]],PartControl!$A$2:$E$564,5,FALSE)</f>
        <v>INFASCO</v>
      </c>
      <c r="Y2054" s="108">
        <f>IF(OtherClients[[#This Row],[Re-certified or New]]&lt;&gt;"Re-certified",IF(OtherClients[[#This Row],[Client]]="infasco",VLOOKUP(OtherClients[[#This Row],[Part]],PartControl!$A$2:$E$564,2,FALSE),OtherClients[[#This Row],[Total Quantity]]*VLOOKUP(OtherClients[[#This Row],[Part]],PartControl!$A$2:$E$564,2,FALSE)),0)</f>
        <v>106.94</v>
      </c>
      <c r="Z2054" s="108">
        <f>IF(OtherClients[[#This Row],[Re-certified or New]]&lt;&gt;"Re-certified",IF(OtherClients[[#This Row],[Client]]="infasco",VLOOKUP(OtherClients[[#This Row],[Part]],PartControl!$A$2:$E$564,2,FALSE),OtherClients[[#This Row],[Total Quantity]]*VLOOKUP(OtherClients[[#This Row],[Part]],PartControl!$A$2:$E$564,2,FALSE)),0)</f>
        <v>106.94</v>
      </c>
    </row>
    <row r="2055" spans="1:26" ht="25.15" hidden="1" customHeight="1" x14ac:dyDescent="0.25">
      <c r="A2055" s="112">
        <v>46263</v>
      </c>
      <c r="B2055" s="5" t="s">
        <v>624</v>
      </c>
      <c r="C2055" s="5">
        <v>11549170</v>
      </c>
      <c r="D2055" s="5">
        <v>716571</v>
      </c>
      <c r="E2055" s="33">
        <v>36</v>
      </c>
      <c r="F2055" s="60">
        <v>400</v>
      </c>
      <c r="G2055" s="60">
        <f>+OtherClients[[#This Row],[Boxes / Pieces]]*OtherClients[[#This Row],[Unit Quantity]]</f>
        <v>14400</v>
      </c>
      <c r="H2055" s="60">
        <v>292</v>
      </c>
      <c r="I2055" s="130" t="s">
        <v>278</v>
      </c>
      <c r="J2055" s="131"/>
      <c r="K2055" s="33" t="s">
        <v>278</v>
      </c>
      <c r="L2055" s="132"/>
      <c r="M2055" s="33" t="s">
        <v>278</v>
      </c>
      <c r="N2055" s="132"/>
      <c r="O2055" s="33" t="s">
        <v>278</v>
      </c>
      <c r="P2055" s="132"/>
      <c r="Q2055" s="33" t="s">
        <v>587</v>
      </c>
      <c r="R2055" s="132"/>
      <c r="S2055" s="33" t="s">
        <v>278</v>
      </c>
      <c r="T2055" s="132"/>
      <c r="U2055" s="33" t="s">
        <v>278</v>
      </c>
      <c r="V2055" s="132"/>
      <c r="W2055" s="59" t="s">
        <v>548</v>
      </c>
      <c r="X2055" s="33" t="str">
        <f>+VLOOKUP(OtherClients[[#This Row],[Part]],PartControl!$A$2:$E$564,5,FALSE)</f>
        <v>INFASCO</v>
      </c>
      <c r="Y2055" s="108">
        <f>IF(OtherClients[[#This Row],[Re-certified or New]]&lt;&gt;"Re-certified",IF(OtherClients[[#This Row],[Client]]="infasco",VLOOKUP(OtherClients[[#This Row],[Part]],PartControl!$A$2:$E$564,2,FALSE),OtherClients[[#This Row],[Total Quantity]]*VLOOKUP(OtherClients[[#This Row],[Part]],PartControl!$A$2:$E$564,2,FALSE)),0)</f>
        <v>106.94</v>
      </c>
      <c r="Z2055" s="108">
        <f>IF(OtherClients[[#This Row],[Re-certified or New]]&lt;&gt;"Re-certified",IF(OtherClients[[#This Row],[Client]]="infasco",VLOOKUP(OtherClients[[#This Row],[Part]],PartControl!$A$2:$E$564,2,FALSE),OtherClients[[#This Row],[Total Quantity]]*VLOOKUP(OtherClients[[#This Row],[Part]],PartControl!$A$2:$E$564,2,FALSE)),0)</f>
        <v>106.94</v>
      </c>
    </row>
    <row r="2056" spans="1:26" ht="25.15" hidden="1" customHeight="1" x14ac:dyDescent="0.25">
      <c r="A2056" s="112">
        <v>46263</v>
      </c>
      <c r="B2056" s="5" t="s">
        <v>623</v>
      </c>
      <c r="C2056" s="5">
        <v>11549170</v>
      </c>
      <c r="D2056" s="5">
        <v>716584</v>
      </c>
      <c r="E2056" s="33">
        <f>36-10</f>
        <v>26</v>
      </c>
      <c r="F2056" s="60">
        <v>400</v>
      </c>
      <c r="G2056" s="60">
        <f>+OtherClients[[#This Row],[Boxes / Pieces]]*OtherClients[[#This Row],[Unit Quantity]]</f>
        <v>10400</v>
      </c>
      <c r="H2056" s="60">
        <v>292</v>
      </c>
      <c r="I2056" s="130" t="s">
        <v>278</v>
      </c>
      <c r="J2056" s="131"/>
      <c r="K2056" s="33" t="s">
        <v>278</v>
      </c>
      <c r="L2056" s="132"/>
      <c r="M2056" s="33" t="s">
        <v>278</v>
      </c>
      <c r="N2056" s="132"/>
      <c r="O2056" s="33" t="s">
        <v>278</v>
      </c>
      <c r="P2056" s="132"/>
      <c r="Q2056" s="33" t="s">
        <v>587</v>
      </c>
      <c r="R2056" s="132"/>
      <c r="S2056" s="33" t="s">
        <v>278</v>
      </c>
      <c r="T2056" s="132"/>
      <c r="U2056" s="33" t="s">
        <v>278</v>
      </c>
      <c r="V2056" s="132"/>
      <c r="W2056" s="59" t="s">
        <v>548</v>
      </c>
      <c r="X2056" s="33" t="str">
        <f>+VLOOKUP(OtherClients[[#This Row],[Part]],PartControl!$A$2:$E$564,5,FALSE)</f>
        <v>INFASCO</v>
      </c>
      <c r="Y2056" s="108">
        <f>IF(OtherClients[[#This Row],[Re-certified or New]]&lt;&gt;"Re-certified",IF(OtherClients[[#This Row],[Client]]="infasco",VLOOKUP(OtherClients[[#This Row],[Part]],PartControl!$A$2:$E$564,2,FALSE),OtherClients[[#This Row],[Total Quantity]]*VLOOKUP(OtherClients[[#This Row],[Part]],PartControl!$A$2:$E$564,2,FALSE)),0)</f>
        <v>106.94</v>
      </c>
      <c r="Z2056" s="108">
        <f>IF(OtherClients[[#This Row],[Re-certified or New]]&lt;&gt;"Re-certified",IF(OtherClients[[#This Row],[Client]]="infasco",VLOOKUP(OtherClients[[#This Row],[Part]],PartControl!$A$2:$E$564,2,FALSE),OtherClients[[#This Row],[Total Quantity]]*VLOOKUP(OtherClients[[#This Row],[Part]],PartControl!$A$2:$E$564,2,FALSE)),0)</f>
        <v>106.94</v>
      </c>
    </row>
    <row r="2057" spans="1:26" ht="25.15" hidden="1" customHeight="1" x14ac:dyDescent="0.25">
      <c r="A2057" s="112">
        <v>46263</v>
      </c>
      <c r="B2057" s="5" t="s">
        <v>623</v>
      </c>
      <c r="C2057" s="5">
        <v>11549170</v>
      </c>
      <c r="D2057" s="5">
        <v>716569</v>
      </c>
      <c r="E2057" s="33">
        <f>36+15</f>
        <v>51</v>
      </c>
      <c r="F2057" s="60">
        <v>400</v>
      </c>
      <c r="G2057" s="60">
        <f>+OtherClients[[#This Row],[Boxes / Pieces]]*OtherClients[[#This Row],[Unit Quantity]]</f>
        <v>20400</v>
      </c>
      <c r="H2057" s="60">
        <v>292</v>
      </c>
      <c r="I2057" s="130" t="s">
        <v>278</v>
      </c>
      <c r="J2057" s="131"/>
      <c r="K2057" s="33" t="s">
        <v>278</v>
      </c>
      <c r="L2057" s="132"/>
      <c r="M2057" s="33" t="s">
        <v>278</v>
      </c>
      <c r="N2057" s="132"/>
      <c r="O2057" s="33" t="s">
        <v>278</v>
      </c>
      <c r="P2057" s="132"/>
      <c r="Q2057" s="33" t="s">
        <v>587</v>
      </c>
      <c r="R2057" s="132"/>
      <c r="S2057" s="33" t="s">
        <v>278</v>
      </c>
      <c r="T2057" s="132"/>
      <c r="U2057" s="33" t="s">
        <v>278</v>
      </c>
      <c r="V2057" s="132"/>
      <c r="W2057" s="59" t="s">
        <v>633</v>
      </c>
      <c r="X2057" s="33" t="str">
        <f>+VLOOKUP(OtherClients[[#This Row],[Part]],PartControl!$A$2:$E$564,5,FALSE)</f>
        <v>INFASCO</v>
      </c>
      <c r="Y2057" s="108">
        <f>IF(OtherClients[[#This Row],[Re-certified or New]]&lt;&gt;"Re-certified",IF(OtherClients[[#This Row],[Client]]="infasco",VLOOKUP(OtherClients[[#This Row],[Part]],PartControl!$A$2:$E$564,2,FALSE),OtherClients[[#This Row],[Total Quantity]]*VLOOKUP(OtherClients[[#This Row],[Part]],PartControl!$A$2:$E$564,2,FALSE)),0)</f>
        <v>0</v>
      </c>
      <c r="Z2057" s="108">
        <f>IF(OtherClients[[#This Row],[Re-certified or New]]&lt;&gt;"Re-certified",IF(OtherClients[[#This Row],[Client]]="infasco",VLOOKUP(OtherClients[[#This Row],[Part]],PartControl!$A$2:$E$564,2,FALSE),OtherClients[[#This Row],[Total Quantity]]*VLOOKUP(OtherClients[[#This Row],[Part]],PartControl!$A$2:$E$564,2,FALSE)),0)</f>
        <v>0</v>
      </c>
    </row>
    <row r="2058" spans="1:26" ht="25.15" hidden="1" customHeight="1" x14ac:dyDescent="0.25">
      <c r="A2058" s="112">
        <v>46263</v>
      </c>
      <c r="B2058" s="5" t="s">
        <v>243</v>
      </c>
      <c r="C2058" s="5">
        <v>11546389</v>
      </c>
      <c r="D2058" s="5">
        <v>717703</v>
      </c>
      <c r="E2058" s="33">
        <f>23-2</f>
        <v>21</v>
      </c>
      <c r="F2058" s="60">
        <v>4500</v>
      </c>
      <c r="G2058" s="60">
        <f>+OtherClients[[#This Row],[Boxes / Pieces]]*OtherClients[[#This Row],[Unit Quantity]]</f>
        <v>94500</v>
      </c>
      <c r="H2058" s="60">
        <v>292</v>
      </c>
      <c r="I2058" s="130" t="s">
        <v>278</v>
      </c>
      <c r="J2058" s="131"/>
      <c r="K2058" s="33" t="s">
        <v>278</v>
      </c>
      <c r="L2058" s="132"/>
      <c r="M2058" s="33" t="s">
        <v>278</v>
      </c>
      <c r="N2058" s="132"/>
      <c r="O2058" s="33" t="s">
        <v>278</v>
      </c>
      <c r="P2058" s="132"/>
      <c r="Q2058" s="33" t="s">
        <v>587</v>
      </c>
      <c r="R2058" s="132"/>
      <c r="S2058" s="33" t="s">
        <v>278</v>
      </c>
      <c r="T2058" s="132"/>
      <c r="U2058" s="33" t="s">
        <v>278</v>
      </c>
      <c r="V2058" s="132"/>
      <c r="W2058" s="59" t="s">
        <v>633</v>
      </c>
      <c r="X2058" s="33" t="str">
        <f>+VLOOKUP(OtherClients[[#This Row],[Part]],PartControl!$A$2:$E$564,5,FALSE)</f>
        <v>INFASCO</v>
      </c>
      <c r="Y2058" s="108">
        <f>IF(OtherClients[[#This Row],[Re-certified or New]]&lt;&gt;"Re-certified",IF(OtherClients[[#This Row],[Client]]="infasco",VLOOKUP(OtherClients[[#This Row],[Part]],PartControl!$A$2:$E$564,2,FALSE),OtherClients[[#This Row],[Total Quantity]]*VLOOKUP(OtherClients[[#This Row],[Part]],PartControl!$A$2:$E$564,2,FALSE)),0)</f>
        <v>0</v>
      </c>
      <c r="Z2058" s="108">
        <f>IF(OtherClients[[#This Row],[Re-certified or New]]&lt;&gt;"Re-certified",IF(OtherClients[[#This Row],[Client]]="infasco",VLOOKUP(OtherClients[[#This Row],[Part]],PartControl!$A$2:$E$564,2,FALSE),OtherClients[[#This Row],[Total Quantity]]*VLOOKUP(OtherClients[[#This Row],[Part]],PartControl!$A$2:$E$564,2,FALSE)),0)</f>
        <v>0</v>
      </c>
    </row>
    <row r="2059" spans="1:26" ht="25.15" hidden="1" customHeight="1" x14ac:dyDescent="0.25">
      <c r="A2059" s="112">
        <v>46263</v>
      </c>
      <c r="B2059" s="5" t="s">
        <v>238</v>
      </c>
      <c r="C2059" s="5" t="s">
        <v>833</v>
      </c>
      <c r="D2059" s="5">
        <v>717264</v>
      </c>
      <c r="E2059" s="33">
        <f>36-24</f>
        <v>12</v>
      </c>
      <c r="F2059" s="60">
        <v>1500</v>
      </c>
      <c r="G2059" s="60">
        <f>+OtherClients[[#This Row],[Boxes / Pieces]]*OtherClients[[#This Row],[Unit Quantity]]</f>
        <v>18000</v>
      </c>
      <c r="H2059" s="60">
        <v>275</v>
      </c>
      <c r="I2059" s="130" t="s">
        <v>278</v>
      </c>
      <c r="J2059" s="131"/>
      <c r="K2059" s="33" t="s">
        <v>278</v>
      </c>
      <c r="L2059" s="132"/>
      <c r="M2059" s="33" t="s">
        <v>278</v>
      </c>
      <c r="N2059" s="132"/>
      <c r="O2059" s="33" t="s">
        <v>278</v>
      </c>
      <c r="P2059" s="132"/>
      <c r="Q2059" s="33" t="s">
        <v>587</v>
      </c>
      <c r="R2059" s="132"/>
      <c r="S2059" s="33" t="s">
        <v>278</v>
      </c>
      <c r="T2059" s="132"/>
      <c r="U2059" s="33" t="s">
        <v>278</v>
      </c>
      <c r="V2059" s="132"/>
      <c r="W2059" s="59" t="s">
        <v>548</v>
      </c>
      <c r="X2059" s="33" t="str">
        <f>+VLOOKUP(OtherClients[[#This Row],[Part]],PartControl!$A$2:$E$564,5,FALSE)</f>
        <v>infasco</v>
      </c>
      <c r="Y2059" s="108">
        <f>IF(OtherClients[[#This Row],[Re-certified or New]]&lt;&gt;"Re-certified",IF(OtherClients[[#This Row],[Client]]="infasco",VLOOKUP(OtherClients[[#This Row],[Part]],PartControl!$A$2:$E$564,2,FALSE),OtherClients[[#This Row],[Total Quantity]]*VLOOKUP(OtherClients[[#This Row],[Part]],PartControl!$A$2:$E$564,2,FALSE)),0)</f>
        <v>106.94</v>
      </c>
      <c r="Z2059" s="108">
        <f>IF(OtherClients[[#This Row],[Re-certified or New]]&lt;&gt;"Re-certified",IF(OtherClients[[#This Row],[Client]]="infasco",VLOOKUP(OtherClients[[#This Row],[Part]],PartControl!$A$2:$E$564,2,FALSE),OtherClients[[#This Row],[Total Quantity]]*VLOOKUP(OtherClients[[#This Row],[Part]],PartControl!$A$2:$E$564,2,FALSE)),0)</f>
        <v>106.94</v>
      </c>
    </row>
    <row r="2060" spans="1:26" ht="25.15" hidden="1" customHeight="1" x14ac:dyDescent="0.25">
      <c r="A2060" s="112">
        <v>46263</v>
      </c>
      <c r="B2060" s="5" t="s">
        <v>238</v>
      </c>
      <c r="C2060" s="5" t="s">
        <v>833</v>
      </c>
      <c r="D2060" s="5">
        <v>717263</v>
      </c>
      <c r="E2060" s="33">
        <v>36</v>
      </c>
      <c r="F2060" s="60">
        <v>1500</v>
      </c>
      <c r="G2060" s="60">
        <f>+OtherClients[[#This Row],[Boxes / Pieces]]*OtherClients[[#This Row],[Unit Quantity]]</f>
        <v>54000</v>
      </c>
      <c r="H2060" s="60">
        <v>275</v>
      </c>
      <c r="I2060" s="130" t="s">
        <v>278</v>
      </c>
      <c r="J2060" s="131"/>
      <c r="K2060" s="33" t="s">
        <v>278</v>
      </c>
      <c r="L2060" s="132"/>
      <c r="M2060" s="33" t="s">
        <v>278</v>
      </c>
      <c r="N2060" s="132"/>
      <c r="O2060" s="33" t="s">
        <v>278</v>
      </c>
      <c r="P2060" s="132"/>
      <c r="Q2060" s="33" t="s">
        <v>587</v>
      </c>
      <c r="R2060" s="132"/>
      <c r="S2060" s="33" t="s">
        <v>278</v>
      </c>
      <c r="T2060" s="132"/>
      <c r="U2060" s="33" t="s">
        <v>278</v>
      </c>
      <c r="V2060" s="132"/>
      <c r="W2060" s="59" t="s">
        <v>548</v>
      </c>
      <c r="X2060" s="33" t="str">
        <f>+VLOOKUP(OtherClients[[#This Row],[Part]],PartControl!$A$2:$E$564,5,FALSE)</f>
        <v>infasco</v>
      </c>
      <c r="Y2060" s="108">
        <f>IF(OtherClients[[#This Row],[Re-certified or New]]&lt;&gt;"Re-certified",IF(OtherClients[[#This Row],[Client]]="infasco",VLOOKUP(OtherClients[[#This Row],[Part]],PartControl!$A$2:$E$564,2,FALSE),OtherClients[[#This Row],[Total Quantity]]*VLOOKUP(OtherClients[[#This Row],[Part]],PartControl!$A$2:$E$564,2,FALSE)),0)</f>
        <v>106.94</v>
      </c>
      <c r="Z2060" s="108">
        <f>IF(OtherClients[[#This Row],[Re-certified or New]]&lt;&gt;"Re-certified",IF(OtherClients[[#This Row],[Client]]="infasco",VLOOKUP(OtherClients[[#This Row],[Part]],PartControl!$A$2:$E$564,2,FALSE),OtherClients[[#This Row],[Total Quantity]]*VLOOKUP(OtherClients[[#This Row],[Part]],PartControl!$A$2:$E$564,2,FALSE)),0)</f>
        <v>106.94</v>
      </c>
    </row>
    <row r="2061" spans="1:26" ht="25.15" hidden="1" customHeight="1" x14ac:dyDescent="0.25">
      <c r="A2061" s="112">
        <v>46263</v>
      </c>
      <c r="B2061" s="5" t="s">
        <v>233</v>
      </c>
      <c r="C2061" s="5" t="s">
        <v>668</v>
      </c>
      <c r="D2061" s="5">
        <v>715998</v>
      </c>
      <c r="E2061" s="33">
        <f>36+6-32</f>
        <v>10</v>
      </c>
      <c r="F2061" s="60">
        <v>3800</v>
      </c>
      <c r="G2061" s="60">
        <f>+OtherClients[[#This Row],[Boxes / Pieces]]*OtherClients[[#This Row],[Unit Quantity]]</f>
        <v>38000</v>
      </c>
      <c r="H2061" s="60">
        <v>275</v>
      </c>
      <c r="I2061" s="130" t="s">
        <v>278</v>
      </c>
      <c r="J2061" s="131"/>
      <c r="K2061" s="33" t="s">
        <v>278</v>
      </c>
      <c r="L2061" s="132"/>
      <c r="M2061" s="33" t="s">
        <v>278</v>
      </c>
      <c r="N2061" s="132"/>
      <c r="O2061" s="33" t="s">
        <v>278</v>
      </c>
      <c r="P2061" s="132"/>
      <c r="Q2061" s="33" t="s">
        <v>587</v>
      </c>
      <c r="R2061" s="132"/>
      <c r="S2061" s="33" t="s">
        <v>278</v>
      </c>
      <c r="T2061" s="132"/>
      <c r="U2061" s="33" t="s">
        <v>278</v>
      </c>
      <c r="V2061" s="132"/>
      <c r="W2061" s="59" t="s">
        <v>548</v>
      </c>
      <c r="X2061" s="33" t="str">
        <f>+VLOOKUP(OtherClients[[#This Row],[Part]],PartControl!$A$2:$E$564,5,FALSE)</f>
        <v>infasco</v>
      </c>
      <c r="Y2061" s="108">
        <f>IF(OtherClients[[#This Row],[Re-certified or New]]&lt;&gt;"Re-certified",IF(OtherClients[[#This Row],[Client]]="infasco",VLOOKUP(OtherClients[[#This Row],[Part]],PartControl!$A$2:$E$564,2,FALSE),OtherClients[[#This Row],[Total Quantity]]*VLOOKUP(OtherClients[[#This Row],[Part]],PartControl!$A$2:$E$564,2,FALSE)),0)</f>
        <v>106.94</v>
      </c>
      <c r="Z2061" s="108">
        <f>IF(OtherClients[[#This Row],[Re-certified or New]]&lt;&gt;"Re-certified",IF(OtherClients[[#This Row],[Client]]="infasco",VLOOKUP(OtherClients[[#This Row],[Part]],PartControl!$A$2:$E$564,2,FALSE),OtherClients[[#This Row],[Total Quantity]]*VLOOKUP(OtherClients[[#This Row],[Part]],PartControl!$A$2:$E$564,2,FALSE)),0)</f>
        <v>106.94</v>
      </c>
    </row>
    <row r="2062" spans="1:26" ht="25.15" hidden="1" customHeight="1" x14ac:dyDescent="0.25">
      <c r="A2062" s="112">
        <v>46263</v>
      </c>
      <c r="B2062" s="5" t="s">
        <v>233</v>
      </c>
      <c r="C2062" s="5">
        <v>11549168</v>
      </c>
      <c r="D2062" s="5">
        <v>716229</v>
      </c>
      <c r="E2062" s="33">
        <v>20</v>
      </c>
      <c r="F2062" s="60">
        <v>1000</v>
      </c>
      <c r="G2062" s="60">
        <f>+OtherClients[[#This Row],[Boxes / Pieces]]*OtherClients[[#This Row],[Unit Quantity]]</f>
        <v>20000</v>
      </c>
      <c r="H2062" s="60">
        <v>275</v>
      </c>
      <c r="I2062" s="130" t="s">
        <v>278</v>
      </c>
      <c r="J2062" s="131"/>
      <c r="K2062" s="33" t="s">
        <v>278</v>
      </c>
      <c r="L2062" s="132"/>
      <c r="M2062" s="33" t="s">
        <v>278</v>
      </c>
      <c r="N2062" s="132"/>
      <c r="O2062" s="33" t="s">
        <v>278</v>
      </c>
      <c r="P2062" s="132"/>
      <c r="Q2062" s="33" t="s">
        <v>587</v>
      </c>
      <c r="R2062" s="132"/>
      <c r="S2062" s="33" t="s">
        <v>278</v>
      </c>
      <c r="T2062" s="132"/>
      <c r="U2062" s="33" t="s">
        <v>278</v>
      </c>
      <c r="V2062" s="132"/>
      <c r="W2062" s="59" t="s">
        <v>633</v>
      </c>
      <c r="X2062" s="33" t="str">
        <f>+VLOOKUP(OtherClients[[#This Row],[Part]],PartControl!$A$2:$E$564,5,FALSE)</f>
        <v>INFASCO</v>
      </c>
      <c r="Y2062" s="108">
        <f>IF(OtherClients[[#This Row],[Re-certified or New]]&lt;&gt;"Re-certified",IF(OtherClients[[#This Row],[Client]]="infasco",VLOOKUP(OtherClients[[#This Row],[Part]],PartControl!$A$2:$E$564,2,FALSE),OtherClients[[#This Row],[Total Quantity]]*VLOOKUP(OtherClients[[#This Row],[Part]],PartControl!$A$2:$E$564,2,FALSE)),0)</f>
        <v>0</v>
      </c>
      <c r="Z2062" s="108">
        <f>IF(OtherClients[[#This Row],[Re-certified or New]]&lt;&gt;"Re-certified",IF(OtherClients[[#This Row],[Client]]="infasco",VLOOKUP(OtherClients[[#This Row],[Part]],PartControl!$A$2:$E$564,2,FALSE),OtherClients[[#This Row],[Total Quantity]]*VLOOKUP(OtherClients[[#This Row],[Part]],PartControl!$A$2:$E$564,2,FALSE)),0)</f>
        <v>0</v>
      </c>
    </row>
    <row r="2063" spans="1:26" ht="25.15" hidden="1" customHeight="1" x14ac:dyDescent="0.25">
      <c r="A2063" s="112">
        <v>46263</v>
      </c>
      <c r="B2063" s="5" t="s">
        <v>234</v>
      </c>
      <c r="C2063" s="5" t="s">
        <v>719</v>
      </c>
      <c r="D2063" s="5">
        <v>717633</v>
      </c>
      <c r="E2063" s="33">
        <f>30-15</f>
        <v>15</v>
      </c>
      <c r="F2063" s="60">
        <v>2150</v>
      </c>
      <c r="G2063" s="60">
        <f>+OtherClients[[#This Row],[Boxes / Pieces]]*OtherClients[[#This Row],[Unit Quantity]]</f>
        <v>32250</v>
      </c>
      <c r="H2063" s="60">
        <v>275</v>
      </c>
      <c r="I2063" s="130" t="s">
        <v>278</v>
      </c>
      <c r="J2063" s="131"/>
      <c r="K2063" s="33" t="s">
        <v>278</v>
      </c>
      <c r="L2063" s="132"/>
      <c r="M2063" s="33" t="s">
        <v>278</v>
      </c>
      <c r="N2063" s="132"/>
      <c r="O2063" s="33" t="s">
        <v>278</v>
      </c>
      <c r="P2063" s="132"/>
      <c r="Q2063" s="33" t="s">
        <v>587</v>
      </c>
      <c r="R2063" s="132"/>
      <c r="S2063" s="33" t="s">
        <v>278</v>
      </c>
      <c r="T2063" s="132"/>
      <c r="U2063" s="33" t="s">
        <v>278</v>
      </c>
      <c r="V2063" s="132"/>
      <c r="W2063" s="59" t="s">
        <v>548</v>
      </c>
      <c r="X2063" s="33" t="str">
        <f>+VLOOKUP(OtherClients[[#This Row],[Part]],PartControl!$A$2:$E$564,5,FALSE)</f>
        <v>infasco</v>
      </c>
      <c r="Y2063" s="108">
        <f>IF(OtherClients[[#This Row],[Re-certified or New]]&lt;&gt;"Re-certified",IF(OtherClients[[#This Row],[Client]]="infasco",VLOOKUP(OtherClients[[#This Row],[Part]],PartControl!$A$2:$E$564,2,FALSE),OtherClients[[#This Row],[Total Quantity]]*VLOOKUP(OtherClients[[#This Row],[Part]],PartControl!$A$2:$E$564,2,FALSE)),0)</f>
        <v>106.94</v>
      </c>
      <c r="Z2063" s="108">
        <f>IF(OtherClients[[#This Row],[Re-certified or New]]&lt;&gt;"Re-certified",IF(OtherClients[[#This Row],[Client]]="infasco",VLOOKUP(OtherClients[[#This Row],[Part]],PartControl!$A$2:$E$564,2,FALSE),OtherClients[[#This Row],[Total Quantity]]*VLOOKUP(OtherClients[[#This Row],[Part]],PartControl!$A$2:$E$564,2,FALSE)),0)</f>
        <v>106.94</v>
      </c>
    </row>
    <row r="2064" spans="1:26" ht="25.15" hidden="1" customHeight="1" x14ac:dyDescent="0.25">
      <c r="A2064" s="112">
        <v>46263</v>
      </c>
      <c r="B2064" s="5" t="s">
        <v>234</v>
      </c>
      <c r="C2064" s="5">
        <v>11546545</v>
      </c>
      <c r="D2064" s="5">
        <v>717332</v>
      </c>
      <c r="E2064" s="33">
        <v>15</v>
      </c>
      <c r="F2064" s="60">
        <v>1500</v>
      </c>
      <c r="G2064" s="60">
        <f>+OtherClients[[#This Row],[Boxes / Pieces]]*OtherClients[[#This Row],[Unit Quantity]]</f>
        <v>22500</v>
      </c>
      <c r="H2064" s="60">
        <v>275</v>
      </c>
      <c r="I2064" s="130" t="s">
        <v>278</v>
      </c>
      <c r="J2064" s="131"/>
      <c r="K2064" s="33" t="s">
        <v>278</v>
      </c>
      <c r="L2064" s="132"/>
      <c r="M2064" s="33" t="s">
        <v>278</v>
      </c>
      <c r="N2064" s="132"/>
      <c r="O2064" s="33" t="s">
        <v>278</v>
      </c>
      <c r="P2064" s="132"/>
      <c r="Q2064" s="33" t="s">
        <v>587</v>
      </c>
      <c r="R2064" s="132"/>
      <c r="S2064" s="33" t="s">
        <v>278</v>
      </c>
      <c r="T2064" s="132"/>
      <c r="U2064" s="33" t="s">
        <v>278</v>
      </c>
      <c r="V2064" s="132"/>
      <c r="W2064" s="59" t="s">
        <v>633</v>
      </c>
      <c r="X2064" s="33" t="str">
        <f>+VLOOKUP(OtherClients[[#This Row],[Part]],PartControl!$A$2:$E$564,5,FALSE)</f>
        <v>infasco</v>
      </c>
      <c r="Y2064" s="108">
        <f>IF(OtherClients[[#This Row],[Re-certified or New]]&lt;&gt;"Re-certified",IF(OtherClients[[#This Row],[Client]]="infasco",VLOOKUP(OtherClients[[#This Row],[Part]],PartControl!$A$2:$E$564,2,FALSE),OtherClients[[#This Row],[Total Quantity]]*VLOOKUP(OtherClients[[#This Row],[Part]],PartControl!$A$2:$E$564,2,FALSE)),0)</f>
        <v>0</v>
      </c>
      <c r="Z2064" s="108">
        <f>IF(OtherClients[[#This Row],[Re-certified or New]]&lt;&gt;"Re-certified",IF(OtherClients[[#This Row],[Client]]="infasco",VLOOKUP(OtherClients[[#This Row],[Part]],PartControl!$A$2:$E$564,2,FALSE),OtherClients[[#This Row],[Total Quantity]]*VLOOKUP(OtherClients[[#This Row],[Part]],PartControl!$A$2:$E$564,2,FALSE)),0)</f>
        <v>0</v>
      </c>
    </row>
    <row r="2065" spans="1:26" ht="25.15" hidden="1" customHeight="1" x14ac:dyDescent="0.25">
      <c r="A2065" s="112">
        <v>46263</v>
      </c>
      <c r="B2065" s="5" t="s">
        <v>242</v>
      </c>
      <c r="C2065" s="5" t="s">
        <v>306</v>
      </c>
      <c r="D2065" s="5">
        <v>717103</v>
      </c>
      <c r="E2065" s="33">
        <v>1</v>
      </c>
      <c r="F2065" s="60">
        <f>35*1000</f>
        <v>35000</v>
      </c>
      <c r="G2065" s="60">
        <f>+OtherClients[[#This Row],[Boxes / Pieces]]*OtherClients[[#This Row],[Unit Quantity]]</f>
        <v>35000</v>
      </c>
      <c r="H2065" s="60">
        <v>275</v>
      </c>
      <c r="I2065" s="130" t="s">
        <v>278</v>
      </c>
      <c r="J2065" s="131"/>
      <c r="K2065" s="33" t="s">
        <v>278</v>
      </c>
      <c r="L2065" s="132"/>
      <c r="M2065" s="33" t="s">
        <v>278</v>
      </c>
      <c r="N2065" s="132"/>
      <c r="O2065" s="33" t="s">
        <v>278</v>
      </c>
      <c r="P2065" s="132"/>
      <c r="Q2065" s="33" t="s">
        <v>587</v>
      </c>
      <c r="R2065" s="132"/>
      <c r="S2065" s="33" t="s">
        <v>278</v>
      </c>
      <c r="T2065" s="132"/>
      <c r="U2065" s="33" t="s">
        <v>278</v>
      </c>
      <c r="V2065" s="132"/>
      <c r="W2065" s="59" t="s">
        <v>548</v>
      </c>
      <c r="X2065" s="33" t="str">
        <f>+VLOOKUP(OtherClients[[#This Row],[Part]],PartControl!$A$2:$E$564,5,FALSE)</f>
        <v>INFASCO</v>
      </c>
      <c r="Y2065" s="108">
        <f>IF(OtherClients[[#This Row],[Re-certified or New]]&lt;&gt;"Re-certified",IF(OtherClients[[#This Row],[Client]]="infasco",VLOOKUP(OtherClients[[#This Row],[Part]],PartControl!$A$2:$E$564,2,FALSE),OtherClients[[#This Row],[Total Quantity]]*VLOOKUP(OtherClients[[#This Row],[Part]],PartControl!$A$2:$E$564,2,FALSE)),0)</f>
        <v>129.44999999999999</v>
      </c>
      <c r="Z2065" s="108">
        <f>IF(OtherClients[[#This Row],[Re-certified or New]]&lt;&gt;"Re-certified",IF(OtherClients[[#This Row],[Client]]="infasco",VLOOKUP(OtherClients[[#This Row],[Part]],PartControl!$A$2:$E$564,2,FALSE),OtherClients[[#This Row],[Total Quantity]]*VLOOKUP(OtherClients[[#This Row],[Part]],PartControl!$A$2:$E$564,2,FALSE)),0)</f>
        <v>129.44999999999999</v>
      </c>
    </row>
    <row r="2066" spans="1:26" ht="25.15" hidden="1" customHeight="1" x14ac:dyDescent="0.25">
      <c r="A2066" s="112">
        <v>46263</v>
      </c>
      <c r="B2066" s="5" t="s">
        <v>242</v>
      </c>
      <c r="C2066" s="5" t="s">
        <v>306</v>
      </c>
      <c r="D2066" s="5">
        <v>717104</v>
      </c>
      <c r="E2066" s="33">
        <v>1</v>
      </c>
      <c r="F2066" s="60">
        <v>8000</v>
      </c>
      <c r="G2066" s="60">
        <f>+OtherClients[[#This Row],[Boxes / Pieces]]*OtherClients[[#This Row],[Unit Quantity]]</f>
        <v>8000</v>
      </c>
      <c r="H2066" s="60">
        <v>275</v>
      </c>
      <c r="I2066" s="130" t="s">
        <v>278</v>
      </c>
      <c r="J2066" s="131"/>
      <c r="K2066" s="33" t="s">
        <v>278</v>
      </c>
      <c r="L2066" s="132"/>
      <c r="M2066" s="33" t="s">
        <v>278</v>
      </c>
      <c r="N2066" s="132"/>
      <c r="O2066" s="33" t="s">
        <v>278</v>
      </c>
      <c r="P2066" s="132"/>
      <c r="Q2066" s="33" t="s">
        <v>587</v>
      </c>
      <c r="R2066" s="132"/>
      <c r="S2066" s="33" t="s">
        <v>278</v>
      </c>
      <c r="T2066" s="132"/>
      <c r="U2066" s="33" t="s">
        <v>278</v>
      </c>
      <c r="V2066" s="132"/>
      <c r="W2066" s="59" t="s">
        <v>633</v>
      </c>
      <c r="X2066" s="33" t="str">
        <f>+VLOOKUP(OtherClients[[#This Row],[Part]],PartControl!$A$2:$E$564,5,FALSE)</f>
        <v>INFASCO</v>
      </c>
      <c r="Y2066" s="108">
        <f>IF(OtherClients[[#This Row],[Re-certified or New]]&lt;&gt;"Re-certified",IF(OtherClients[[#This Row],[Client]]="infasco",VLOOKUP(OtherClients[[#This Row],[Part]],PartControl!$A$2:$E$564,2,FALSE),OtherClients[[#This Row],[Total Quantity]]*VLOOKUP(OtherClients[[#This Row],[Part]],PartControl!$A$2:$E$564,2,FALSE)),0)</f>
        <v>0</v>
      </c>
      <c r="Z2066" s="108">
        <f>IF(OtherClients[[#This Row],[Re-certified or New]]&lt;&gt;"Re-certified",IF(OtherClients[[#This Row],[Client]]="infasco",VLOOKUP(OtherClients[[#This Row],[Part]],PartControl!$A$2:$E$564,2,FALSE),OtherClients[[#This Row],[Total Quantity]]*VLOOKUP(OtherClients[[#This Row],[Part]],PartControl!$A$2:$E$564,2,FALSE)),0)</f>
        <v>0</v>
      </c>
    </row>
    <row r="2067" spans="1:26" ht="25.15" hidden="1" customHeight="1" x14ac:dyDescent="0.25">
      <c r="A2067" s="112">
        <v>46263</v>
      </c>
      <c r="B2067" s="5" t="s">
        <v>252</v>
      </c>
      <c r="C2067" s="5" t="s">
        <v>667</v>
      </c>
      <c r="D2067" s="5">
        <v>714258</v>
      </c>
      <c r="E2067" s="33">
        <f>27-5</f>
        <v>22</v>
      </c>
      <c r="F2067" s="60">
        <v>1600</v>
      </c>
      <c r="G2067" s="60">
        <f>+OtherClients[[#This Row],[Boxes / Pieces]]*OtherClients[[#This Row],[Unit Quantity]]</f>
        <v>35200</v>
      </c>
      <c r="H2067" s="60">
        <v>275</v>
      </c>
      <c r="I2067" s="130" t="s">
        <v>278</v>
      </c>
      <c r="J2067" s="131"/>
      <c r="K2067" s="33" t="s">
        <v>278</v>
      </c>
      <c r="L2067" s="132"/>
      <c r="M2067" s="33" t="s">
        <v>278</v>
      </c>
      <c r="N2067" s="132"/>
      <c r="O2067" s="33" t="s">
        <v>278</v>
      </c>
      <c r="P2067" s="132"/>
      <c r="Q2067" s="33" t="s">
        <v>587</v>
      </c>
      <c r="R2067" s="132"/>
      <c r="S2067" s="33" t="s">
        <v>278</v>
      </c>
      <c r="T2067" s="132"/>
      <c r="U2067" s="33" t="s">
        <v>278</v>
      </c>
      <c r="V2067" s="132"/>
      <c r="W2067" s="59" t="s">
        <v>548</v>
      </c>
      <c r="X2067" s="33" t="str">
        <f>+VLOOKUP(OtherClients[[#This Row],[Part]],PartControl!$A$2:$E$564,5,FALSE)</f>
        <v>infasco</v>
      </c>
      <c r="Y2067" s="108">
        <f>IF(OtherClients[[#This Row],[Re-certified or New]]&lt;&gt;"Re-certified",IF(OtherClients[[#This Row],[Client]]="infasco",VLOOKUP(OtherClients[[#This Row],[Part]],PartControl!$A$2:$E$564,2,FALSE),OtherClients[[#This Row],[Total Quantity]]*VLOOKUP(OtherClients[[#This Row],[Part]],PartControl!$A$2:$E$564,2,FALSE)),0)</f>
        <v>106.94</v>
      </c>
      <c r="Z2067" s="108">
        <f>IF(OtherClients[[#This Row],[Re-certified or New]]&lt;&gt;"Re-certified",IF(OtherClients[[#This Row],[Client]]="infasco",VLOOKUP(OtherClients[[#This Row],[Part]],PartControl!$A$2:$E$564,2,FALSE),OtherClients[[#This Row],[Total Quantity]]*VLOOKUP(OtherClients[[#This Row],[Part]],PartControl!$A$2:$E$564,2,FALSE)),0)</f>
        <v>106.94</v>
      </c>
    </row>
    <row r="2068" spans="1:26" ht="25.15" hidden="1" customHeight="1" x14ac:dyDescent="0.25">
      <c r="A2068" s="112">
        <v>46263</v>
      </c>
      <c r="B2068" s="5" t="s">
        <v>252</v>
      </c>
      <c r="C2068" s="5" t="s">
        <v>706</v>
      </c>
      <c r="D2068" s="5">
        <v>716820</v>
      </c>
      <c r="E2068" s="33">
        <v>9</v>
      </c>
      <c r="F2068" s="60">
        <v>1900</v>
      </c>
      <c r="G2068" s="60">
        <f>+OtherClients[[#This Row],[Boxes / Pieces]]*OtherClients[[#This Row],[Unit Quantity]]</f>
        <v>17100</v>
      </c>
      <c r="H2068" s="60">
        <v>275</v>
      </c>
      <c r="I2068" s="130" t="s">
        <v>278</v>
      </c>
      <c r="J2068" s="131"/>
      <c r="K2068" s="33" t="s">
        <v>278</v>
      </c>
      <c r="L2068" s="132"/>
      <c r="M2068" s="33" t="s">
        <v>278</v>
      </c>
      <c r="N2068" s="132"/>
      <c r="O2068" s="33" t="s">
        <v>278</v>
      </c>
      <c r="P2068" s="132"/>
      <c r="Q2068" s="33" t="s">
        <v>587</v>
      </c>
      <c r="R2068" s="132"/>
      <c r="S2068" s="33" t="s">
        <v>278</v>
      </c>
      <c r="T2068" s="132"/>
      <c r="U2068" s="33" t="s">
        <v>278</v>
      </c>
      <c r="V2068" s="132"/>
      <c r="W2068" s="59" t="s">
        <v>633</v>
      </c>
      <c r="X2068" s="33" t="str">
        <f>+VLOOKUP(OtherClients[[#This Row],[Part]],PartControl!$A$2:$E$564,5,FALSE)</f>
        <v>infasco</v>
      </c>
      <c r="Y2068" s="108">
        <f>IF(OtherClients[[#This Row],[Re-certified or New]]&lt;&gt;"Re-certified",IF(OtherClients[[#This Row],[Client]]="infasco",VLOOKUP(OtherClients[[#This Row],[Part]],PartControl!$A$2:$E$564,2,FALSE),OtherClients[[#This Row],[Total Quantity]]*VLOOKUP(OtherClients[[#This Row],[Part]],PartControl!$A$2:$E$564,2,FALSE)),0)</f>
        <v>0</v>
      </c>
      <c r="Z2068" s="108">
        <f>IF(OtherClients[[#This Row],[Re-certified or New]]&lt;&gt;"Re-certified",IF(OtherClients[[#This Row],[Client]]="infasco",VLOOKUP(OtherClients[[#This Row],[Part]],PartControl!$A$2:$E$564,2,FALSE),OtherClients[[#This Row],[Total Quantity]]*VLOOKUP(OtherClients[[#This Row],[Part]],PartControl!$A$2:$E$564,2,FALSE)),0)</f>
        <v>0</v>
      </c>
    </row>
    <row r="2069" spans="1:26" ht="25.15" hidden="1" customHeight="1" x14ac:dyDescent="0.25">
      <c r="A2069" s="112">
        <v>46263</v>
      </c>
      <c r="B2069" s="5" t="s">
        <v>232</v>
      </c>
      <c r="C2069" s="5">
        <v>11546545</v>
      </c>
      <c r="D2069" s="5">
        <v>717331</v>
      </c>
      <c r="E2069" s="33">
        <v>36</v>
      </c>
      <c r="F2069" s="60">
        <v>2500</v>
      </c>
      <c r="G2069" s="60">
        <f>+OtherClients[[#This Row],[Boxes / Pieces]]*OtherClients[[#This Row],[Unit Quantity]]</f>
        <v>90000</v>
      </c>
      <c r="H2069" s="60">
        <v>275</v>
      </c>
      <c r="I2069" s="130" t="s">
        <v>278</v>
      </c>
      <c r="J2069" s="131"/>
      <c r="K2069" s="33" t="s">
        <v>278</v>
      </c>
      <c r="L2069" s="132"/>
      <c r="M2069" s="33" t="s">
        <v>278</v>
      </c>
      <c r="N2069" s="132"/>
      <c r="O2069" s="33" t="s">
        <v>278</v>
      </c>
      <c r="P2069" s="132"/>
      <c r="Q2069" s="33" t="s">
        <v>587</v>
      </c>
      <c r="R2069" s="132"/>
      <c r="S2069" s="33" t="s">
        <v>278</v>
      </c>
      <c r="T2069" s="132"/>
      <c r="U2069" s="33" t="s">
        <v>278</v>
      </c>
      <c r="V2069" s="132"/>
      <c r="W2069" s="59" t="s">
        <v>548</v>
      </c>
      <c r="X2069" s="33" t="str">
        <f>+VLOOKUP(OtherClients[[#This Row],[Part]],PartControl!$A$2:$E$564,5,FALSE)</f>
        <v>infasco</v>
      </c>
      <c r="Y2069" s="108">
        <f>IF(OtherClients[[#This Row],[Re-certified or New]]&lt;&gt;"Re-certified",IF(OtherClients[[#This Row],[Client]]="infasco",VLOOKUP(OtherClients[[#This Row],[Part]],PartControl!$A$2:$E$564,2,FALSE),OtherClients[[#This Row],[Total Quantity]]*VLOOKUP(OtherClients[[#This Row],[Part]],PartControl!$A$2:$E$564,2,FALSE)),0)</f>
        <v>106.94</v>
      </c>
      <c r="Z2069" s="108">
        <f>IF(OtherClients[[#This Row],[Re-certified or New]]&lt;&gt;"Re-certified",IF(OtherClients[[#This Row],[Client]]="infasco",VLOOKUP(OtherClients[[#This Row],[Part]],PartControl!$A$2:$E$564,2,FALSE),OtherClients[[#This Row],[Total Quantity]]*VLOOKUP(OtherClients[[#This Row],[Part]],PartControl!$A$2:$E$564,2,FALSE)),0)</f>
        <v>106.94</v>
      </c>
    </row>
    <row r="2070" spans="1:26" ht="25.15" hidden="1" customHeight="1" x14ac:dyDescent="0.25">
      <c r="A2070" s="112">
        <v>46263</v>
      </c>
      <c r="B2070" s="5" t="s">
        <v>236</v>
      </c>
      <c r="C2070" s="5">
        <v>11546391</v>
      </c>
      <c r="D2070" s="5">
        <v>715798</v>
      </c>
      <c r="E2070" s="33">
        <f>21-16</f>
        <v>5</v>
      </c>
      <c r="F2070" s="60">
        <v>4500</v>
      </c>
      <c r="G2070" s="60">
        <f>+OtherClients[[#This Row],[Boxes / Pieces]]*OtherClients[[#This Row],[Unit Quantity]]</f>
        <v>22500</v>
      </c>
      <c r="H2070" s="60">
        <v>290</v>
      </c>
      <c r="I2070" s="130" t="s">
        <v>278</v>
      </c>
      <c r="J2070" s="131"/>
      <c r="K2070" s="33" t="s">
        <v>278</v>
      </c>
      <c r="L2070" s="132"/>
      <c r="M2070" s="33" t="s">
        <v>278</v>
      </c>
      <c r="N2070" s="132"/>
      <c r="O2070" s="33" t="s">
        <v>278</v>
      </c>
      <c r="P2070" s="132"/>
      <c r="Q2070" s="33" t="s">
        <v>587</v>
      </c>
      <c r="R2070" s="132"/>
      <c r="S2070" s="33" t="s">
        <v>278</v>
      </c>
      <c r="T2070" s="132"/>
      <c r="U2070" s="33" t="s">
        <v>278</v>
      </c>
      <c r="V2070" s="132"/>
      <c r="W2070" s="59" t="s">
        <v>548</v>
      </c>
      <c r="X2070" s="33" t="str">
        <f>+VLOOKUP(OtherClients[[#This Row],[Part]],PartControl!$A$2:$E$564,5,FALSE)</f>
        <v>infasco</v>
      </c>
      <c r="Y2070" s="108">
        <f>IF(OtherClients[[#This Row],[Re-certified or New]]&lt;&gt;"Re-certified",IF(OtherClients[[#This Row],[Client]]="infasco",VLOOKUP(OtherClients[[#This Row],[Part]],PartControl!$A$2:$E$564,2,FALSE),OtherClients[[#This Row],[Total Quantity]]*VLOOKUP(OtherClients[[#This Row],[Part]],PartControl!$A$2:$E$564,2,FALSE)),0)</f>
        <v>106.94</v>
      </c>
      <c r="Z2070" s="108">
        <f>IF(OtherClients[[#This Row],[Re-certified or New]]&lt;&gt;"Re-certified",IF(OtherClients[[#This Row],[Client]]="infasco",VLOOKUP(OtherClients[[#This Row],[Part]],PartControl!$A$2:$E$564,2,FALSE),OtherClients[[#This Row],[Total Quantity]]*VLOOKUP(OtherClients[[#This Row],[Part]],PartControl!$A$2:$E$564,2,FALSE)),0)</f>
        <v>106.94</v>
      </c>
    </row>
    <row r="2071" spans="1:26" ht="25.15" hidden="1" customHeight="1" x14ac:dyDescent="0.25">
      <c r="A2071" s="112">
        <v>46263</v>
      </c>
      <c r="B2071" s="5" t="s">
        <v>236</v>
      </c>
      <c r="C2071" s="5">
        <v>11546545</v>
      </c>
      <c r="D2071" s="5">
        <v>717330</v>
      </c>
      <c r="E2071" s="33">
        <v>12</v>
      </c>
      <c r="F2071" s="60">
        <v>2500</v>
      </c>
      <c r="G2071" s="60">
        <f>+OtherClients[[#This Row],[Boxes / Pieces]]*OtherClients[[#This Row],[Unit Quantity]]</f>
        <v>30000</v>
      </c>
      <c r="H2071" s="60">
        <v>290</v>
      </c>
      <c r="I2071" s="130" t="s">
        <v>278</v>
      </c>
      <c r="J2071" s="131"/>
      <c r="K2071" s="33" t="s">
        <v>278</v>
      </c>
      <c r="L2071" s="132"/>
      <c r="M2071" s="33" t="s">
        <v>278</v>
      </c>
      <c r="N2071" s="132"/>
      <c r="O2071" s="33" t="s">
        <v>278</v>
      </c>
      <c r="P2071" s="132"/>
      <c r="Q2071" s="33" t="s">
        <v>587</v>
      </c>
      <c r="R2071" s="132"/>
      <c r="S2071" s="33" t="s">
        <v>278</v>
      </c>
      <c r="T2071" s="132"/>
      <c r="U2071" s="33" t="s">
        <v>278</v>
      </c>
      <c r="V2071" s="132"/>
      <c r="W2071" s="59" t="s">
        <v>633</v>
      </c>
      <c r="X2071" s="33" t="str">
        <f>+VLOOKUP(OtherClients[[#This Row],[Part]],PartControl!$A$2:$E$564,5,FALSE)</f>
        <v>infasco</v>
      </c>
      <c r="Y2071" s="108">
        <f>IF(OtherClients[[#This Row],[Re-certified or New]]&lt;&gt;"Re-certified",IF(OtherClients[[#This Row],[Client]]="infasco",VLOOKUP(OtherClients[[#This Row],[Part]],PartControl!$A$2:$E$564,2,FALSE),OtherClients[[#This Row],[Total Quantity]]*VLOOKUP(OtherClients[[#This Row],[Part]],PartControl!$A$2:$E$564,2,FALSE)),0)</f>
        <v>0</v>
      </c>
      <c r="Z2071" s="108">
        <f>IF(OtherClients[[#This Row],[Re-certified or New]]&lt;&gt;"Re-certified",IF(OtherClients[[#This Row],[Client]]="infasco",VLOOKUP(OtherClients[[#This Row],[Part]],PartControl!$A$2:$E$564,2,FALSE),OtherClients[[#This Row],[Total Quantity]]*VLOOKUP(OtherClients[[#This Row],[Part]],PartControl!$A$2:$E$564,2,FALSE)),0)</f>
        <v>0</v>
      </c>
    </row>
    <row r="2072" spans="1:26" ht="25.15" hidden="1" customHeight="1" x14ac:dyDescent="0.25">
      <c r="A2072" s="112">
        <v>46263</v>
      </c>
      <c r="B2072" s="5" t="s">
        <v>239</v>
      </c>
      <c r="C2072" s="5" t="s">
        <v>705</v>
      </c>
      <c r="D2072" s="5">
        <v>716124</v>
      </c>
      <c r="E2072" s="33">
        <f>36-17</f>
        <v>19</v>
      </c>
      <c r="F2072" s="60">
        <v>450</v>
      </c>
      <c r="G2072" s="60">
        <f>+OtherClients[[#This Row],[Boxes / Pieces]]*OtherClients[[#This Row],[Unit Quantity]]</f>
        <v>8550</v>
      </c>
      <c r="H2072" s="60">
        <v>290</v>
      </c>
      <c r="I2072" s="130" t="s">
        <v>278</v>
      </c>
      <c r="J2072" s="131"/>
      <c r="K2072" s="33" t="s">
        <v>278</v>
      </c>
      <c r="L2072" s="132"/>
      <c r="M2072" s="33" t="s">
        <v>278</v>
      </c>
      <c r="N2072" s="132"/>
      <c r="O2072" s="33" t="s">
        <v>278</v>
      </c>
      <c r="P2072" s="132"/>
      <c r="Q2072" s="33" t="s">
        <v>587</v>
      </c>
      <c r="R2072" s="132"/>
      <c r="S2072" s="33" t="s">
        <v>278</v>
      </c>
      <c r="T2072" s="132"/>
      <c r="U2072" s="33" t="s">
        <v>278</v>
      </c>
      <c r="V2072" s="132"/>
      <c r="W2072" s="59" t="s">
        <v>548</v>
      </c>
      <c r="X2072" s="33" t="str">
        <f>+VLOOKUP(OtherClients[[#This Row],[Part]],PartControl!$A$2:$E$564,5,FALSE)</f>
        <v>infasco</v>
      </c>
      <c r="Y2072" s="108">
        <f>IF(OtherClients[[#This Row],[Re-certified or New]]&lt;&gt;"Re-certified",IF(OtherClients[[#This Row],[Client]]="infasco",VLOOKUP(OtherClients[[#This Row],[Part]],PartControl!$A$2:$E$564,2,FALSE),OtherClients[[#This Row],[Total Quantity]]*VLOOKUP(OtherClients[[#This Row],[Part]],PartControl!$A$2:$E$564,2,FALSE)),0)</f>
        <v>106.94</v>
      </c>
      <c r="Z2072" s="108">
        <f>IF(OtherClients[[#This Row],[Re-certified or New]]&lt;&gt;"Re-certified",IF(OtherClients[[#This Row],[Client]]="infasco",VLOOKUP(OtherClients[[#This Row],[Part]],PartControl!$A$2:$E$564,2,FALSE),OtherClients[[#This Row],[Total Quantity]]*VLOOKUP(OtherClients[[#This Row],[Part]],PartControl!$A$2:$E$564,2,FALSE)),0)</f>
        <v>106.94</v>
      </c>
    </row>
    <row r="2073" spans="1:26" ht="25.15" hidden="1" customHeight="1" x14ac:dyDescent="0.25">
      <c r="A2073" s="112">
        <v>46263</v>
      </c>
      <c r="B2073" s="5" t="s">
        <v>239</v>
      </c>
      <c r="C2073" s="5" t="s">
        <v>705</v>
      </c>
      <c r="D2073" s="5">
        <v>716127</v>
      </c>
      <c r="E2073" s="33">
        <v>36</v>
      </c>
      <c r="F2073" s="60">
        <v>450</v>
      </c>
      <c r="G2073" s="60">
        <f>+OtherClients[[#This Row],[Boxes / Pieces]]*OtherClients[[#This Row],[Unit Quantity]]</f>
        <v>16200</v>
      </c>
      <c r="H2073" s="60">
        <v>290</v>
      </c>
      <c r="I2073" s="130" t="s">
        <v>278</v>
      </c>
      <c r="J2073" s="131"/>
      <c r="K2073" s="33" t="s">
        <v>278</v>
      </c>
      <c r="L2073" s="132"/>
      <c r="M2073" s="33" t="s">
        <v>278</v>
      </c>
      <c r="N2073" s="132"/>
      <c r="O2073" s="33" t="s">
        <v>278</v>
      </c>
      <c r="P2073" s="132"/>
      <c r="Q2073" s="33" t="s">
        <v>587</v>
      </c>
      <c r="R2073" s="132"/>
      <c r="S2073" s="33" t="s">
        <v>278</v>
      </c>
      <c r="T2073" s="132"/>
      <c r="U2073" s="33" t="s">
        <v>278</v>
      </c>
      <c r="V2073" s="132"/>
      <c r="W2073" s="59" t="s">
        <v>548</v>
      </c>
      <c r="X2073" s="33" t="str">
        <f>+VLOOKUP(OtherClients[[#This Row],[Part]],PartControl!$A$2:$E$564,5,FALSE)</f>
        <v>infasco</v>
      </c>
      <c r="Y2073" s="108">
        <f>IF(OtherClients[[#This Row],[Re-certified or New]]&lt;&gt;"Re-certified",IF(OtherClients[[#This Row],[Client]]="infasco",VLOOKUP(OtherClients[[#This Row],[Part]],PartControl!$A$2:$E$564,2,FALSE),OtherClients[[#This Row],[Total Quantity]]*VLOOKUP(OtherClients[[#This Row],[Part]],PartControl!$A$2:$E$564,2,FALSE)),0)</f>
        <v>106.94</v>
      </c>
      <c r="Z2073" s="108">
        <f>IF(OtherClients[[#This Row],[Re-certified or New]]&lt;&gt;"Re-certified",IF(OtherClients[[#This Row],[Client]]="infasco",VLOOKUP(OtherClients[[#This Row],[Part]],PartControl!$A$2:$E$564,2,FALSE),OtherClients[[#This Row],[Total Quantity]]*VLOOKUP(OtherClients[[#This Row],[Part]],PartControl!$A$2:$E$564,2,FALSE)),0)</f>
        <v>106.94</v>
      </c>
    </row>
    <row r="2074" spans="1:26" ht="25.15" hidden="1" customHeight="1" x14ac:dyDescent="0.25">
      <c r="A2074" s="112">
        <v>46263</v>
      </c>
      <c r="B2074" s="5" t="s">
        <v>239</v>
      </c>
      <c r="C2074" s="5" t="s">
        <v>705</v>
      </c>
      <c r="D2074" s="5">
        <v>716125</v>
      </c>
      <c r="E2074" s="33">
        <v>30</v>
      </c>
      <c r="F2074" s="60">
        <v>450</v>
      </c>
      <c r="G2074" s="60">
        <f>+OtherClients[[#This Row],[Boxes / Pieces]]*OtherClients[[#This Row],[Unit Quantity]]</f>
        <v>13500</v>
      </c>
      <c r="H2074" s="60">
        <v>290</v>
      </c>
      <c r="I2074" s="130" t="s">
        <v>278</v>
      </c>
      <c r="J2074" s="131"/>
      <c r="K2074" s="33" t="s">
        <v>278</v>
      </c>
      <c r="L2074" s="132"/>
      <c r="M2074" s="33" t="s">
        <v>278</v>
      </c>
      <c r="N2074" s="132"/>
      <c r="O2074" s="33" t="s">
        <v>278</v>
      </c>
      <c r="P2074" s="132"/>
      <c r="Q2074" s="33" t="s">
        <v>587</v>
      </c>
      <c r="R2074" s="132"/>
      <c r="S2074" s="33" t="s">
        <v>278</v>
      </c>
      <c r="T2074" s="132"/>
      <c r="U2074" s="33" t="s">
        <v>278</v>
      </c>
      <c r="V2074" s="132"/>
      <c r="W2074" s="59" t="s">
        <v>548</v>
      </c>
      <c r="X2074" s="33" t="str">
        <f>+VLOOKUP(OtherClients[[#This Row],[Part]],PartControl!$A$2:$E$564,5,FALSE)</f>
        <v>infasco</v>
      </c>
      <c r="Y2074" s="108">
        <f>IF(OtherClients[[#This Row],[Re-certified or New]]&lt;&gt;"Re-certified",IF(OtherClients[[#This Row],[Client]]="infasco",VLOOKUP(OtherClients[[#This Row],[Part]],PartControl!$A$2:$E$564,2,FALSE),OtherClients[[#This Row],[Total Quantity]]*VLOOKUP(OtherClients[[#This Row],[Part]],PartControl!$A$2:$E$564,2,FALSE)),0)</f>
        <v>106.94</v>
      </c>
      <c r="Z2074" s="108">
        <f>IF(OtherClients[[#This Row],[Re-certified or New]]&lt;&gt;"Re-certified",IF(OtherClients[[#This Row],[Client]]="infasco",VLOOKUP(OtherClients[[#This Row],[Part]],PartControl!$A$2:$E$564,2,FALSE),OtherClients[[#This Row],[Total Quantity]]*VLOOKUP(OtherClients[[#This Row],[Part]],PartControl!$A$2:$E$564,2,FALSE)),0)</f>
        <v>106.94</v>
      </c>
    </row>
    <row r="2075" spans="1:26" ht="25.15" hidden="1" customHeight="1" x14ac:dyDescent="0.25">
      <c r="A2075" s="112">
        <v>46263</v>
      </c>
      <c r="B2075" s="5" t="s">
        <v>239</v>
      </c>
      <c r="C2075" s="5" t="s">
        <v>687</v>
      </c>
      <c r="D2075" s="5">
        <v>717208</v>
      </c>
      <c r="E2075" s="33">
        <v>36</v>
      </c>
      <c r="F2075" s="60">
        <v>280</v>
      </c>
      <c r="G2075" s="60">
        <f>+OtherClients[[#This Row],[Boxes / Pieces]]*OtherClients[[#This Row],[Unit Quantity]]</f>
        <v>10080</v>
      </c>
      <c r="H2075" s="60">
        <v>290</v>
      </c>
      <c r="I2075" s="130" t="s">
        <v>278</v>
      </c>
      <c r="J2075" s="131"/>
      <c r="K2075" s="33" t="s">
        <v>278</v>
      </c>
      <c r="L2075" s="132"/>
      <c r="M2075" s="33" t="s">
        <v>278</v>
      </c>
      <c r="N2075" s="132"/>
      <c r="O2075" s="33" t="s">
        <v>278</v>
      </c>
      <c r="P2075" s="132"/>
      <c r="Q2075" s="33" t="s">
        <v>587</v>
      </c>
      <c r="R2075" s="132"/>
      <c r="S2075" s="33" t="s">
        <v>278</v>
      </c>
      <c r="T2075" s="132"/>
      <c r="U2075" s="33" t="s">
        <v>278</v>
      </c>
      <c r="V2075" s="132"/>
      <c r="W2075" s="59" t="s">
        <v>548</v>
      </c>
      <c r="X2075" s="33" t="str">
        <f>+VLOOKUP(OtherClients[[#This Row],[Part]],PartControl!$A$2:$E$564,5,FALSE)</f>
        <v>infasco</v>
      </c>
      <c r="Y2075" s="108">
        <f>IF(OtherClients[[#This Row],[Re-certified or New]]&lt;&gt;"Re-certified",IF(OtherClients[[#This Row],[Client]]="infasco",VLOOKUP(OtherClients[[#This Row],[Part]],PartControl!$A$2:$E$564,2,FALSE),OtherClients[[#This Row],[Total Quantity]]*VLOOKUP(OtherClients[[#This Row],[Part]],PartControl!$A$2:$E$564,2,FALSE)),0)</f>
        <v>106.94</v>
      </c>
      <c r="Z2075" s="108">
        <f>IF(OtherClients[[#This Row],[Re-certified or New]]&lt;&gt;"Re-certified",IF(OtherClients[[#This Row],[Client]]="infasco",VLOOKUP(OtherClients[[#This Row],[Part]],PartControl!$A$2:$E$564,2,FALSE),OtherClients[[#This Row],[Total Quantity]]*VLOOKUP(OtherClients[[#This Row],[Part]],PartControl!$A$2:$E$564,2,FALSE)),0)</f>
        <v>106.94</v>
      </c>
    </row>
    <row r="2076" spans="1:26" ht="25.15" hidden="1" customHeight="1" x14ac:dyDescent="0.25">
      <c r="A2076" s="112">
        <v>46263</v>
      </c>
      <c r="B2076" s="5" t="s">
        <v>237</v>
      </c>
      <c r="C2076" s="5">
        <v>11549168</v>
      </c>
      <c r="D2076" s="5">
        <v>716230</v>
      </c>
      <c r="E2076" s="33">
        <v>46</v>
      </c>
      <c r="F2076" s="60">
        <v>1000</v>
      </c>
      <c r="G2076" s="60">
        <f>+OtherClients[[#This Row],[Boxes / Pieces]]*OtherClients[[#This Row],[Unit Quantity]]</f>
        <v>46000</v>
      </c>
      <c r="H2076" s="60">
        <v>290</v>
      </c>
      <c r="I2076" s="130" t="s">
        <v>278</v>
      </c>
      <c r="J2076" s="131"/>
      <c r="K2076" s="33" t="s">
        <v>278</v>
      </c>
      <c r="L2076" s="132"/>
      <c r="M2076" s="33" t="s">
        <v>278</v>
      </c>
      <c r="N2076" s="132"/>
      <c r="O2076" s="33" t="s">
        <v>278</v>
      </c>
      <c r="P2076" s="132"/>
      <c r="Q2076" s="33" t="s">
        <v>587</v>
      </c>
      <c r="R2076" s="132"/>
      <c r="S2076" s="33" t="s">
        <v>278</v>
      </c>
      <c r="T2076" s="132"/>
      <c r="U2076" s="33" t="s">
        <v>278</v>
      </c>
      <c r="V2076" s="132"/>
      <c r="W2076" s="59" t="s">
        <v>548</v>
      </c>
      <c r="X2076" s="33" t="str">
        <f>+VLOOKUP(OtherClients[[#This Row],[Part]],PartControl!$A$2:$E$564,5,FALSE)</f>
        <v>INFASCO</v>
      </c>
      <c r="Y2076" s="108">
        <f>IF(OtherClients[[#This Row],[Re-certified or New]]&lt;&gt;"Re-certified",IF(OtherClients[[#This Row],[Client]]="infasco",VLOOKUP(OtherClients[[#This Row],[Part]],PartControl!$A$2:$E$564,2,FALSE),OtherClients[[#This Row],[Total Quantity]]*VLOOKUP(OtherClients[[#This Row],[Part]],PartControl!$A$2:$E$564,2,FALSE)),0)</f>
        <v>106.94</v>
      </c>
      <c r="Z2076" s="108">
        <f>IF(OtherClients[[#This Row],[Re-certified or New]]&lt;&gt;"Re-certified",IF(OtherClients[[#This Row],[Client]]="infasco",VLOOKUP(OtherClients[[#This Row],[Part]],PartControl!$A$2:$E$564,2,FALSE),OtherClients[[#This Row],[Total Quantity]]*VLOOKUP(OtherClients[[#This Row],[Part]],PartControl!$A$2:$E$564,2,FALSE)),0)</f>
        <v>106.94</v>
      </c>
    </row>
    <row r="2077" spans="1:26" ht="25.15" hidden="1" customHeight="1" x14ac:dyDescent="0.25">
      <c r="A2077" s="112">
        <v>46263</v>
      </c>
      <c r="B2077" s="5" t="s">
        <v>237</v>
      </c>
      <c r="C2077" s="5">
        <v>11549168</v>
      </c>
      <c r="D2077" s="5">
        <v>716563</v>
      </c>
      <c r="E2077" s="33">
        <v>36</v>
      </c>
      <c r="F2077" s="60">
        <v>1000</v>
      </c>
      <c r="G2077" s="60">
        <f>+OtherClients[[#This Row],[Boxes / Pieces]]*OtherClients[[#This Row],[Unit Quantity]]</f>
        <v>36000</v>
      </c>
      <c r="H2077" s="60">
        <v>290</v>
      </c>
      <c r="I2077" s="130" t="s">
        <v>278</v>
      </c>
      <c r="J2077" s="131"/>
      <c r="K2077" s="33" t="s">
        <v>278</v>
      </c>
      <c r="L2077" s="132"/>
      <c r="M2077" s="33" t="s">
        <v>278</v>
      </c>
      <c r="N2077" s="132"/>
      <c r="O2077" s="33" t="s">
        <v>278</v>
      </c>
      <c r="P2077" s="132"/>
      <c r="Q2077" s="33" t="s">
        <v>587</v>
      </c>
      <c r="R2077" s="132"/>
      <c r="S2077" s="33" t="s">
        <v>278</v>
      </c>
      <c r="T2077" s="132"/>
      <c r="U2077" s="33" t="s">
        <v>278</v>
      </c>
      <c r="V2077" s="132"/>
      <c r="W2077" s="59" t="s">
        <v>548</v>
      </c>
      <c r="X2077" s="33" t="str">
        <f>+VLOOKUP(OtherClients[[#This Row],[Part]],PartControl!$A$2:$E$564,5,FALSE)</f>
        <v>INFASCO</v>
      </c>
      <c r="Y2077" s="108">
        <f>IF(OtherClients[[#This Row],[Re-certified or New]]&lt;&gt;"Re-certified",IF(OtherClients[[#This Row],[Client]]="infasco",VLOOKUP(OtherClients[[#This Row],[Part]],PartControl!$A$2:$E$564,2,FALSE),OtherClients[[#This Row],[Total Quantity]]*VLOOKUP(OtherClients[[#This Row],[Part]],PartControl!$A$2:$E$564,2,FALSE)),0)</f>
        <v>106.94</v>
      </c>
      <c r="Z2077" s="108">
        <f>IF(OtherClients[[#This Row],[Re-certified or New]]&lt;&gt;"Re-certified",IF(OtherClients[[#This Row],[Client]]="infasco",VLOOKUP(OtherClients[[#This Row],[Part]],PartControl!$A$2:$E$564,2,FALSE),OtherClients[[#This Row],[Total Quantity]]*VLOOKUP(OtherClients[[#This Row],[Part]],PartControl!$A$2:$E$564,2,FALSE)),0)</f>
        <v>106.94</v>
      </c>
    </row>
    <row r="2078" spans="1:26" ht="25.15" hidden="1" customHeight="1" x14ac:dyDescent="0.25">
      <c r="A2078" s="112">
        <v>46263</v>
      </c>
      <c r="B2078" s="5" t="s">
        <v>237</v>
      </c>
      <c r="C2078" s="5">
        <v>11549168</v>
      </c>
      <c r="D2078" s="5">
        <v>716912</v>
      </c>
      <c r="E2078" s="33">
        <v>30</v>
      </c>
      <c r="F2078" s="60">
        <v>1000</v>
      </c>
      <c r="G2078" s="60">
        <f>+OtherClients[[#This Row],[Boxes / Pieces]]*OtherClients[[#This Row],[Unit Quantity]]</f>
        <v>30000</v>
      </c>
      <c r="H2078" s="60">
        <v>290</v>
      </c>
      <c r="I2078" s="130" t="s">
        <v>278</v>
      </c>
      <c r="J2078" s="131"/>
      <c r="K2078" s="33" t="s">
        <v>278</v>
      </c>
      <c r="L2078" s="132"/>
      <c r="M2078" s="33" t="s">
        <v>278</v>
      </c>
      <c r="N2078" s="132"/>
      <c r="O2078" s="33" t="s">
        <v>278</v>
      </c>
      <c r="P2078" s="132"/>
      <c r="Q2078" s="33" t="s">
        <v>587</v>
      </c>
      <c r="R2078" s="132"/>
      <c r="S2078" s="33" t="s">
        <v>278</v>
      </c>
      <c r="T2078" s="132"/>
      <c r="U2078" s="33" t="s">
        <v>278</v>
      </c>
      <c r="V2078" s="132"/>
      <c r="W2078" s="59" t="s">
        <v>633</v>
      </c>
      <c r="X2078" s="33" t="str">
        <f>+VLOOKUP(OtherClients[[#This Row],[Part]],PartControl!$A$2:$E$564,5,FALSE)</f>
        <v>INFASCO</v>
      </c>
      <c r="Y2078" s="108">
        <f>IF(OtherClients[[#This Row],[Re-certified or New]]&lt;&gt;"Re-certified",IF(OtherClients[[#This Row],[Client]]="infasco",VLOOKUP(OtherClients[[#This Row],[Part]],PartControl!$A$2:$E$564,2,FALSE),OtherClients[[#This Row],[Total Quantity]]*VLOOKUP(OtherClients[[#This Row],[Part]],PartControl!$A$2:$E$564,2,FALSE)),0)</f>
        <v>0</v>
      </c>
      <c r="Z2078" s="108">
        <f>IF(OtherClients[[#This Row],[Re-certified or New]]&lt;&gt;"Re-certified",IF(OtherClients[[#This Row],[Client]]="infasco",VLOOKUP(OtherClients[[#This Row],[Part]],PartControl!$A$2:$E$564,2,FALSE),OtherClients[[#This Row],[Total Quantity]]*VLOOKUP(OtherClients[[#This Row],[Part]],PartControl!$A$2:$E$564,2,FALSE)),0)</f>
        <v>0</v>
      </c>
    </row>
    <row r="2079" spans="1:26" ht="25.15" hidden="1" customHeight="1" x14ac:dyDescent="0.25">
      <c r="A2079" s="112">
        <v>46263</v>
      </c>
      <c r="B2079" s="5" t="s">
        <v>235</v>
      </c>
      <c r="C2079" s="5">
        <v>11546571</v>
      </c>
      <c r="D2079" s="5">
        <v>717162</v>
      </c>
      <c r="E2079" s="33">
        <v>6</v>
      </c>
      <c r="F2079" s="60">
        <v>1550</v>
      </c>
      <c r="G2079" s="60">
        <f>+OtherClients[[#This Row],[Boxes / Pieces]]*OtherClients[[#This Row],[Unit Quantity]]</f>
        <v>9300</v>
      </c>
      <c r="H2079" s="60">
        <v>290</v>
      </c>
      <c r="I2079" s="130" t="s">
        <v>278</v>
      </c>
      <c r="J2079" s="131"/>
      <c r="K2079" s="33" t="s">
        <v>278</v>
      </c>
      <c r="L2079" s="132"/>
      <c r="M2079" s="33" t="s">
        <v>278</v>
      </c>
      <c r="N2079" s="132"/>
      <c r="O2079" s="33" t="s">
        <v>278</v>
      </c>
      <c r="P2079" s="132"/>
      <c r="Q2079" s="33" t="s">
        <v>587</v>
      </c>
      <c r="R2079" s="132"/>
      <c r="S2079" s="33" t="s">
        <v>278</v>
      </c>
      <c r="T2079" s="132"/>
      <c r="U2079" s="33" t="s">
        <v>278</v>
      </c>
      <c r="V2079" s="132"/>
      <c r="W2079" s="59" t="s">
        <v>633</v>
      </c>
      <c r="X2079" s="33" t="str">
        <f>+VLOOKUP(OtherClients[[#This Row],[Part]],PartControl!$A$2:$E$564,5,FALSE)</f>
        <v>infasco</v>
      </c>
      <c r="Y2079" s="108">
        <f>IF(OtherClients[[#This Row],[Re-certified or New]]&lt;&gt;"Re-certified",IF(OtherClients[[#This Row],[Client]]="infasco",VLOOKUP(OtherClients[[#This Row],[Part]],PartControl!$A$2:$E$564,2,FALSE),OtherClients[[#This Row],[Total Quantity]]*VLOOKUP(OtherClients[[#This Row],[Part]],PartControl!$A$2:$E$564,2,FALSE)),0)</f>
        <v>0</v>
      </c>
      <c r="Z2079" s="108">
        <f>IF(OtherClients[[#This Row],[Re-certified or New]]&lt;&gt;"Re-certified",IF(OtherClients[[#This Row],[Client]]="infasco",VLOOKUP(OtherClients[[#This Row],[Part]],PartControl!$A$2:$E$564,2,FALSE),OtherClients[[#This Row],[Total Quantity]]*VLOOKUP(OtherClients[[#This Row],[Part]],PartControl!$A$2:$E$564,2,FALSE)),0)</f>
        <v>0</v>
      </c>
    </row>
    <row r="2080" spans="1:26" ht="25.15" hidden="1" customHeight="1" x14ac:dyDescent="0.25">
      <c r="A2080" s="112">
        <v>46263</v>
      </c>
      <c r="B2080" s="5" t="s">
        <v>250</v>
      </c>
      <c r="C2080" s="5">
        <v>11549170</v>
      </c>
      <c r="D2080" s="5">
        <v>716576</v>
      </c>
      <c r="E2080" s="33">
        <f>36-23</f>
        <v>13</v>
      </c>
      <c r="F2080" s="60">
        <v>400</v>
      </c>
      <c r="G2080" s="60">
        <f>+OtherClients[[#This Row],[Boxes / Pieces]]*OtherClients[[#This Row],[Unit Quantity]]</f>
        <v>5200</v>
      </c>
      <c r="H2080" s="60">
        <v>290</v>
      </c>
      <c r="I2080" s="130" t="s">
        <v>278</v>
      </c>
      <c r="J2080" s="131"/>
      <c r="K2080" s="33" t="s">
        <v>278</v>
      </c>
      <c r="L2080" s="132"/>
      <c r="M2080" s="33" t="s">
        <v>278</v>
      </c>
      <c r="N2080" s="132"/>
      <c r="O2080" s="33" t="s">
        <v>278</v>
      </c>
      <c r="P2080" s="132"/>
      <c r="Q2080" s="33" t="s">
        <v>587</v>
      </c>
      <c r="R2080" s="132"/>
      <c r="S2080" s="33" t="s">
        <v>278</v>
      </c>
      <c r="T2080" s="132"/>
      <c r="U2080" s="33" t="s">
        <v>278</v>
      </c>
      <c r="V2080" s="132"/>
      <c r="W2080" s="59" t="s">
        <v>548</v>
      </c>
      <c r="X2080" s="33" t="str">
        <f>+VLOOKUP(OtherClients[[#This Row],[Part]],PartControl!$A$2:$E$564,5,FALSE)</f>
        <v>INFASCO</v>
      </c>
      <c r="Y2080" s="108">
        <f>IF(OtherClients[[#This Row],[Re-certified or New]]&lt;&gt;"Re-certified",IF(OtherClients[[#This Row],[Client]]="infasco",VLOOKUP(OtherClients[[#This Row],[Part]],PartControl!$A$2:$E$564,2,FALSE),OtherClients[[#This Row],[Total Quantity]]*VLOOKUP(OtherClients[[#This Row],[Part]],PartControl!$A$2:$E$564,2,FALSE)),0)</f>
        <v>106.94</v>
      </c>
      <c r="Z2080" s="108">
        <f>IF(OtherClients[[#This Row],[Re-certified or New]]&lt;&gt;"Re-certified",IF(OtherClients[[#This Row],[Client]]="infasco",VLOOKUP(OtherClients[[#This Row],[Part]],PartControl!$A$2:$E$564,2,FALSE),OtherClients[[#This Row],[Total Quantity]]*VLOOKUP(OtherClients[[#This Row],[Part]],PartControl!$A$2:$E$564,2,FALSE)),0)</f>
        <v>106.94</v>
      </c>
    </row>
    <row r="2081" spans="1:26" ht="25.15" hidden="1" customHeight="1" x14ac:dyDescent="0.25">
      <c r="A2081" s="112">
        <v>46263</v>
      </c>
      <c r="B2081" s="5" t="s">
        <v>250</v>
      </c>
      <c r="C2081" s="5">
        <v>11549170</v>
      </c>
      <c r="D2081" s="5">
        <v>716559</v>
      </c>
      <c r="E2081" s="33">
        <v>40</v>
      </c>
      <c r="F2081" s="60">
        <v>400</v>
      </c>
      <c r="G2081" s="60">
        <f>+OtherClients[[#This Row],[Boxes / Pieces]]*OtherClients[[#This Row],[Unit Quantity]]</f>
        <v>16000</v>
      </c>
      <c r="H2081" s="60">
        <v>290</v>
      </c>
      <c r="I2081" s="130" t="s">
        <v>278</v>
      </c>
      <c r="J2081" s="131"/>
      <c r="K2081" s="33" t="s">
        <v>278</v>
      </c>
      <c r="L2081" s="132"/>
      <c r="M2081" s="33" t="s">
        <v>278</v>
      </c>
      <c r="N2081" s="132"/>
      <c r="O2081" s="33" t="s">
        <v>278</v>
      </c>
      <c r="P2081" s="132"/>
      <c r="Q2081" s="33" t="s">
        <v>587</v>
      </c>
      <c r="R2081" s="132"/>
      <c r="S2081" s="33" t="s">
        <v>278</v>
      </c>
      <c r="T2081" s="132"/>
      <c r="U2081" s="33" t="s">
        <v>278</v>
      </c>
      <c r="V2081" s="132"/>
      <c r="W2081" s="59" t="s">
        <v>548</v>
      </c>
      <c r="X2081" s="33" t="str">
        <f>+VLOOKUP(OtherClients[[#This Row],[Part]],PartControl!$A$2:$E$564,5,FALSE)</f>
        <v>INFASCO</v>
      </c>
      <c r="Y2081" s="108">
        <f>IF(OtherClients[[#This Row],[Re-certified or New]]&lt;&gt;"Re-certified",IF(OtherClients[[#This Row],[Client]]="infasco",VLOOKUP(OtherClients[[#This Row],[Part]],PartControl!$A$2:$E$564,2,FALSE),OtherClients[[#This Row],[Total Quantity]]*VLOOKUP(OtherClients[[#This Row],[Part]],PartControl!$A$2:$E$564,2,FALSE)),0)</f>
        <v>106.94</v>
      </c>
      <c r="Z2081" s="108">
        <f>IF(OtherClients[[#This Row],[Re-certified or New]]&lt;&gt;"Re-certified",IF(OtherClients[[#This Row],[Client]]="infasco",VLOOKUP(OtherClients[[#This Row],[Part]],PartControl!$A$2:$E$564,2,FALSE),OtherClients[[#This Row],[Total Quantity]]*VLOOKUP(OtherClients[[#This Row],[Part]],PartControl!$A$2:$E$564,2,FALSE)),0)</f>
        <v>106.94</v>
      </c>
    </row>
    <row r="2082" spans="1:26" ht="25.15" hidden="1" customHeight="1" x14ac:dyDescent="0.25">
      <c r="A2082" s="112">
        <v>46263</v>
      </c>
      <c r="B2082" s="5" t="s">
        <v>250</v>
      </c>
      <c r="C2082" s="5">
        <v>11549170</v>
      </c>
      <c r="D2082" s="5">
        <v>716552</v>
      </c>
      <c r="E2082" s="33">
        <v>3</v>
      </c>
      <c r="F2082" s="60">
        <v>400</v>
      </c>
      <c r="G2082" s="60">
        <f>+OtherClients[[#This Row],[Boxes / Pieces]]*OtherClients[[#This Row],[Unit Quantity]]</f>
        <v>1200</v>
      </c>
      <c r="H2082" s="60">
        <v>290</v>
      </c>
      <c r="I2082" s="130" t="s">
        <v>278</v>
      </c>
      <c r="J2082" s="131"/>
      <c r="K2082" s="33" t="s">
        <v>278</v>
      </c>
      <c r="L2082" s="132"/>
      <c r="M2082" s="33" t="s">
        <v>278</v>
      </c>
      <c r="N2082" s="132"/>
      <c r="O2082" s="33" t="s">
        <v>278</v>
      </c>
      <c r="P2082" s="132"/>
      <c r="Q2082" s="33" t="s">
        <v>587</v>
      </c>
      <c r="R2082" s="132"/>
      <c r="S2082" s="33" t="s">
        <v>278</v>
      </c>
      <c r="T2082" s="132"/>
      <c r="U2082" s="33" t="s">
        <v>278</v>
      </c>
      <c r="V2082" s="132"/>
      <c r="W2082" s="59" t="s">
        <v>633</v>
      </c>
      <c r="X2082" s="33" t="str">
        <f>+VLOOKUP(OtherClients[[#This Row],[Part]],PartControl!$A$2:$E$564,5,FALSE)</f>
        <v>INFASCO</v>
      </c>
      <c r="Y2082" s="108">
        <f>IF(OtherClients[[#This Row],[Re-certified or New]]&lt;&gt;"Re-certified",IF(OtherClients[[#This Row],[Client]]="infasco",VLOOKUP(OtherClients[[#This Row],[Part]],PartControl!$A$2:$E$564,2,FALSE),OtherClients[[#This Row],[Total Quantity]]*VLOOKUP(OtherClients[[#This Row],[Part]],PartControl!$A$2:$E$564,2,FALSE)),0)</f>
        <v>0</v>
      </c>
      <c r="Z2082" s="108">
        <f>IF(OtherClients[[#This Row],[Re-certified or New]]&lt;&gt;"Re-certified",IF(OtherClients[[#This Row],[Client]]="infasco",VLOOKUP(OtherClients[[#This Row],[Part]],PartControl!$A$2:$E$564,2,FALSE),OtherClients[[#This Row],[Total Quantity]]*VLOOKUP(OtherClients[[#This Row],[Part]],PartControl!$A$2:$E$564,2,FALSE)),0)</f>
        <v>0</v>
      </c>
    </row>
    <row r="2083" spans="1:26" ht="25.15" hidden="1" customHeight="1" x14ac:dyDescent="0.25">
      <c r="A2083" s="112">
        <v>46263</v>
      </c>
      <c r="B2083" s="5" t="s">
        <v>637</v>
      </c>
      <c r="C2083" s="5">
        <v>11546545</v>
      </c>
      <c r="D2083" s="5">
        <v>717326</v>
      </c>
      <c r="E2083" s="33">
        <v>36</v>
      </c>
      <c r="F2083" s="60">
        <v>2500</v>
      </c>
      <c r="G2083" s="60">
        <f>+OtherClients[[#This Row],[Boxes / Pieces]]*OtherClients[[#This Row],[Unit Quantity]]</f>
        <v>90000</v>
      </c>
      <c r="H2083" s="60">
        <v>280</v>
      </c>
      <c r="I2083" s="130" t="s">
        <v>278</v>
      </c>
      <c r="J2083" s="131"/>
      <c r="K2083" s="33" t="s">
        <v>278</v>
      </c>
      <c r="L2083" s="132"/>
      <c r="M2083" s="33" t="s">
        <v>278</v>
      </c>
      <c r="N2083" s="132"/>
      <c r="O2083" s="33" t="s">
        <v>278</v>
      </c>
      <c r="P2083" s="132"/>
      <c r="Q2083" s="33" t="s">
        <v>587</v>
      </c>
      <c r="R2083" s="132"/>
      <c r="S2083" s="33" t="s">
        <v>278</v>
      </c>
      <c r="T2083" s="132"/>
      <c r="U2083" s="33" t="s">
        <v>278</v>
      </c>
      <c r="V2083" s="132"/>
      <c r="W2083" s="59" t="s">
        <v>548</v>
      </c>
      <c r="X2083" s="33" t="str">
        <f>+VLOOKUP(OtherClients[[#This Row],[Part]],PartControl!$A$2:$E$564,5,FALSE)</f>
        <v>infasco</v>
      </c>
      <c r="Y2083" s="108">
        <f>IF(OtherClients[[#This Row],[Re-certified or New]]&lt;&gt;"Re-certified",IF(OtherClients[[#This Row],[Client]]="infasco",VLOOKUP(OtherClients[[#This Row],[Part]],PartControl!$A$2:$E$564,2,FALSE),OtherClients[[#This Row],[Total Quantity]]*VLOOKUP(OtherClients[[#This Row],[Part]],PartControl!$A$2:$E$564,2,FALSE)),0)</f>
        <v>106.94</v>
      </c>
      <c r="Z2083" s="108">
        <f>IF(OtherClients[[#This Row],[Re-certified or New]]&lt;&gt;"Re-certified",IF(OtherClients[[#This Row],[Client]]="infasco",VLOOKUP(OtherClients[[#This Row],[Part]],PartControl!$A$2:$E$564,2,FALSE),OtherClients[[#This Row],[Total Quantity]]*VLOOKUP(OtherClients[[#This Row],[Part]],PartControl!$A$2:$E$564,2,FALSE)),0)</f>
        <v>106.94</v>
      </c>
    </row>
    <row r="2084" spans="1:26" ht="25.15" hidden="1" customHeight="1" x14ac:dyDescent="0.25">
      <c r="A2084" s="112">
        <v>46263</v>
      </c>
      <c r="B2084" s="5" t="s">
        <v>637</v>
      </c>
      <c r="C2084" s="5">
        <v>11546545</v>
      </c>
      <c r="D2084" s="5">
        <v>717329</v>
      </c>
      <c r="E2084" s="33">
        <v>36</v>
      </c>
      <c r="F2084" s="60">
        <v>2500</v>
      </c>
      <c r="G2084" s="60">
        <f>+OtherClients[[#This Row],[Boxes / Pieces]]*OtherClients[[#This Row],[Unit Quantity]]</f>
        <v>90000</v>
      </c>
      <c r="H2084" s="60">
        <v>280</v>
      </c>
      <c r="I2084" s="130" t="s">
        <v>278</v>
      </c>
      <c r="J2084" s="131"/>
      <c r="K2084" s="33" t="s">
        <v>278</v>
      </c>
      <c r="L2084" s="132"/>
      <c r="M2084" s="33" t="s">
        <v>278</v>
      </c>
      <c r="N2084" s="132"/>
      <c r="O2084" s="33" t="s">
        <v>278</v>
      </c>
      <c r="P2084" s="132"/>
      <c r="Q2084" s="33" t="s">
        <v>587</v>
      </c>
      <c r="R2084" s="132"/>
      <c r="S2084" s="33" t="s">
        <v>278</v>
      </c>
      <c r="T2084" s="132"/>
      <c r="U2084" s="33" t="s">
        <v>278</v>
      </c>
      <c r="V2084" s="132"/>
      <c r="W2084" s="59" t="s">
        <v>548</v>
      </c>
      <c r="X2084" s="33" t="str">
        <f>+VLOOKUP(OtherClients[[#This Row],[Part]],PartControl!$A$2:$E$564,5,FALSE)</f>
        <v>infasco</v>
      </c>
      <c r="Y2084" s="108">
        <f>IF(OtherClients[[#This Row],[Re-certified or New]]&lt;&gt;"Re-certified",IF(OtherClients[[#This Row],[Client]]="infasco",VLOOKUP(OtherClients[[#This Row],[Part]],PartControl!$A$2:$E$564,2,FALSE),OtherClients[[#This Row],[Total Quantity]]*VLOOKUP(OtherClients[[#This Row],[Part]],PartControl!$A$2:$E$564,2,FALSE)),0)</f>
        <v>106.94</v>
      </c>
      <c r="Z2084" s="108">
        <f>IF(OtherClients[[#This Row],[Re-certified or New]]&lt;&gt;"Re-certified",IF(OtherClients[[#This Row],[Client]]="infasco",VLOOKUP(OtherClients[[#This Row],[Part]],PartControl!$A$2:$E$564,2,FALSE),OtherClients[[#This Row],[Total Quantity]]*VLOOKUP(OtherClients[[#This Row],[Part]],PartControl!$A$2:$E$564,2,FALSE)),0)</f>
        <v>106.94</v>
      </c>
    </row>
    <row r="2085" spans="1:26" ht="25.15" hidden="1" customHeight="1" x14ac:dyDescent="0.25">
      <c r="A2085" s="112">
        <v>46263</v>
      </c>
      <c r="B2085" s="5" t="s">
        <v>636</v>
      </c>
      <c r="C2085" s="5">
        <v>11549168</v>
      </c>
      <c r="D2085" s="5">
        <v>716561</v>
      </c>
      <c r="E2085" s="33">
        <f>36+9-23</f>
        <v>22</v>
      </c>
      <c r="F2085" s="60">
        <v>1000</v>
      </c>
      <c r="G2085" s="60">
        <f>+OtherClients[[#This Row],[Boxes / Pieces]]*OtherClients[[#This Row],[Unit Quantity]]</f>
        <v>22000</v>
      </c>
      <c r="H2085" s="60">
        <v>280</v>
      </c>
      <c r="I2085" s="130" t="s">
        <v>278</v>
      </c>
      <c r="J2085" s="131"/>
      <c r="K2085" s="33" t="s">
        <v>278</v>
      </c>
      <c r="L2085" s="132"/>
      <c r="M2085" s="33" t="s">
        <v>278</v>
      </c>
      <c r="N2085" s="132"/>
      <c r="O2085" s="33" t="s">
        <v>278</v>
      </c>
      <c r="P2085" s="132"/>
      <c r="Q2085" s="33" t="s">
        <v>587</v>
      </c>
      <c r="R2085" s="132"/>
      <c r="S2085" s="33" t="s">
        <v>278</v>
      </c>
      <c r="T2085" s="132"/>
      <c r="U2085" s="33" t="s">
        <v>278</v>
      </c>
      <c r="V2085" s="132"/>
      <c r="W2085" s="59" t="s">
        <v>548</v>
      </c>
      <c r="X2085" s="33" t="str">
        <f>+VLOOKUP(OtherClients[[#This Row],[Part]],PartControl!$A$2:$E$564,5,FALSE)</f>
        <v>INFASCO</v>
      </c>
      <c r="Y2085" s="108">
        <f>IF(OtherClients[[#This Row],[Re-certified or New]]&lt;&gt;"Re-certified",IF(OtherClients[[#This Row],[Client]]="infasco",VLOOKUP(OtherClients[[#This Row],[Part]],PartControl!$A$2:$E$564,2,FALSE),OtherClients[[#This Row],[Total Quantity]]*VLOOKUP(OtherClients[[#This Row],[Part]],PartControl!$A$2:$E$564,2,FALSE)),0)</f>
        <v>106.94</v>
      </c>
      <c r="Z2085" s="108">
        <f>IF(OtherClients[[#This Row],[Re-certified or New]]&lt;&gt;"Re-certified",IF(OtherClients[[#This Row],[Client]]="infasco",VLOOKUP(OtherClients[[#This Row],[Part]],PartControl!$A$2:$E$564,2,FALSE),OtherClients[[#This Row],[Total Quantity]]*VLOOKUP(OtherClients[[#This Row],[Part]],PartControl!$A$2:$E$564,2,FALSE)),0)</f>
        <v>106.94</v>
      </c>
    </row>
    <row r="2086" spans="1:26" ht="25.15" hidden="1" customHeight="1" x14ac:dyDescent="0.25">
      <c r="A2086" s="112">
        <v>46263</v>
      </c>
      <c r="B2086" s="5" t="s">
        <v>636</v>
      </c>
      <c r="C2086" s="5">
        <v>11549168</v>
      </c>
      <c r="D2086" s="5">
        <v>716566</v>
      </c>
      <c r="E2086" s="33">
        <v>20</v>
      </c>
      <c r="F2086" s="60">
        <v>1000</v>
      </c>
      <c r="G2086" s="60">
        <f>+OtherClients[[#This Row],[Boxes / Pieces]]*OtherClients[[#This Row],[Unit Quantity]]</f>
        <v>20000</v>
      </c>
      <c r="H2086" s="60">
        <v>280</v>
      </c>
      <c r="I2086" s="130" t="s">
        <v>278</v>
      </c>
      <c r="J2086" s="131"/>
      <c r="K2086" s="33" t="s">
        <v>278</v>
      </c>
      <c r="L2086" s="132"/>
      <c r="M2086" s="33" t="s">
        <v>278</v>
      </c>
      <c r="N2086" s="132"/>
      <c r="O2086" s="33" t="s">
        <v>278</v>
      </c>
      <c r="P2086" s="132"/>
      <c r="Q2086" s="33" t="s">
        <v>587</v>
      </c>
      <c r="R2086" s="132"/>
      <c r="S2086" s="33" t="s">
        <v>278</v>
      </c>
      <c r="T2086" s="132"/>
      <c r="U2086" s="33" t="s">
        <v>278</v>
      </c>
      <c r="V2086" s="132"/>
      <c r="W2086" s="59" t="s">
        <v>633</v>
      </c>
      <c r="X2086" s="33" t="str">
        <f>+VLOOKUP(OtherClients[[#This Row],[Part]],PartControl!$A$2:$E$564,5,FALSE)</f>
        <v>INFASCO</v>
      </c>
      <c r="Y2086" s="108">
        <f>IF(OtherClients[[#This Row],[Re-certified or New]]&lt;&gt;"Re-certified",IF(OtherClients[[#This Row],[Client]]="infasco",VLOOKUP(OtherClients[[#This Row],[Part]],PartControl!$A$2:$E$564,2,FALSE),OtherClients[[#This Row],[Total Quantity]]*VLOOKUP(OtherClients[[#This Row],[Part]],PartControl!$A$2:$E$564,2,FALSE)),0)</f>
        <v>0</v>
      </c>
      <c r="Z2086" s="108">
        <f>IF(OtherClients[[#This Row],[Re-certified or New]]&lt;&gt;"Re-certified",IF(OtherClients[[#This Row],[Client]]="infasco",VLOOKUP(OtherClients[[#This Row],[Part]],PartControl!$A$2:$E$564,2,FALSE),OtherClients[[#This Row],[Total Quantity]]*VLOOKUP(OtherClients[[#This Row],[Part]],PartControl!$A$2:$E$564,2,FALSE)),0)</f>
        <v>0</v>
      </c>
    </row>
    <row r="2087" spans="1:26" ht="25.15" hidden="1" customHeight="1" x14ac:dyDescent="0.25">
      <c r="A2087" s="112">
        <v>46263</v>
      </c>
      <c r="B2087" s="5" t="s">
        <v>834</v>
      </c>
      <c r="C2087" s="5" t="s">
        <v>719</v>
      </c>
      <c r="D2087" s="5">
        <v>717637</v>
      </c>
      <c r="E2087" s="33">
        <v>24</v>
      </c>
      <c r="F2087" s="60">
        <v>2150</v>
      </c>
      <c r="G2087" s="60">
        <f>+OtherClients[[#This Row],[Boxes / Pieces]]*OtherClients[[#This Row],[Unit Quantity]]</f>
        <v>51600</v>
      </c>
      <c r="H2087" s="60">
        <v>280</v>
      </c>
      <c r="I2087" s="130" t="s">
        <v>278</v>
      </c>
      <c r="J2087" s="131"/>
      <c r="K2087" s="33" t="s">
        <v>278</v>
      </c>
      <c r="L2087" s="132"/>
      <c r="M2087" s="33" t="s">
        <v>278</v>
      </c>
      <c r="N2087" s="132"/>
      <c r="O2087" s="33" t="s">
        <v>278</v>
      </c>
      <c r="P2087" s="132"/>
      <c r="Q2087" s="33" t="s">
        <v>587</v>
      </c>
      <c r="R2087" s="132"/>
      <c r="S2087" s="33" t="s">
        <v>278</v>
      </c>
      <c r="T2087" s="132"/>
      <c r="U2087" s="33" t="s">
        <v>278</v>
      </c>
      <c r="V2087" s="132"/>
      <c r="W2087" s="59" t="s">
        <v>633</v>
      </c>
      <c r="X2087" s="33" t="str">
        <f>+VLOOKUP(OtherClients[[#This Row],[Part]],PartControl!$A$2:$E$564,5,FALSE)</f>
        <v>infasco</v>
      </c>
      <c r="Y2087" s="108">
        <f>IF(OtherClients[[#This Row],[Re-certified or New]]&lt;&gt;"Re-certified",IF(OtherClients[[#This Row],[Client]]="infasco",VLOOKUP(OtherClients[[#This Row],[Part]],PartControl!$A$2:$E$564,2,FALSE),OtherClients[[#This Row],[Total Quantity]]*VLOOKUP(OtherClients[[#This Row],[Part]],PartControl!$A$2:$E$564,2,FALSE)),0)</f>
        <v>0</v>
      </c>
      <c r="Z2087" s="108">
        <f>IF(OtherClients[[#This Row],[Re-certified or New]]&lt;&gt;"Re-certified",IF(OtherClients[[#This Row],[Client]]="infasco",VLOOKUP(OtherClients[[#This Row],[Part]],PartControl!$A$2:$E$564,2,FALSE),OtherClients[[#This Row],[Total Quantity]]*VLOOKUP(OtherClients[[#This Row],[Part]],PartControl!$A$2:$E$564,2,FALSE)),0)</f>
        <v>0</v>
      </c>
    </row>
    <row r="2088" spans="1:26" ht="25.15" hidden="1" customHeight="1" x14ac:dyDescent="0.25">
      <c r="A2088" s="112">
        <v>46263</v>
      </c>
      <c r="B2088" s="5" t="s">
        <v>357</v>
      </c>
      <c r="C2088" s="5" t="s">
        <v>897</v>
      </c>
      <c r="D2088" s="5">
        <v>717139</v>
      </c>
      <c r="E2088" s="33">
        <v>36</v>
      </c>
      <c r="F2088" s="60">
        <v>2500</v>
      </c>
      <c r="G2088" s="60">
        <f>+OtherClients[[#This Row],[Boxes / Pieces]]*OtherClients[[#This Row],[Unit Quantity]]</f>
        <v>90000</v>
      </c>
      <c r="H2088" s="60">
        <v>280</v>
      </c>
      <c r="I2088" s="130" t="s">
        <v>278</v>
      </c>
      <c r="J2088" s="131"/>
      <c r="K2088" s="33" t="s">
        <v>278</v>
      </c>
      <c r="L2088" s="132"/>
      <c r="M2088" s="33" t="s">
        <v>278</v>
      </c>
      <c r="N2088" s="132"/>
      <c r="O2088" s="33" t="s">
        <v>278</v>
      </c>
      <c r="P2088" s="132"/>
      <c r="Q2088" s="33" t="s">
        <v>587</v>
      </c>
      <c r="R2088" s="132"/>
      <c r="S2088" s="33" t="s">
        <v>278</v>
      </c>
      <c r="T2088" s="132"/>
      <c r="U2088" s="33" t="s">
        <v>278</v>
      </c>
      <c r="V2088" s="132"/>
      <c r="W2088" s="59" t="s">
        <v>548</v>
      </c>
      <c r="X2088" s="33" t="str">
        <f>+VLOOKUP(OtherClients[[#This Row],[Part]],PartControl!$A$2:$E$564,5,FALSE)</f>
        <v>infasco</v>
      </c>
      <c r="Y2088" s="108">
        <f>IF(OtherClients[[#This Row],[Re-certified or New]]&lt;&gt;"Re-certified",IF(OtherClients[[#This Row],[Client]]="infasco",VLOOKUP(OtherClients[[#This Row],[Part]],PartControl!$A$2:$E$564,2,FALSE),OtherClients[[#This Row],[Total Quantity]]*VLOOKUP(OtherClients[[#This Row],[Part]],PartControl!$A$2:$E$564,2,FALSE)),0)</f>
        <v>106.94</v>
      </c>
      <c r="Z2088" s="108">
        <f>IF(OtherClients[[#This Row],[Re-certified or New]]&lt;&gt;"Re-certified",IF(OtherClients[[#This Row],[Client]]="infasco",VLOOKUP(OtherClients[[#This Row],[Part]],PartControl!$A$2:$E$564,2,FALSE),OtherClients[[#This Row],[Total Quantity]]*VLOOKUP(OtherClients[[#This Row],[Part]],PartControl!$A$2:$E$564,2,FALSE)),0)</f>
        <v>106.94</v>
      </c>
    </row>
    <row r="2089" spans="1:26" ht="25.15" hidden="1" customHeight="1" x14ac:dyDescent="0.25">
      <c r="A2089" s="112">
        <v>46263</v>
      </c>
      <c r="B2089" s="5" t="s">
        <v>357</v>
      </c>
      <c r="C2089" s="5" t="s">
        <v>897</v>
      </c>
      <c r="D2089" s="5">
        <v>717138</v>
      </c>
      <c r="E2089" s="33">
        <v>12</v>
      </c>
      <c r="F2089" s="60">
        <v>2500</v>
      </c>
      <c r="G2089" s="60">
        <f>+OtherClients[[#This Row],[Boxes / Pieces]]*OtherClients[[#This Row],[Unit Quantity]]</f>
        <v>30000</v>
      </c>
      <c r="H2089" s="60">
        <v>280</v>
      </c>
      <c r="I2089" s="130" t="s">
        <v>278</v>
      </c>
      <c r="J2089" s="131"/>
      <c r="K2089" s="33" t="s">
        <v>278</v>
      </c>
      <c r="L2089" s="132"/>
      <c r="M2089" s="33" t="s">
        <v>278</v>
      </c>
      <c r="N2089" s="132"/>
      <c r="O2089" s="33" t="s">
        <v>278</v>
      </c>
      <c r="P2089" s="132"/>
      <c r="Q2089" s="33" t="s">
        <v>587</v>
      </c>
      <c r="R2089" s="132"/>
      <c r="S2089" s="33" t="s">
        <v>278</v>
      </c>
      <c r="T2089" s="132"/>
      <c r="U2089" s="33" t="s">
        <v>278</v>
      </c>
      <c r="V2089" s="132"/>
      <c r="W2089" s="59" t="s">
        <v>633</v>
      </c>
      <c r="X2089" s="33" t="str">
        <f>+VLOOKUP(OtherClients[[#This Row],[Part]],PartControl!$A$2:$E$564,5,FALSE)</f>
        <v>infasco</v>
      </c>
      <c r="Y2089" s="108">
        <f>IF(OtherClients[[#This Row],[Re-certified or New]]&lt;&gt;"Re-certified",IF(OtherClients[[#This Row],[Client]]="infasco",VLOOKUP(OtherClients[[#This Row],[Part]],PartControl!$A$2:$E$564,2,FALSE),OtherClients[[#This Row],[Total Quantity]]*VLOOKUP(OtherClients[[#This Row],[Part]],PartControl!$A$2:$E$564,2,FALSE)),0)</f>
        <v>0</v>
      </c>
      <c r="Z2089" s="108">
        <f>IF(OtherClients[[#This Row],[Re-certified or New]]&lt;&gt;"Re-certified",IF(OtherClients[[#This Row],[Client]]="infasco",VLOOKUP(OtherClients[[#This Row],[Part]],PartControl!$A$2:$E$564,2,FALSE),OtherClients[[#This Row],[Total Quantity]]*VLOOKUP(OtherClients[[#This Row],[Part]],PartControl!$A$2:$E$564,2,FALSE)),0)</f>
        <v>0</v>
      </c>
    </row>
    <row r="2090" spans="1:26" ht="25.15" hidden="1" customHeight="1" x14ac:dyDescent="0.25">
      <c r="A2090" s="112">
        <v>46263</v>
      </c>
      <c r="B2090" s="5" t="s">
        <v>634</v>
      </c>
      <c r="C2090" s="5" t="s">
        <v>848</v>
      </c>
      <c r="D2090" s="5">
        <v>716775</v>
      </c>
      <c r="E2090" s="33">
        <f>30-22</f>
        <v>8</v>
      </c>
      <c r="F2090" s="60">
        <v>3200</v>
      </c>
      <c r="G2090" s="60">
        <f>+OtherClients[[#This Row],[Boxes / Pieces]]*OtherClients[[#This Row],[Unit Quantity]]</f>
        <v>25600</v>
      </c>
      <c r="H2090" s="60">
        <v>280</v>
      </c>
      <c r="I2090" s="130" t="s">
        <v>278</v>
      </c>
      <c r="J2090" s="131"/>
      <c r="K2090" s="33" t="s">
        <v>278</v>
      </c>
      <c r="L2090" s="132"/>
      <c r="M2090" s="33" t="s">
        <v>278</v>
      </c>
      <c r="N2090" s="132"/>
      <c r="O2090" s="33" t="s">
        <v>278</v>
      </c>
      <c r="P2090" s="132"/>
      <c r="Q2090" s="33" t="s">
        <v>587</v>
      </c>
      <c r="R2090" s="132"/>
      <c r="S2090" s="33" t="s">
        <v>278</v>
      </c>
      <c r="T2090" s="132"/>
      <c r="U2090" s="33" t="s">
        <v>278</v>
      </c>
      <c r="V2090" s="132"/>
      <c r="W2090" s="59" t="s">
        <v>548</v>
      </c>
      <c r="X2090" s="33" t="str">
        <f>+VLOOKUP(OtherClients[[#This Row],[Part]],PartControl!$A$2:$E$564,5,FALSE)</f>
        <v>infasco</v>
      </c>
      <c r="Y2090" s="108">
        <f>IF(OtherClients[[#This Row],[Re-certified or New]]&lt;&gt;"Re-certified",IF(OtherClients[[#This Row],[Client]]="infasco",VLOOKUP(OtherClients[[#This Row],[Part]],PartControl!$A$2:$E$564,2,FALSE),OtherClients[[#This Row],[Total Quantity]]*VLOOKUP(OtherClients[[#This Row],[Part]],PartControl!$A$2:$E$564,2,FALSE)),0)</f>
        <v>106.94</v>
      </c>
      <c r="Z2090" s="108">
        <f>IF(OtherClients[[#This Row],[Re-certified or New]]&lt;&gt;"Re-certified",IF(OtherClients[[#This Row],[Client]]="infasco",VLOOKUP(OtherClients[[#This Row],[Part]],PartControl!$A$2:$E$564,2,FALSE),OtherClients[[#This Row],[Total Quantity]]*VLOOKUP(OtherClients[[#This Row],[Part]],PartControl!$A$2:$E$564,2,FALSE)),0)</f>
        <v>106.94</v>
      </c>
    </row>
    <row r="2091" spans="1:26" ht="25.15" hidden="1" customHeight="1" x14ac:dyDescent="0.25">
      <c r="A2091" s="112">
        <v>46263</v>
      </c>
      <c r="B2091" s="5" t="s">
        <v>634</v>
      </c>
      <c r="C2091" s="5" t="s">
        <v>848</v>
      </c>
      <c r="D2091" s="5">
        <v>716776</v>
      </c>
      <c r="E2091" s="33">
        <v>3</v>
      </c>
      <c r="F2091" s="60">
        <v>3200</v>
      </c>
      <c r="G2091" s="60">
        <f>+OtherClients[[#This Row],[Boxes / Pieces]]*OtherClients[[#This Row],[Unit Quantity]]</f>
        <v>9600</v>
      </c>
      <c r="H2091" s="60">
        <v>280</v>
      </c>
      <c r="I2091" s="130" t="s">
        <v>278</v>
      </c>
      <c r="J2091" s="131"/>
      <c r="K2091" s="33" t="s">
        <v>278</v>
      </c>
      <c r="L2091" s="132"/>
      <c r="M2091" s="33" t="s">
        <v>278</v>
      </c>
      <c r="N2091" s="132"/>
      <c r="O2091" s="33" t="s">
        <v>278</v>
      </c>
      <c r="P2091" s="132"/>
      <c r="Q2091" s="33" t="s">
        <v>587</v>
      </c>
      <c r="R2091" s="132"/>
      <c r="S2091" s="33" t="s">
        <v>278</v>
      </c>
      <c r="T2091" s="132"/>
      <c r="U2091" s="33" t="s">
        <v>278</v>
      </c>
      <c r="V2091" s="132"/>
      <c r="W2091" s="59" t="s">
        <v>633</v>
      </c>
      <c r="X2091" s="33" t="str">
        <f>+VLOOKUP(OtherClients[[#This Row],[Part]],PartControl!$A$2:$E$564,5,FALSE)</f>
        <v>infasco</v>
      </c>
      <c r="Y2091" s="108">
        <f>IF(OtherClients[[#This Row],[Re-certified or New]]&lt;&gt;"Re-certified",IF(OtherClients[[#This Row],[Client]]="infasco",VLOOKUP(OtherClients[[#This Row],[Part]],PartControl!$A$2:$E$564,2,FALSE),OtherClients[[#This Row],[Total Quantity]]*VLOOKUP(OtherClients[[#This Row],[Part]],PartControl!$A$2:$E$564,2,FALSE)),0)</f>
        <v>0</v>
      </c>
      <c r="Z2091" s="108">
        <f>IF(OtherClients[[#This Row],[Re-certified or New]]&lt;&gt;"Re-certified",IF(OtherClients[[#This Row],[Client]]="infasco",VLOOKUP(OtherClients[[#This Row],[Part]],PartControl!$A$2:$E$564,2,FALSE),OtherClients[[#This Row],[Total Quantity]]*VLOOKUP(OtherClients[[#This Row],[Part]],PartControl!$A$2:$E$564,2,FALSE)),0)</f>
        <v>0</v>
      </c>
    </row>
    <row r="2092" spans="1:26" ht="25.15" hidden="1" customHeight="1" x14ac:dyDescent="0.25">
      <c r="A2092" s="112">
        <v>46263</v>
      </c>
      <c r="B2092" s="5" t="s">
        <v>635</v>
      </c>
      <c r="C2092" s="5" t="s">
        <v>718</v>
      </c>
      <c r="D2092" s="5">
        <v>716901</v>
      </c>
      <c r="E2092" s="33">
        <f>34-32</f>
        <v>2</v>
      </c>
      <c r="F2092" s="60">
        <v>3500</v>
      </c>
      <c r="G2092" s="60">
        <f>+OtherClients[[#This Row],[Boxes / Pieces]]*OtherClients[[#This Row],[Unit Quantity]]</f>
        <v>7000</v>
      </c>
      <c r="H2092" s="60">
        <v>280</v>
      </c>
      <c r="I2092" s="130" t="s">
        <v>278</v>
      </c>
      <c r="J2092" s="131"/>
      <c r="K2092" s="33" t="s">
        <v>278</v>
      </c>
      <c r="L2092" s="132"/>
      <c r="M2092" s="33" t="s">
        <v>278</v>
      </c>
      <c r="N2092" s="132"/>
      <c r="O2092" s="33" t="s">
        <v>278</v>
      </c>
      <c r="P2092" s="132"/>
      <c r="Q2092" s="33" t="s">
        <v>587</v>
      </c>
      <c r="R2092" s="132"/>
      <c r="S2092" s="33" t="s">
        <v>278</v>
      </c>
      <c r="T2092" s="132"/>
      <c r="U2092" s="33" t="s">
        <v>278</v>
      </c>
      <c r="V2092" s="132"/>
      <c r="W2092" s="59" t="s">
        <v>548</v>
      </c>
      <c r="X2092" s="33" t="str">
        <f>+VLOOKUP(OtherClients[[#This Row],[Part]],PartControl!$A$2:$E$564,5,FALSE)</f>
        <v>infasco</v>
      </c>
      <c r="Y2092" s="108">
        <f>IF(OtherClients[[#This Row],[Re-certified or New]]&lt;&gt;"Re-certified",IF(OtherClients[[#This Row],[Client]]="infasco",VLOOKUP(OtherClients[[#This Row],[Part]],PartControl!$A$2:$E$564,2,FALSE),OtherClients[[#This Row],[Total Quantity]]*VLOOKUP(OtherClients[[#This Row],[Part]],PartControl!$A$2:$E$564,2,FALSE)),0)</f>
        <v>106.94</v>
      </c>
      <c r="Z2092" s="108">
        <f>IF(OtherClients[[#This Row],[Re-certified or New]]&lt;&gt;"Re-certified",IF(OtherClients[[#This Row],[Client]]="infasco",VLOOKUP(OtherClients[[#This Row],[Part]],PartControl!$A$2:$E$564,2,FALSE),OtherClients[[#This Row],[Total Quantity]]*VLOOKUP(OtherClients[[#This Row],[Part]],PartControl!$A$2:$E$564,2,FALSE)),0)</f>
        <v>106.94</v>
      </c>
    </row>
    <row r="2093" spans="1:26" ht="25.15" hidden="1" customHeight="1" x14ac:dyDescent="0.25">
      <c r="A2093" s="112">
        <v>46263</v>
      </c>
      <c r="B2093" s="5" t="s">
        <v>635</v>
      </c>
      <c r="C2093" s="5">
        <v>11561645</v>
      </c>
      <c r="D2093" s="5">
        <v>714524</v>
      </c>
      <c r="E2093" s="33">
        <v>15</v>
      </c>
      <c r="F2093" s="60">
        <v>4000</v>
      </c>
      <c r="G2093" s="60">
        <f>+OtherClients[[#This Row],[Boxes / Pieces]]*OtherClients[[#This Row],[Unit Quantity]]</f>
        <v>60000</v>
      </c>
      <c r="H2093" s="60">
        <v>280</v>
      </c>
      <c r="I2093" s="130" t="s">
        <v>278</v>
      </c>
      <c r="J2093" s="131"/>
      <c r="K2093" s="33" t="s">
        <v>278</v>
      </c>
      <c r="L2093" s="132"/>
      <c r="M2093" s="33" t="s">
        <v>278</v>
      </c>
      <c r="N2093" s="132"/>
      <c r="O2093" s="33" t="s">
        <v>278</v>
      </c>
      <c r="P2093" s="132"/>
      <c r="Q2093" s="33" t="s">
        <v>587</v>
      </c>
      <c r="R2093" s="132"/>
      <c r="S2093" s="33" t="s">
        <v>278</v>
      </c>
      <c r="T2093" s="132"/>
      <c r="U2093" s="33" t="s">
        <v>278</v>
      </c>
      <c r="V2093" s="132"/>
      <c r="W2093" s="59" t="s">
        <v>633</v>
      </c>
      <c r="X2093" s="33" t="str">
        <f>+VLOOKUP(OtherClients[[#This Row],[Part]],PartControl!$A$2:$E$564,5,FALSE)</f>
        <v>infasco</v>
      </c>
      <c r="Y2093" s="108">
        <f>IF(OtherClients[[#This Row],[Re-certified or New]]&lt;&gt;"Re-certified",IF(OtherClients[[#This Row],[Client]]="infasco",VLOOKUP(OtherClients[[#This Row],[Part]],PartControl!$A$2:$E$564,2,FALSE),OtherClients[[#This Row],[Total Quantity]]*VLOOKUP(OtherClients[[#This Row],[Part]],PartControl!$A$2:$E$564,2,FALSE)),0)</f>
        <v>0</v>
      </c>
      <c r="Z2093" s="108">
        <f>IF(OtherClients[[#This Row],[Re-certified or New]]&lt;&gt;"Re-certified",IF(OtherClients[[#This Row],[Client]]="infasco",VLOOKUP(OtherClients[[#This Row],[Part]],PartControl!$A$2:$E$564,2,FALSE),OtherClients[[#This Row],[Total Quantity]]*VLOOKUP(OtherClients[[#This Row],[Part]],PartControl!$A$2:$E$564,2,FALSE)),0)</f>
        <v>0</v>
      </c>
    </row>
    <row r="2094" spans="1:26" ht="25.15" hidden="1" customHeight="1" x14ac:dyDescent="0.25">
      <c r="A2094" s="112">
        <v>46263</v>
      </c>
      <c r="B2094" s="5" t="s">
        <v>249</v>
      </c>
      <c r="C2094" s="5">
        <v>11612078</v>
      </c>
      <c r="D2094" s="5">
        <v>707328</v>
      </c>
      <c r="E2094" s="33">
        <v>12</v>
      </c>
      <c r="F2094" s="60">
        <v>1850</v>
      </c>
      <c r="G2094" s="60">
        <f>+OtherClients[[#This Row],[Boxes / Pieces]]*OtherClients[[#This Row],[Unit Quantity]]</f>
        <v>22200</v>
      </c>
      <c r="H2094" s="60">
        <v>4</v>
      </c>
      <c r="I2094" s="130" t="s">
        <v>278</v>
      </c>
      <c r="J2094" s="131"/>
      <c r="K2094" s="33" t="s">
        <v>278</v>
      </c>
      <c r="L2094" s="132"/>
      <c r="M2094" s="33" t="s">
        <v>278</v>
      </c>
      <c r="N2094" s="132"/>
      <c r="O2094" s="33" t="s">
        <v>278</v>
      </c>
      <c r="P2094" s="132"/>
      <c r="Q2094" s="33" t="s">
        <v>587</v>
      </c>
      <c r="R2094" s="132"/>
      <c r="S2094" s="33" t="s">
        <v>278</v>
      </c>
      <c r="T2094" s="132"/>
      <c r="U2094" s="33" t="s">
        <v>278</v>
      </c>
      <c r="V2094" s="132"/>
      <c r="W2094" s="59" t="s">
        <v>633</v>
      </c>
      <c r="X2094" s="33" t="str">
        <f>+VLOOKUP(OtherClients[[#This Row],[Part]],PartControl!$A$2:$E$564,5,FALSE)</f>
        <v>infasco</v>
      </c>
      <c r="Y2094" s="108">
        <f>IF(OtherClients[[#This Row],[Re-certified or New]]&lt;&gt;"Re-certified",IF(OtherClients[[#This Row],[Client]]="infasco",VLOOKUP(OtherClients[[#This Row],[Part]],PartControl!$A$2:$E$564,2,FALSE),OtherClients[[#This Row],[Total Quantity]]*VLOOKUP(OtherClients[[#This Row],[Part]],PartControl!$A$2:$E$564,2,FALSE)),0)</f>
        <v>0</v>
      </c>
      <c r="Z2094" s="108">
        <f>IF(OtherClients[[#This Row],[Re-certified or New]]&lt;&gt;"Re-certified",IF(OtherClients[[#This Row],[Client]]="infasco",VLOOKUP(OtherClients[[#This Row],[Part]],PartControl!$A$2:$E$564,2,FALSE),OtherClients[[#This Row],[Total Quantity]]*VLOOKUP(OtherClients[[#This Row],[Part]],PartControl!$A$2:$E$564,2,FALSE)),0)</f>
        <v>0</v>
      </c>
    </row>
    <row r="2095" spans="1:26" ht="25.15" hidden="1" customHeight="1" x14ac:dyDescent="0.25">
      <c r="A2095" s="112">
        <v>46263</v>
      </c>
      <c r="B2095" s="113" t="s">
        <v>342</v>
      </c>
      <c r="C2095" s="113" t="s">
        <v>827</v>
      </c>
      <c r="D2095" s="113">
        <v>716827</v>
      </c>
      <c r="E2095" s="114">
        <v>26</v>
      </c>
      <c r="F2095" s="115">
        <v>940</v>
      </c>
      <c r="G2095" s="115">
        <f>+OtherClients[[#This Row],[Boxes / Pieces]]*OtherClients[[#This Row],[Unit Quantity]]</f>
        <v>24440</v>
      </c>
      <c r="H2095" s="60" t="s">
        <v>893</v>
      </c>
      <c r="I2095" s="130" t="s">
        <v>278</v>
      </c>
      <c r="J2095" s="131"/>
      <c r="K2095" s="33" t="s">
        <v>278</v>
      </c>
      <c r="L2095" s="132"/>
      <c r="M2095" s="33" t="s">
        <v>278</v>
      </c>
      <c r="N2095" s="132"/>
      <c r="O2095" s="33" t="s">
        <v>278</v>
      </c>
      <c r="P2095" s="132"/>
      <c r="Q2095" s="33" t="s">
        <v>587</v>
      </c>
      <c r="R2095" s="132"/>
      <c r="S2095" s="33" t="s">
        <v>278</v>
      </c>
      <c r="T2095" s="132"/>
      <c r="U2095" s="33" t="s">
        <v>278</v>
      </c>
      <c r="V2095" s="132"/>
      <c r="W2095" s="59" t="s">
        <v>548</v>
      </c>
      <c r="X2095" s="33" t="str">
        <f>+VLOOKUP(OtherClients[[#This Row],[Part]],PartControl!$A$2:$E$564,5,FALSE)</f>
        <v>infasco</v>
      </c>
      <c r="Y2095" s="108">
        <f>IF(OtherClients[[#This Row],[Re-certified or New]]&lt;&gt;"Re-certified",IF(OtherClients[[#This Row],[Client]]="infasco",VLOOKUP(OtherClients[[#This Row],[Part]],PartControl!$A$2:$E$564,2,FALSE),OtherClients[[#This Row],[Total Quantity]]*VLOOKUP(OtherClients[[#This Row],[Part]],PartControl!$A$2:$E$564,2,FALSE)),0)</f>
        <v>106.94</v>
      </c>
      <c r="Z2095" s="108">
        <f>IF(OtherClients[[#This Row],[Re-certified or New]]&lt;&gt;"Re-certified",IF(OtherClients[[#This Row],[Client]]="infasco",VLOOKUP(OtherClients[[#This Row],[Part]],PartControl!$A$2:$E$564,2,FALSE),OtherClients[[#This Row],[Total Quantity]]*VLOOKUP(OtherClients[[#This Row],[Part]],PartControl!$A$2:$E$564,2,FALSE)),0)</f>
        <v>106.94</v>
      </c>
    </row>
    <row r="2096" spans="1:26" ht="25.15" hidden="1" customHeight="1" x14ac:dyDescent="0.25">
      <c r="A2096" s="112">
        <v>46263</v>
      </c>
      <c r="B2096" s="5" t="s">
        <v>342</v>
      </c>
      <c r="C2096" s="5" t="s">
        <v>656</v>
      </c>
      <c r="D2096" s="5">
        <v>717452</v>
      </c>
      <c r="E2096" s="33">
        <v>28</v>
      </c>
      <c r="F2096" s="60">
        <v>825</v>
      </c>
      <c r="G2096" s="60">
        <f>+OtherClients[[#This Row],[Boxes / Pieces]]*OtherClients[[#This Row],[Unit Quantity]]</f>
        <v>23100</v>
      </c>
      <c r="H2096" s="60" t="s">
        <v>893</v>
      </c>
      <c r="I2096" s="130" t="s">
        <v>278</v>
      </c>
      <c r="J2096" s="131"/>
      <c r="K2096" s="33" t="s">
        <v>278</v>
      </c>
      <c r="L2096" s="132"/>
      <c r="M2096" s="33" t="s">
        <v>278</v>
      </c>
      <c r="N2096" s="132"/>
      <c r="O2096" s="33" t="s">
        <v>278</v>
      </c>
      <c r="P2096" s="132"/>
      <c r="Q2096" s="33" t="s">
        <v>587</v>
      </c>
      <c r="R2096" s="132"/>
      <c r="S2096" s="33" t="s">
        <v>278</v>
      </c>
      <c r="T2096" s="132"/>
      <c r="U2096" s="33" t="s">
        <v>278</v>
      </c>
      <c r="V2096" s="132"/>
      <c r="W2096" s="59" t="s">
        <v>548</v>
      </c>
      <c r="X2096" s="33" t="str">
        <f>+VLOOKUP(OtherClients[[#This Row],[Part]],PartControl!$A$2:$E$564,5,FALSE)</f>
        <v>infasco</v>
      </c>
      <c r="Y2096" s="108">
        <f>IF(OtherClients[[#This Row],[Re-certified or New]]&lt;&gt;"Re-certified",IF(OtherClients[[#This Row],[Client]]="infasco",VLOOKUP(OtherClients[[#This Row],[Part]],PartControl!$A$2:$E$564,2,FALSE),OtherClients[[#This Row],[Total Quantity]]*VLOOKUP(OtherClients[[#This Row],[Part]],PartControl!$A$2:$E$564,2,FALSE)),0)</f>
        <v>280.16000000000003</v>
      </c>
      <c r="Z2096" s="108">
        <f>IF(OtherClients[[#This Row],[Re-certified or New]]&lt;&gt;"Re-certified",IF(OtherClients[[#This Row],[Client]]="infasco",VLOOKUP(OtherClients[[#This Row],[Part]],PartControl!$A$2:$E$564,2,FALSE),OtherClients[[#This Row],[Total Quantity]]*VLOOKUP(OtherClients[[#This Row],[Part]],PartControl!$A$2:$E$564,2,FALSE)),0)</f>
        <v>280.16000000000003</v>
      </c>
    </row>
    <row r="2097" spans="1:26" ht="25.15" hidden="1" customHeight="1" x14ac:dyDescent="0.25">
      <c r="A2097" s="112">
        <v>46263</v>
      </c>
      <c r="B2097" s="5" t="s">
        <v>342</v>
      </c>
      <c r="C2097" s="5" t="s">
        <v>818</v>
      </c>
      <c r="D2097" s="5">
        <v>717463</v>
      </c>
      <c r="E2097" s="33">
        <v>23</v>
      </c>
      <c r="F2097" s="60">
        <v>670</v>
      </c>
      <c r="G2097" s="60">
        <f>+OtherClients[[#This Row],[Boxes / Pieces]]*OtherClients[[#This Row],[Unit Quantity]]</f>
        <v>15410</v>
      </c>
      <c r="H2097" s="60" t="s">
        <v>893</v>
      </c>
      <c r="I2097" s="130" t="s">
        <v>278</v>
      </c>
      <c r="J2097" s="131"/>
      <c r="K2097" s="33" t="s">
        <v>278</v>
      </c>
      <c r="L2097" s="132"/>
      <c r="M2097" s="33" t="s">
        <v>278</v>
      </c>
      <c r="N2097" s="132"/>
      <c r="O2097" s="33" t="s">
        <v>278</v>
      </c>
      <c r="P2097" s="132"/>
      <c r="Q2097" s="33" t="s">
        <v>587</v>
      </c>
      <c r="R2097" s="132"/>
      <c r="S2097" s="33" t="s">
        <v>278</v>
      </c>
      <c r="T2097" s="132"/>
      <c r="U2097" s="33" t="s">
        <v>278</v>
      </c>
      <c r="V2097" s="132"/>
      <c r="W2097" s="59" t="s">
        <v>548</v>
      </c>
      <c r="X2097" s="33" t="str">
        <f>+VLOOKUP(OtherClients[[#This Row],[Part]],PartControl!$A$2:$E$564,5,FALSE)</f>
        <v>infasco</v>
      </c>
      <c r="Y2097" s="108">
        <f>IF(OtherClients[[#This Row],[Re-certified or New]]&lt;&gt;"Re-certified",IF(OtherClients[[#This Row],[Client]]="infasco",VLOOKUP(OtherClients[[#This Row],[Part]],PartControl!$A$2:$E$564,2,FALSE),OtherClients[[#This Row],[Total Quantity]]*VLOOKUP(OtherClients[[#This Row],[Part]],PartControl!$A$2:$E$564,2,FALSE)),0)</f>
        <v>280.16000000000003</v>
      </c>
      <c r="Z2097" s="108">
        <f>IF(OtherClients[[#This Row],[Re-certified or New]]&lt;&gt;"Re-certified",IF(OtherClients[[#This Row],[Client]]="infasco",VLOOKUP(OtherClients[[#This Row],[Part]],PartControl!$A$2:$E$564,2,FALSE),OtherClients[[#This Row],[Total Quantity]]*VLOOKUP(OtherClients[[#This Row],[Part]],PartControl!$A$2:$E$564,2,FALSE)),0)</f>
        <v>280.16000000000003</v>
      </c>
    </row>
    <row r="2098" spans="1:26" ht="25.15" hidden="1" customHeight="1" x14ac:dyDescent="0.25">
      <c r="A2098" s="112">
        <v>46263</v>
      </c>
      <c r="B2098" s="5" t="s">
        <v>342</v>
      </c>
      <c r="C2098" s="5">
        <v>42068967</v>
      </c>
      <c r="D2098" s="5">
        <v>717205</v>
      </c>
      <c r="E2098" s="33">
        <v>36</v>
      </c>
      <c r="F2098" s="60">
        <v>320</v>
      </c>
      <c r="G2098" s="60">
        <f>+OtherClients[[#This Row],[Boxes / Pieces]]*OtherClients[[#This Row],[Unit Quantity]]</f>
        <v>11520</v>
      </c>
      <c r="H2098" s="60" t="s">
        <v>893</v>
      </c>
      <c r="I2098" s="130" t="s">
        <v>278</v>
      </c>
      <c r="J2098" s="131"/>
      <c r="K2098" s="33" t="s">
        <v>278</v>
      </c>
      <c r="L2098" s="132"/>
      <c r="M2098" s="33" t="s">
        <v>278</v>
      </c>
      <c r="N2098" s="132"/>
      <c r="O2098" s="33" t="s">
        <v>278</v>
      </c>
      <c r="P2098" s="132"/>
      <c r="Q2098" s="33" t="s">
        <v>587</v>
      </c>
      <c r="R2098" s="132"/>
      <c r="S2098" s="33" t="s">
        <v>278</v>
      </c>
      <c r="T2098" s="132"/>
      <c r="U2098" s="33" t="s">
        <v>278</v>
      </c>
      <c r="V2098" s="132"/>
      <c r="W2098" s="59" t="s">
        <v>548</v>
      </c>
      <c r="X2098" s="33" t="str">
        <f>+VLOOKUP(OtherClients[[#This Row],[Part]],PartControl!$A$2:$E$564,5,FALSE)</f>
        <v>infasco</v>
      </c>
      <c r="Y2098" s="108">
        <f>IF(OtherClients[[#This Row],[Re-certified or New]]&lt;&gt;"Re-certified",IF(OtherClients[[#This Row],[Client]]="infasco",VLOOKUP(OtherClients[[#This Row],[Part]],PartControl!$A$2:$E$564,2,FALSE),OtherClients[[#This Row],[Total Quantity]]*VLOOKUP(OtherClients[[#This Row],[Part]],PartControl!$A$2:$E$564,2,FALSE)),0)</f>
        <v>123.82</v>
      </c>
      <c r="Z2098" s="108">
        <f>IF(OtherClients[[#This Row],[Re-certified or New]]&lt;&gt;"Re-certified",IF(OtherClients[[#This Row],[Client]]="infasco",VLOOKUP(OtherClients[[#This Row],[Part]],PartControl!$A$2:$E$564,2,FALSE),OtherClients[[#This Row],[Total Quantity]]*VLOOKUP(OtherClients[[#This Row],[Part]],PartControl!$A$2:$E$564,2,FALSE)),0)</f>
        <v>123.82</v>
      </c>
    </row>
    <row r="2099" spans="1:26" ht="25.15" hidden="1" customHeight="1" x14ac:dyDescent="0.25">
      <c r="A2099" s="112">
        <v>46263</v>
      </c>
      <c r="B2099" s="5" t="s">
        <v>342</v>
      </c>
      <c r="C2099" s="5">
        <v>42068967</v>
      </c>
      <c r="D2099" s="5">
        <v>717203</v>
      </c>
      <c r="E2099" s="33">
        <v>28</v>
      </c>
      <c r="F2099" s="60">
        <v>320</v>
      </c>
      <c r="G2099" s="60">
        <f>+OtherClients[[#This Row],[Boxes / Pieces]]*OtherClients[[#This Row],[Unit Quantity]]</f>
        <v>8960</v>
      </c>
      <c r="H2099" s="60" t="s">
        <v>893</v>
      </c>
      <c r="I2099" s="130" t="s">
        <v>278</v>
      </c>
      <c r="J2099" s="131"/>
      <c r="K2099" s="33" t="s">
        <v>278</v>
      </c>
      <c r="L2099" s="132"/>
      <c r="M2099" s="33" t="s">
        <v>278</v>
      </c>
      <c r="N2099" s="132"/>
      <c r="O2099" s="33" t="s">
        <v>278</v>
      </c>
      <c r="P2099" s="132"/>
      <c r="Q2099" s="33" t="s">
        <v>587</v>
      </c>
      <c r="R2099" s="132"/>
      <c r="S2099" s="33" t="s">
        <v>278</v>
      </c>
      <c r="T2099" s="132"/>
      <c r="U2099" s="33" t="s">
        <v>278</v>
      </c>
      <c r="V2099" s="132"/>
      <c r="W2099" s="59" t="s">
        <v>548</v>
      </c>
      <c r="X2099" s="33" t="str">
        <f>+VLOOKUP(OtherClients[[#This Row],[Part]],PartControl!$A$2:$E$564,5,FALSE)</f>
        <v>infasco</v>
      </c>
      <c r="Y2099" s="108">
        <f>IF(OtherClients[[#This Row],[Re-certified or New]]&lt;&gt;"Re-certified",IF(OtherClients[[#This Row],[Client]]="infasco",VLOOKUP(OtherClients[[#This Row],[Part]],PartControl!$A$2:$E$564,2,FALSE),OtherClients[[#This Row],[Total Quantity]]*VLOOKUP(OtherClients[[#This Row],[Part]],PartControl!$A$2:$E$564,2,FALSE)),0)</f>
        <v>123.82</v>
      </c>
      <c r="Z2099" s="108">
        <f>IF(OtherClients[[#This Row],[Re-certified or New]]&lt;&gt;"Re-certified",IF(OtherClients[[#This Row],[Client]]="infasco",VLOOKUP(OtherClients[[#This Row],[Part]],PartControl!$A$2:$E$564,2,FALSE),OtherClients[[#This Row],[Total Quantity]]*VLOOKUP(OtherClients[[#This Row],[Part]],PartControl!$A$2:$E$564,2,FALSE)),0)</f>
        <v>123.82</v>
      </c>
    </row>
    <row r="2100" spans="1:26" ht="25.15" hidden="1" customHeight="1" x14ac:dyDescent="0.25">
      <c r="A2100" s="112">
        <v>46263</v>
      </c>
      <c r="B2100" s="5" t="s">
        <v>342</v>
      </c>
      <c r="C2100" s="5" t="s">
        <v>823</v>
      </c>
      <c r="D2100" s="5">
        <v>717002</v>
      </c>
      <c r="E2100" s="33">
        <v>36</v>
      </c>
      <c r="F2100" s="60">
        <v>1500</v>
      </c>
      <c r="G2100" s="60">
        <f>+OtherClients[[#This Row],[Boxes / Pieces]]*OtherClients[[#This Row],[Unit Quantity]]</f>
        <v>54000</v>
      </c>
      <c r="H2100" s="60" t="s">
        <v>893</v>
      </c>
      <c r="I2100" s="130" t="s">
        <v>278</v>
      </c>
      <c r="J2100" s="131"/>
      <c r="K2100" s="33" t="s">
        <v>278</v>
      </c>
      <c r="L2100" s="132"/>
      <c r="M2100" s="33" t="s">
        <v>278</v>
      </c>
      <c r="N2100" s="132"/>
      <c r="O2100" s="33" t="s">
        <v>278</v>
      </c>
      <c r="P2100" s="132"/>
      <c r="Q2100" s="33" t="s">
        <v>587</v>
      </c>
      <c r="R2100" s="132"/>
      <c r="S2100" s="33" t="s">
        <v>278</v>
      </c>
      <c r="T2100" s="132"/>
      <c r="U2100" s="33" t="s">
        <v>278</v>
      </c>
      <c r="V2100" s="132"/>
      <c r="W2100" s="59" t="s">
        <v>548</v>
      </c>
      <c r="X2100" s="33" t="str">
        <f>+VLOOKUP(OtherClients[[#This Row],[Part]],PartControl!$A$2:$E$564,5,FALSE)</f>
        <v>infasco</v>
      </c>
      <c r="Y2100" s="108">
        <f>IF(OtherClients[[#This Row],[Re-certified or New]]&lt;&gt;"Re-certified",IF(OtherClients[[#This Row],[Client]]="infasco",VLOOKUP(OtherClients[[#This Row],[Part]],PartControl!$A$2:$E$564,2,FALSE),OtherClients[[#This Row],[Total Quantity]]*VLOOKUP(OtherClients[[#This Row],[Part]],PartControl!$A$2:$E$564,2,FALSE)),0)</f>
        <v>226.94</v>
      </c>
      <c r="Z2100" s="108">
        <f>IF(OtherClients[[#This Row],[Re-certified or New]]&lt;&gt;"Re-certified",IF(OtherClients[[#This Row],[Client]]="infasco",VLOOKUP(OtherClients[[#This Row],[Part]],PartControl!$A$2:$E$564,2,FALSE),OtherClients[[#This Row],[Total Quantity]]*VLOOKUP(OtherClients[[#This Row],[Part]],PartControl!$A$2:$E$564,2,FALSE)),0)</f>
        <v>226.94</v>
      </c>
    </row>
    <row r="2101" spans="1:26" ht="25.15" hidden="1" customHeight="1" x14ac:dyDescent="0.25">
      <c r="A2101" s="112">
        <v>46263</v>
      </c>
      <c r="B2101" s="5" t="s">
        <v>342</v>
      </c>
      <c r="C2101" s="5" t="s">
        <v>823</v>
      </c>
      <c r="D2101" s="5">
        <v>716999</v>
      </c>
      <c r="E2101" s="33">
        <v>12</v>
      </c>
      <c r="F2101" s="60">
        <v>1500</v>
      </c>
      <c r="G2101" s="60">
        <f>+OtherClients[[#This Row],[Boxes / Pieces]]*OtherClients[[#This Row],[Unit Quantity]]</f>
        <v>18000</v>
      </c>
      <c r="H2101" s="60" t="s">
        <v>893</v>
      </c>
      <c r="I2101" s="130" t="s">
        <v>278</v>
      </c>
      <c r="J2101" s="131"/>
      <c r="K2101" s="33" t="s">
        <v>278</v>
      </c>
      <c r="L2101" s="132"/>
      <c r="M2101" s="33" t="s">
        <v>278</v>
      </c>
      <c r="N2101" s="132"/>
      <c r="O2101" s="33" t="s">
        <v>278</v>
      </c>
      <c r="P2101" s="132"/>
      <c r="Q2101" s="33" t="s">
        <v>587</v>
      </c>
      <c r="R2101" s="132"/>
      <c r="S2101" s="33" t="s">
        <v>278</v>
      </c>
      <c r="T2101" s="132"/>
      <c r="U2101" s="33" t="s">
        <v>278</v>
      </c>
      <c r="V2101" s="132"/>
      <c r="W2101" s="59" t="s">
        <v>633</v>
      </c>
      <c r="X2101" s="33" t="str">
        <f>+VLOOKUP(OtherClients[[#This Row],[Part]],PartControl!$A$2:$E$564,5,FALSE)</f>
        <v>infasco</v>
      </c>
      <c r="Y2101" s="108">
        <f>IF(OtherClients[[#This Row],[Re-certified or New]]&lt;&gt;"Re-certified",IF(OtherClients[[#This Row],[Client]]="infasco",VLOOKUP(OtherClients[[#This Row],[Part]],PartControl!$A$2:$E$564,2,FALSE),OtherClients[[#This Row],[Total Quantity]]*VLOOKUP(OtherClients[[#This Row],[Part]],PartControl!$A$2:$E$564,2,FALSE)),0)</f>
        <v>0</v>
      </c>
      <c r="Z2101" s="108">
        <f>IF(OtherClients[[#This Row],[Re-certified or New]]&lt;&gt;"Re-certified",IF(OtherClients[[#This Row],[Client]]="infasco",VLOOKUP(OtherClients[[#This Row],[Part]],PartControl!$A$2:$E$564,2,FALSE),OtherClients[[#This Row],[Total Quantity]]*VLOOKUP(OtherClients[[#This Row],[Part]],PartControl!$A$2:$E$564,2,FALSE)),0)</f>
        <v>0</v>
      </c>
    </row>
    <row r="2102" spans="1:26" ht="25.15" hidden="1" customHeight="1" x14ac:dyDescent="0.25">
      <c r="A2102" s="112">
        <v>46263</v>
      </c>
      <c r="B2102" s="5" t="s">
        <v>343</v>
      </c>
      <c r="C2102" s="5" t="s">
        <v>35</v>
      </c>
      <c r="D2102" s="5">
        <v>714598</v>
      </c>
      <c r="E2102" s="33">
        <v>18</v>
      </c>
      <c r="F2102" s="60">
        <v>850</v>
      </c>
      <c r="G2102" s="60">
        <f>+OtherClients[[#This Row],[Boxes / Pieces]]*OtherClients[[#This Row],[Unit Quantity]]</f>
        <v>15300</v>
      </c>
      <c r="H2102" s="60" t="s">
        <v>757</v>
      </c>
      <c r="I2102" s="130" t="s">
        <v>278</v>
      </c>
      <c r="J2102" s="131"/>
      <c r="K2102" s="33" t="s">
        <v>278</v>
      </c>
      <c r="L2102" s="132"/>
      <c r="M2102" s="33" t="s">
        <v>278</v>
      </c>
      <c r="N2102" s="132"/>
      <c r="O2102" s="33" t="s">
        <v>278</v>
      </c>
      <c r="P2102" s="132"/>
      <c r="Q2102" s="33" t="s">
        <v>587</v>
      </c>
      <c r="R2102" s="132"/>
      <c r="S2102" s="33" t="s">
        <v>278</v>
      </c>
      <c r="T2102" s="132"/>
      <c r="U2102" s="33" t="s">
        <v>278</v>
      </c>
      <c r="V2102" s="132"/>
      <c r="W2102" s="59" t="s">
        <v>548</v>
      </c>
      <c r="X2102" s="33" t="str">
        <f>+VLOOKUP(OtherClients[[#This Row],[Part]],PartControl!$A$2:$E$564,5,FALSE)</f>
        <v>infasco</v>
      </c>
      <c r="Y2102" s="108">
        <f>IF(OtherClients[[#This Row],[Re-certified or New]]&lt;&gt;"Re-certified",IF(OtherClients[[#This Row],[Client]]="infasco",VLOOKUP(OtherClients[[#This Row],[Part]],PartControl!$A$2:$E$564,2,FALSE),OtherClients[[#This Row],[Total Quantity]]*VLOOKUP(OtherClients[[#This Row],[Part]],PartControl!$A$2:$E$564,2,FALSE)),0)</f>
        <v>106.94</v>
      </c>
      <c r="Z2102" s="108">
        <f>IF(OtherClients[[#This Row],[Re-certified or New]]&lt;&gt;"Re-certified",IF(OtherClients[[#This Row],[Client]]="infasco",VLOOKUP(OtherClients[[#This Row],[Part]],PartControl!$A$2:$E$564,2,FALSE),OtherClients[[#This Row],[Total Quantity]]*VLOOKUP(OtherClients[[#This Row],[Part]],PartControl!$A$2:$E$564,2,FALSE)),0)</f>
        <v>106.94</v>
      </c>
    </row>
    <row r="2103" spans="1:26" ht="25.15" hidden="1" customHeight="1" x14ac:dyDescent="0.25">
      <c r="A2103" s="112">
        <v>46263</v>
      </c>
      <c r="B2103" s="5" t="s">
        <v>343</v>
      </c>
      <c r="C2103" s="5" t="s">
        <v>827</v>
      </c>
      <c r="D2103" s="5">
        <v>716828</v>
      </c>
      <c r="E2103" s="33">
        <v>35</v>
      </c>
      <c r="F2103" s="60">
        <v>940</v>
      </c>
      <c r="G2103" s="60">
        <f>+OtherClients[[#This Row],[Boxes / Pieces]]*OtherClients[[#This Row],[Unit Quantity]]</f>
        <v>32900</v>
      </c>
      <c r="H2103" s="60" t="s">
        <v>757</v>
      </c>
      <c r="I2103" s="130" t="s">
        <v>278</v>
      </c>
      <c r="J2103" s="131"/>
      <c r="K2103" s="33" t="s">
        <v>278</v>
      </c>
      <c r="L2103" s="132"/>
      <c r="M2103" s="33" t="s">
        <v>278</v>
      </c>
      <c r="N2103" s="132"/>
      <c r="O2103" s="33" t="s">
        <v>278</v>
      </c>
      <c r="P2103" s="132"/>
      <c r="Q2103" s="33" t="s">
        <v>587</v>
      </c>
      <c r="R2103" s="132"/>
      <c r="S2103" s="33" t="s">
        <v>278</v>
      </c>
      <c r="T2103" s="132"/>
      <c r="U2103" s="33" t="s">
        <v>278</v>
      </c>
      <c r="V2103" s="132"/>
      <c r="W2103" s="59" t="s">
        <v>548</v>
      </c>
      <c r="X2103" s="33" t="str">
        <f>+VLOOKUP(OtherClients[[#This Row],[Part]],PartControl!$A$2:$E$564,5,FALSE)</f>
        <v>infasco</v>
      </c>
      <c r="Y2103" s="108">
        <f>IF(OtherClients[[#This Row],[Re-certified or New]]&lt;&gt;"Re-certified",IF(OtherClients[[#This Row],[Client]]="infasco",VLOOKUP(OtherClients[[#This Row],[Part]],PartControl!$A$2:$E$564,2,FALSE),OtherClients[[#This Row],[Total Quantity]]*VLOOKUP(OtherClients[[#This Row],[Part]],PartControl!$A$2:$E$564,2,FALSE)),0)</f>
        <v>106.94</v>
      </c>
      <c r="Z2103" s="108">
        <f>IF(OtherClients[[#This Row],[Re-certified or New]]&lt;&gt;"Re-certified",IF(OtherClients[[#This Row],[Client]]="infasco",VLOOKUP(OtherClients[[#This Row],[Part]],PartControl!$A$2:$E$564,2,FALSE),OtherClients[[#This Row],[Total Quantity]]*VLOOKUP(OtherClients[[#This Row],[Part]],PartControl!$A$2:$E$564,2,FALSE)),0)</f>
        <v>106.94</v>
      </c>
    </row>
    <row r="2104" spans="1:26" ht="25.15" hidden="1" customHeight="1" x14ac:dyDescent="0.25">
      <c r="A2104" s="112">
        <v>46263</v>
      </c>
      <c r="B2104" s="5" t="s">
        <v>343</v>
      </c>
      <c r="C2104" s="5" t="s">
        <v>35</v>
      </c>
      <c r="D2104" s="5">
        <v>714596</v>
      </c>
      <c r="E2104" s="33">
        <v>43</v>
      </c>
      <c r="F2104" s="60">
        <v>850</v>
      </c>
      <c r="G2104" s="60">
        <f>+OtherClients[[#This Row],[Boxes / Pieces]]*OtherClients[[#This Row],[Unit Quantity]]</f>
        <v>36550</v>
      </c>
      <c r="H2104" s="60" t="s">
        <v>757</v>
      </c>
      <c r="I2104" s="130" t="s">
        <v>278</v>
      </c>
      <c r="J2104" s="131"/>
      <c r="K2104" s="33" t="s">
        <v>278</v>
      </c>
      <c r="L2104" s="132"/>
      <c r="M2104" s="33" t="s">
        <v>278</v>
      </c>
      <c r="N2104" s="132"/>
      <c r="O2104" s="33" t="s">
        <v>278</v>
      </c>
      <c r="P2104" s="132"/>
      <c r="Q2104" s="33" t="s">
        <v>587</v>
      </c>
      <c r="R2104" s="132"/>
      <c r="S2104" s="33" t="s">
        <v>278</v>
      </c>
      <c r="T2104" s="132"/>
      <c r="U2104" s="33" t="s">
        <v>278</v>
      </c>
      <c r="V2104" s="132"/>
      <c r="W2104" s="59" t="s">
        <v>548</v>
      </c>
      <c r="X2104" s="33" t="str">
        <f>+VLOOKUP(OtherClients[[#This Row],[Part]],PartControl!$A$2:$E$564,5,FALSE)</f>
        <v>infasco</v>
      </c>
      <c r="Y2104" s="108">
        <f>IF(OtherClients[[#This Row],[Re-certified or New]]&lt;&gt;"Re-certified",IF(OtherClients[[#This Row],[Client]]="infasco",VLOOKUP(OtherClients[[#This Row],[Part]],PartControl!$A$2:$E$564,2,FALSE),OtherClients[[#This Row],[Total Quantity]]*VLOOKUP(OtherClients[[#This Row],[Part]],PartControl!$A$2:$E$564,2,FALSE)),0)</f>
        <v>106.94</v>
      </c>
      <c r="Z2104" s="108">
        <f>IF(OtherClients[[#This Row],[Re-certified or New]]&lt;&gt;"Re-certified",IF(OtherClients[[#This Row],[Client]]="infasco",VLOOKUP(OtherClients[[#This Row],[Part]],PartControl!$A$2:$E$564,2,FALSE),OtherClients[[#This Row],[Total Quantity]]*VLOOKUP(OtherClients[[#This Row],[Part]],PartControl!$A$2:$E$564,2,FALSE)),0)</f>
        <v>106.94</v>
      </c>
    </row>
    <row r="2105" spans="1:26" ht="25.15" hidden="1" customHeight="1" x14ac:dyDescent="0.25">
      <c r="A2105" s="112">
        <v>46263</v>
      </c>
      <c r="B2105" s="5" t="s">
        <v>343</v>
      </c>
      <c r="C2105" s="5" t="s">
        <v>823</v>
      </c>
      <c r="D2105" s="5">
        <v>717004</v>
      </c>
      <c r="E2105" s="33">
        <v>20</v>
      </c>
      <c r="F2105" s="60">
        <v>1500</v>
      </c>
      <c r="G2105" s="60">
        <f>+OtherClients[[#This Row],[Boxes / Pieces]]*OtherClients[[#This Row],[Unit Quantity]]</f>
        <v>30000</v>
      </c>
      <c r="H2105" s="60" t="s">
        <v>757</v>
      </c>
      <c r="I2105" s="130" t="s">
        <v>278</v>
      </c>
      <c r="J2105" s="131"/>
      <c r="K2105" s="33" t="s">
        <v>278</v>
      </c>
      <c r="L2105" s="132"/>
      <c r="M2105" s="33" t="s">
        <v>278</v>
      </c>
      <c r="N2105" s="132"/>
      <c r="O2105" s="33" t="s">
        <v>278</v>
      </c>
      <c r="P2105" s="132"/>
      <c r="Q2105" s="33" t="s">
        <v>587</v>
      </c>
      <c r="R2105" s="132"/>
      <c r="S2105" s="33" t="s">
        <v>278</v>
      </c>
      <c r="T2105" s="132"/>
      <c r="U2105" s="33" t="s">
        <v>278</v>
      </c>
      <c r="V2105" s="132"/>
      <c r="W2105" s="59" t="s">
        <v>548</v>
      </c>
      <c r="X2105" s="33" t="str">
        <f>+VLOOKUP(OtherClients[[#This Row],[Part]],PartControl!$A$2:$E$564,5,FALSE)</f>
        <v>infasco</v>
      </c>
      <c r="Y2105" s="108">
        <f>IF(OtherClients[[#This Row],[Re-certified or New]]&lt;&gt;"Re-certified",IF(OtherClients[[#This Row],[Client]]="infasco",VLOOKUP(OtherClients[[#This Row],[Part]],PartControl!$A$2:$E$564,2,FALSE),OtherClients[[#This Row],[Total Quantity]]*VLOOKUP(OtherClients[[#This Row],[Part]],PartControl!$A$2:$E$564,2,FALSE)),0)</f>
        <v>226.94</v>
      </c>
      <c r="Z2105" s="108">
        <f>IF(OtherClients[[#This Row],[Re-certified or New]]&lt;&gt;"Re-certified",IF(OtherClients[[#This Row],[Client]]="infasco",VLOOKUP(OtherClients[[#This Row],[Part]],PartControl!$A$2:$E$564,2,FALSE),OtherClients[[#This Row],[Total Quantity]]*VLOOKUP(OtherClients[[#This Row],[Part]],PartControl!$A$2:$E$564,2,FALSE)),0)</f>
        <v>226.94</v>
      </c>
    </row>
    <row r="2106" spans="1:26" ht="25.15" hidden="1" customHeight="1" x14ac:dyDescent="0.25">
      <c r="A2106" s="112">
        <v>46263</v>
      </c>
      <c r="B2106" s="5" t="s">
        <v>344</v>
      </c>
      <c r="C2106" s="5" t="s">
        <v>769</v>
      </c>
      <c r="D2106" s="5">
        <v>717653</v>
      </c>
      <c r="E2106" s="33">
        <v>36</v>
      </c>
      <c r="F2106" s="60">
        <v>3900</v>
      </c>
      <c r="G2106" s="60">
        <f>+OtherClients[[#This Row],[Boxes / Pieces]]*OtherClients[[#This Row],[Unit Quantity]]</f>
        <v>140400</v>
      </c>
      <c r="H2106" s="60" t="s">
        <v>816</v>
      </c>
      <c r="I2106" s="130" t="s">
        <v>278</v>
      </c>
      <c r="J2106" s="131"/>
      <c r="K2106" s="33" t="s">
        <v>278</v>
      </c>
      <c r="L2106" s="132"/>
      <c r="M2106" s="33" t="s">
        <v>278</v>
      </c>
      <c r="N2106" s="132"/>
      <c r="O2106" s="33" t="s">
        <v>278</v>
      </c>
      <c r="P2106" s="132"/>
      <c r="Q2106" s="33" t="s">
        <v>587</v>
      </c>
      <c r="R2106" s="132"/>
      <c r="S2106" s="33" t="s">
        <v>278</v>
      </c>
      <c r="T2106" s="132"/>
      <c r="U2106" s="33" t="s">
        <v>278</v>
      </c>
      <c r="V2106" s="132"/>
      <c r="W2106" s="59" t="s">
        <v>548</v>
      </c>
      <c r="X2106" s="33" t="str">
        <f>+VLOOKUP(OtherClients[[#This Row],[Part]],PartControl!$A$2:$E$564,5,FALSE)</f>
        <v>infasco</v>
      </c>
      <c r="Y2106" s="108">
        <f>IF(OtherClients[[#This Row],[Re-certified or New]]&lt;&gt;"Re-certified",IF(OtherClients[[#This Row],[Client]]="infasco",VLOOKUP(OtherClients[[#This Row],[Part]],PartControl!$A$2:$E$564,2,FALSE),OtherClients[[#This Row],[Total Quantity]]*VLOOKUP(OtherClients[[#This Row],[Part]],PartControl!$A$2:$E$564,2,FALSE)),0)</f>
        <v>106.94</v>
      </c>
      <c r="Z2106" s="108">
        <f>IF(OtherClients[[#This Row],[Re-certified or New]]&lt;&gt;"Re-certified",IF(OtherClients[[#This Row],[Client]]="infasco",VLOOKUP(OtherClients[[#This Row],[Part]],PartControl!$A$2:$E$564,2,FALSE),OtherClients[[#This Row],[Total Quantity]]*VLOOKUP(OtherClients[[#This Row],[Part]],PartControl!$A$2:$E$564,2,FALSE)),0)</f>
        <v>106.94</v>
      </c>
    </row>
    <row r="2107" spans="1:26" ht="25.15" hidden="1" customHeight="1" x14ac:dyDescent="0.25">
      <c r="A2107" s="112">
        <v>46263</v>
      </c>
      <c r="B2107" s="5" t="s">
        <v>344</v>
      </c>
      <c r="C2107" s="5" t="s">
        <v>769</v>
      </c>
      <c r="D2107" s="5">
        <v>717654</v>
      </c>
      <c r="E2107" s="33">
        <v>26</v>
      </c>
      <c r="F2107" s="60">
        <v>3900</v>
      </c>
      <c r="G2107" s="60">
        <f>+OtherClients[[#This Row],[Boxes / Pieces]]*OtherClients[[#This Row],[Unit Quantity]]</f>
        <v>101400</v>
      </c>
      <c r="H2107" s="60" t="s">
        <v>816</v>
      </c>
      <c r="I2107" s="130" t="s">
        <v>278</v>
      </c>
      <c r="J2107" s="131"/>
      <c r="K2107" s="33" t="s">
        <v>278</v>
      </c>
      <c r="L2107" s="132"/>
      <c r="M2107" s="33" t="s">
        <v>278</v>
      </c>
      <c r="N2107" s="132"/>
      <c r="O2107" s="33" t="s">
        <v>278</v>
      </c>
      <c r="P2107" s="132"/>
      <c r="Q2107" s="33" t="s">
        <v>587</v>
      </c>
      <c r="R2107" s="132"/>
      <c r="S2107" s="33" t="s">
        <v>278</v>
      </c>
      <c r="T2107" s="132"/>
      <c r="U2107" s="33" t="s">
        <v>278</v>
      </c>
      <c r="V2107" s="132"/>
      <c r="W2107" s="59" t="s">
        <v>548</v>
      </c>
      <c r="X2107" s="33" t="str">
        <f>+VLOOKUP(OtherClients[[#This Row],[Part]],PartControl!$A$2:$E$564,5,FALSE)</f>
        <v>infasco</v>
      </c>
      <c r="Y2107" s="108">
        <f>IF(OtherClients[[#This Row],[Re-certified or New]]&lt;&gt;"Re-certified",IF(OtherClients[[#This Row],[Client]]="infasco",VLOOKUP(OtherClients[[#This Row],[Part]],PartControl!$A$2:$E$564,2,FALSE),OtherClients[[#This Row],[Total Quantity]]*VLOOKUP(OtherClients[[#This Row],[Part]],PartControl!$A$2:$E$564,2,FALSE)),0)</f>
        <v>106.94</v>
      </c>
      <c r="Z2107" s="108">
        <f>IF(OtherClients[[#This Row],[Re-certified or New]]&lt;&gt;"Re-certified",IF(OtherClients[[#This Row],[Client]]="infasco",VLOOKUP(OtherClients[[#This Row],[Part]],PartControl!$A$2:$E$564,2,FALSE),OtherClients[[#This Row],[Total Quantity]]*VLOOKUP(OtherClients[[#This Row],[Part]],PartControl!$A$2:$E$564,2,FALSE)),0)</f>
        <v>106.94</v>
      </c>
    </row>
    <row r="2108" spans="1:26" ht="25.15" hidden="1" customHeight="1" x14ac:dyDescent="0.25">
      <c r="A2108" s="112">
        <v>46263</v>
      </c>
      <c r="B2108" s="5" t="s">
        <v>344</v>
      </c>
      <c r="C2108" s="5">
        <v>42068967</v>
      </c>
      <c r="D2108" s="5">
        <v>717204</v>
      </c>
      <c r="E2108" s="33">
        <v>30</v>
      </c>
      <c r="F2108" s="60">
        <v>320</v>
      </c>
      <c r="G2108" s="60">
        <f>+OtherClients[[#This Row],[Boxes / Pieces]]*OtherClients[[#This Row],[Unit Quantity]]</f>
        <v>9600</v>
      </c>
      <c r="H2108" s="60" t="s">
        <v>816</v>
      </c>
      <c r="I2108" s="130" t="s">
        <v>278</v>
      </c>
      <c r="J2108" s="131"/>
      <c r="K2108" s="33" t="s">
        <v>278</v>
      </c>
      <c r="L2108" s="132"/>
      <c r="M2108" s="33" t="s">
        <v>278</v>
      </c>
      <c r="N2108" s="132"/>
      <c r="O2108" s="33" t="s">
        <v>278</v>
      </c>
      <c r="P2108" s="132"/>
      <c r="Q2108" s="33" t="s">
        <v>587</v>
      </c>
      <c r="R2108" s="132"/>
      <c r="S2108" s="33" t="s">
        <v>278</v>
      </c>
      <c r="T2108" s="132"/>
      <c r="U2108" s="33" t="s">
        <v>278</v>
      </c>
      <c r="V2108" s="132"/>
      <c r="W2108" s="59" t="s">
        <v>548</v>
      </c>
      <c r="X2108" s="33" t="str">
        <f>+VLOOKUP(OtherClients[[#This Row],[Part]],PartControl!$A$2:$E$564,5,FALSE)</f>
        <v>infasco</v>
      </c>
      <c r="Y2108" s="108">
        <f>IF(OtherClients[[#This Row],[Re-certified or New]]&lt;&gt;"Re-certified",IF(OtherClients[[#This Row],[Client]]="infasco",VLOOKUP(OtherClients[[#This Row],[Part]],PartControl!$A$2:$E$564,2,FALSE),OtherClients[[#This Row],[Total Quantity]]*VLOOKUP(OtherClients[[#This Row],[Part]],PartControl!$A$2:$E$564,2,FALSE)),0)</f>
        <v>123.82</v>
      </c>
      <c r="Z2108" s="108">
        <f>IF(OtherClients[[#This Row],[Re-certified or New]]&lt;&gt;"Re-certified",IF(OtherClients[[#This Row],[Client]]="infasco",VLOOKUP(OtherClients[[#This Row],[Part]],PartControl!$A$2:$E$564,2,FALSE),OtherClients[[#This Row],[Total Quantity]]*VLOOKUP(OtherClients[[#This Row],[Part]],PartControl!$A$2:$E$564,2,FALSE)),0)</f>
        <v>123.82</v>
      </c>
    </row>
    <row r="2109" spans="1:26" ht="25.15" hidden="1" customHeight="1" x14ac:dyDescent="0.25">
      <c r="A2109" s="112">
        <v>46263</v>
      </c>
      <c r="B2109" s="5" t="s">
        <v>344</v>
      </c>
      <c r="C2109" s="5" t="s">
        <v>838</v>
      </c>
      <c r="D2109" s="5">
        <v>716306</v>
      </c>
      <c r="E2109" s="33">
        <v>33</v>
      </c>
      <c r="F2109" s="60">
        <v>1200</v>
      </c>
      <c r="G2109" s="60">
        <f>+OtherClients[[#This Row],[Boxes / Pieces]]*OtherClients[[#This Row],[Unit Quantity]]</f>
        <v>39600</v>
      </c>
      <c r="H2109" s="60" t="s">
        <v>816</v>
      </c>
      <c r="I2109" s="130" t="s">
        <v>278</v>
      </c>
      <c r="J2109" s="131"/>
      <c r="K2109" s="33" t="s">
        <v>278</v>
      </c>
      <c r="L2109" s="132"/>
      <c r="M2109" s="33" t="s">
        <v>278</v>
      </c>
      <c r="N2109" s="132"/>
      <c r="O2109" s="33" t="s">
        <v>278</v>
      </c>
      <c r="P2109" s="132"/>
      <c r="Q2109" s="33" t="s">
        <v>587</v>
      </c>
      <c r="R2109" s="132"/>
      <c r="S2109" s="33" t="s">
        <v>278</v>
      </c>
      <c r="T2109" s="132"/>
      <c r="U2109" s="33" t="s">
        <v>278</v>
      </c>
      <c r="V2109" s="132"/>
      <c r="W2109" s="59" t="s">
        <v>548</v>
      </c>
      <c r="X2109" s="33" t="str">
        <f>+VLOOKUP(OtherClients[[#This Row],[Part]],PartControl!$A$2:$E$564,5,FALSE)</f>
        <v>infasco</v>
      </c>
      <c r="Y2109" s="108">
        <f>IF(OtherClients[[#This Row],[Re-certified or New]]&lt;&gt;"Re-certified",IF(OtherClients[[#This Row],[Client]]="infasco",VLOOKUP(OtherClients[[#This Row],[Part]],PartControl!$A$2:$E$564,2,FALSE),OtherClients[[#This Row],[Total Quantity]]*VLOOKUP(OtherClients[[#This Row],[Part]],PartControl!$A$2:$E$564,2,FALSE)),0)</f>
        <v>106.94</v>
      </c>
      <c r="Z2109" s="108">
        <f>IF(OtherClients[[#This Row],[Re-certified or New]]&lt;&gt;"Re-certified",IF(OtherClients[[#This Row],[Client]]="infasco",VLOOKUP(OtherClients[[#This Row],[Part]],PartControl!$A$2:$E$564,2,FALSE),OtherClients[[#This Row],[Total Quantity]]*VLOOKUP(OtherClients[[#This Row],[Part]],PartControl!$A$2:$E$564,2,FALSE)),0)</f>
        <v>106.94</v>
      </c>
    </row>
    <row r="2110" spans="1:26" ht="25.15" hidden="1" customHeight="1" x14ac:dyDescent="0.25">
      <c r="A2110" s="112">
        <v>46263</v>
      </c>
      <c r="B2110" s="5" t="s">
        <v>344</v>
      </c>
      <c r="C2110" s="5" t="s">
        <v>700</v>
      </c>
      <c r="D2110" s="5">
        <v>714532</v>
      </c>
      <c r="E2110" s="33">
        <v>36</v>
      </c>
      <c r="F2110" s="60">
        <v>1000</v>
      </c>
      <c r="G2110" s="60">
        <f>+OtherClients[[#This Row],[Boxes / Pieces]]*OtherClients[[#This Row],[Unit Quantity]]</f>
        <v>36000</v>
      </c>
      <c r="H2110" s="60" t="s">
        <v>816</v>
      </c>
      <c r="I2110" s="130" t="s">
        <v>278</v>
      </c>
      <c r="J2110" s="131"/>
      <c r="K2110" s="33" t="s">
        <v>278</v>
      </c>
      <c r="L2110" s="132"/>
      <c r="M2110" s="33" t="s">
        <v>278</v>
      </c>
      <c r="N2110" s="132"/>
      <c r="O2110" s="33" t="s">
        <v>278</v>
      </c>
      <c r="P2110" s="132"/>
      <c r="Q2110" s="33" t="s">
        <v>587</v>
      </c>
      <c r="R2110" s="132"/>
      <c r="S2110" s="33" t="s">
        <v>278</v>
      </c>
      <c r="T2110" s="132"/>
      <c r="U2110" s="33" t="s">
        <v>278</v>
      </c>
      <c r="V2110" s="132"/>
      <c r="W2110" s="59" t="s">
        <v>548</v>
      </c>
      <c r="X2110" s="33" t="str">
        <f>+VLOOKUP(OtherClients[[#This Row],[Part]],PartControl!$A$2:$E$564,5,FALSE)</f>
        <v>infasco</v>
      </c>
      <c r="Y2110" s="108">
        <f>IF(OtherClients[[#This Row],[Re-certified or New]]&lt;&gt;"Re-certified",IF(OtherClients[[#This Row],[Client]]="infasco",VLOOKUP(OtherClients[[#This Row],[Part]],PartControl!$A$2:$E$564,2,FALSE),OtherClients[[#This Row],[Total Quantity]]*VLOOKUP(OtherClients[[#This Row],[Part]],PartControl!$A$2:$E$564,2,FALSE)),0)</f>
        <v>106.94</v>
      </c>
      <c r="Z2110" s="108">
        <f>IF(OtherClients[[#This Row],[Re-certified or New]]&lt;&gt;"Re-certified",IF(OtherClients[[#This Row],[Client]]="infasco",VLOOKUP(OtherClients[[#This Row],[Part]],PartControl!$A$2:$E$564,2,FALSE),OtherClients[[#This Row],[Total Quantity]]*VLOOKUP(OtherClients[[#This Row],[Part]],PartControl!$A$2:$E$564,2,FALSE)),0)</f>
        <v>106.94</v>
      </c>
    </row>
    <row r="2111" spans="1:26" ht="25.15" hidden="1" customHeight="1" x14ac:dyDescent="0.25">
      <c r="A2111" s="112">
        <v>46263</v>
      </c>
      <c r="B2111" s="5" t="s">
        <v>344</v>
      </c>
      <c r="C2111" s="5" t="s">
        <v>700</v>
      </c>
      <c r="D2111" s="5">
        <v>714533</v>
      </c>
      <c r="E2111" s="33">
        <v>32</v>
      </c>
      <c r="F2111" s="60">
        <v>1000</v>
      </c>
      <c r="G2111" s="60">
        <f>+OtherClients[[#This Row],[Boxes / Pieces]]*OtherClients[[#This Row],[Unit Quantity]]</f>
        <v>32000</v>
      </c>
      <c r="H2111" s="60" t="s">
        <v>816</v>
      </c>
      <c r="I2111" s="130" t="s">
        <v>278</v>
      </c>
      <c r="J2111" s="131"/>
      <c r="K2111" s="33" t="s">
        <v>278</v>
      </c>
      <c r="L2111" s="132"/>
      <c r="M2111" s="33" t="s">
        <v>278</v>
      </c>
      <c r="N2111" s="132"/>
      <c r="O2111" s="33" t="s">
        <v>278</v>
      </c>
      <c r="P2111" s="132"/>
      <c r="Q2111" s="33" t="s">
        <v>587</v>
      </c>
      <c r="R2111" s="132"/>
      <c r="S2111" s="33" t="s">
        <v>278</v>
      </c>
      <c r="T2111" s="132"/>
      <c r="U2111" s="33" t="s">
        <v>278</v>
      </c>
      <c r="V2111" s="132"/>
      <c r="W2111" s="59" t="s">
        <v>633</v>
      </c>
      <c r="X2111" s="33" t="str">
        <f>+VLOOKUP(OtherClients[[#This Row],[Part]],PartControl!$A$2:$E$564,5,FALSE)</f>
        <v>infasco</v>
      </c>
      <c r="Y2111" s="108">
        <f>IF(OtherClients[[#This Row],[Re-certified or New]]&lt;&gt;"Re-certified",IF(OtherClients[[#This Row],[Client]]="infasco",VLOOKUP(OtherClients[[#This Row],[Part]],PartControl!$A$2:$E$564,2,FALSE),OtherClients[[#This Row],[Total Quantity]]*VLOOKUP(OtherClients[[#This Row],[Part]],PartControl!$A$2:$E$564,2,FALSE)),0)</f>
        <v>0</v>
      </c>
      <c r="Z2111" s="108">
        <f>IF(OtherClients[[#This Row],[Re-certified or New]]&lt;&gt;"Re-certified",IF(OtherClients[[#This Row],[Client]]="infasco",VLOOKUP(OtherClients[[#This Row],[Part]],PartControl!$A$2:$E$564,2,FALSE),OtherClients[[#This Row],[Total Quantity]]*VLOOKUP(OtherClients[[#This Row],[Part]],PartControl!$A$2:$E$564,2,FALSE)),0)</f>
        <v>0</v>
      </c>
    </row>
    <row r="2112" spans="1:26" ht="25.15" hidden="1" customHeight="1" x14ac:dyDescent="0.25">
      <c r="A2112" s="112">
        <v>46263</v>
      </c>
      <c r="B2112" s="5" t="s">
        <v>345</v>
      </c>
      <c r="C2112" s="5" t="s">
        <v>827</v>
      </c>
      <c r="D2112" s="5">
        <v>716830</v>
      </c>
      <c r="E2112" s="33">
        <f>36-12</f>
        <v>24</v>
      </c>
      <c r="F2112" s="60">
        <v>940</v>
      </c>
      <c r="G2112" s="60">
        <f>+OtherClients[[#This Row],[Boxes / Pieces]]*OtherClients[[#This Row],[Unit Quantity]]</f>
        <v>22560</v>
      </c>
      <c r="H2112" s="60" t="s">
        <v>864</v>
      </c>
      <c r="I2112" s="130" t="s">
        <v>278</v>
      </c>
      <c r="J2112" s="131"/>
      <c r="K2112" s="33" t="s">
        <v>278</v>
      </c>
      <c r="L2112" s="132"/>
      <c r="M2112" s="33" t="s">
        <v>278</v>
      </c>
      <c r="N2112" s="132"/>
      <c r="O2112" s="33" t="s">
        <v>278</v>
      </c>
      <c r="P2112" s="132"/>
      <c r="Q2112" s="33" t="s">
        <v>587</v>
      </c>
      <c r="R2112" s="132"/>
      <c r="S2112" s="33" t="s">
        <v>278</v>
      </c>
      <c r="T2112" s="132"/>
      <c r="U2112" s="33" t="s">
        <v>278</v>
      </c>
      <c r="V2112" s="132"/>
      <c r="W2112" s="59" t="s">
        <v>548</v>
      </c>
      <c r="X2112" s="33" t="str">
        <f>+VLOOKUP(OtherClients[[#This Row],[Part]],PartControl!$A$2:$E$564,5,FALSE)</f>
        <v>infasco</v>
      </c>
      <c r="Y2112" s="108">
        <f>IF(OtherClients[[#This Row],[Re-certified or New]]&lt;&gt;"Re-certified",IF(OtherClients[[#This Row],[Client]]="infasco",VLOOKUP(OtherClients[[#This Row],[Part]],PartControl!$A$2:$E$564,2,FALSE),OtherClients[[#This Row],[Total Quantity]]*VLOOKUP(OtherClients[[#This Row],[Part]],PartControl!$A$2:$E$564,2,FALSE)),0)</f>
        <v>106.94</v>
      </c>
      <c r="Z2112" s="108">
        <f>IF(OtherClients[[#This Row],[Re-certified or New]]&lt;&gt;"Re-certified",IF(OtherClients[[#This Row],[Client]]="infasco",VLOOKUP(OtherClients[[#This Row],[Part]],PartControl!$A$2:$E$564,2,FALSE),OtherClients[[#This Row],[Total Quantity]]*VLOOKUP(OtherClients[[#This Row],[Part]],PartControl!$A$2:$E$564,2,FALSE)),0)</f>
        <v>106.94</v>
      </c>
    </row>
    <row r="2113" spans="1:26" ht="25.15" hidden="1" customHeight="1" x14ac:dyDescent="0.25">
      <c r="A2113" s="112">
        <v>46263</v>
      </c>
      <c r="B2113" s="5" t="s">
        <v>345</v>
      </c>
      <c r="C2113" s="5" t="s">
        <v>656</v>
      </c>
      <c r="D2113" s="5">
        <v>717451</v>
      </c>
      <c r="E2113" s="33">
        <v>26</v>
      </c>
      <c r="F2113" s="60">
        <v>825</v>
      </c>
      <c r="G2113" s="60">
        <f>+OtherClients[[#This Row],[Boxes / Pieces]]*OtherClients[[#This Row],[Unit Quantity]]</f>
        <v>21450</v>
      </c>
      <c r="H2113" s="60" t="s">
        <v>864</v>
      </c>
      <c r="I2113" s="130" t="s">
        <v>278</v>
      </c>
      <c r="J2113" s="131"/>
      <c r="K2113" s="33" t="s">
        <v>278</v>
      </c>
      <c r="L2113" s="132"/>
      <c r="M2113" s="33" t="s">
        <v>278</v>
      </c>
      <c r="N2113" s="132"/>
      <c r="O2113" s="33" t="s">
        <v>278</v>
      </c>
      <c r="P2113" s="132"/>
      <c r="Q2113" s="33" t="s">
        <v>587</v>
      </c>
      <c r="R2113" s="132"/>
      <c r="S2113" s="33" t="s">
        <v>278</v>
      </c>
      <c r="T2113" s="132"/>
      <c r="U2113" s="33" t="s">
        <v>278</v>
      </c>
      <c r="V2113" s="132"/>
      <c r="W2113" s="59" t="s">
        <v>548</v>
      </c>
      <c r="X2113" s="33" t="str">
        <f>+VLOOKUP(OtherClients[[#This Row],[Part]],PartControl!$A$2:$E$564,5,FALSE)</f>
        <v>infasco</v>
      </c>
      <c r="Y2113" s="108">
        <f>IF(OtherClients[[#This Row],[Re-certified or New]]&lt;&gt;"Re-certified",IF(OtherClients[[#This Row],[Client]]="infasco",VLOOKUP(OtherClients[[#This Row],[Part]],PartControl!$A$2:$E$564,2,FALSE),OtherClients[[#This Row],[Total Quantity]]*VLOOKUP(OtherClients[[#This Row],[Part]],PartControl!$A$2:$E$564,2,FALSE)),0)</f>
        <v>280.16000000000003</v>
      </c>
      <c r="Z2113" s="108">
        <f>IF(OtherClients[[#This Row],[Re-certified or New]]&lt;&gt;"Re-certified",IF(OtherClients[[#This Row],[Client]]="infasco",VLOOKUP(OtherClients[[#This Row],[Part]],PartControl!$A$2:$E$564,2,FALSE),OtherClients[[#This Row],[Total Quantity]]*VLOOKUP(OtherClients[[#This Row],[Part]],PartControl!$A$2:$E$564,2,FALSE)),0)</f>
        <v>280.16000000000003</v>
      </c>
    </row>
    <row r="2114" spans="1:26" ht="25.15" hidden="1" customHeight="1" x14ac:dyDescent="0.25">
      <c r="A2114" s="112">
        <v>46263</v>
      </c>
      <c r="B2114" s="5" t="s">
        <v>345</v>
      </c>
      <c r="C2114" s="5" t="s">
        <v>818</v>
      </c>
      <c r="D2114" s="5">
        <v>717465</v>
      </c>
      <c r="E2114" s="33">
        <v>36</v>
      </c>
      <c r="F2114" s="60">
        <v>670</v>
      </c>
      <c r="G2114" s="60">
        <f>+OtherClients[[#This Row],[Boxes / Pieces]]*OtherClients[[#This Row],[Unit Quantity]]</f>
        <v>24120</v>
      </c>
      <c r="H2114" s="60" t="s">
        <v>864</v>
      </c>
      <c r="I2114" s="130" t="s">
        <v>278</v>
      </c>
      <c r="J2114" s="131"/>
      <c r="K2114" s="33" t="s">
        <v>278</v>
      </c>
      <c r="L2114" s="132"/>
      <c r="M2114" s="33" t="s">
        <v>278</v>
      </c>
      <c r="N2114" s="132"/>
      <c r="O2114" s="33" t="s">
        <v>278</v>
      </c>
      <c r="P2114" s="132"/>
      <c r="Q2114" s="33" t="s">
        <v>587</v>
      </c>
      <c r="R2114" s="132"/>
      <c r="S2114" s="33" t="s">
        <v>278</v>
      </c>
      <c r="T2114" s="132"/>
      <c r="U2114" s="33" t="s">
        <v>278</v>
      </c>
      <c r="V2114" s="132"/>
      <c r="W2114" s="59" t="s">
        <v>548</v>
      </c>
      <c r="X2114" s="33" t="str">
        <f>+VLOOKUP(OtherClients[[#This Row],[Part]],PartControl!$A$2:$E$564,5,FALSE)</f>
        <v>infasco</v>
      </c>
      <c r="Y2114" s="108">
        <f>IF(OtherClients[[#This Row],[Re-certified or New]]&lt;&gt;"Re-certified",IF(OtherClients[[#This Row],[Client]]="infasco",VLOOKUP(OtherClients[[#This Row],[Part]],PartControl!$A$2:$E$564,2,FALSE),OtherClients[[#This Row],[Total Quantity]]*VLOOKUP(OtherClients[[#This Row],[Part]],PartControl!$A$2:$E$564,2,FALSE)),0)</f>
        <v>280.16000000000003</v>
      </c>
      <c r="Z2114" s="108">
        <f>IF(OtherClients[[#This Row],[Re-certified or New]]&lt;&gt;"Re-certified",IF(OtherClients[[#This Row],[Client]]="infasco",VLOOKUP(OtherClients[[#This Row],[Part]],PartControl!$A$2:$E$564,2,FALSE),OtherClients[[#This Row],[Total Quantity]]*VLOOKUP(OtherClients[[#This Row],[Part]],PartControl!$A$2:$E$564,2,FALSE)),0)</f>
        <v>280.16000000000003</v>
      </c>
    </row>
    <row r="2115" spans="1:26" ht="25.15" hidden="1" customHeight="1" x14ac:dyDescent="0.25">
      <c r="A2115" s="112">
        <v>46263</v>
      </c>
      <c r="B2115" s="5" t="s">
        <v>345</v>
      </c>
      <c r="C2115" s="5" t="s">
        <v>818</v>
      </c>
      <c r="D2115" s="5">
        <v>717466</v>
      </c>
      <c r="E2115" s="33">
        <v>22</v>
      </c>
      <c r="F2115" s="60">
        <v>670</v>
      </c>
      <c r="G2115" s="60">
        <f>+OtherClients[[#This Row],[Boxes / Pieces]]*OtherClients[[#This Row],[Unit Quantity]]</f>
        <v>14740</v>
      </c>
      <c r="H2115" s="60" t="s">
        <v>864</v>
      </c>
      <c r="I2115" s="130" t="s">
        <v>278</v>
      </c>
      <c r="J2115" s="131"/>
      <c r="K2115" s="33" t="s">
        <v>278</v>
      </c>
      <c r="L2115" s="132"/>
      <c r="M2115" s="33" t="s">
        <v>278</v>
      </c>
      <c r="N2115" s="132"/>
      <c r="O2115" s="33" t="s">
        <v>278</v>
      </c>
      <c r="P2115" s="132"/>
      <c r="Q2115" s="33" t="s">
        <v>587</v>
      </c>
      <c r="R2115" s="132"/>
      <c r="S2115" s="33" t="s">
        <v>278</v>
      </c>
      <c r="T2115" s="132"/>
      <c r="U2115" s="33" t="s">
        <v>278</v>
      </c>
      <c r="V2115" s="132"/>
      <c r="W2115" s="59" t="s">
        <v>548</v>
      </c>
      <c r="X2115" s="33" t="str">
        <f>+VLOOKUP(OtherClients[[#This Row],[Part]],PartControl!$A$2:$E$564,5,FALSE)</f>
        <v>infasco</v>
      </c>
      <c r="Y2115" s="108">
        <f>IF(OtherClients[[#This Row],[Re-certified or New]]&lt;&gt;"Re-certified",IF(OtherClients[[#This Row],[Client]]="infasco",VLOOKUP(OtherClients[[#This Row],[Part]],PartControl!$A$2:$E$564,2,FALSE),OtherClients[[#This Row],[Total Quantity]]*VLOOKUP(OtherClients[[#This Row],[Part]],PartControl!$A$2:$E$564,2,FALSE)),0)</f>
        <v>280.16000000000003</v>
      </c>
      <c r="Z2115" s="108">
        <f>IF(OtherClients[[#This Row],[Re-certified or New]]&lt;&gt;"Re-certified",IF(OtherClients[[#This Row],[Client]]="infasco",VLOOKUP(OtherClients[[#This Row],[Part]],PartControl!$A$2:$E$564,2,FALSE),OtherClients[[#This Row],[Total Quantity]]*VLOOKUP(OtherClients[[#This Row],[Part]],PartControl!$A$2:$E$564,2,FALSE)),0)</f>
        <v>280.16000000000003</v>
      </c>
    </row>
    <row r="2116" spans="1:26" ht="25.15" hidden="1" customHeight="1" x14ac:dyDescent="0.25">
      <c r="A2116" s="112">
        <v>46263</v>
      </c>
      <c r="B2116" s="5" t="s">
        <v>345</v>
      </c>
      <c r="C2116" s="5">
        <v>42068967</v>
      </c>
      <c r="D2116" s="5">
        <v>717206</v>
      </c>
      <c r="E2116" s="33">
        <v>36</v>
      </c>
      <c r="F2116" s="60">
        <v>320</v>
      </c>
      <c r="G2116" s="60">
        <f>+OtherClients[[#This Row],[Boxes / Pieces]]*OtherClients[[#This Row],[Unit Quantity]]</f>
        <v>11520</v>
      </c>
      <c r="H2116" s="60" t="s">
        <v>864</v>
      </c>
      <c r="I2116" s="130" t="s">
        <v>278</v>
      </c>
      <c r="J2116" s="131"/>
      <c r="K2116" s="33" t="s">
        <v>278</v>
      </c>
      <c r="L2116" s="132"/>
      <c r="M2116" s="33" t="s">
        <v>278</v>
      </c>
      <c r="N2116" s="132"/>
      <c r="O2116" s="33" t="s">
        <v>278</v>
      </c>
      <c r="P2116" s="132"/>
      <c r="Q2116" s="33" t="s">
        <v>587</v>
      </c>
      <c r="R2116" s="132"/>
      <c r="S2116" s="33" t="s">
        <v>278</v>
      </c>
      <c r="T2116" s="132"/>
      <c r="U2116" s="33" t="s">
        <v>278</v>
      </c>
      <c r="V2116" s="132"/>
      <c r="W2116" s="59" t="s">
        <v>548</v>
      </c>
      <c r="X2116" s="33" t="str">
        <f>+VLOOKUP(OtherClients[[#This Row],[Part]],PartControl!$A$2:$E$564,5,FALSE)</f>
        <v>infasco</v>
      </c>
      <c r="Y2116" s="108">
        <f>IF(OtherClients[[#This Row],[Re-certified or New]]&lt;&gt;"Re-certified",IF(OtherClients[[#This Row],[Client]]="infasco",VLOOKUP(OtherClients[[#This Row],[Part]],PartControl!$A$2:$E$564,2,FALSE),OtherClients[[#This Row],[Total Quantity]]*VLOOKUP(OtherClients[[#This Row],[Part]],PartControl!$A$2:$E$564,2,FALSE)),0)</f>
        <v>123.82</v>
      </c>
      <c r="Z2116" s="108">
        <f>IF(OtherClients[[#This Row],[Re-certified or New]]&lt;&gt;"Re-certified",IF(OtherClients[[#This Row],[Client]]="infasco",VLOOKUP(OtherClients[[#This Row],[Part]],PartControl!$A$2:$E$564,2,FALSE),OtherClients[[#This Row],[Total Quantity]]*VLOOKUP(OtherClients[[#This Row],[Part]],PartControl!$A$2:$E$564,2,FALSE)),0)</f>
        <v>123.82</v>
      </c>
    </row>
    <row r="2117" spans="1:26" ht="25.15" hidden="1" customHeight="1" x14ac:dyDescent="0.25">
      <c r="A2117" s="112">
        <v>46263</v>
      </c>
      <c r="B2117" s="5" t="s">
        <v>345</v>
      </c>
      <c r="C2117" s="5">
        <v>42068967</v>
      </c>
      <c r="D2117" s="5">
        <v>717201</v>
      </c>
      <c r="E2117" s="33">
        <v>27</v>
      </c>
      <c r="F2117" s="60">
        <v>320</v>
      </c>
      <c r="G2117" s="60">
        <f>+OtherClients[[#This Row],[Boxes / Pieces]]*OtherClients[[#This Row],[Unit Quantity]]</f>
        <v>8640</v>
      </c>
      <c r="H2117" s="60" t="s">
        <v>864</v>
      </c>
      <c r="I2117" s="130" t="s">
        <v>278</v>
      </c>
      <c r="J2117" s="131"/>
      <c r="K2117" s="33" t="s">
        <v>278</v>
      </c>
      <c r="L2117" s="132"/>
      <c r="M2117" s="33" t="s">
        <v>278</v>
      </c>
      <c r="N2117" s="132"/>
      <c r="O2117" s="33" t="s">
        <v>278</v>
      </c>
      <c r="P2117" s="132"/>
      <c r="Q2117" s="33" t="s">
        <v>587</v>
      </c>
      <c r="R2117" s="132"/>
      <c r="S2117" s="33" t="s">
        <v>278</v>
      </c>
      <c r="T2117" s="132"/>
      <c r="U2117" s="33" t="s">
        <v>278</v>
      </c>
      <c r="V2117" s="132"/>
      <c r="W2117" s="59" t="s">
        <v>548</v>
      </c>
      <c r="X2117" s="33" t="str">
        <f>+VLOOKUP(OtherClients[[#This Row],[Part]],PartControl!$A$2:$E$564,5,FALSE)</f>
        <v>infasco</v>
      </c>
      <c r="Y2117" s="108">
        <f>IF(OtherClients[[#This Row],[Re-certified or New]]&lt;&gt;"Re-certified",IF(OtherClients[[#This Row],[Client]]="infasco",VLOOKUP(OtherClients[[#This Row],[Part]],PartControl!$A$2:$E$564,2,FALSE),OtherClients[[#This Row],[Total Quantity]]*VLOOKUP(OtherClients[[#This Row],[Part]],PartControl!$A$2:$E$564,2,FALSE)),0)</f>
        <v>123.82</v>
      </c>
      <c r="Z2117" s="108">
        <f>IF(OtherClients[[#This Row],[Re-certified or New]]&lt;&gt;"Re-certified",IF(OtherClients[[#This Row],[Client]]="infasco",VLOOKUP(OtherClients[[#This Row],[Part]],PartControl!$A$2:$E$564,2,FALSE),OtherClients[[#This Row],[Total Quantity]]*VLOOKUP(OtherClients[[#This Row],[Part]],PartControl!$A$2:$E$564,2,FALSE)),0)</f>
        <v>123.82</v>
      </c>
    </row>
    <row r="2118" spans="1:26" ht="25.15" hidden="1" customHeight="1" x14ac:dyDescent="0.25">
      <c r="A2118" s="112">
        <v>46263</v>
      </c>
      <c r="B2118" s="5" t="s">
        <v>345</v>
      </c>
      <c r="C2118" s="5">
        <v>42068967</v>
      </c>
      <c r="D2118" s="5">
        <v>717202</v>
      </c>
      <c r="E2118" s="33">
        <v>27</v>
      </c>
      <c r="F2118" s="60">
        <v>320</v>
      </c>
      <c r="G2118" s="60">
        <f>+OtherClients[[#This Row],[Boxes / Pieces]]*OtherClients[[#This Row],[Unit Quantity]]</f>
        <v>8640</v>
      </c>
      <c r="H2118" s="60" t="s">
        <v>864</v>
      </c>
      <c r="I2118" s="130" t="s">
        <v>278</v>
      </c>
      <c r="J2118" s="131"/>
      <c r="K2118" s="33" t="s">
        <v>278</v>
      </c>
      <c r="L2118" s="132"/>
      <c r="M2118" s="33" t="s">
        <v>278</v>
      </c>
      <c r="N2118" s="132"/>
      <c r="O2118" s="33" t="s">
        <v>278</v>
      </c>
      <c r="P2118" s="132"/>
      <c r="Q2118" s="33" t="s">
        <v>587</v>
      </c>
      <c r="R2118" s="132"/>
      <c r="S2118" s="33" t="s">
        <v>278</v>
      </c>
      <c r="T2118" s="132"/>
      <c r="U2118" s="33" t="s">
        <v>278</v>
      </c>
      <c r="V2118" s="132"/>
      <c r="W2118" s="59" t="s">
        <v>548</v>
      </c>
      <c r="X2118" s="33" t="str">
        <f>+VLOOKUP(OtherClients[[#This Row],[Part]],PartControl!$A$2:$E$564,5,FALSE)</f>
        <v>infasco</v>
      </c>
      <c r="Y2118" s="108">
        <f>IF(OtherClients[[#This Row],[Re-certified or New]]&lt;&gt;"Re-certified",IF(OtherClients[[#This Row],[Client]]="infasco",VLOOKUP(OtherClients[[#This Row],[Part]],PartControl!$A$2:$E$564,2,FALSE),OtherClients[[#This Row],[Total Quantity]]*VLOOKUP(OtherClients[[#This Row],[Part]],PartControl!$A$2:$E$564,2,FALSE)),0)</f>
        <v>123.82</v>
      </c>
      <c r="Z2118" s="108">
        <f>IF(OtherClients[[#This Row],[Re-certified or New]]&lt;&gt;"Re-certified",IF(OtherClients[[#This Row],[Client]]="infasco",VLOOKUP(OtherClients[[#This Row],[Part]],PartControl!$A$2:$E$564,2,FALSE),OtherClients[[#This Row],[Total Quantity]]*VLOOKUP(OtherClients[[#This Row],[Part]],PartControl!$A$2:$E$564,2,FALSE)),0)</f>
        <v>123.82</v>
      </c>
    </row>
    <row r="2119" spans="1:26" ht="25.15" hidden="1" customHeight="1" x14ac:dyDescent="0.25">
      <c r="A2119" s="112">
        <v>46263</v>
      </c>
      <c r="B2119" s="5" t="s">
        <v>345</v>
      </c>
      <c r="C2119" s="5" t="s">
        <v>823</v>
      </c>
      <c r="D2119" s="5">
        <v>717000</v>
      </c>
      <c r="E2119" s="33">
        <v>36</v>
      </c>
      <c r="F2119" s="60">
        <v>1500</v>
      </c>
      <c r="G2119" s="60">
        <f>+OtherClients[[#This Row],[Boxes / Pieces]]*OtherClients[[#This Row],[Unit Quantity]]</f>
        <v>54000</v>
      </c>
      <c r="H2119" s="60" t="s">
        <v>864</v>
      </c>
      <c r="I2119" s="130" t="s">
        <v>278</v>
      </c>
      <c r="J2119" s="131"/>
      <c r="K2119" s="33" t="s">
        <v>278</v>
      </c>
      <c r="L2119" s="132"/>
      <c r="M2119" s="33" t="s">
        <v>278</v>
      </c>
      <c r="N2119" s="132"/>
      <c r="O2119" s="33" t="s">
        <v>278</v>
      </c>
      <c r="P2119" s="132"/>
      <c r="Q2119" s="33" t="s">
        <v>587</v>
      </c>
      <c r="R2119" s="132"/>
      <c r="S2119" s="33" t="s">
        <v>278</v>
      </c>
      <c r="T2119" s="132"/>
      <c r="U2119" s="33" t="s">
        <v>278</v>
      </c>
      <c r="V2119" s="132"/>
      <c r="W2119" s="59" t="s">
        <v>548</v>
      </c>
      <c r="X2119" s="33" t="str">
        <f>+VLOOKUP(OtherClients[[#This Row],[Part]],PartControl!$A$2:$E$564,5,FALSE)</f>
        <v>infasco</v>
      </c>
      <c r="Y2119" s="108">
        <f>IF(OtherClients[[#This Row],[Re-certified or New]]&lt;&gt;"Re-certified",IF(OtherClients[[#This Row],[Client]]="infasco",VLOOKUP(OtherClients[[#This Row],[Part]],PartControl!$A$2:$E$564,2,FALSE),OtherClients[[#This Row],[Total Quantity]]*VLOOKUP(OtherClients[[#This Row],[Part]],PartControl!$A$2:$E$564,2,FALSE)),0)</f>
        <v>226.94</v>
      </c>
      <c r="Z2119" s="108">
        <f>IF(OtherClients[[#This Row],[Re-certified or New]]&lt;&gt;"Re-certified",IF(OtherClients[[#This Row],[Client]]="infasco",VLOOKUP(OtherClients[[#This Row],[Part]],PartControl!$A$2:$E$564,2,FALSE),OtherClients[[#This Row],[Total Quantity]]*VLOOKUP(OtherClients[[#This Row],[Part]],PartControl!$A$2:$E$564,2,FALSE)),0)</f>
        <v>226.94</v>
      </c>
    </row>
    <row r="2120" spans="1:26" ht="25.15" hidden="1" customHeight="1" x14ac:dyDescent="0.25">
      <c r="A2120" s="112">
        <v>46263</v>
      </c>
      <c r="B2120" s="5" t="s">
        <v>346</v>
      </c>
      <c r="C2120" s="5" t="s">
        <v>794</v>
      </c>
      <c r="D2120" s="5">
        <v>716404</v>
      </c>
      <c r="E2120" s="33">
        <v>14</v>
      </c>
      <c r="F2120" s="60">
        <v>195</v>
      </c>
      <c r="G2120" s="60">
        <f>+OtherClients[[#This Row],[Boxes / Pieces]]*OtherClients[[#This Row],[Unit Quantity]]</f>
        <v>2730</v>
      </c>
      <c r="H2120" s="60">
        <v>197</v>
      </c>
      <c r="I2120" s="130" t="s">
        <v>278</v>
      </c>
      <c r="J2120" s="131"/>
      <c r="K2120" s="33" t="s">
        <v>278</v>
      </c>
      <c r="L2120" s="132"/>
      <c r="M2120" s="33" t="s">
        <v>278</v>
      </c>
      <c r="N2120" s="132"/>
      <c r="O2120" s="33" t="s">
        <v>278</v>
      </c>
      <c r="P2120" s="132"/>
      <c r="Q2120" s="33" t="s">
        <v>587</v>
      </c>
      <c r="R2120" s="132"/>
      <c r="S2120" s="33" t="s">
        <v>278</v>
      </c>
      <c r="T2120" s="132"/>
      <c r="U2120" s="33" t="s">
        <v>278</v>
      </c>
      <c r="V2120" s="132"/>
      <c r="W2120" s="59" t="s">
        <v>633</v>
      </c>
      <c r="X2120" s="33" t="str">
        <f>+VLOOKUP(OtherClients[[#This Row],[Part]],PartControl!$A$2:$E$564,5,FALSE)</f>
        <v>infasco</v>
      </c>
      <c r="Y2120" s="108">
        <f>IF(OtherClients[[#This Row],[Re-certified or New]]&lt;&gt;"Re-certified",IF(OtherClients[[#This Row],[Client]]="infasco",VLOOKUP(OtherClients[[#This Row],[Part]],PartControl!$A$2:$E$564,2,FALSE),OtherClients[[#This Row],[Total Quantity]]*VLOOKUP(OtherClients[[#This Row],[Part]],PartControl!$A$2:$E$564,2,FALSE)),0)</f>
        <v>0</v>
      </c>
      <c r="Z2120" s="108">
        <f>IF(OtherClients[[#This Row],[Re-certified or New]]&lt;&gt;"Re-certified",IF(OtherClients[[#This Row],[Client]]="infasco",VLOOKUP(OtherClients[[#This Row],[Part]],PartControl!$A$2:$E$564,2,FALSE),OtherClients[[#This Row],[Total Quantity]]*VLOOKUP(OtherClients[[#This Row],[Part]],PartControl!$A$2:$E$564,2,FALSE)),0)</f>
        <v>0</v>
      </c>
    </row>
    <row r="2121" spans="1:26" ht="25.15" hidden="1" customHeight="1" x14ac:dyDescent="0.25">
      <c r="A2121" s="112">
        <v>46263</v>
      </c>
      <c r="B2121" s="5" t="s">
        <v>347</v>
      </c>
      <c r="C2121" s="5" t="s">
        <v>730</v>
      </c>
      <c r="D2121" s="5">
        <v>713721</v>
      </c>
      <c r="E2121" s="33">
        <v>8</v>
      </c>
      <c r="F2121" s="60">
        <v>3500</v>
      </c>
      <c r="G2121" s="60">
        <f>+OtherClients[[#This Row],[Boxes / Pieces]]*OtherClients[[#This Row],[Unit Quantity]]</f>
        <v>28000</v>
      </c>
      <c r="H2121" s="60">
        <v>272</v>
      </c>
      <c r="I2121" s="130" t="s">
        <v>278</v>
      </c>
      <c r="J2121" s="131"/>
      <c r="K2121" s="33" t="s">
        <v>278</v>
      </c>
      <c r="L2121" s="132"/>
      <c r="M2121" s="33" t="s">
        <v>278</v>
      </c>
      <c r="N2121" s="132"/>
      <c r="O2121" s="33" t="s">
        <v>278</v>
      </c>
      <c r="P2121" s="132"/>
      <c r="Q2121" s="33" t="s">
        <v>587</v>
      </c>
      <c r="R2121" s="132"/>
      <c r="S2121" s="33" t="s">
        <v>278</v>
      </c>
      <c r="T2121" s="132"/>
      <c r="U2121" s="33" t="s">
        <v>278</v>
      </c>
      <c r="V2121" s="132"/>
      <c r="W2121" s="59" t="s">
        <v>633</v>
      </c>
      <c r="X2121" s="33" t="str">
        <f>+VLOOKUP(OtherClients[[#This Row],[Part]],PartControl!$A$2:$E$564,5,FALSE)</f>
        <v>infasco</v>
      </c>
      <c r="Y2121" s="108">
        <f>IF(OtherClients[[#This Row],[Re-certified or New]]&lt;&gt;"Re-certified",IF(OtherClients[[#This Row],[Client]]="infasco",VLOOKUP(OtherClients[[#This Row],[Part]],PartControl!$A$2:$E$564,2,FALSE),OtherClients[[#This Row],[Total Quantity]]*VLOOKUP(OtherClients[[#This Row],[Part]],PartControl!$A$2:$E$564,2,FALSE)),0)</f>
        <v>0</v>
      </c>
      <c r="Z2121" s="108">
        <f>IF(OtherClients[[#This Row],[Re-certified or New]]&lt;&gt;"Re-certified",IF(OtherClients[[#This Row],[Client]]="infasco",VLOOKUP(OtherClients[[#This Row],[Part]],PartControl!$A$2:$E$564,2,FALSE),OtherClients[[#This Row],[Total Quantity]]*VLOOKUP(OtherClients[[#This Row],[Part]],PartControl!$A$2:$E$564,2,FALSE)),0)</f>
        <v>0</v>
      </c>
    </row>
    <row r="2122" spans="1:26" ht="25.15" hidden="1" customHeight="1" x14ac:dyDescent="0.25">
      <c r="A2122" s="112">
        <v>46265.707662037035</v>
      </c>
      <c r="B2122" s="5" t="s">
        <v>238</v>
      </c>
      <c r="C2122" s="5" t="s">
        <v>833</v>
      </c>
      <c r="D2122" s="5">
        <v>717266</v>
      </c>
      <c r="E2122" s="33">
        <v>51</v>
      </c>
      <c r="F2122" s="60">
        <v>1500</v>
      </c>
      <c r="G2122" s="60">
        <v>76500</v>
      </c>
      <c r="H2122" s="60">
        <v>275</v>
      </c>
      <c r="I2122" s="130" t="s">
        <v>278</v>
      </c>
      <c r="J2122" s="131"/>
      <c r="K2122" s="33" t="s">
        <v>278</v>
      </c>
      <c r="L2122" s="132"/>
      <c r="M2122" s="33" t="s">
        <v>278</v>
      </c>
      <c r="N2122" s="132"/>
      <c r="O2122" s="33" t="s">
        <v>278</v>
      </c>
      <c r="P2122" s="132"/>
      <c r="Q2122" s="33" t="s">
        <v>587</v>
      </c>
      <c r="R2122" s="132"/>
      <c r="S2122" s="33" t="s">
        <v>278</v>
      </c>
      <c r="T2122" s="132"/>
      <c r="U2122" s="33" t="s">
        <v>278</v>
      </c>
      <c r="V2122" s="132"/>
      <c r="W2122" s="133" t="s">
        <v>548</v>
      </c>
      <c r="X2122" s="33" t="str">
        <f>+VLOOKUP(OtherClients[[#This Row],[Part]],PartControl!$A$2:$E$564,5,FALSE)</f>
        <v>infasco</v>
      </c>
      <c r="Y2122" s="132">
        <v>106.94</v>
      </c>
      <c r="Z2122" s="108">
        <f>IF(OtherClients[[#This Row],[Re-certified or New]]&lt;&gt;"Re-certified",IF(OtherClients[[#This Row],[Client]]="infasco",VLOOKUP(OtherClients[[#This Row],[Part]],PartControl!$A$2:$E$564,2,FALSE),OtherClients[[#This Row],[Total Quantity]]*VLOOKUP(OtherClients[[#This Row],[Part]],PartControl!$A$2:$E$564,2,FALSE)),0)</f>
        <v>106.94</v>
      </c>
    </row>
    <row r="2123" spans="1:26" ht="25.15" hidden="1" customHeight="1" x14ac:dyDescent="0.25">
      <c r="A2123" s="112">
        <v>46265.707662037035</v>
      </c>
      <c r="B2123" s="5" t="s">
        <v>242</v>
      </c>
      <c r="C2123" s="5" t="s">
        <v>306</v>
      </c>
      <c r="D2123" s="5">
        <v>717104</v>
      </c>
      <c r="E2123" s="33">
        <v>1</v>
      </c>
      <c r="F2123" s="60">
        <v>35000</v>
      </c>
      <c r="G2123" s="60">
        <f>+OtherClients[[#This Row],[Boxes / Pieces]]*OtherClients[[#This Row],[Unit Quantity]]</f>
        <v>35000</v>
      </c>
      <c r="H2123" s="60">
        <v>275</v>
      </c>
      <c r="I2123" s="130" t="s">
        <v>278</v>
      </c>
      <c r="J2123" s="131"/>
      <c r="K2123" s="33" t="s">
        <v>278</v>
      </c>
      <c r="L2123" s="132"/>
      <c r="M2123" s="33" t="s">
        <v>278</v>
      </c>
      <c r="N2123" s="132"/>
      <c r="O2123" s="33" t="s">
        <v>278</v>
      </c>
      <c r="P2123" s="132"/>
      <c r="Q2123" s="33" t="s">
        <v>587</v>
      </c>
      <c r="R2123" s="132"/>
      <c r="S2123" s="33" t="s">
        <v>278</v>
      </c>
      <c r="T2123" s="132"/>
      <c r="U2123" s="33" t="s">
        <v>278</v>
      </c>
      <c r="V2123" s="132"/>
      <c r="W2123" s="59" t="s">
        <v>548</v>
      </c>
      <c r="X2123" s="33" t="str">
        <f>+VLOOKUP(OtherClients[[#This Row],[Part]],PartControl!$A$2:$E$564,5,FALSE)</f>
        <v>INFASCO</v>
      </c>
      <c r="Y2123" s="108">
        <f>IF(OtherClients[[#This Row],[Re-certified or New]]&lt;&gt;"Re-certified",IF(OtherClients[[#This Row],[Client]]="infasco",VLOOKUP(OtherClients[[#This Row],[Part]],PartControl!$A$2:$E$564,2,FALSE),OtherClients[[#This Row],[Total Quantity]]*VLOOKUP(OtherClients[[#This Row],[Part]],PartControl!$A$2:$E$564,2,FALSE)),0)</f>
        <v>129.44999999999999</v>
      </c>
      <c r="Z2123" s="108">
        <f>IF(OtherClients[[#This Row],[Re-certified or New]]&lt;&gt;"Re-certified",IF(OtherClients[[#This Row],[Client]]="infasco",VLOOKUP(OtherClients[[#This Row],[Part]],PartControl!$A$2:$E$564,2,FALSE),OtherClients[[#This Row],[Total Quantity]]*VLOOKUP(OtherClients[[#This Row],[Part]],PartControl!$A$2:$E$564,2,FALSE)),0)</f>
        <v>129.44999999999999</v>
      </c>
    </row>
    <row r="2124" spans="1:26" ht="25.15" hidden="1" customHeight="1" x14ac:dyDescent="0.25">
      <c r="A2124" s="112">
        <v>46265.707662037035</v>
      </c>
      <c r="B2124" s="5" t="s">
        <v>242</v>
      </c>
      <c r="C2124" s="5">
        <v>82248</v>
      </c>
      <c r="D2124" s="5">
        <v>717419</v>
      </c>
      <c r="E2124" s="33">
        <v>36</v>
      </c>
      <c r="F2124" s="60">
        <v>1050</v>
      </c>
      <c r="G2124" s="60">
        <f>+OtherClients[[#This Row],[Boxes / Pieces]]*OtherClients[[#This Row],[Unit Quantity]]</f>
        <v>37800</v>
      </c>
      <c r="H2124" s="60">
        <v>275</v>
      </c>
      <c r="I2124" s="130" t="s">
        <v>278</v>
      </c>
      <c r="J2124" s="131"/>
      <c r="K2124" s="33" t="s">
        <v>278</v>
      </c>
      <c r="L2124" s="132"/>
      <c r="M2124" s="33" t="s">
        <v>278</v>
      </c>
      <c r="N2124" s="132"/>
      <c r="O2124" s="33" t="s">
        <v>278</v>
      </c>
      <c r="P2124" s="132"/>
      <c r="Q2124" s="33" t="s">
        <v>587</v>
      </c>
      <c r="R2124" s="132"/>
      <c r="S2124" s="33" t="s">
        <v>278</v>
      </c>
      <c r="T2124" s="132"/>
      <c r="U2124" s="33" t="s">
        <v>278</v>
      </c>
      <c r="V2124" s="132"/>
      <c r="W2124" s="59" t="s">
        <v>633</v>
      </c>
      <c r="X2124" s="33" t="str">
        <f>+VLOOKUP(OtherClients[[#This Row],[Part]],PartControl!$A$2:$E$564,5,FALSE)</f>
        <v>Infasco</v>
      </c>
      <c r="Y2124" s="108">
        <f>IF(OtherClients[[#This Row],[Re-certified or New]]&lt;&gt;"Re-certified",IF(OtherClients[[#This Row],[Client]]="infasco",VLOOKUP(OtherClients[[#This Row],[Part]],PartControl!$A$2:$E$564,2,FALSE),OtherClients[[#This Row],[Total Quantity]]*VLOOKUP(OtherClients[[#This Row],[Part]],PartControl!$A$2:$E$564,2,FALSE)),0)</f>
        <v>0</v>
      </c>
      <c r="Z2124" s="108">
        <f>IF(OtherClients[[#This Row],[Re-certified or New]]&lt;&gt;"Re-certified",IF(OtherClients[[#This Row],[Client]]="infasco",VLOOKUP(OtherClients[[#This Row],[Part]],PartControl!$A$2:$E$564,2,FALSE),OtherClients[[#This Row],[Total Quantity]]*VLOOKUP(OtherClients[[#This Row],[Part]],PartControl!$A$2:$E$564,2,FALSE)),0)</f>
        <v>0</v>
      </c>
    </row>
    <row r="2125" spans="1:26" ht="25.15" hidden="1" customHeight="1" x14ac:dyDescent="0.25">
      <c r="A2125" s="112">
        <v>46265.707662037035</v>
      </c>
      <c r="B2125" s="5" t="s">
        <v>234</v>
      </c>
      <c r="C2125" s="5">
        <v>11546545</v>
      </c>
      <c r="D2125" s="5">
        <v>717332</v>
      </c>
      <c r="E2125" s="33">
        <f>36-15</f>
        <v>21</v>
      </c>
      <c r="F2125" s="60">
        <v>2500</v>
      </c>
      <c r="G2125" s="60">
        <f>+OtherClients[[#This Row],[Boxes / Pieces]]*OtherClients[[#This Row],[Unit Quantity]]</f>
        <v>52500</v>
      </c>
      <c r="H2125" s="60">
        <v>275</v>
      </c>
      <c r="I2125" s="130" t="s">
        <v>278</v>
      </c>
      <c r="J2125" s="131"/>
      <c r="K2125" s="33" t="s">
        <v>278</v>
      </c>
      <c r="L2125" s="132"/>
      <c r="M2125" s="33" t="s">
        <v>278</v>
      </c>
      <c r="N2125" s="132"/>
      <c r="O2125" s="33" t="s">
        <v>278</v>
      </c>
      <c r="P2125" s="132"/>
      <c r="Q2125" s="33" t="s">
        <v>587</v>
      </c>
      <c r="R2125" s="132"/>
      <c r="S2125" s="33" t="s">
        <v>278</v>
      </c>
      <c r="T2125" s="132"/>
      <c r="U2125" s="33" t="s">
        <v>278</v>
      </c>
      <c r="V2125" s="132"/>
      <c r="W2125" s="59" t="s">
        <v>548</v>
      </c>
      <c r="X2125" s="33" t="str">
        <f>+VLOOKUP(OtherClients[[#This Row],[Part]],PartControl!$A$2:$E$564,5,FALSE)</f>
        <v>infasco</v>
      </c>
      <c r="Y2125" s="108">
        <f>IF(OtherClients[[#This Row],[Re-certified or New]]&lt;&gt;"Re-certified",IF(OtherClients[[#This Row],[Client]]="infasco",VLOOKUP(OtherClients[[#This Row],[Part]],PartControl!$A$2:$E$564,2,FALSE),OtherClients[[#This Row],[Total Quantity]]*VLOOKUP(OtherClients[[#This Row],[Part]],PartControl!$A$2:$E$564,2,FALSE)),0)</f>
        <v>106.94</v>
      </c>
      <c r="Z2125" s="108">
        <f>IF(OtherClients[[#This Row],[Re-certified or New]]&lt;&gt;"Re-certified",IF(OtherClients[[#This Row],[Client]]="infasco",VLOOKUP(OtherClients[[#This Row],[Part]],PartControl!$A$2:$E$564,2,FALSE),OtherClients[[#This Row],[Total Quantity]]*VLOOKUP(OtherClients[[#This Row],[Part]],PartControl!$A$2:$E$564,2,FALSE)),0)</f>
        <v>106.94</v>
      </c>
    </row>
    <row r="2126" spans="1:26" ht="25.15" hidden="1" customHeight="1" x14ac:dyDescent="0.25">
      <c r="A2126" s="112">
        <v>46265.707662037035</v>
      </c>
      <c r="B2126" s="5" t="s">
        <v>234</v>
      </c>
      <c r="C2126" s="5">
        <v>11546449</v>
      </c>
      <c r="D2126" s="5">
        <v>717692</v>
      </c>
      <c r="E2126" s="33">
        <v>5</v>
      </c>
      <c r="F2126" s="60">
        <v>2500</v>
      </c>
      <c r="G2126" s="60">
        <f>+OtherClients[[#This Row],[Boxes / Pieces]]*OtherClients[[#This Row],[Unit Quantity]]</f>
        <v>12500</v>
      </c>
      <c r="H2126" s="60">
        <v>275</v>
      </c>
      <c r="I2126" s="130" t="s">
        <v>278</v>
      </c>
      <c r="J2126" s="131"/>
      <c r="K2126" s="33" t="s">
        <v>278</v>
      </c>
      <c r="L2126" s="132"/>
      <c r="M2126" s="33" t="s">
        <v>278</v>
      </c>
      <c r="N2126" s="132"/>
      <c r="O2126" s="33" t="s">
        <v>278</v>
      </c>
      <c r="P2126" s="132"/>
      <c r="Q2126" s="33" t="s">
        <v>587</v>
      </c>
      <c r="R2126" s="132"/>
      <c r="S2126" s="33" t="s">
        <v>278</v>
      </c>
      <c r="T2126" s="132"/>
      <c r="U2126" s="33" t="s">
        <v>278</v>
      </c>
      <c r="V2126" s="132"/>
      <c r="W2126" s="59" t="s">
        <v>633</v>
      </c>
      <c r="X2126" s="33" t="str">
        <f>+VLOOKUP(OtherClients[[#This Row],[Part]],PartControl!$A$2:$E$564,5,FALSE)</f>
        <v>INFASCO</v>
      </c>
      <c r="Y2126" s="108">
        <f>IF(OtherClients[[#This Row],[Re-certified or New]]&lt;&gt;"Re-certified",IF(OtherClients[[#This Row],[Client]]="infasco",VLOOKUP(OtherClients[[#This Row],[Part]],PartControl!$A$2:$E$564,2,FALSE),OtherClients[[#This Row],[Total Quantity]]*VLOOKUP(OtherClients[[#This Row],[Part]],PartControl!$A$2:$E$564,2,FALSE)),0)</f>
        <v>0</v>
      </c>
      <c r="Z2126" s="108">
        <f>IF(OtherClients[[#This Row],[Re-certified or New]]&lt;&gt;"Re-certified",IF(OtherClients[[#This Row],[Client]]="infasco",VLOOKUP(OtherClients[[#This Row],[Part]],PartControl!$A$2:$E$564,2,FALSE),OtherClients[[#This Row],[Total Quantity]]*VLOOKUP(OtherClients[[#This Row],[Part]],PartControl!$A$2:$E$564,2,FALSE)),0)</f>
        <v>0</v>
      </c>
    </row>
    <row r="2127" spans="1:26" ht="25.15" hidden="1" customHeight="1" x14ac:dyDescent="0.25">
      <c r="A2127" s="112">
        <v>46265.707662037035</v>
      </c>
      <c r="B2127" s="5" t="s">
        <v>232</v>
      </c>
      <c r="C2127" s="5">
        <v>11546545</v>
      </c>
      <c r="D2127" s="5">
        <v>717327</v>
      </c>
      <c r="E2127" s="33">
        <v>36</v>
      </c>
      <c r="F2127" s="60">
        <v>2500</v>
      </c>
      <c r="G2127" s="60">
        <f>+OtherClients[[#This Row],[Boxes / Pieces]]*OtherClients[[#This Row],[Unit Quantity]]</f>
        <v>90000</v>
      </c>
      <c r="H2127" s="60">
        <v>275</v>
      </c>
      <c r="I2127" s="130" t="s">
        <v>278</v>
      </c>
      <c r="J2127" s="131"/>
      <c r="K2127" s="33" t="s">
        <v>278</v>
      </c>
      <c r="L2127" s="132"/>
      <c r="M2127" s="33" t="s">
        <v>278</v>
      </c>
      <c r="N2127" s="132"/>
      <c r="O2127" s="33" t="s">
        <v>278</v>
      </c>
      <c r="P2127" s="132"/>
      <c r="Q2127" s="33" t="s">
        <v>587</v>
      </c>
      <c r="R2127" s="132"/>
      <c r="S2127" s="33" t="s">
        <v>278</v>
      </c>
      <c r="T2127" s="132"/>
      <c r="U2127" s="33" t="s">
        <v>278</v>
      </c>
      <c r="V2127" s="132"/>
      <c r="W2127" s="59" t="s">
        <v>548</v>
      </c>
      <c r="X2127" s="33" t="str">
        <f>+VLOOKUP(OtherClients[[#This Row],[Part]],PartControl!$A$2:$E$564,5,FALSE)</f>
        <v>infasco</v>
      </c>
      <c r="Y2127" s="108">
        <f>IF(OtherClients[[#This Row],[Re-certified or New]]&lt;&gt;"Re-certified",IF(OtherClients[[#This Row],[Client]]="infasco",VLOOKUP(OtherClients[[#This Row],[Part]],PartControl!$A$2:$E$564,2,FALSE),OtherClients[[#This Row],[Total Quantity]]*VLOOKUP(OtherClients[[#This Row],[Part]],PartControl!$A$2:$E$564,2,FALSE)),0)</f>
        <v>106.94</v>
      </c>
      <c r="Z2127" s="108">
        <f>IF(OtherClients[[#This Row],[Re-certified or New]]&lt;&gt;"Re-certified",IF(OtherClients[[#This Row],[Client]]="infasco",VLOOKUP(OtherClients[[#This Row],[Part]],PartControl!$A$2:$E$564,2,FALSE),OtherClients[[#This Row],[Total Quantity]]*VLOOKUP(OtherClients[[#This Row],[Part]],PartControl!$A$2:$E$564,2,FALSE)),0)</f>
        <v>106.94</v>
      </c>
    </row>
    <row r="2128" spans="1:26" ht="25.15" hidden="1" customHeight="1" x14ac:dyDescent="0.25">
      <c r="A2128" s="112">
        <v>46265.707662037035</v>
      </c>
      <c r="B2128" s="5" t="s">
        <v>232</v>
      </c>
      <c r="C2128" s="5">
        <v>11546545</v>
      </c>
      <c r="D2128" s="5">
        <v>717322</v>
      </c>
      <c r="E2128" s="33">
        <v>15</v>
      </c>
      <c r="F2128" s="60">
        <v>2500</v>
      </c>
      <c r="G2128" s="60">
        <f>+OtherClients[[#This Row],[Boxes / Pieces]]*OtherClients[[#This Row],[Unit Quantity]]</f>
        <v>37500</v>
      </c>
      <c r="H2128" s="60">
        <v>275</v>
      </c>
      <c r="I2128" s="130" t="s">
        <v>278</v>
      </c>
      <c r="J2128" s="131"/>
      <c r="K2128" s="33" t="s">
        <v>278</v>
      </c>
      <c r="L2128" s="132"/>
      <c r="M2128" s="33" t="s">
        <v>278</v>
      </c>
      <c r="N2128" s="132"/>
      <c r="O2128" s="33" t="s">
        <v>278</v>
      </c>
      <c r="P2128" s="132"/>
      <c r="Q2128" s="33" t="s">
        <v>587</v>
      </c>
      <c r="R2128" s="132"/>
      <c r="S2128" s="33" t="s">
        <v>278</v>
      </c>
      <c r="T2128" s="132"/>
      <c r="U2128" s="33" t="s">
        <v>278</v>
      </c>
      <c r="V2128" s="132"/>
      <c r="W2128" s="59" t="s">
        <v>633</v>
      </c>
      <c r="X2128" s="33" t="str">
        <f>+VLOOKUP(OtherClients[[#This Row],[Part]],PartControl!$A$2:$E$564,5,FALSE)</f>
        <v>infasco</v>
      </c>
      <c r="Y2128" s="108">
        <f>IF(OtherClients[[#This Row],[Re-certified or New]]&lt;&gt;"Re-certified",IF(OtherClients[[#This Row],[Client]]="infasco",VLOOKUP(OtherClients[[#This Row],[Part]],PartControl!$A$2:$E$564,2,FALSE),OtherClients[[#This Row],[Total Quantity]]*VLOOKUP(OtherClients[[#This Row],[Part]],PartControl!$A$2:$E$564,2,FALSE)),0)</f>
        <v>0</v>
      </c>
      <c r="Z2128" s="108">
        <f>IF(OtherClients[[#This Row],[Re-certified or New]]&lt;&gt;"Re-certified",IF(OtherClients[[#This Row],[Client]]="infasco",VLOOKUP(OtherClients[[#This Row],[Part]],PartControl!$A$2:$E$564,2,FALSE),OtherClients[[#This Row],[Total Quantity]]*VLOOKUP(OtherClients[[#This Row],[Part]],PartControl!$A$2:$E$564,2,FALSE)),0)</f>
        <v>0</v>
      </c>
    </row>
    <row r="2129" spans="1:26" ht="25.15" hidden="1" customHeight="1" x14ac:dyDescent="0.25">
      <c r="A2129" s="112">
        <v>46265.707662037035</v>
      </c>
      <c r="B2129" s="5" t="s">
        <v>252</v>
      </c>
      <c r="C2129" s="5" t="s">
        <v>706</v>
      </c>
      <c r="D2129" s="5">
        <v>716820</v>
      </c>
      <c r="E2129" s="33">
        <f>36-9</f>
        <v>27</v>
      </c>
      <c r="F2129" s="60">
        <v>1900</v>
      </c>
      <c r="G2129" s="60">
        <f>+OtherClients[[#This Row],[Boxes / Pieces]]*OtherClients[[#This Row],[Unit Quantity]]</f>
        <v>51300</v>
      </c>
      <c r="H2129" s="60">
        <v>275</v>
      </c>
      <c r="I2129" s="130" t="s">
        <v>278</v>
      </c>
      <c r="J2129" s="131"/>
      <c r="K2129" s="33" t="s">
        <v>278</v>
      </c>
      <c r="L2129" s="132"/>
      <c r="M2129" s="33" t="s">
        <v>278</v>
      </c>
      <c r="N2129" s="132"/>
      <c r="O2129" s="33" t="s">
        <v>278</v>
      </c>
      <c r="P2129" s="132"/>
      <c r="Q2129" s="33" t="s">
        <v>587</v>
      </c>
      <c r="R2129" s="132"/>
      <c r="S2129" s="33" t="s">
        <v>278</v>
      </c>
      <c r="T2129" s="132"/>
      <c r="U2129" s="33" t="s">
        <v>278</v>
      </c>
      <c r="V2129" s="132"/>
      <c r="W2129" s="59" t="s">
        <v>548</v>
      </c>
      <c r="X2129" s="33" t="str">
        <f>+VLOOKUP(OtherClients[[#This Row],[Part]],PartControl!$A$2:$E$564,5,FALSE)</f>
        <v>infasco</v>
      </c>
      <c r="Y2129" s="108">
        <f>IF(OtherClients[[#This Row],[Re-certified or New]]&lt;&gt;"Re-certified",IF(OtherClients[[#This Row],[Client]]="infasco",VLOOKUP(OtherClients[[#This Row],[Part]],PartControl!$A$2:$E$564,2,FALSE),OtherClients[[#This Row],[Total Quantity]]*VLOOKUP(OtherClients[[#This Row],[Part]],PartControl!$A$2:$E$564,2,FALSE)),0)</f>
        <v>106.94</v>
      </c>
      <c r="Z2129" s="108">
        <f>IF(OtherClients[[#This Row],[Re-certified or New]]&lt;&gt;"Re-certified",IF(OtherClients[[#This Row],[Client]]="infasco",VLOOKUP(OtherClients[[#This Row],[Part]],PartControl!$A$2:$E$564,2,FALSE),OtherClients[[#This Row],[Total Quantity]]*VLOOKUP(OtherClients[[#This Row],[Part]],PartControl!$A$2:$E$564,2,FALSE)),0)</f>
        <v>106.94</v>
      </c>
    </row>
    <row r="2130" spans="1:26" ht="25.15" hidden="1" customHeight="1" x14ac:dyDescent="0.25">
      <c r="A2130" s="112">
        <v>46265.707662037035</v>
      </c>
      <c r="B2130" s="5" t="s">
        <v>252</v>
      </c>
      <c r="C2130" s="5" t="s">
        <v>706</v>
      </c>
      <c r="D2130" s="5">
        <v>716817</v>
      </c>
      <c r="E2130" s="33">
        <v>18</v>
      </c>
      <c r="F2130" s="60">
        <v>1900</v>
      </c>
      <c r="G2130" s="60">
        <f>+OtherClients[[#This Row],[Boxes / Pieces]]*OtherClients[[#This Row],[Unit Quantity]]</f>
        <v>34200</v>
      </c>
      <c r="H2130" s="60">
        <v>275</v>
      </c>
      <c r="I2130" s="130" t="s">
        <v>278</v>
      </c>
      <c r="J2130" s="131"/>
      <c r="K2130" s="33" t="s">
        <v>278</v>
      </c>
      <c r="L2130" s="132"/>
      <c r="M2130" s="33" t="s">
        <v>278</v>
      </c>
      <c r="N2130" s="132"/>
      <c r="O2130" s="33" t="s">
        <v>278</v>
      </c>
      <c r="P2130" s="132"/>
      <c r="Q2130" s="33" t="s">
        <v>587</v>
      </c>
      <c r="R2130" s="132"/>
      <c r="S2130" s="33" t="s">
        <v>278</v>
      </c>
      <c r="T2130" s="132"/>
      <c r="U2130" s="33" t="s">
        <v>278</v>
      </c>
      <c r="V2130" s="132"/>
      <c r="W2130" s="59" t="s">
        <v>548</v>
      </c>
      <c r="X2130" s="33" t="str">
        <f>+VLOOKUP(OtherClients[[#This Row],[Part]],PartControl!$A$2:$E$564,5,FALSE)</f>
        <v>infasco</v>
      </c>
      <c r="Y2130" s="108">
        <f>IF(OtherClients[[#This Row],[Re-certified or New]]&lt;&gt;"Re-certified",IF(OtherClients[[#This Row],[Client]]="infasco",VLOOKUP(OtherClients[[#This Row],[Part]],PartControl!$A$2:$E$564,2,FALSE),OtherClients[[#This Row],[Total Quantity]]*VLOOKUP(OtherClients[[#This Row],[Part]],PartControl!$A$2:$E$564,2,FALSE)),0)</f>
        <v>106.94</v>
      </c>
      <c r="Z2130" s="108">
        <f>IF(OtherClients[[#This Row],[Re-certified or New]]&lt;&gt;"Re-certified",IF(OtherClients[[#This Row],[Client]]="infasco",VLOOKUP(OtherClients[[#This Row],[Part]],PartControl!$A$2:$E$564,2,FALSE),OtherClients[[#This Row],[Total Quantity]]*VLOOKUP(OtherClients[[#This Row],[Part]],PartControl!$A$2:$E$564,2,FALSE)),0)</f>
        <v>106.94</v>
      </c>
    </row>
    <row r="2131" spans="1:26" ht="25.15" hidden="1" customHeight="1" x14ac:dyDescent="0.25">
      <c r="A2131" s="112">
        <v>46265.707662037035</v>
      </c>
      <c r="B2131" s="5" t="s">
        <v>252</v>
      </c>
      <c r="C2131" s="5" t="s">
        <v>706</v>
      </c>
      <c r="D2131" s="5">
        <v>716819</v>
      </c>
      <c r="E2131" s="33">
        <v>14</v>
      </c>
      <c r="F2131" s="60">
        <v>1900</v>
      </c>
      <c r="G2131" s="60">
        <f>+OtherClients[[#This Row],[Boxes / Pieces]]*OtherClients[[#This Row],[Unit Quantity]]</f>
        <v>26600</v>
      </c>
      <c r="H2131" s="60">
        <v>275</v>
      </c>
      <c r="I2131" s="130" t="s">
        <v>278</v>
      </c>
      <c r="J2131" s="131"/>
      <c r="K2131" s="33" t="s">
        <v>278</v>
      </c>
      <c r="L2131" s="132"/>
      <c r="M2131" s="33" t="s">
        <v>278</v>
      </c>
      <c r="N2131" s="132"/>
      <c r="O2131" s="33" t="s">
        <v>278</v>
      </c>
      <c r="P2131" s="132"/>
      <c r="Q2131" s="33" t="s">
        <v>587</v>
      </c>
      <c r="R2131" s="132"/>
      <c r="S2131" s="33" t="s">
        <v>278</v>
      </c>
      <c r="T2131" s="132"/>
      <c r="U2131" s="33" t="s">
        <v>278</v>
      </c>
      <c r="V2131" s="132"/>
      <c r="W2131" s="59" t="s">
        <v>633</v>
      </c>
      <c r="X2131" s="33" t="str">
        <f>+VLOOKUP(OtherClients[[#This Row],[Part]],PartControl!$A$2:$E$564,5,FALSE)</f>
        <v>infasco</v>
      </c>
      <c r="Y2131" s="108">
        <f>IF(OtherClients[[#This Row],[Re-certified or New]]&lt;&gt;"Re-certified",IF(OtherClients[[#This Row],[Client]]="infasco",VLOOKUP(OtherClients[[#This Row],[Part]],PartControl!$A$2:$E$564,2,FALSE),OtherClients[[#This Row],[Total Quantity]]*VLOOKUP(OtherClients[[#This Row],[Part]],PartControl!$A$2:$E$564,2,FALSE)),0)</f>
        <v>0</v>
      </c>
      <c r="Z2131" s="108">
        <f>IF(OtherClients[[#This Row],[Re-certified or New]]&lt;&gt;"Re-certified",IF(OtherClients[[#This Row],[Client]]="infasco",VLOOKUP(OtherClients[[#This Row],[Part]],PartControl!$A$2:$E$564,2,FALSE),OtherClients[[#This Row],[Total Quantity]]*VLOOKUP(OtherClients[[#This Row],[Part]],PartControl!$A$2:$E$564,2,FALSE)),0)</f>
        <v>0</v>
      </c>
    </row>
    <row r="2132" spans="1:26" ht="25.15" hidden="1" customHeight="1" x14ac:dyDescent="0.25">
      <c r="A2132" s="112">
        <v>46265.707662037035</v>
      </c>
      <c r="B2132" s="5" t="s">
        <v>233</v>
      </c>
      <c r="C2132" s="5">
        <v>11549168</v>
      </c>
      <c r="D2132" s="5">
        <v>716229</v>
      </c>
      <c r="E2132" s="33">
        <f>36-20</f>
        <v>16</v>
      </c>
      <c r="F2132" s="60">
        <v>1000</v>
      </c>
      <c r="G2132" s="60">
        <f>+OtherClients[[#This Row],[Boxes / Pieces]]*OtherClients[[#This Row],[Unit Quantity]]</f>
        <v>16000</v>
      </c>
      <c r="H2132" s="60">
        <v>275</v>
      </c>
      <c r="I2132" s="130" t="s">
        <v>278</v>
      </c>
      <c r="J2132" s="131"/>
      <c r="K2132" s="33" t="s">
        <v>278</v>
      </c>
      <c r="L2132" s="132"/>
      <c r="M2132" s="33" t="s">
        <v>278</v>
      </c>
      <c r="N2132" s="132"/>
      <c r="O2132" s="33" t="s">
        <v>278</v>
      </c>
      <c r="P2132" s="132"/>
      <c r="Q2132" s="33" t="s">
        <v>587</v>
      </c>
      <c r="R2132" s="132"/>
      <c r="S2132" s="33" t="s">
        <v>278</v>
      </c>
      <c r="T2132" s="132"/>
      <c r="U2132" s="33" t="s">
        <v>278</v>
      </c>
      <c r="V2132" s="132"/>
      <c r="W2132" s="59" t="s">
        <v>548</v>
      </c>
      <c r="X2132" s="33" t="str">
        <f>+VLOOKUP(OtherClients[[#This Row],[Part]],PartControl!$A$2:$E$564,5,FALSE)</f>
        <v>INFASCO</v>
      </c>
      <c r="Y2132" s="108">
        <f>IF(OtherClients[[#This Row],[Re-certified or New]]&lt;&gt;"Re-certified",IF(OtherClients[[#This Row],[Client]]="infasco",VLOOKUP(OtherClients[[#This Row],[Part]],PartControl!$A$2:$E$564,2,FALSE),OtherClients[[#This Row],[Total Quantity]]*VLOOKUP(OtherClients[[#This Row],[Part]],PartControl!$A$2:$E$564,2,FALSE)),0)</f>
        <v>106.94</v>
      </c>
      <c r="Z2132" s="108">
        <f>IF(OtherClients[[#This Row],[Re-certified or New]]&lt;&gt;"Re-certified",IF(OtherClients[[#This Row],[Client]]="infasco",VLOOKUP(OtherClients[[#This Row],[Part]],PartControl!$A$2:$E$564,2,FALSE),OtherClients[[#This Row],[Total Quantity]]*VLOOKUP(OtherClients[[#This Row],[Part]],PartControl!$A$2:$E$564,2,FALSE)),0)</f>
        <v>106.94</v>
      </c>
    </row>
    <row r="2133" spans="1:26" ht="25.15" hidden="1" customHeight="1" x14ac:dyDescent="0.25">
      <c r="A2133" s="112">
        <v>46265.707662037035</v>
      </c>
      <c r="B2133" s="5" t="s">
        <v>233</v>
      </c>
      <c r="C2133" s="5">
        <v>11549168</v>
      </c>
      <c r="D2133" s="5">
        <v>716565</v>
      </c>
      <c r="E2133" s="33">
        <v>35</v>
      </c>
      <c r="F2133" s="60">
        <v>1000</v>
      </c>
      <c r="G2133" s="60">
        <f>+OtherClients[[#This Row],[Boxes / Pieces]]*OtherClients[[#This Row],[Unit Quantity]]</f>
        <v>35000</v>
      </c>
      <c r="H2133" s="60">
        <v>275</v>
      </c>
      <c r="I2133" s="130" t="s">
        <v>278</v>
      </c>
      <c r="J2133" s="131"/>
      <c r="K2133" s="33" t="s">
        <v>278</v>
      </c>
      <c r="L2133" s="132"/>
      <c r="M2133" s="33" t="s">
        <v>278</v>
      </c>
      <c r="N2133" s="132"/>
      <c r="O2133" s="33" t="s">
        <v>278</v>
      </c>
      <c r="P2133" s="132"/>
      <c r="Q2133" s="33" t="s">
        <v>587</v>
      </c>
      <c r="R2133" s="132"/>
      <c r="S2133" s="33" t="s">
        <v>278</v>
      </c>
      <c r="T2133" s="132"/>
      <c r="U2133" s="33" t="s">
        <v>278</v>
      </c>
      <c r="V2133" s="132"/>
      <c r="W2133" s="59" t="s">
        <v>633</v>
      </c>
      <c r="X2133" s="33" t="str">
        <f>+VLOOKUP(OtherClients[[#This Row],[Part]],PartControl!$A$2:$E$564,5,FALSE)</f>
        <v>INFASCO</v>
      </c>
      <c r="Y2133" s="108">
        <f>IF(OtherClients[[#This Row],[Re-certified or New]]&lt;&gt;"Re-certified",IF(OtherClients[[#This Row],[Client]]="infasco",VLOOKUP(OtherClients[[#This Row],[Part]],PartControl!$A$2:$E$564,2,FALSE),OtherClients[[#This Row],[Total Quantity]]*VLOOKUP(OtherClients[[#This Row],[Part]],PartControl!$A$2:$E$564,2,FALSE)),0)</f>
        <v>0</v>
      </c>
      <c r="Z2133" s="108">
        <f>IF(OtherClients[[#This Row],[Re-certified or New]]&lt;&gt;"Re-certified",IF(OtherClients[[#This Row],[Client]]="infasco",VLOOKUP(OtherClients[[#This Row],[Part]],PartControl!$A$2:$E$564,2,FALSE),OtherClients[[#This Row],[Total Quantity]]*VLOOKUP(OtherClients[[#This Row],[Part]],PartControl!$A$2:$E$564,2,FALSE)),0)</f>
        <v>0</v>
      </c>
    </row>
    <row r="2134" spans="1:26" ht="25.15" hidden="1" customHeight="1" x14ac:dyDescent="0.25">
      <c r="A2134" s="112">
        <v>46265.707662037035</v>
      </c>
      <c r="B2134" s="5" t="s">
        <v>245</v>
      </c>
      <c r="C2134" s="5" t="s">
        <v>719</v>
      </c>
      <c r="D2134" s="5">
        <v>717635</v>
      </c>
      <c r="E2134" s="33">
        <f>17-15</f>
        <v>2</v>
      </c>
      <c r="F2134" s="60">
        <v>2150</v>
      </c>
      <c r="G2134" s="60">
        <f>+OtherClients[[#This Row],[Boxes / Pieces]]*OtherClients[[#This Row],[Unit Quantity]]</f>
        <v>4300</v>
      </c>
      <c r="H2134" s="60">
        <v>4</v>
      </c>
      <c r="I2134" s="130" t="s">
        <v>278</v>
      </c>
      <c r="J2134" s="131"/>
      <c r="K2134" s="33" t="s">
        <v>278</v>
      </c>
      <c r="L2134" s="132"/>
      <c r="M2134" s="33" t="s">
        <v>278</v>
      </c>
      <c r="N2134" s="132"/>
      <c r="O2134" s="33" t="s">
        <v>278</v>
      </c>
      <c r="P2134" s="132"/>
      <c r="Q2134" s="33" t="s">
        <v>587</v>
      </c>
      <c r="R2134" s="132"/>
      <c r="S2134" s="33" t="s">
        <v>278</v>
      </c>
      <c r="T2134" s="132"/>
      <c r="U2134" s="33" t="s">
        <v>278</v>
      </c>
      <c r="V2134" s="132"/>
      <c r="W2134" s="59" t="s">
        <v>548</v>
      </c>
      <c r="X2134" s="33" t="str">
        <f>+VLOOKUP(OtherClients[[#This Row],[Part]],PartControl!$A$2:$E$564,5,FALSE)</f>
        <v>infasco</v>
      </c>
      <c r="Y2134" s="108">
        <f>IF(OtherClients[[#This Row],[Re-certified or New]]&lt;&gt;"Re-certified",IF(OtherClients[[#This Row],[Client]]="infasco",VLOOKUP(OtherClients[[#This Row],[Part]],PartControl!$A$2:$E$564,2,FALSE),OtherClients[[#This Row],[Total Quantity]]*VLOOKUP(OtherClients[[#This Row],[Part]],PartControl!$A$2:$E$564,2,FALSE)),0)</f>
        <v>106.94</v>
      </c>
      <c r="Z2134" s="108">
        <f>IF(OtherClients[[#This Row],[Re-certified or New]]&lt;&gt;"Re-certified",IF(OtherClients[[#This Row],[Client]]="infasco",VLOOKUP(OtherClients[[#This Row],[Part]],PartControl!$A$2:$E$564,2,FALSE),OtherClients[[#This Row],[Total Quantity]]*VLOOKUP(OtherClients[[#This Row],[Part]],PartControl!$A$2:$E$564,2,FALSE)),0)</f>
        <v>106.94</v>
      </c>
    </row>
    <row r="2135" spans="1:26" ht="25.15" hidden="1" customHeight="1" x14ac:dyDescent="0.25">
      <c r="A2135" s="112">
        <v>46265.707662037035</v>
      </c>
      <c r="B2135" s="5" t="s">
        <v>245</v>
      </c>
      <c r="C2135" s="5" t="s">
        <v>706</v>
      </c>
      <c r="D2135" s="5">
        <v>716821</v>
      </c>
      <c r="E2135" s="33">
        <v>14</v>
      </c>
      <c r="F2135" s="60">
        <v>1900</v>
      </c>
      <c r="G2135" s="60">
        <f>+OtherClients[[#This Row],[Boxes / Pieces]]*OtherClients[[#This Row],[Unit Quantity]]</f>
        <v>26600</v>
      </c>
      <c r="H2135" s="60">
        <v>4</v>
      </c>
      <c r="I2135" s="130" t="s">
        <v>278</v>
      </c>
      <c r="J2135" s="131"/>
      <c r="K2135" s="33" t="s">
        <v>278</v>
      </c>
      <c r="L2135" s="132"/>
      <c r="M2135" s="33" t="s">
        <v>278</v>
      </c>
      <c r="N2135" s="132"/>
      <c r="O2135" s="33" t="s">
        <v>278</v>
      </c>
      <c r="P2135" s="132"/>
      <c r="Q2135" s="33" t="s">
        <v>587</v>
      </c>
      <c r="R2135" s="132"/>
      <c r="S2135" s="33" t="s">
        <v>278</v>
      </c>
      <c r="T2135" s="132"/>
      <c r="U2135" s="33" t="s">
        <v>278</v>
      </c>
      <c r="V2135" s="132"/>
      <c r="W2135" s="59" t="s">
        <v>633</v>
      </c>
      <c r="X2135" s="33" t="str">
        <f>+VLOOKUP(OtherClients[[#This Row],[Part]],PartControl!$A$2:$E$564,5,FALSE)</f>
        <v>infasco</v>
      </c>
      <c r="Y2135" s="108">
        <f>IF(OtherClients[[#This Row],[Re-certified or New]]&lt;&gt;"Re-certified",IF(OtherClients[[#This Row],[Client]]="infasco",VLOOKUP(OtherClients[[#This Row],[Part]],PartControl!$A$2:$E$564,2,FALSE),OtherClients[[#This Row],[Total Quantity]]*VLOOKUP(OtherClients[[#This Row],[Part]],PartControl!$A$2:$E$564,2,FALSE)),0)</f>
        <v>0</v>
      </c>
      <c r="Z2135" s="108">
        <f>IF(OtherClients[[#This Row],[Re-certified or New]]&lt;&gt;"Re-certified",IF(OtherClients[[#This Row],[Client]]="infasco",VLOOKUP(OtherClients[[#This Row],[Part]],PartControl!$A$2:$E$564,2,FALSE),OtherClients[[#This Row],[Total Quantity]]*VLOOKUP(OtherClients[[#This Row],[Part]],PartControl!$A$2:$E$564,2,FALSE)),0)</f>
        <v>0</v>
      </c>
    </row>
    <row r="2136" spans="1:26" ht="25.15" hidden="1" customHeight="1" x14ac:dyDescent="0.25">
      <c r="A2136" s="112">
        <v>46265.707662037035</v>
      </c>
      <c r="B2136" s="5" t="s">
        <v>251</v>
      </c>
      <c r="C2136" s="5">
        <v>11549168</v>
      </c>
      <c r="D2136" s="5">
        <v>716228</v>
      </c>
      <c r="E2136" s="33">
        <f>36-20</f>
        <v>16</v>
      </c>
      <c r="F2136" s="60">
        <v>1000</v>
      </c>
      <c r="G2136" s="60">
        <f>+OtherClients[[#This Row],[Boxes / Pieces]]*OtherClients[[#This Row],[Unit Quantity]]</f>
        <v>16000</v>
      </c>
      <c r="H2136" s="60">
        <v>4</v>
      </c>
      <c r="I2136" s="130" t="s">
        <v>278</v>
      </c>
      <c r="J2136" s="131"/>
      <c r="K2136" s="33" t="s">
        <v>278</v>
      </c>
      <c r="L2136" s="132"/>
      <c r="M2136" s="33" t="s">
        <v>278</v>
      </c>
      <c r="N2136" s="132"/>
      <c r="O2136" s="33" t="s">
        <v>278</v>
      </c>
      <c r="P2136" s="132"/>
      <c r="Q2136" s="33" t="s">
        <v>587</v>
      </c>
      <c r="R2136" s="132"/>
      <c r="S2136" s="33" t="s">
        <v>278</v>
      </c>
      <c r="T2136" s="132"/>
      <c r="U2136" s="33" t="s">
        <v>278</v>
      </c>
      <c r="V2136" s="132"/>
      <c r="W2136" s="59" t="s">
        <v>548</v>
      </c>
      <c r="X2136" s="33" t="str">
        <f>+VLOOKUP(OtherClients[[#This Row],[Part]],PartControl!$A$2:$E$564,5,FALSE)</f>
        <v>INFASCO</v>
      </c>
      <c r="Y2136" s="108">
        <f>IF(OtherClients[[#This Row],[Re-certified or New]]&lt;&gt;"Re-certified",IF(OtherClients[[#This Row],[Client]]="infasco",VLOOKUP(OtherClients[[#This Row],[Part]],PartControl!$A$2:$E$564,2,FALSE),OtherClients[[#This Row],[Total Quantity]]*VLOOKUP(OtherClients[[#This Row],[Part]],PartControl!$A$2:$E$564,2,FALSE)),0)</f>
        <v>106.94</v>
      </c>
      <c r="Z2136" s="108">
        <f>IF(OtherClients[[#This Row],[Re-certified or New]]&lt;&gt;"Re-certified",IF(OtherClients[[#This Row],[Client]]="infasco",VLOOKUP(OtherClients[[#This Row],[Part]],PartControl!$A$2:$E$564,2,FALSE),OtherClients[[#This Row],[Total Quantity]]*VLOOKUP(OtherClients[[#This Row],[Part]],PartControl!$A$2:$E$564,2,FALSE)),0)</f>
        <v>106.94</v>
      </c>
    </row>
    <row r="2137" spans="1:26" ht="25.15" hidden="1" customHeight="1" x14ac:dyDescent="0.25">
      <c r="A2137" s="112">
        <v>46265.707662037035</v>
      </c>
      <c r="B2137" s="5" t="s">
        <v>251</v>
      </c>
      <c r="C2137" s="5">
        <v>11549168</v>
      </c>
      <c r="D2137" s="5">
        <v>716915</v>
      </c>
      <c r="E2137" s="33">
        <v>18</v>
      </c>
      <c r="F2137" s="60">
        <v>1000</v>
      </c>
      <c r="G2137" s="60">
        <f>+OtherClients[[#This Row],[Boxes / Pieces]]*OtherClients[[#This Row],[Unit Quantity]]</f>
        <v>18000</v>
      </c>
      <c r="H2137" s="60">
        <v>4</v>
      </c>
      <c r="I2137" s="130" t="s">
        <v>278</v>
      </c>
      <c r="J2137" s="131"/>
      <c r="K2137" s="33" t="s">
        <v>278</v>
      </c>
      <c r="L2137" s="132"/>
      <c r="M2137" s="33" t="s">
        <v>278</v>
      </c>
      <c r="N2137" s="132"/>
      <c r="O2137" s="33" t="s">
        <v>278</v>
      </c>
      <c r="P2137" s="132"/>
      <c r="Q2137" s="33" t="s">
        <v>587</v>
      </c>
      <c r="R2137" s="132"/>
      <c r="S2137" s="33" t="s">
        <v>278</v>
      </c>
      <c r="T2137" s="132"/>
      <c r="U2137" s="33" t="s">
        <v>278</v>
      </c>
      <c r="V2137" s="132"/>
      <c r="W2137" s="59" t="s">
        <v>633</v>
      </c>
      <c r="X2137" s="33" t="str">
        <f>+VLOOKUP(OtherClients[[#This Row],[Part]],PartControl!$A$2:$E$564,5,FALSE)</f>
        <v>INFASCO</v>
      </c>
      <c r="Y2137" s="108">
        <f>IF(OtherClients[[#This Row],[Re-certified or New]]&lt;&gt;"Re-certified",IF(OtherClients[[#This Row],[Client]]="infasco",VLOOKUP(OtherClients[[#This Row],[Part]],PartControl!$A$2:$E$564,2,FALSE),OtherClients[[#This Row],[Total Quantity]]*VLOOKUP(OtherClients[[#This Row],[Part]],PartControl!$A$2:$E$564,2,FALSE)),0)</f>
        <v>0</v>
      </c>
      <c r="Z2137" s="108">
        <f>IF(OtherClients[[#This Row],[Re-certified or New]]&lt;&gt;"Re-certified",IF(OtherClients[[#This Row],[Client]]="infasco",VLOOKUP(OtherClients[[#This Row],[Part]],PartControl!$A$2:$E$564,2,FALSE),OtherClients[[#This Row],[Total Quantity]]*VLOOKUP(OtherClients[[#This Row],[Part]],PartControl!$A$2:$E$564,2,FALSE)),0)</f>
        <v>0</v>
      </c>
    </row>
    <row r="2138" spans="1:26" ht="25.15" hidden="1" customHeight="1" x14ac:dyDescent="0.25">
      <c r="A2138" s="112">
        <v>46265.707662037035</v>
      </c>
      <c r="B2138" s="5" t="s">
        <v>246</v>
      </c>
      <c r="C2138" s="5">
        <v>11549168</v>
      </c>
      <c r="D2138" s="5">
        <v>716913</v>
      </c>
      <c r="E2138" s="33">
        <v>36</v>
      </c>
      <c r="F2138" s="60">
        <v>1000</v>
      </c>
      <c r="G2138" s="60">
        <f>+OtherClients[[#This Row],[Boxes / Pieces]]*OtherClients[[#This Row],[Unit Quantity]]</f>
        <v>36000</v>
      </c>
      <c r="H2138" s="60">
        <v>4</v>
      </c>
      <c r="I2138" s="130" t="s">
        <v>278</v>
      </c>
      <c r="J2138" s="131"/>
      <c r="K2138" s="33" t="s">
        <v>278</v>
      </c>
      <c r="L2138" s="132"/>
      <c r="M2138" s="33" t="s">
        <v>278</v>
      </c>
      <c r="N2138" s="132"/>
      <c r="O2138" s="33" t="s">
        <v>278</v>
      </c>
      <c r="P2138" s="132"/>
      <c r="Q2138" s="33" t="s">
        <v>587</v>
      </c>
      <c r="R2138" s="132"/>
      <c r="S2138" s="33" t="s">
        <v>278</v>
      </c>
      <c r="T2138" s="132"/>
      <c r="U2138" s="33" t="s">
        <v>278</v>
      </c>
      <c r="V2138" s="132"/>
      <c r="W2138" s="59" t="s">
        <v>548</v>
      </c>
      <c r="X2138" s="33" t="str">
        <f>+VLOOKUP(OtherClients[[#This Row],[Part]],PartControl!$A$2:$E$564,5,FALSE)</f>
        <v>INFASCO</v>
      </c>
      <c r="Y2138" s="108">
        <f>IF(OtherClients[[#This Row],[Re-certified or New]]&lt;&gt;"Re-certified",IF(OtherClients[[#This Row],[Client]]="infasco",VLOOKUP(OtherClients[[#This Row],[Part]],PartControl!$A$2:$E$564,2,FALSE),OtherClients[[#This Row],[Total Quantity]]*VLOOKUP(OtherClients[[#This Row],[Part]],PartControl!$A$2:$E$564,2,FALSE)),0)</f>
        <v>106.94</v>
      </c>
      <c r="Z2138" s="108">
        <f>IF(OtherClients[[#This Row],[Re-certified or New]]&lt;&gt;"Re-certified",IF(OtherClients[[#This Row],[Client]]="infasco",VLOOKUP(OtherClients[[#This Row],[Part]],PartControl!$A$2:$E$564,2,FALSE),OtherClients[[#This Row],[Total Quantity]]*VLOOKUP(OtherClients[[#This Row],[Part]],PartControl!$A$2:$E$564,2,FALSE)),0)</f>
        <v>106.94</v>
      </c>
    </row>
    <row r="2139" spans="1:26" ht="25.15" hidden="1" customHeight="1" x14ac:dyDescent="0.25">
      <c r="A2139" s="112">
        <v>46265.707662037035</v>
      </c>
      <c r="B2139" s="5" t="s">
        <v>246</v>
      </c>
      <c r="C2139" s="5">
        <v>11549168</v>
      </c>
      <c r="D2139" s="5">
        <v>716911</v>
      </c>
      <c r="E2139" s="33">
        <v>26</v>
      </c>
      <c r="F2139" s="60">
        <v>1000</v>
      </c>
      <c r="G2139" s="60">
        <f>+OtherClients[[#This Row],[Boxes / Pieces]]*OtherClients[[#This Row],[Unit Quantity]]</f>
        <v>26000</v>
      </c>
      <c r="H2139" s="60">
        <v>4</v>
      </c>
      <c r="I2139" s="130" t="s">
        <v>278</v>
      </c>
      <c r="J2139" s="131"/>
      <c r="K2139" s="33" t="s">
        <v>278</v>
      </c>
      <c r="L2139" s="132"/>
      <c r="M2139" s="33" t="s">
        <v>278</v>
      </c>
      <c r="N2139" s="132"/>
      <c r="O2139" s="33" t="s">
        <v>278</v>
      </c>
      <c r="P2139" s="132"/>
      <c r="Q2139" s="33" t="s">
        <v>587</v>
      </c>
      <c r="R2139" s="132"/>
      <c r="S2139" s="33" t="s">
        <v>278</v>
      </c>
      <c r="T2139" s="132"/>
      <c r="U2139" s="33" t="s">
        <v>278</v>
      </c>
      <c r="V2139" s="132"/>
      <c r="W2139" s="59" t="s">
        <v>633</v>
      </c>
      <c r="X2139" s="33" t="str">
        <f>+VLOOKUP(OtherClients[[#This Row],[Part]],PartControl!$A$2:$E$564,5,FALSE)</f>
        <v>INFASCO</v>
      </c>
      <c r="Y2139" s="108">
        <f>IF(OtherClients[[#This Row],[Re-certified or New]]&lt;&gt;"Re-certified",IF(OtherClients[[#This Row],[Client]]="infasco",VLOOKUP(OtherClients[[#This Row],[Part]],PartControl!$A$2:$E$564,2,FALSE),OtherClients[[#This Row],[Total Quantity]]*VLOOKUP(OtherClients[[#This Row],[Part]],PartControl!$A$2:$E$564,2,FALSE)),0)</f>
        <v>0</v>
      </c>
      <c r="Z2139" s="108">
        <f>IF(OtherClients[[#This Row],[Re-certified or New]]&lt;&gt;"Re-certified",IF(OtherClients[[#This Row],[Client]]="infasco",VLOOKUP(OtherClients[[#This Row],[Part]],PartControl!$A$2:$E$564,2,FALSE),OtherClients[[#This Row],[Total Quantity]]*VLOOKUP(OtherClients[[#This Row],[Part]],PartControl!$A$2:$E$564,2,FALSE)),0)</f>
        <v>0</v>
      </c>
    </row>
    <row r="2140" spans="1:26" ht="25.15" hidden="1" customHeight="1" x14ac:dyDescent="0.25">
      <c r="A2140" s="112">
        <v>46265.707662037035</v>
      </c>
      <c r="B2140" s="5" t="s">
        <v>244</v>
      </c>
      <c r="C2140" s="5" t="s">
        <v>706</v>
      </c>
      <c r="D2140" s="5">
        <v>716822</v>
      </c>
      <c r="E2140" s="33">
        <f>29-15</f>
        <v>14</v>
      </c>
      <c r="F2140" s="60">
        <v>1900</v>
      </c>
      <c r="G2140" s="60">
        <f>+OtherClients[[#This Row],[Boxes / Pieces]]*OtherClients[[#This Row],[Unit Quantity]]</f>
        <v>26600</v>
      </c>
      <c r="H2140" s="60">
        <v>4</v>
      </c>
      <c r="I2140" s="130" t="s">
        <v>278</v>
      </c>
      <c r="J2140" s="131"/>
      <c r="K2140" s="33" t="s">
        <v>278</v>
      </c>
      <c r="L2140" s="132"/>
      <c r="M2140" s="33" t="s">
        <v>278</v>
      </c>
      <c r="N2140" s="132"/>
      <c r="O2140" s="33" t="s">
        <v>278</v>
      </c>
      <c r="P2140" s="132"/>
      <c r="Q2140" s="33" t="s">
        <v>587</v>
      </c>
      <c r="R2140" s="132"/>
      <c r="S2140" s="33" t="s">
        <v>278</v>
      </c>
      <c r="T2140" s="132"/>
      <c r="U2140" s="33" t="s">
        <v>278</v>
      </c>
      <c r="V2140" s="132"/>
      <c r="W2140" s="59" t="s">
        <v>548</v>
      </c>
      <c r="X2140" s="33" t="str">
        <f>+VLOOKUP(OtherClients[[#This Row],[Part]],PartControl!$A$2:$E$564,5,FALSE)</f>
        <v>infasco</v>
      </c>
      <c r="Y2140" s="108">
        <f>IF(OtherClients[[#This Row],[Re-certified or New]]&lt;&gt;"Re-certified",IF(OtherClients[[#This Row],[Client]]="infasco",VLOOKUP(OtherClients[[#This Row],[Part]],PartControl!$A$2:$E$564,2,FALSE),OtherClients[[#This Row],[Total Quantity]]*VLOOKUP(OtherClients[[#This Row],[Part]],PartControl!$A$2:$E$564,2,FALSE)),0)</f>
        <v>106.94</v>
      </c>
      <c r="Z2140" s="108">
        <f>IF(OtherClients[[#This Row],[Re-certified or New]]&lt;&gt;"Re-certified",IF(OtherClients[[#This Row],[Client]]="infasco",VLOOKUP(OtherClients[[#This Row],[Part]],PartControl!$A$2:$E$564,2,FALSE),OtherClients[[#This Row],[Total Quantity]]*VLOOKUP(OtherClients[[#This Row],[Part]],PartControl!$A$2:$E$564,2,FALSE)),0)</f>
        <v>106.94</v>
      </c>
    </row>
    <row r="2141" spans="1:26" ht="25.15" hidden="1" customHeight="1" x14ac:dyDescent="0.25">
      <c r="A2141" s="112">
        <v>46265.707662037035</v>
      </c>
      <c r="B2141" s="5" t="s">
        <v>244</v>
      </c>
      <c r="C2141" s="5" t="s">
        <v>706</v>
      </c>
      <c r="D2141" s="5">
        <v>716818</v>
      </c>
      <c r="E2141" s="33">
        <v>2</v>
      </c>
      <c r="F2141" s="60">
        <v>1900</v>
      </c>
      <c r="G2141" s="60">
        <f>+OtherClients[[#This Row],[Boxes / Pieces]]*OtherClients[[#This Row],[Unit Quantity]]</f>
        <v>3800</v>
      </c>
      <c r="H2141" s="60">
        <v>4</v>
      </c>
      <c r="I2141" s="130" t="s">
        <v>278</v>
      </c>
      <c r="J2141" s="131"/>
      <c r="K2141" s="33" t="s">
        <v>278</v>
      </c>
      <c r="L2141" s="132"/>
      <c r="M2141" s="33" t="s">
        <v>278</v>
      </c>
      <c r="N2141" s="132"/>
      <c r="O2141" s="33" t="s">
        <v>278</v>
      </c>
      <c r="P2141" s="132"/>
      <c r="Q2141" s="33" t="s">
        <v>587</v>
      </c>
      <c r="R2141" s="132"/>
      <c r="S2141" s="33" t="s">
        <v>278</v>
      </c>
      <c r="T2141" s="132"/>
      <c r="U2141" s="33" t="s">
        <v>278</v>
      </c>
      <c r="V2141" s="132"/>
      <c r="W2141" s="59" t="s">
        <v>633</v>
      </c>
      <c r="X2141" s="33" t="str">
        <f>+VLOOKUP(OtherClients[[#This Row],[Part]],PartControl!$A$2:$E$564,5,FALSE)</f>
        <v>infasco</v>
      </c>
      <c r="Y2141" s="108">
        <f>IF(OtherClients[[#This Row],[Re-certified or New]]&lt;&gt;"Re-certified",IF(OtherClients[[#This Row],[Client]]="infasco",VLOOKUP(OtherClients[[#This Row],[Part]],PartControl!$A$2:$E$564,2,FALSE),OtherClients[[#This Row],[Total Quantity]]*VLOOKUP(OtherClients[[#This Row],[Part]],PartControl!$A$2:$E$564,2,FALSE)),0)</f>
        <v>0</v>
      </c>
      <c r="Z2141" s="108">
        <f>IF(OtherClients[[#This Row],[Re-certified or New]]&lt;&gt;"Re-certified",IF(OtherClients[[#This Row],[Client]]="infasco",VLOOKUP(OtherClients[[#This Row],[Part]],PartControl!$A$2:$E$564,2,FALSE),OtherClients[[#This Row],[Total Quantity]]*VLOOKUP(OtherClients[[#This Row],[Part]],PartControl!$A$2:$E$564,2,FALSE)),0)</f>
        <v>0</v>
      </c>
    </row>
    <row r="2142" spans="1:26" ht="25.15" hidden="1" customHeight="1" x14ac:dyDescent="0.25">
      <c r="A2142" s="112">
        <v>46265.707662037035</v>
      </c>
      <c r="B2142" s="5" t="s">
        <v>624</v>
      </c>
      <c r="C2142" s="5">
        <v>11549170</v>
      </c>
      <c r="D2142" s="5">
        <v>716556</v>
      </c>
      <c r="E2142" s="33">
        <v>36</v>
      </c>
      <c r="F2142" s="60">
        <v>400</v>
      </c>
      <c r="G2142" s="60">
        <f>+OtherClients[[#This Row],[Boxes / Pieces]]*OtherClients[[#This Row],[Unit Quantity]]</f>
        <v>14400</v>
      </c>
      <c r="H2142" s="60">
        <v>4</v>
      </c>
      <c r="I2142" s="130" t="s">
        <v>278</v>
      </c>
      <c r="J2142" s="131"/>
      <c r="K2142" s="33" t="s">
        <v>278</v>
      </c>
      <c r="L2142" s="132"/>
      <c r="M2142" s="33" t="s">
        <v>278</v>
      </c>
      <c r="N2142" s="132"/>
      <c r="O2142" s="33" t="s">
        <v>278</v>
      </c>
      <c r="P2142" s="132"/>
      <c r="Q2142" s="33" t="s">
        <v>587</v>
      </c>
      <c r="R2142" s="132"/>
      <c r="S2142" s="33" t="s">
        <v>278</v>
      </c>
      <c r="T2142" s="132"/>
      <c r="U2142" s="33" t="s">
        <v>278</v>
      </c>
      <c r="V2142" s="132"/>
      <c r="W2142" s="59" t="s">
        <v>548</v>
      </c>
      <c r="X2142" s="33" t="str">
        <f>+VLOOKUP(OtherClients[[#This Row],[Part]],PartControl!$A$2:$E$564,5,FALSE)</f>
        <v>INFASCO</v>
      </c>
      <c r="Y2142" s="108">
        <f>IF(OtherClients[[#This Row],[Re-certified or New]]&lt;&gt;"Re-certified",IF(OtherClients[[#This Row],[Client]]="infasco",VLOOKUP(OtherClients[[#This Row],[Part]],PartControl!$A$2:$E$564,2,FALSE),OtherClients[[#This Row],[Total Quantity]]*VLOOKUP(OtherClients[[#This Row],[Part]],PartControl!$A$2:$E$564,2,FALSE)),0)</f>
        <v>106.94</v>
      </c>
      <c r="Z2142" s="108">
        <f>IF(OtherClients[[#This Row],[Re-certified or New]]&lt;&gt;"Re-certified",IF(OtherClients[[#This Row],[Client]]="infasco",VLOOKUP(OtherClients[[#This Row],[Part]],PartControl!$A$2:$E$564,2,FALSE),OtherClients[[#This Row],[Total Quantity]]*VLOOKUP(OtherClients[[#This Row],[Part]],PartControl!$A$2:$E$564,2,FALSE)),0)</f>
        <v>106.94</v>
      </c>
    </row>
    <row r="2143" spans="1:26" ht="25.15" hidden="1" customHeight="1" x14ac:dyDescent="0.25">
      <c r="A2143" s="112">
        <v>46265.707662037035</v>
      </c>
      <c r="B2143" s="5" t="s">
        <v>624</v>
      </c>
      <c r="C2143" s="5">
        <v>11549170</v>
      </c>
      <c r="D2143" s="5">
        <v>716554</v>
      </c>
      <c r="E2143" s="33">
        <v>36</v>
      </c>
      <c r="F2143" s="60">
        <v>400</v>
      </c>
      <c r="G2143" s="60">
        <f>+OtherClients[[#This Row],[Boxes / Pieces]]*OtherClients[[#This Row],[Unit Quantity]]</f>
        <v>14400</v>
      </c>
      <c r="H2143" s="60">
        <v>4</v>
      </c>
      <c r="I2143" s="130" t="s">
        <v>278</v>
      </c>
      <c r="J2143" s="131"/>
      <c r="K2143" s="33" t="s">
        <v>278</v>
      </c>
      <c r="L2143" s="132"/>
      <c r="M2143" s="33" t="s">
        <v>278</v>
      </c>
      <c r="N2143" s="132"/>
      <c r="O2143" s="33" t="s">
        <v>278</v>
      </c>
      <c r="P2143" s="132"/>
      <c r="Q2143" s="33" t="s">
        <v>587</v>
      </c>
      <c r="R2143" s="132"/>
      <c r="S2143" s="33" t="s">
        <v>278</v>
      </c>
      <c r="T2143" s="132"/>
      <c r="U2143" s="33" t="s">
        <v>278</v>
      </c>
      <c r="V2143" s="132"/>
      <c r="W2143" s="59" t="s">
        <v>548</v>
      </c>
      <c r="X2143" s="33" t="str">
        <f>+VLOOKUP(OtherClients[[#This Row],[Part]],PartControl!$A$2:$E$564,5,FALSE)</f>
        <v>INFASCO</v>
      </c>
      <c r="Y2143" s="108">
        <f>IF(OtherClients[[#This Row],[Re-certified or New]]&lt;&gt;"Re-certified",IF(OtherClients[[#This Row],[Client]]="infasco",VLOOKUP(OtherClients[[#This Row],[Part]],PartControl!$A$2:$E$564,2,FALSE),OtherClients[[#This Row],[Total Quantity]]*VLOOKUP(OtherClients[[#This Row],[Part]],PartControl!$A$2:$E$564,2,FALSE)),0)</f>
        <v>106.94</v>
      </c>
      <c r="Z2143" s="108">
        <f>IF(OtherClients[[#This Row],[Re-certified or New]]&lt;&gt;"Re-certified",IF(OtherClients[[#This Row],[Client]]="infasco",VLOOKUP(OtherClients[[#This Row],[Part]],PartControl!$A$2:$E$564,2,FALSE),OtherClients[[#This Row],[Total Quantity]]*VLOOKUP(OtherClients[[#This Row],[Part]],PartControl!$A$2:$E$564,2,FALSE)),0)</f>
        <v>106.94</v>
      </c>
    </row>
    <row r="2144" spans="1:26" ht="25.15" hidden="1" customHeight="1" x14ac:dyDescent="0.25">
      <c r="A2144" s="112">
        <v>46265.707662037035</v>
      </c>
      <c r="B2144" s="5" t="s">
        <v>624</v>
      </c>
      <c r="C2144" s="5">
        <v>11549170</v>
      </c>
      <c r="D2144" s="5">
        <v>716574</v>
      </c>
      <c r="E2144" s="33">
        <v>36</v>
      </c>
      <c r="F2144" s="60">
        <v>400</v>
      </c>
      <c r="G2144" s="60">
        <f>+OtherClients[[#This Row],[Boxes / Pieces]]*OtherClients[[#This Row],[Unit Quantity]]</f>
        <v>14400</v>
      </c>
      <c r="H2144" s="60">
        <v>4</v>
      </c>
      <c r="I2144" s="130" t="s">
        <v>278</v>
      </c>
      <c r="J2144" s="131"/>
      <c r="K2144" s="33" t="s">
        <v>278</v>
      </c>
      <c r="L2144" s="132"/>
      <c r="M2144" s="33" t="s">
        <v>278</v>
      </c>
      <c r="N2144" s="132"/>
      <c r="O2144" s="33" t="s">
        <v>278</v>
      </c>
      <c r="P2144" s="132"/>
      <c r="Q2144" s="33" t="s">
        <v>587</v>
      </c>
      <c r="R2144" s="132"/>
      <c r="S2144" s="33" t="s">
        <v>278</v>
      </c>
      <c r="T2144" s="132"/>
      <c r="U2144" s="33" t="s">
        <v>278</v>
      </c>
      <c r="V2144" s="132"/>
      <c r="W2144" s="59" t="s">
        <v>548</v>
      </c>
      <c r="X2144" s="33" t="str">
        <f>+VLOOKUP(OtherClients[[#This Row],[Part]],PartControl!$A$2:$E$564,5,FALSE)</f>
        <v>INFASCO</v>
      </c>
      <c r="Y2144" s="108">
        <f>IF(OtherClients[[#This Row],[Re-certified or New]]&lt;&gt;"Re-certified",IF(OtherClients[[#This Row],[Client]]="infasco",VLOOKUP(OtherClients[[#This Row],[Part]],PartControl!$A$2:$E$564,2,FALSE),OtherClients[[#This Row],[Total Quantity]]*VLOOKUP(OtherClients[[#This Row],[Part]],PartControl!$A$2:$E$564,2,FALSE)),0)</f>
        <v>106.94</v>
      </c>
      <c r="Z2144" s="108">
        <f>IF(OtherClients[[#This Row],[Re-certified or New]]&lt;&gt;"Re-certified",IF(OtherClients[[#This Row],[Client]]="infasco",VLOOKUP(OtherClients[[#This Row],[Part]],PartControl!$A$2:$E$564,2,FALSE),OtherClients[[#This Row],[Total Quantity]]*VLOOKUP(OtherClients[[#This Row],[Part]],PartControl!$A$2:$E$564,2,FALSE)),0)</f>
        <v>106.94</v>
      </c>
    </row>
    <row r="2145" spans="1:26" ht="25.15" hidden="1" customHeight="1" x14ac:dyDescent="0.25">
      <c r="A2145" s="112">
        <v>46265.707662037035</v>
      </c>
      <c r="B2145" s="5" t="s">
        <v>624</v>
      </c>
      <c r="C2145" s="5">
        <v>11549170</v>
      </c>
      <c r="D2145" s="5">
        <v>716933</v>
      </c>
      <c r="E2145" s="33">
        <v>16</v>
      </c>
      <c r="F2145" s="60">
        <v>400</v>
      </c>
      <c r="G2145" s="60">
        <f>+OtherClients[[#This Row],[Boxes / Pieces]]*OtherClients[[#This Row],[Unit Quantity]]</f>
        <v>6400</v>
      </c>
      <c r="H2145" s="60">
        <v>4</v>
      </c>
      <c r="I2145" s="130" t="s">
        <v>278</v>
      </c>
      <c r="J2145" s="131"/>
      <c r="K2145" s="33" t="s">
        <v>278</v>
      </c>
      <c r="L2145" s="132"/>
      <c r="M2145" s="33" t="s">
        <v>278</v>
      </c>
      <c r="N2145" s="132"/>
      <c r="O2145" s="33" t="s">
        <v>278</v>
      </c>
      <c r="P2145" s="132"/>
      <c r="Q2145" s="33" t="s">
        <v>587</v>
      </c>
      <c r="R2145" s="132"/>
      <c r="S2145" s="33" t="s">
        <v>278</v>
      </c>
      <c r="T2145" s="132"/>
      <c r="U2145" s="33" t="s">
        <v>278</v>
      </c>
      <c r="V2145" s="132"/>
      <c r="W2145" s="59" t="s">
        <v>633</v>
      </c>
      <c r="X2145" s="33" t="str">
        <f>+VLOOKUP(OtherClients[[#This Row],[Part]],PartControl!$A$2:$E$564,5,FALSE)</f>
        <v>INFASCO</v>
      </c>
      <c r="Y2145" s="108">
        <f>IF(OtherClients[[#This Row],[Re-certified or New]]&lt;&gt;"Re-certified",IF(OtherClients[[#This Row],[Client]]="infasco",VLOOKUP(OtherClients[[#This Row],[Part]],PartControl!$A$2:$E$564,2,FALSE),OtherClients[[#This Row],[Total Quantity]]*VLOOKUP(OtherClients[[#This Row],[Part]],PartControl!$A$2:$E$564,2,FALSE)),0)</f>
        <v>0</v>
      </c>
      <c r="Z2145" s="108">
        <f>IF(OtherClients[[#This Row],[Re-certified or New]]&lt;&gt;"Re-certified",IF(OtherClients[[#This Row],[Client]]="infasco",VLOOKUP(OtherClients[[#This Row],[Part]],PartControl!$A$2:$E$564,2,FALSE),OtherClients[[#This Row],[Total Quantity]]*VLOOKUP(OtherClients[[#This Row],[Part]],PartControl!$A$2:$E$564,2,FALSE)),0)</f>
        <v>0</v>
      </c>
    </row>
    <row r="2146" spans="1:26" ht="25.15" hidden="1" customHeight="1" x14ac:dyDescent="0.25">
      <c r="A2146" s="112">
        <v>46265.707662037035</v>
      </c>
      <c r="B2146" s="5" t="s">
        <v>623</v>
      </c>
      <c r="C2146" s="5">
        <v>11549170</v>
      </c>
      <c r="D2146" s="5">
        <v>716570</v>
      </c>
      <c r="E2146" s="33">
        <v>39</v>
      </c>
      <c r="F2146" s="60">
        <v>400</v>
      </c>
      <c r="G2146" s="60">
        <f>+OtherClients[[#This Row],[Boxes / Pieces]]*OtherClients[[#This Row],[Unit Quantity]]</f>
        <v>15600</v>
      </c>
      <c r="H2146" s="60">
        <v>4</v>
      </c>
      <c r="I2146" s="130" t="s">
        <v>278</v>
      </c>
      <c r="J2146" s="131"/>
      <c r="K2146" s="33" t="s">
        <v>278</v>
      </c>
      <c r="L2146" s="132"/>
      <c r="M2146" s="33" t="s">
        <v>278</v>
      </c>
      <c r="N2146" s="132"/>
      <c r="O2146" s="33" t="s">
        <v>278</v>
      </c>
      <c r="P2146" s="132"/>
      <c r="Q2146" s="33" t="s">
        <v>587</v>
      </c>
      <c r="R2146" s="132"/>
      <c r="S2146" s="33" t="s">
        <v>278</v>
      </c>
      <c r="T2146" s="132"/>
      <c r="U2146" s="33" t="s">
        <v>278</v>
      </c>
      <c r="V2146" s="132"/>
      <c r="W2146" s="59" t="s">
        <v>548</v>
      </c>
      <c r="X2146" s="33" t="str">
        <f>+VLOOKUP(OtherClients[[#This Row],[Part]],PartControl!$A$2:$E$564,5,FALSE)</f>
        <v>INFASCO</v>
      </c>
      <c r="Y2146" s="108">
        <f>IF(OtherClients[[#This Row],[Re-certified or New]]&lt;&gt;"Re-certified",IF(OtherClients[[#This Row],[Client]]="infasco",VLOOKUP(OtherClients[[#This Row],[Part]],PartControl!$A$2:$E$564,2,FALSE),OtherClients[[#This Row],[Total Quantity]]*VLOOKUP(OtherClients[[#This Row],[Part]],PartControl!$A$2:$E$564,2,FALSE)),0)</f>
        <v>106.94</v>
      </c>
      <c r="Z2146" s="108">
        <f>IF(OtherClients[[#This Row],[Re-certified or New]]&lt;&gt;"Re-certified",IF(OtherClients[[#This Row],[Client]]="infasco",VLOOKUP(OtherClients[[#This Row],[Part]],PartControl!$A$2:$E$564,2,FALSE),OtherClients[[#This Row],[Total Quantity]]*VLOOKUP(OtherClients[[#This Row],[Part]],PartControl!$A$2:$E$564,2,FALSE)),0)</f>
        <v>106.94</v>
      </c>
    </row>
    <row r="2147" spans="1:26" ht="25.15" hidden="1" customHeight="1" x14ac:dyDescent="0.25">
      <c r="A2147" s="112">
        <v>46265.707662037035</v>
      </c>
      <c r="B2147" s="5" t="s">
        <v>623</v>
      </c>
      <c r="C2147" s="5">
        <v>11549170</v>
      </c>
      <c r="D2147" s="5">
        <v>716557</v>
      </c>
      <c r="E2147" s="33">
        <v>40</v>
      </c>
      <c r="F2147" s="60">
        <v>400</v>
      </c>
      <c r="G2147" s="60">
        <f>+OtherClients[[#This Row],[Boxes / Pieces]]*OtherClients[[#This Row],[Unit Quantity]]</f>
        <v>16000</v>
      </c>
      <c r="H2147" s="60">
        <v>4</v>
      </c>
      <c r="I2147" s="130" t="s">
        <v>278</v>
      </c>
      <c r="J2147" s="131"/>
      <c r="K2147" s="33" t="s">
        <v>278</v>
      </c>
      <c r="L2147" s="132"/>
      <c r="M2147" s="33" t="s">
        <v>278</v>
      </c>
      <c r="N2147" s="132"/>
      <c r="O2147" s="33" t="s">
        <v>278</v>
      </c>
      <c r="P2147" s="132"/>
      <c r="Q2147" s="33" t="s">
        <v>587</v>
      </c>
      <c r="R2147" s="132"/>
      <c r="S2147" s="33" t="s">
        <v>278</v>
      </c>
      <c r="T2147" s="132"/>
      <c r="U2147" s="33" t="s">
        <v>278</v>
      </c>
      <c r="V2147" s="132"/>
      <c r="W2147" s="59" t="s">
        <v>548</v>
      </c>
      <c r="X2147" s="33" t="str">
        <f>+VLOOKUP(OtherClients[[#This Row],[Part]],PartControl!$A$2:$E$564,5,FALSE)</f>
        <v>INFASCO</v>
      </c>
      <c r="Y2147" s="108">
        <f>IF(OtherClients[[#This Row],[Re-certified or New]]&lt;&gt;"Re-certified",IF(OtherClients[[#This Row],[Client]]="infasco",VLOOKUP(OtherClients[[#This Row],[Part]],PartControl!$A$2:$E$564,2,FALSE),OtherClients[[#This Row],[Total Quantity]]*VLOOKUP(OtherClients[[#This Row],[Part]],PartControl!$A$2:$E$564,2,FALSE)),0)</f>
        <v>106.94</v>
      </c>
      <c r="Z2147" s="108">
        <f>IF(OtherClients[[#This Row],[Re-certified or New]]&lt;&gt;"Re-certified",IF(OtherClients[[#This Row],[Client]]="infasco",VLOOKUP(OtherClients[[#This Row],[Part]],PartControl!$A$2:$E$564,2,FALSE),OtherClients[[#This Row],[Total Quantity]]*VLOOKUP(OtherClients[[#This Row],[Part]],PartControl!$A$2:$E$564,2,FALSE)),0)</f>
        <v>106.94</v>
      </c>
    </row>
    <row r="2148" spans="1:26" ht="25.15" hidden="1" customHeight="1" x14ac:dyDescent="0.25">
      <c r="A2148" s="112">
        <v>46265.707662037035</v>
      </c>
      <c r="B2148" s="5" t="s">
        <v>623</v>
      </c>
      <c r="C2148" s="5">
        <v>11549170</v>
      </c>
      <c r="D2148" s="5">
        <v>716582</v>
      </c>
      <c r="E2148" s="33">
        <v>30</v>
      </c>
      <c r="F2148" s="60">
        <v>400</v>
      </c>
      <c r="G2148" s="60">
        <f>+OtherClients[[#This Row],[Boxes / Pieces]]*OtherClients[[#This Row],[Unit Quantity]]</f>
        <v>12000</v>
      </c>
      <c r="H2148" s="60">
        <v>4</v>
      </c>
      <c r="I2148" s="130" t="s">
        <v>278</v>
      </c>
      <c r="J2148" s="131"/>
      <c r="K2148" s="33" t="s">
        <v>278</v>
      </c>
      <c r="L2148" s="132"/>
      <c r="M2148" s="33" t="s">
        <v>278</v>
      </c>
      <c r="N2148" s="132"/>
      <c r="O2148" s="33" t="s">
        <v>278</v>
      </c>
      <c r="P2148" s="132"/>
      <c r="Q2148" s="33" t="s">
        <v>587</v>
      </c>
      <c r="R2148" s="132"/>
      <c r="S2148" s="33" t="s">
        <v>278</v>
      </c>
      <c r="T2148" s="132"/>
      <c r="U2148" s="33" t="s">
        <v>278</v>
      </c>
      <c r="V2148" s="132"/>
      <c r="W2148" s="59" t="s">
        <v>633</v>
      </c>
      <c r="X2148" s="33" t="str">
        <f>+VLOOKUP(OtherClients[[#This Row],[Part]],PartControl!$A$2:$E$564,5,FALSE)</f>
        <v>INFASCO</v>
      </c>
      <c r="Y2148" s="108">
        <f>IF(OtherClients[[#This Row],[Re-certified or New]]&lt;&gt;"Re-certified",IF(OtherClients[[#This Row],[Client]]="infasco",VLOOKUP(OtherClients[[#This Row],[Part]],PartControl!$A$2:$E$564,2,FALSE),OtherClients[[#This Row],[Total Quantity]]*VLOOKUP(OtherClients[[#This Row],[Part]],PartControl!$A$2:$E$564,2,FALSE)),0)</f>
        <v>0</v>
      </c>
      <c r="Z2148" s="108">
        <f>IF(OtherClients[[#This Row],[Re-certified or New]]&lt;&gt;"Re-certified",IF(OtherClients[[#This Row],[Client]]="infasco",VLOOKUP(OtherClients[[#This Row],[Part]],PartControl!$A$2:$E$564,2,FALSE),OtherClients[[#This Row],[Total Quantity]]*VLOOKUP(OtherClients[[#This Row],[Part]],PartControl!$A$2:$E$564,2,FALSE)),0)</f>
        <v>0</v>
      </c>
    </row>
    <row r="2149" spans="1:26" ht="25.15" hidden="1" customHeight="1" x14ac:dyDescent="0.25">
      <c r="A2149" s="112">
        <v>46265.707662037035</v>
      </c>
      <c r="B2149" s="5" t="s">
        <v>243</v>
      </c>
      <c r="C2149" s="5">
        <v>11546389</v>
      </c>
      <c r="D2149" s="5">
        <v>717703</v>
      </c>
      <c r="E2149" s="33">
        <f>26-23</f>
        <v>3</v>
      </c>
      <c r="F2149" s="60">
        <v>4500</v>
      </c>
      <c r="G2149" s="60">
        <f>+OtherClients[[#This Row],[Boxes / Pieces]]*OtherClients[[#This Row],[Unit Quantity]]</f>
        <v>13500</v>
      </c>
      <c r="H2149" s="60">
        <v>4</v>
      </c>
      <c r="I2149" s="130" t="s">
        <v>278</v>
      </c>
      <c r="J2149" s="131"/>
      <c r="K2149" s="33" t="s">
        <v>278</v>
      </c>
      <c r="L2149" s="132"/>
      <c r="M2149" s="33" t="s">
        <v>278</v>
      </c>
      <c r="N2149" s="132"/>
      <c r="O2149" s="33" t="s">
        <v>278</v>
      </c>
      <c r="P2149" s="132"/>
      <c r="Q2149" s="33" t="s">
        <v>587</v>
      </c>
      <c r="R2149" s="132"/>
      <c r="S2149" s="33" t="s">
        <v>278</v>
      </c>
      <c r="T2149" s="132"/>
      <c r="U2149" s="33" t="s">
        <v>278</v>
      </c>
      <c r="V2149" s="132"/>
      <c r="W2149" s="59" t="s">
        <v>548</v>
      </c>
      <c r="X2149" s="33" t="str">
        <f>+VLOOKUP(OtherClients[[#This Row],[Part]],PartControl!$A$2:$E$564,5,FALSE)</f>
        <v>INFASCO</v>
      </c>
      <c r="Y2149" s="108">
        <f>IF(OtherClients[[#This Row],[Re-certified or New]]&lt;&gt;"Re-certified",IF(OtherClients[[#This Row],[Client]]="infasco",VLOOKUP(OtherClients[[#This Row],[Part]],PartControl!$A$2:$E$564,2,FALSE),OtherClients[[#This Row],[Total Quantity]]*VLOOKUP(OtherClients[[#This Row],[Part]],PartControl!$A$2:$E$564,2,FALSE)),0)</f>
        <v>106.94</v>
      </c>
      <c r="Z2149" s="108">
        <f>IF(OtherClients[[#This Row],[Re-certified or New]]&lt;&gt;"Re-certified",IF(OtherClients[[#This Row],[Client]]="infasco",VLOOKUP(OtherClients[[#This Row],[Part]],PartControl!$A$2:$E$564,2,FALSE),OtherClients[[#This Row],[Total Quantity]]*VLOOKUP(OtherClients[[#This Row],[Part]],PartControl!$A$2:$E$564,2,FALSE)),0)</f>
        <v>106.94</v>
      </c>
    </row>
    <row r="2150" spans="1:26" ht="25.15" hidden="1" customHeight="1" x14ac:dyDescent="0.25">
      <c r="A2150" s="112">
        <v>46265.707662037035</v>
      </c>
      <c r="B2150" s="5" t="s">
        <v>243</v>
      </c>
      <c r="C2150" s="5">
        <v>11546389</v>
      </c>
      <c r="D2150" s="5">
        <v>717704</v>
      </c>
      <c r="E2150" s="33">
        <v>14</v>
      </c>
      <c r="F2150" s="60">
        <v>4500</v>
      </c>
      <c r="G2150" s="60">
        <f>+OtherClients[[#This Row],[Boxes / Pieces]]*OtherClients[[#This Row],[Unit Quantity]]</f>
        <v>63000</v>
      </c>
      <c r="H2150" s="60">
        <v>4</v>
      </c>
      <c r="I2150" s="130" t="s">
        <v>278</v>
      </c>
      <c r="J2150" s="131"/>
      <c r="K2150" s="33" t="s">
        <v>278</v>
      </c>
      <c r="L2150" s="132"/>
      <c r="M2150" s="33" t="s">
        <v>278</v>
      </c>
      <c r="N2150" s="132"/>
      <c r="O2150" s="33" t="s">
        <v>278</v>
      </c>
      <c r="P2150" s="132"/>
      <c r="Q2150" s="33" t="s">
        <v>587</v>
      </c>
      <c r="R2150" s="132"/>
      <c r="S2150" s="33" t="s">
        <v>278</v>
      </c>
      <c r="T2150" s="132"/>
      <c r="U2150" s="33" t="s">
        <v>278</v>
      </c>
      <c r="V2150" s="132"/>
      <c r="W2150" s="59" t="s">
        <v>633</v>
      </c>
      <c r="X2150" s="33" t="str">
        <f>+VLOOKUP(OtherClients[[#This Row],[Part]],PartControl!$A$2:$E$564,5,FALSE)</f>
        <v>INFASCO</v>
      </c>
      <c r="Y2150" s="108">
        <f>IF(OtherClients[[#This Row],[Re-certified or New]]&lt;&gt;"Re-certified",IF(OtherClients[[#This Row],[Client]]="infasco",VLOOKUP(OtherClients[[#This Row],[Part]],PartControl!$A$2:$E$564,2,FALSE),OtherClients[[#This Row],[Total Quantity]]*VLOOKUP(OtherClients[[#This Row],[Part]],PartControl!$A$2:$E$564,2,FALSE)),0)</f>
        <v>0</v>
      </c>
      <c r="Z2150" s="108">
        <f>IF(OtherClients[[#This Row],[Re-certified or New]]&lt;&gt;"Re-certified",IF(OtherClients[[#This Row],[Client]]="infasco",VLOOKUP(OtherClients[[#This Row],[Part]],PartControl!$A$2:$E$564,2,FALSE),OtherClients[[#This Row],[Total Quantity]]*VLOOKUP(OtherClients[[#This Row],[Part]],PartControl!$A$2:$E$564,2,FALSE)),0)</f>
        <v>0</v>
      </c>
    </row>
    <row r="2151" spans="1:26" ht="25.15" hidden="1" customHeight="1" x14ac:dyDescent="0.25">
      <c r="A2151" s="112">
        <v>46265.707662037035</v>
      </c>
      <c r="B2151" s="5" t="s">
        <v>236</v>
      </c>
      <c r="C2151" s="5">
        <v>11546545</v>
      </c>
      <c r="D2151" s="5">
        <v>717330</v>
      </c>
      <c r="E2151" s="33">
        <f>23-12</f>
        <v>11</v>
      </c>
      <c r="F2151" s="60">
        <v>2500</v>
      </c>
      <c r="G2151" s="60">
        <f>+OtherClients[[#This Row],[Boxes / Pieces]]*OtherClients[[#This Row],[Unit Quantity]]</f>
        <v>27500</v>
      </c>
      <c r="H2151" s="60">
        <v>290</v>
      </c>
      <c r="I2151" s="130" t="s">
        <v>278</v>
      </c>
      <c r="J2151" s="131"/>
      <c r="K2151" s="33" t="s">
        <v>278</v>
      </c>
      <c r="L2151" s="132"/>
      <c r="M2151" s="33" t="s">
        <v>278</v>
      </c>
      <c r="N2151" s="132"/>
      <c r="O2151" s="33" t="s">
        <v>278</v>
      </c>
      <c r="P2151" s="132"/>
      <c r="Q2151" s="33" t="s">
        <v>587</v>
      </c>
      <c r="R2151" s="132"/>
      <c r="S2151" s="33" t="s">
        <v>278</v>
      </c>
      <c r="T2151" s="132"/>
      <c r="U2151" s="33" t="s">
        <v>278</v>
      </c>
      <c r="V2151" s="132"/>
      <c r="W2151" s="59" t="s">
        <v>548</v>
      </c>
      <c r="X2151" s="33" t="str">
        <f>+VLOOKUP(OtherClients[[#This Row],[Part]],PartControl!$A$2:$E$564,5,FALSE)</f>
        <v>infasco</v>
      </c>
      <c r="Y2151" s="108">
        <f>IF(OtherClients[[#This Row],[Re-certified or New]]&lt;&gt;"Re-certified",IF(OtherClients[[#This Row],[Client]]="infasco",VLOOKUP(OtherClients[[#This Row],[Part]],PartControl!$A$2:$E$564,2,FALSE),OtherClients[[#This Row],[Total Quantity]]*VLOOKUP(OtherClients[[#This Row],[Part]],PartControl!$A$2:$E$564,2,FALSE)),0)</f>
        <v>106.94</v>
      </c>
      <c r="Z2151" s="108">
        <f>IF(OtherClients[[#This Row],[Re-certified or New]]&lt;&gt;"Re-certified",IF(OtherClients[[#This Row],[Client]]="infasco",VLOOKUP(OtherClients[[#This Row],[Part]],PartControl!$A$2:$E$564,2,FALSE),OtherClients[[#This Row],[Total Quantity]]*VLOOKUP(OtherClients[[#This Row],[Part]],PartControl!$A$2:$E$564,2,FALSE)),0)</f>
        <v>106.94</v>
      </c>
    </row>
    <row r="2152" spans="1:26" ht="25.15" hidden="1" customHeight="1" x14ac:dyDescent="0.25">
      <c r="A2152" s="112">
        <v>46265.707662037035</v>
      </c>
      <c r="B2152" s="5" t="s">
        <v>236</v>
      </c>
      <c r="C2152" s="5">
        <v>11546545</v>
      </c>
      <c r="D2152" s="5">
        <v>717323</v>
      </c>
      <c r="E2152" s="33">
        <v>38</v>
      </c>
      <c r="F2152" s="60">
        <v>2500</v>
      </c>
      <c r="G2152" s="60">
        <f>+OtherClients[[#This Row],[Boxes / Pieces]]*OtherClients[[#This Row],[Unit Quantity]]</f>
        <v>95000</v>
      </c>
      <c r="H2152" s="60">
        <v>290</v>
      </c>
      <c r="I2152" s="130" t="s">
        <v>278</v>
      </c>
      <c r="J2152" s="131"/>
      <c r="K2152" s="33" t="s">
        <v>278</v>
      </c>
      <c r="L2152" s="132"/>
      <c r="M2152" s="33" t="s">
        <v>278</v>
      </c>
      <c r="N2152" s="132"/>
      <c r="O2152" s="33" t="s">
        <v>278</v>
      </c>
      <c r="P2152" s="132"/>
      <c r="Q2152" s="33" t="s">
        <v>587</v>
      </c>
      <c r="R2152" s="132"/>
      <c r="S2152" s="33" t="s">
        <v>278</v>
      </c>
      <c r="T2152" s="132"/>
      <c r="U2152" s="33" t="s">
        <v>278</v>
      </c>
      <c r="V2152" s="132"/>
      <c r="W2152" s="59" t="s">
        <v>548</v>
      </c>
      <c r="X2152" s="33" t="str">
        <f>+VLOOKUP(OtherClients[[#This Row],[Part]],PartControl!$A$2:$E$564,5,FALSE)</f>
        <v>infasco</v>
      </c>
      <c r="Y2152" s="108">
        <f>IF(OtherClients[[#This Row],[Re-certified or New]]&lt;&gt;"Re-certified",IF(OtherClients[[#This Row],[Client]]="infasco",VLOOKUP(OtherClients[[#This Row],[Part]],PartControl!$A$2:$E$564,2,FALSE),OtherClients[[#This Row],[Total Quantity]]*VLOOKUP(OtherClients[[#This Row],[Part]],PartControl!$A$2:$E$564,2,FALSE)),0)</f>
        <v>106.94</v>
      </c>
      <c r="Z2152" s="108">
        <f>IF(OtherClients[[#This Row],[Re-certified or New]]&lt;&gt;"Re-certified",IF(OtherClients[[#This Row],[Client]]="infasco",VLOOKUP(OtherClients[[#This Row],[Part]],PartControl!$A$2:$E$564,2,FALSE),OtherClients[[#This Row],[Total Quantity]]*VLOOKUP(OtherClients[[#This Row],[Part]],PartControl!$A$2:$E$564,2,FALSE)),0)</f>
        <v>106.94</v>
      </c>
    </row>
    <row r="2153" spans="1:26" ht="25.15" hidden="1" customHeight="1" x14ac:dyDescent="0.25">
      <c r="A2153" s="112">
        <v>46265.707662037035</v>
      </c>
      <c r="B2153" s="5" t="s">
        <v>236</v>
      </c>
      <c r="C2153" s="5">
        <v>11546449</v>
      </c>
      <c r="D2153" s="5">
        <v>717691</v>
      </c>
      <c r="E2153" s="33">
        <v>2</v>
      </c>
      <c r="F2153" s="60">
        <v>2500</v>
      </c>
      <c r="G2153" s="60">
        <f>+OtherClients[[#This Row],[Boxes / Pieces]]*OtherClients[[#This Row],[Unit Quantity]]</f>
        <v>5000</v>
      </c>
      <c r="H2153" s="60">
        <v>290</v>
      </c>
      <c r="I2153" s="130" t="s">
        <v>278</v>
      </c>
      <c r="J2153" s="131"/>
      <c r="K2153" s="33" t="s">
        <v>278</v>
      </c>
      <c r="L2153" s="132"/>
      <c r="M2153" s="33" t="s">
        <v>278</v>
      </c>
      <c r="N2153" s="132"/>
      <c r="O2153" s="33" t="s">
        <v>278</v>
      </c>
      <c r="P2153" s="132"/>
      <c r="Q2153" s="33" t="s">
        <v>587</v>
      </c>
      <c r="R2153" s="132"/>
      <c r="S2153" s="33" t="s">
        <v>278</v>
      </c>
      <c r="T2153" s="132"/>
      <c r="U2153" s="33" t="s">
        <v>278</v>
      </c>
      <c r="V2153" s="132"/>
      <c r="W2153" s="59" t="s">
        <v>633</v>
      </c>
      <c r="X2153" s="33" t="str">
        <f>+VLOOKUP(OtherClients[[#This Row],[Part]],PartControl!$A$2:$E$564,5,FALSE)</f>
        <v>INFASCO</v>
      </c>
      <c r="Y2153" s="108">
        <f>IF(OtherClients[[#This Row],[Re-certified or New]]&lt;&gt;"Re-certified",IF(OtherClients[[#This Row],[Client]]="infasco",VLOOKUP(OtherClients[[#This Row],[Part]],PartControl!$A$2:$E$564,2,FALSE),OtherClients[[#This Row],[Total Quantity]]*VLOOKUP(OtherClients[[#This Row],[Part]],PartControl!$A$2:$E$564,2,FALSE)),0)</f>
        <v>0</v>
      </c>
      <c r="Z2153" s="108">
        <f>IF(OtherClients[[#This Row],[Re-certified or New]]&lt;&gt;"Re-certified",IF(OtherClients[[#This Row],[Client]]="infasco",VLOOKUP(OtherClients[[#This Row],[Part]],PartControl!$A$2:$E$564,2,FALSE),OtherClients[[#This Row],[Total Quantity]]*VLOOKUP(OtherClients[[#This Row],[Part]],PartControl!$A$2:$E$564,2,FALSE)),0)</f>
        <v>0</v>
      </c>
    </row>
    <row r="2154" spans="1:26" ht="25.15" hidden="1" customHeight="1" x14ac:dyDescent="0.25">
      <c r="A2154" s="112">
        <v>46265.707662037035</v>
      </c>
      <c r="B2154" s="5" t="s">
        <v>239</v>
      </c>
      <c r="C2154" s="5" t="s">
        <v>687</v>
      </c>
      <c r="D2154" s="5">
        <v>717182</v>
      </c>
      <c r="E2154" s="33">
        <v>36</v>
      </c>
      <c r="F2154" s="60">
        <v>280</v>
      </c>
      <c r="G2154" s="60">
        <f>+OtherClients[[#This Row],[Boxes / Pieces]]*OtherClients[[#This Row],[Unit Quantity]]</f>
        <v>10080</v>
      </c>
      <c r="H2154" s="60">
        <v>290</v>
      </c>
      <c r="I2154" s="130" t="s">
        <v>278</v>
      </c>
      <c r="J2154" s="131"/>
      <c r="K2154" s="33" t="s">
        <v>278</v>
      </c>
      <c r="L2154" s="132"/>
      <c r="M2154" s="33" t="s">
        <v>278</v>
      </c>
      <c r="N2154" s="132"/>
      <c r="O2154" s="33" t="s">
        <v>278</v>
      </c>
      <c r="P2154" s="132"/>
      <c r="Q2154" s="33" t="s">
        <v>587</v>
      </c>
      <c r="R2154" s="132"/>
      <c r="S2154" s="33" t="s">
        <v>278</v>
      </c>
      <c r="T2154" s="132"/>
      <c r="U2154" s="33" t="s">
        <v>278</v>
      </c>
      <c r="V2154" s="132"/>
      <c r="W2154" s="59" t="s">
        <v>548</v>
      </c>
      <c r="X2154" s="33" t="str">
        <f>+VLOOKUP(OtherClients[[#This Row],[Part]],PartControl!$A$2:$E$564,5,FALSE)</f>
        <v>infasco</v>
      </c>
      <c r="Y2154" s="108">
        <f>IF(OtherClients[[#This Row],[Re-certified or New]]&lt;&gt;"Re-certified",IF(OtherClients[[#This Row],[Client]]="infasco",VLOOKUP(OtherClients[[#This Row],[Part]],PartControl!$A$2:$E$564,2,FALSE),OtherClients[[#This Row],[Total Quantity]]*VLOOKUP(OtherClients[[#This Row],[Part]],PartControl!$A$2:$E$564,2,FALSE)),0)</f>
        <v>106.94</v>
      </c>
      <c r="Z2154" s="108">
        <f>IF(OtherClients[[#This Row],[Re-certified or New]]&lt;&gt;"Re-certified",IF(OtherClients[[#This Row],[Client]]="infasco",VLOOKUP(OtherClients[[#This Row],[Part]],PartControl!$A$2:$E$564,2,FALSE),OtherClients[[#This Row],[Total Quantity]]*VLOOKUP(OtherClients[[#This Row],[Part]],PartControl!$A$2:$E$564,2,FALSE)),0)</f>
        <v>106.94</v>
      </c>
    </row>
    <row r="2155" spans="1:26" ht="25.15" hidden="1" customHeight="1" x14ac:dyDescent="0.25">
      <c r="A2155" s="112">
        <v>46265.707662037035</v>
      </c>
      <c r="B2155" s="5" t="s">
        <v>239</v>
      </c>
      <c r="C2155" s="5" t="s">
        <v>687</v>
      </c>
      <c r="D2155" s="5">
        <v>717214</v>
      </c>
      <c r="E2155" s="33">
        <v>36</v>
      </c>
      <c r="F2155" s="60">
        <v>280</v>
      </c>
      <c r="G2155" s="60">
        <f>+OtherClients[[#This Row],[Boxes / Pieces]]*OtherClients[[#This Row],[Unit Quantity]]</f>
        <v>10080</v>
      </c>
      <c r="H2155" s="60">
        <v>290</v>
      </c>
      <c r="I2155" s="130" t="s">
        <v>278</v>
      </c>
      <c r="J2155" s="131"/>
      <c r="K2155" s="33" t="s">
        <v>278</v>
      </c>
      <c r="L2155" s="132"/>
      <c r="M2155" s="33" t="s">
        <v>278</v>
      </c>
      <c r="N2155" s="132"/>
      <c r="O2155" s="33" t="s">
        <v>278</v>
      </c>
      <c r="P2155" s="132"/>
      <c r="Q2155" s="33" t="s">
        <v>587</v>
      </c>
      <c r="R2155" s="132"/>
      <c r="S2155" s="33" t="s">
        <v>278</v>
      </c>
      <c r="T2155" s="132"/>
      <c r="U2155" s="33" t="s">
        <v>278</v>
      </c>
      <c r="V2155" s="132"/>
      <c r="W2155" s="59" t="s">
        <v>548</v>
      </c>
      <c r="X2155" s="33" t="str">
        <f>+VLOOKUP(OtherClients[[#This Row],[Part]],PartControl!$A$2:$E$564,5,FALSE)</f>
        <v>infasco</v>
      </c>
      <c r="Y2155" s="108">
        <f>IF(OtherClients[[#This Row],[Re-certified or New]]&lt;&gt;"Re-certified",IF(OtherClients[[#This Row],[Client]]="infasco",VLOOKUP(OtherClients[[#This Row],[Part]],PartControl!$A$2:$E$564,2,FALSE),OtherClients[[#This Row],[Total Quantity]]*VLOOKUP(OtherClients[[#This Row],[Part]],PartControl!$A$2:$E$564,2,FALSE)),0)</f>
        <v>106.94</v>
      </c>
      <c r="Z2155" s="108">
        <f>IF(OtherClients[[#This Row],[Re-certified or New]]&lt;&gt;"Re-certified",IF(OtherClients[[#This Row],[Client]]="infasco",VLOOKUP(OtherClients[[#This Row],[Part]],PartControl!$A$2:$E$564,2,FALSE),OtherClients[[#This Row],[Total Quantity]]*VLOOKUP(OtherClients[[#This Row],[Part]],PartControl!$A$2:$E$564,2,FALSE)),0)</f>
        <v>106.94</v>
      </c>
    </row>
    <row r="2156" spans="1:26" ht="25.15" hidden="1" customHeight="1" x14ac:dyDescent="0.25">
      <c r="A2156" s="112">
        <v>46265.707662037035</v>
      </c>
      <c r="B2156" s="5" t="s">
        <v>239</v>
      </c>
      <c r="C2156" s="5" t="s">
        <v>687</v>
      </c>
      <c r="D2156" s="5">
        <v>717212</v>
      </c>
      <c r="E2156" s="33">
        <v>36</v>
      </c>
      <c r="F2156" s="60">
        <v>280</v>
      </c>
      <c r="G2156" s="60">
        <f>+OtherClients[[#This Row],[Boxes / Pieces]]*OtherClients[[#This Row],[Unit Quantity]]</f>
        <v>10080</v>
      </c>
      <c r="H2156" s="60">
        <v>290</v>
      </c>
      <c r="I2156" s="130" t="s">
        <v>278</v>
      </c>
      <c r="J2156" s="131"/>
      <c r="K2156" s="33" t="s">
        <v>278</v>
      </c>
      <c r="L2156" s="132"/>
      <c r="M2156" s="33" t="s">
        <v>278</v>
      </c>
      <c r="N2156" s="132"/>
      <c r="O2156" s="33" t="s">
        <v>278</v>
      </c>
      <c r="P2156" s="132"/>
      <c r="Q2156" s="33" t="s">
        <v>587</v>
      </c>
      <c r="R2156" s="132"/>
      <c r="S2156" s="33" t="s">
        <v>278</v>
      </c>
      <c r="T2156" s="132"/>
      <c r="U2156" s="33" t="s">
        <v>278</v>
      </c>
      <c r="V2156" s="132"/>
      <c r="W2156" s="59" t="s">
        <v>548</v>
      </c>
      <c r="X2156" s="33" t="str">
        <f>+VLOOKUP(OtherClients[[#This Row],[Part]],PartControl!$A$2:$E$564,5,FALSE)</f>
        <v>infasco</v>
      </c>
      <c r="Y2156" s="108">
        <f>IF(OtherClients[[#This Row],[Re-certified or New]]&lt;&gt;"Re-certified",IF(OtherClients[[#This Row],[Client]]="infasco",VLOOKUP(OtherClients[[#This Row],[Part]],PartControl!$A$2:$E$564,2,FALSE),OtherClients[[#This Row],[Total Quantity]]*VLOOKUP(OtherClients[[#This Row],[Part]],PartControl!$A$2:$E$564,2,FALSE)),0)</f>
        <v>106.94</v>
      </c>
      <c r="Z2156" s="108">
        <f>IF(OtherClients[[#This Row],[Re-certified or New]]&lt;&gt;"Re-certified",IF(OtherClients[[#This Row],[Client]]="infasco",VLOOKUP(OtherClients[[#This Row],[Part]],PartControl!$A$2:$E$564,2,FALSE),OtherClients[[#This Row],[Total Quantity]]*VLOOKUP(OtherClients[[#This Row],[Part]],PartControl!$A$2:$E$564,2,FALSE)),0)</f>
        <v>106.94</v>
      </c>
    </row>
    <row r="2157" spans="1:26" ht="25.15" hidden="1" customHeight="1" x14ac:dyDescent="0.25">
      <c r="A2157" s="112">
        <v>46265.707662037035</v>
      </c>
      <c r="B2157" s="5" t="s">
        <v>239</v>
      </c>
      <c r="C2157" s="5" t="s">
        <v>687</v>
      </c>
      <c r="D2157" s="5">
        <v>717218</v>
      </c>
      <c r="E2157" s="33">
        <v>15</v>
      </c>
      <c r="F2157" s="60">
        <v>280</v>
      </c>
      <c r="G2157" s="60">
        <f>+OtherClients[[#This Row],[Boxes / Pieces]]*OtherClients[[#This Row],[Unit Quantity]]</f>
        <v>4200</v>
      </c>
      <c r="H2157" s="60">
        <v>290</v>
      </c>
      <c r="I2157" s="130" t="s">
        <v>278</v>
      </c>
      <c r="J2157" s="131"/>
      <c r="K2157" s="33" t="s">
        <v>278</v>
      </c>
      <c r="L2157" s="132"/>
      <c r="M2157" s="33" t="s">
        <v>278</v>
      </c>
      <c r="N2157" s="132"/>
      <c r="O2157" s="33" t="s">
        <v>278</v>
      </c>
      <c r="P2157" s="132"/>
      <c r="Q2157" s="33" t="s">
        <v>587</v>
      </c>
      <c r="R2157" s="132"/>
      <c r="S2157" s="33" t="s">
        <v>278</v>
      </c>
      <c r="T2157" s="132"/>
      <c r="U2157" s="33" t="s">
        <v>278</v>
      </c>
      <c r="V2157" s="132"/>
      <c r="W2157" s="59" t="s">
        <v>633</v>
      </c>
      <c r="X2157" s="33" t="str">
        <f>+VLOOKUP(OtherClients[[#This Row],[Part]],PartControl!$A$2:$E$564,5,FALSE)</f>
        <v>infasco</v>
      </c>
      <c r="Y2157" s="108">
        <f>IF(OtherClients[[#This Row],[Re-certified or New]]&lt;&gt;"Re-certified",IF(OtherClients[[#This Row],[Client]]="infasco",VLOOKUP(OtherClients[[#This Row],[Part]],PartControl!$A$2:$E$564,2,FALSE),OtherClients[[#This Row],[Total Quantity]]*VLOOKUP(OtherClients[[#This Row],[Part]],PartControl!$A$2:$E$564,2,FALSE)),0)</f>
        <v>0</v>
      </c>
      <c r="Z2157" s="108">
        <f>IF(OtherClients[[#This Row],[Re-certified or New]]&lt;&gt;"Re-certified",IF(OtherClients[[#This Row],[Client]]="infasco",VLOOKUP(OtherClients[[#This Row],[Part]],PartControl!$A$2:$E$564,2,FALSE),OtherClients[[#This Row],[Total Quantity]]*VLOOKUP(OtherClients[[#This Row],[Part]],PartControl!$A$2:$E$564,2,FALSE)),0)</f>
        <v>0</v>
      </c>
    </row>
    <row r="2158" spans="1:26" ht="25.15" hidden="1" customHeight="1" x14ac:dyDescent="0.25">
      <c r="A2158" s="112">
        <v>46265.707662037035</v>
      </c>
      <c r="B2158" s="5" t="s">
        <v>235</v>
      </c>
      <c r="C2158" s="5">
        <v>11546571</v>
      </c>
      <c r="D2158" s="5">
        <v>717162</v>
      </c>
      <c r="E2158" s="33">
        <f>22-6</f>
        <v>16</v>
      </c>
      <c r="F2158" s="60">
        <v>1550</v>
      </c>
      <c r="G2158" s="60">
        <f>+OtherClients[[#This Row],[Boxes / Pieces]]*OtherClients[[#This Row],[Unit Quantity]]</f>
        <v>24800</v>
      </c>
      <c r="H2158" s="60">
        <v>290</v>
      </c>
      <c r="I2158" s="130" t="s">
        <v>278</v>
      </c>
      <c r="J2158" s="131"/>
      <c r="K2158" s="33" t="s">
        <v>278</v>
      </c>
      <c r="L2158" s="132"/>
      <c r="M2158" s="33" t="s">
        <v>278</v>
      </c>
      <c r="N2158" s="132"/>
      <c r="O2158" s="33" t="s">
        <v>278</v>
      </c>
      <c r="P2158" s="132"/>
      <c r="Q2158" s="33" t="s">
        <v>587</v>
      </c>
      <c r="R2158" s="132"/>
      <c r="S2158" s="33" t="s">
        <v>278</v>
      </c>
      <c r="T2158" s="132"/>
      <c r="U2158" s="33" t="s">
        <v>278</v>
      </c>
      <c r="V2158" s="132"/>
      <c r="W2158" s="59" t="s">
        <v>633</v>
      </c>
      <c r="X2158" s="33" t="str">
        <f>+VLOOKUP(OtherClients[[#This Row],[Part]],PartControl!$A$2:$E$564,5,FALSE)</f>
        <v>infasco</v>
      </c>
      <c r="Y2158" s="108">
        <f>IF(OtherClients[[#This Row],[Re-certified or New]]&lt;&gt;"Re-certified",IF(OtherClients[[#This Row],[Client]]="infasco",VLOOKUP(OtherClients[[#This Row],[Part]],PartControl!$A$2:$E$564,2,FALSE),OtherClients[[#This Row],[Total Quantity]]*VLOOKUP(OtherClients[[#This Row],[Part]],PartControl!$A$2:$E$564,2,FALSE)),0)</f>
        <v>0</v>
      </c>
      <c r="Z2158" s="108">
        <f>IF(OtherClients[[#This Row],[Re-certified or New]]&lt;&gt;"Re-certified",IF(OtherClients[[#This Row],[Client]]="infasco",VLOOKUP(OtherClients[[#This Row],[Part]],PartControl!$A$2:$E$564,2,FALSE),OtherClients[[#This Row],[Total Quantity]]*VLOOKUP(OtherClients[[#This Row],[Part]],PartControl!$A$2:$E$564,2,FALSE)),0)</f>
        <v>0</v>
      </c>
    </row>
    <row r="2159" spans="1:26" ht="25.15" hidden="1" customHeight="1" x14ac:dyDescent="0.25">
      <c r="A2159" s="112">
        <v>46265.707662037035</v>
      </c>
      <c r="B2159" s="5" t="s">
        <v>237</v>
      </c>
      <c r="C2159" s="5">
        <v>11549168</v>
      </c>
      <c r="D2159" s="5">
        <v>716912</v>
      </c>
      <c r="E2159" s="33">
        <f>36-30</f>
        <v>6</v>
      </c>
      <c r="F2159" s="60">
        <v>1000</v>
      </c>
      <c r="G2159" s="60">
        <f>+OtherClients[[#This Row],[Boxes / Pieces]]*OtherClients[[#This Row],[Unit Quantity]]</f>
        <v>6000</v>
      </c>
      <c r="H2159" s="60">
        <v>290</v>
      </c>
      <c r="I2159" s="130" t="s">
        <v>278</v>
      </c>
      <c r="J2159" s="131"/>
      <c r="K2159" s="33" t="s">
        <v>278</v>
      </c>
      <c r="L2159" s="132"/>
      <c r="M2159" s="33" t="s">
        <v>278</v>
      </c>
      <c r="N2159" s="132"/>
      <c r="O2159" s="33" t="s">
        <v>278</v>
      </c>
      <c r="P2159" s="132"/>
      <c r="Q2159" s="33" t="s">
        <v>587</v>
      </c>
      <c r="R2159" s="132"/>
      <c r="S2159" s="33" t="s">
        <v>278</v>
      </c>
      <c r="T2159" s="132"/>
      <c r="U2159" s="33" t="s">
        <v>278</v>
      </c>
      <c r="V2159" s="132"/>
      <c r="W2159" s="59" t="s">
        <v>548</v>
      </c>
      <c r="X2159" s="33" t="str">
        <f>+VLOOKUP(OtherClients[[#This Row],[Part]],PartControl!$A$2:$E$564,5,FALSE)</f>
        <v>INFASCO</v>
      </c>
      <c r="Y2159" s="108">
        <f>IF(OtherClients[[#This Row],[Re-certified or New]]&lt;&gt;"Re-certified",IF(OtherClients[[#This Row],[Client]]="infasco",VLOOKUP(OtherClients[[#This Row],[Part]],PartControl!$A$2:$E$564,2,FALSE),OtherClients[[#This Row],[Total Quantity]]*VLOOKUP(OtherClients[[#This Row],[Part]],PartControl!$A$2:$E$564,2,FALSE)),0)</f>
        <v>106.94</v>
      </c>
      <c r="Z2159" s="108">
        <f>IF(OtherClients[[#This Row],[Re-certified or New]]&lt;&gt;"Re-certified",IF(OtherClients[[#This Row],[Client]]="infasco",VLOOKUP(OtherClients[[#This Row],[Part]],PartControl!$A$2:$E$564,2,FALSE),OtherClients[[#This Row],[Total Quantity]]*VLOOKUP(OtherClients[[#This Row],[Part]],PartControl!$A$2:$E$564,2,FALSE)),0)</f>
        <v>106.94</v>
      </c>
    </row>
    <row r="2160" spans="1:26" ht="25.15" hidden="1" customHeight="1" x14ac:dyDescent="0.25">
      <c r="A2160" s="112">
        <v>46265.707662037035</v>
      </c>
      <c r="B2160" s="5" t="s">
        <v>237</v>
      </c>
      <c r="C2160" s="5">
        <v>11549168</v>
      </c>
      <c r="D2160" s="5">
        <v>716908</v>
      </c>
      <c r="E2160" s="33">
        <v>36</v>
      </c>
      <c r="F2160" s="60">
        <v>1000</v>
      </c>
      <c r="G2160" s="60">
        <f>+OtherClients[[#This Row],[Boxes / Pieces]]*OtherClients[[#This Row],[Unit Quantity]]</f>
        <v>36000</v>
      </c>
      <c r="H2160" s="60">
        <v>290</v>
      </c>
      <c r="I2160" s="130" t="s">
        <v>278</v>
      </c>
      <c r="J2160" s="131"/>
      <c r="K2160" s="33" t="s">
        <v>278</v>
      </c>
      <c r="L2160" s="132"/>
      <c r="M2160" s="33" t="s">
        <v>278</v>
      </c>
      <c r="N2160" s="132"/>
      <c r="O2160" s="33" t="s">
        <v>278</v>
      </c>
      <c r="P2160" s="132"/>
      <c r="Q2160" s="33" t="s">
        <v>587</v>
      </c>
      <c r="R2160" s="132"/>
      <c r="S2160" s="33" t="s">
        <v>278</v>
      </c>
      <c r="T2160" s="132"/>
      <c r="U2160" s="33" t="s">
        <v>278</v>
      </c>
      <c r="V2160" s="132"/>
      <c r="W2160" s="59" t="s">
        <v>548</v>
      </c>
      <c r="X2160" s="33" t="str">
        <f>+VLOOKUP(OtherClients[[#This Row],[Part]],PartControl!$A$2:$E$564,5,FALSE)</f>
        <v>INFASCO</v>
      </c>
      <c r="Y2160" s="108">
        <f>IF(OtherClients[[#This Row],[Re-certified or New]]&lt;&gt;"Re-certified",IF(OtherClients[[#This Row],[Client]]="infasco",VLOOKUP(OtherClients[[#This Row],[Part]],PartControl!$A$2:$E$564,2,FALSE),OtherClients[[#This Row],[Total Quantity]]*VLOOKUP(OtherClients[[#This Row],[Part]],PartControl!$A$2:$E$564,2,FALSE)),0)</f>
        <v>106.94</v>
      </c>
      <c r="Z2160" s="108">
        <f>IF(OtherClients[[#This Row],[Re-certified or New]]&lt;&gt;"Re-certified",IF(OtherClients[[#This Row],[Client]]="infasco",VLOOKUP(OtherClients[[#This Row],[Part]],PartControl!$A$2:$E$564,2,FALSE),OtherClients[[#This Row],[Total Quantity]]*VLOOKUP(OtherClients[[#This Row],[Part]],PartControl!$A$2:$E$564,2,FALSE)),0)</f>
        <v>106.94</v>
      </c>
    </row>
    <row r="2161" spans="1:26" ht="25.15" hidden="1" customHeight="1" x14ac:dyDescent="0.25">
      <c r="A2161" s="112">
        <v>46265.707662037035</v>
      </c>
      <c r="B2161" s="5" t="s">
        <v>237</v>
      </c>
      <c r="C2161" s="5">
        <v>11549168</v>
      </c>
      <c r="D2161" s="5">
        <v>716909</v>
      </c>
      <c r="E2161" s="33">
        <v>53</v>
      </c>
      <c r="F2161" s="60">
        <v>1000</v>
      </c>
      <c r="G2161" s="60">
        <f>+OtherClients[[#This Row],[Boxes / Pieces]]*OtherClients[[#This Row],[Unit Quantity]]</f>
        <v>53000</v>
      </c>
      <c r="H2161" s="60">
        <v>290</v>
      </c>
      <c r="I2161" s="130" t="s">
        <v>278</v>
      </c>
      <c r="J2161" s="131"/>
      <c r="K2161" s="33" t="s">
        <v>278</v>
      </c>
      <c r="L2161" s="132"/>
      <c r="M2161" s="33" t="s">
        <v>278</v>
      </c>
      <c r="N2161" s="132"/>
      <c r="O2161" s="33" t="s">
        <v>278</v>
      </c>
      <c r="P2161" s="132"/>
      <c r="Q2161" s="33" t="s">
        <v>587</v>
      </c>
      <c r="R2161" s="132"/>
      <c r="S2161" s="33" t="s">
        <v>278</v>
      </c>
      <c r="T2161" s="132"/>
      <c r="U2161" s="33" t="s">
        <v>278</v>
      </c>
      <c r="V2161" s="132"/>
      <c r="W2161" s="59" t="s">
        <v>548</v>
      </c>
      <c r="X2161" s="33" t="str">
        <f>+VLOOKUP(OtherClients[[#This Row],[Part]],PartControl!$A$2:$E$564,5,FALSE)</f>
        <v>INFASCO</v>
      </c>
      <c r="Y2161" s="108">
        <f>IF(OtherClients[[#This Row],[Re-certified or New]]&lt;&gt;"Re-certified",IF(OtherClients[[#This Row],[Client]]="infasco",VLOOKUP(OtherClients[[#This Row],[Part]],PartControl!$A$2:$E$564,2,FALSE),OtherClients[[#This Row],[Total Quantity]]*VLOOKUP(OtherClients[[#This Row],[Part]],PartControl!$A$2:$E$564,2,FALSE)),0)</f>
        <v>106.94</v>
      </c>
      <c r="Z2161" s="108">
        <f>IF(OtherClients[[#This Row],[Re-certified or New]]&lt;&gt;"Re-certified",IF(OtherClients[[#This Row],[Client]]="infasco",VLOOKUP(OtherClients[[#This Row],[Part]],PartControl!$A$2:$E$564,2,FALSE),OtherClients[[#This Row],[Total Quantity]]*VLOOKUP(OtherClients[[#This Row],[Part]],PartControl!$A$2:$E$564,2,FALSE)),0)</f>
        <v>106.94</v>
      </c>
    </row>
    <row r="2162" spans="1:26" ht="25.15" hidden="1" customHeight="1" x14ac:dyDescent="0.25">
      <c r="A2162" s="112">
        <v>46265.707662037035</v>
      </c>
      <c r="B2162" s="5" t="s">
        <v>237</v>
      </c>
      <c r="C2162" s="5">
        <v>11549168</v>
      </c>
      <c r="D2162" s="5">
        <v>716910</v>
      </c>
      <c r="E2162" s="33">
        <v>14</v>
      </c>
      <c r="F2162" s="60">
        <v>1000</v>
      </c>
      <c r="G2162" s="60">
        <f>+OtherClients[[#This Row],[Boxes / Pieces]]*OtherClients[[#This Row],[Unit Quantity]]</f>
        <v>14000</v>
      </c>
      <c r="H2162" s="60">
        <v>290</v>
      </c>
      <c r="I2162" s="130" t="s">
        <v>278</v>
      </c>
      <c r="J2162" s="131"/>
      <c r="K2162" s="33" t="s">
        <v>278</v>
      </c>
      <c r="L2162" s="132"/>
      <c r="M2162" s="33" t="s">
        <v>278</v>
      </c>
      <c r="N2162" s="132"/>
      <c r="O2162" s="33" t="s">
        <v>278</v>
      </c>
      <c r="P2162" s="132"/>
      <c r="Q2162" s="33" t="s">
        <v>587</v>
      </c>
      <c r="R2162" s="132"/>
      <c r="S2162" s="33" t="s">
        <v>278</v>
      </c>
      <c r="T2162" s="132"/>
      <c r="U2162" s="33" t="s">
        <v>278</v>
      </c>
      <c r="V2162" s="132"/>
      <c r="W2162" s="59" t="s">
        <v>633</v>
      </c>
      <c r="X2162" s="33" t="str">
        <f>+VLOOKUP(OtherClients[[#This Row],[Part]],PartControl!$A$2:$E$564,5,FALSE)</f>
        <v>INFASCO</v>
      </c>
      <c r="Y2162" s="108">
        <f>IF(OtherClients[[#This Row],[Re-certified or New]]&lt;&gt;"Re-certified",IF(OtherClients[[#This Row],[Client]]="infasco",VLOOKUP(OtherClients[[#This Row],[Part]],PartControl!$A$2:$E$564,2,FALSE),OtherClients[[#This Row],[Total Quantity]]*VLOOKUP(OtherClients[[#This Row],[Part]],PartControl!$A$2:$E$564,2,FALSE)),0)</f>
        <v>0</v>
      </c>
      <c r="Z2162" s="108">
        <f>IF(OtherClients[[#This Row],[Re-certified or New]]&lt;&gt;"Re-certified",IF(OtherClients[[#This Row],[Client]]="infasco",VLOOKUP(OtherClients[[#This Row],[Part]],PartControl!$A$2:$E$564,2,FALSE),OtherClients[[#This Row],[Total Quantity]]*VLOOKUP(OtherClients[[#This Row],[Part]],PartControl!$A$2:$E$564,2,FALSE)),0)</f>
        <v>0</v>
      </c>
    </row>
    <row r="2163" spans="1:26" ht="25.15" hidden="1" customHeight="1" x14ac:dyDescent="0.25">
      <c r="A2163" s="112">
        <v>46265.707662037035</v>
      </c>
      <c r="B2163" s="5" t="s">
        <v>250</v>
      </c>
      <c r="C2163" s="5">
        <v>11549170</v>
      </c>
      <c r="D2163" s="5">
        <v>716552</v>
      </c>
      <c r="E2163" s="33">
        <f>36-3</f>
        <v>33</v>
      </c>
      <c r="F2163" s="60">
        <v>400</v>
      </c>
      <c r="G2163" s="60">
        <f>+OtherClients[[#This Row],[Boxes / Pieces]]*OtherClients[[#This Row],[Unit Quantity]]</f>
        <v>13200</v>
      </c>
      <c r="H2163" s="60">
        <v>290</v>
      </c>
      <c r="I2163" s="130" t="s">
        <v>278</v>
      </c>
      <c r="J2163" s="131"/>
      <c r="K2163" s="33" t="s">
        <v>278</v>
      </c>
      <c r="L2163" s="132"/>
      <c r="M2163" s="33" t="s">
        <v>278</v>
      </c>
      <c r="N2163" s="132"/>
      <c r="O2163" s="33" t="s">
        <v>278</v>
      </c>
      <c r="P2163" s="132"/>
      <c r="Q2163" s="33" t="s">
        <v>587</v>
      </c>
      <c r="R2163" s="132"/>
      <c r="S2163" s="33" t="s">
        <v>278</v>
      </c>
      <c r="T2163" s="132"/>
      <c r="U2163" s="33" t="s">
        <v>278</v>
      </c>
      <c r="V2163" s="132"/>
      <c r="W2163" s="59" t="s">
        <v>548</v>
      </c>
      <c r="X2163" s="33" t="str">
        <f>+VLOOKUP(OtherClients[[#This Row],[Part]],PartControl!$A$2:$E$564,5,FALSE)</f>
        <v>INFASCO</v>
      </c>
      <c r="Y2163" s="108">
        <f>IF(OtherClients[[#This Row],[Re-certified or New]]&lt;&gt;"Re-certified",IF(OtherClients[[#This Row],[Client]]="infasco",VLOOKUP(OtherClients[[#This Row],[Part]],PartControl!$A$2:$E$564,2,FALSE),OtherClients[[#This Row],[Total Quantity]]*VLOOKUP(OtherClients[[#This Row],[Part]],PartControl!$A$2:$E$564,2,FALSE)),0)</f>
        <v>106.94</v>
      </c>
      <c r="Z2163" s="108">
        <f>IF(OtherClients[[#This Row],[Re-certified or New]]&lt;&gt;"Re-certified",IF(OtherClients[[#This Row],[Client]]="infasco",VLOOKUP(OtherClients[[#This Row],[Part]],PartControl!$A$2:$E$564,2,FALSE),OtherClients[[#This Row],[Total Quantity]]*VLOOKUP(OtherClients[[#This Row],[Part]],PartControl!$A$2:$E$564,2,FALSE)),0)</f>
        <v>106.94</v>
      </c>
    </row>
    <row r="2164" spans="1:26" ht="25.15" hidden="1" customHeight="1" x14ac:dyDescent="0.25">
      <c r="A2164" s="112">
        <v>46265.707662037035</v>
      </c>
      <c r="B2164" s="5" t="s">
        <v>250</v>
      </c>
      <c r="C2164" s="5">
        <v>11549170</v>
      </c>
      <c r="D2164" s="5">
        <v>716558</v>
      </c>
      <c r="E2164" s="33">
        <v>36</v>
      </c>
      <c r="F2164" s="60">
        <v>400</v>
      </c>
      <c r="G2164" s="60">
        <f>+OtherClients[[#This Row],[Boxes / Pieces]]*OtherClients[[#This Row],[Unit Quantity]]</f>
        <v>14400</v>
      </c>
      <c r="H2164" s="60">
        <v>290</v>
      </c>
      <c r="I2164" s="130" t="s">
        <v>278</v>
      </c>
      <c r="J2164" s="131"/>
      <c r="K2164" s="33" t="s">
        <v>278</v>
      </c>
      <c r="L2164" s="132"/>
      <c r="M2164" s="33" t="s">
        <v>278</v>
      </c>
      <c r="N2164" s="132"/>
      <c r="O2164" s="33" t="s">
        <v>278</v>
      </c>
      <c r="P2164" s="132"/>
      <c r="Q2164" s="33" t="s">
        <v>587</v>
      </c>
      <c r="R2164" s="132"/>
      <c r="S2164" s="33" t="s">
        <v>278</v>
      </c>
      <c r="T2164" s="132"/>
      <c r="U2164" s="33" t="s">
        <v>278</v>
      </c>
      <c r="V2164" s="132"/>
      <c r="W2164" s="59" t="s">
        <v>548</v>
      </c>
      <c r="X2164" s="33" t="str">
        <f>+VLOOKUP(OtherClients[[#This Row],[Part]],PartControl!$A$2:$E$564,5,FALSE)</f>
        <v>INFASCO</v>
      </c>
      <c r="Y2164" s="108">
        <f>IF(OtherClients[[#This Row],[Re-certified or New]]&lt;&gt;"Re-certified",IF(OtherClients[[#This Row],[Client]]="infasco",VLOOKUP(OtherClients[[#This Row],[Part]],PartControl!$A$2:$E$564,2,FALSE),OtherClients[[#This Row],[Total Quantity]]*VLOOKUP(OtherClients[[#This Row],[Part]],PartControl!$A$2:$E$564,2,FALSE)),0)</f>
        <v>106.94</v>
      </c>
      <c r="Z2164" s="108">
        <f>IF(OtherClients[[#This Row],[Re-certified or New]]&lt;&gt;"Re-certified",IF(OtherClients[[#This Row],[Client]]="infasco",VLOOKUP(OtherClients[[#This Row],[Part]],PartControl!$A$2:$E$564,2,FALSE),OtherClients[[#This Row],[Total Quantity]]*VLOOKUP(OtherClients[[#This Row],[Part]],PartControl!$A$2:$E$564,2,FALSE)),0)</f>
        <v>106.94</v>
      </c>
    </row>
    <row r="2165" spans="1:26" ht="25.15" hidden="1" customHeight="1" x14ac:dyDescent="0.25">
      <c r="A2165" s="112">
        <v>46265.707662037035</v>
      </c>
      <c r="B2165" s="5" t="s">
        <v>637</v>
      </c>
      <c r="C2165" s="5">
        <v>11546545</v>
      </c>
      <c r="D2165" s="5">
        <v>717328</v>
      </c>
      <c r="E2165" s="33">
        <v>36</v>
      </c>
      <c r="F2165" s="60">
        <v>2500</v>
      </c>
      <c r="G2165" s="60">
        <f>+OtherClients[[#This Row],[Boxes / Pieces]]*OtherClients[[#This Row],[Unit Quantity]]</f>
        <v>90000</v>
      </c>
      <c r="H2165" s="60">
        <v>280</v>
      </c>
      <c r="I2165" s="130" t="s">
        <v>278</v>
      </c>
      <c r="J2165" s="131"/>
      <c r="K2165" s="33" t="s">
        <v>278</v>
      </c>
      <c r="L2165" s="132"/>
      <c r="M2165" s="33" t="s">
        <v>278</v>
      </c>
      <c r="N2165" s="132"/>
      <c r="O2165" s="33" t="s">
        <v>278</v>
      </c>
      <c r="P2165" s="132"/>
      <c r="Q2165" s="33" t="s">
        <v>587</v>
      </c>
      <c r="R2165" s="132"/>
      <c r="S2165" s="33" t="s">
        <v>278</v>
      </c>
      <c r="T2165" s="132"/>
      <c r="U2165" s="33" t="s">
        <v>278</v>
      </c>
      <c r="V2165" s="132"/>
      <c r="W2165" s="59" t="s">
        <v>548</v>
      </c>
      <c r="X2165" s="33" t="str">
        <f>+VLOOKUP(OtherClients[[#This Row],[Part]],PartControl!$A$2:$E$564,5,FALSE)</f>
        <v>infasco</v>
      </c>
      <c r="Y2165" s="108">
        <f>IF(OtherClients[[#This Row],[Re-certified or New]]&lt;&gt;"Re-certified",IF(OtherClients[[#This Row],[Client]]="infasco",VLOOKUP(OtherClients[[#This Row],[Part]],PartControl!$A$2:$E$564,2,FALSE),OtherClients[[#This Row],[Total Quantity]]*VLOOKUP(OtherClients[[#This Row],[Part]],PartControl!$A$2:$E$564,2,FALSE)),0)</f>
        <v>106.94</v>
      </c>
      <c r="Z2165" s="108">
        <f>IF(OtherClients[[#This Row],[Re-certified or New]]&lt;&gt;"Re-certified",IF(OtherClients[[#This Row],[Client]]="infasco",VLOOKUP(OtherClients[[#This Row],[Part]],PartControl!$A$2:$E$564,2,FALSE),OtherClients[[#This Row],[Total Quantity]]*VLOOKUP(OtherClients[[#This Row],[Part]],PartControl!$A$2:$E$564,2,FALSE)),0)</f>
        <v>106.94</v>
      </c>
    </row>
    <row r="2166" spans="1:26" ht="25.15" hidden="1" customHeight="1" x14ac:dyDescent="0.25">
      <c r="A2166" s="112">
        <v>46265.707662037035</v>
      </c>
      <c r="B2166" s="5" t="s">
        <v>637</v>
      </c>
      <c r="C2166" s="5">
        <v>11546545</v>
      </c>
      <c r="D2166" s="5">
        <v>717325</v>
      </c>
      <c r="E2166" s="33">
        <v>37</v>
      </c>
      <c r="F2166" s="60">
        <v>2500</v>
      </c>
      <c r="G2166" s="60">
        <f>+OtherClients[[#This Row],[Boxes / Pieces]]*OtherClients[[#This Row],[Unit Quantity]]</f>
        <v>92500</v>
      </c>
      <c r="H2166" s="60">
        <v>280</v>
      </c>
      <c r="I2166" s="130" t="s">
        <v>278</v>
      </c>
      <c r="J2166" s="131"/>
      <c r="K2166" s="33" t="s">
        <v>278</v>
      </c>
      <c r="L2166" s="132"/>
      <c r="M2166" s="33" t="s">
        <v>278</v>
      </c>
      <c r="N2166" s="132"/>
      <c r="O2166" s="33" t="s">
        <v>278</v>
      </c>
      <c r="P2166" s="132"/>
      <c r="Q2166" s="33" t="s">
        <v>587</v>
      </c>
      <c r="R2166" s="132"/>
      <c r="S2166" s="33" t="s">
        <v>278</v>
      </c>
      <c r="T2166" s="132"/>
      <c r="U2166" s="33" t="s">
        <v>278</v>
      </c>
      <c r="V2166" s="132"/>
      <c r="W2166" s="59" t="s">
        <v>548</v>
      </c>
      <c r="X2166" s="33" t="str">
        <f>+VLOOKUP(OtherClients[[#This Row],[Part]],PartControl!$A$2:$E$564,5,FALSE)</f>
        <v>infasco</v>
      </c>
      <c r="Y2166" s="108">
        <f>IF(OtherClients[[#This Row],[Re-certified or New]]&lt;&gt;"Re-certified",IF(OtherClients[[#This Row],[Client]]="infasco",VLOOKUP(OtherClients[[#This Row],[Part]],PartControl!$A$2:$E$564,2,FALSE),OtherClients[[#This Row],[Total Quantity]]*VLOOKUP(OtherClients[[#This Row],[Part]],PartControl!$A$2:$E$564,2,FALSE)),0)</f>
        <v>106.94</v>
      </c>
      <c r="Z2166" s="108">
        <f>IF(OtherClients[[#This Row],[Re-certified or New]]&lt;&gt;"Re-certified",IF(OtherClients[[#This Row],[Client]]="infasco",VLOOKUP(OtherClients[[#This Row],[Part]],PartControl!$A$2:$E$564,2,FALSE),OtherClients[[#This Row],[Total Quantity]]*VLOOKUP(OtherClients[[#This Row],[Part]],PartControl!$A$2:$E$564,2,FALSE)),0)</f>
        <v>106.94</v>
      </c>
    </row>
    <row r="2167" spans="1:26" ht="25.15" hidden="1" customHeight="1" x14ac:dyDescent="0.25">
      <c r="A2167" s="112">
        <v>46265.707662037035</v>
      </c>
      <c r="B2167" s="5" t="s">
        <v>637</v>
      </c>
      <c r="C2167" s="5">
        <v>11546449</v>
      </c>
      <c r="D2167" s="5">
        <v>717693</v>
      </c>
      <c r="E2167" s="33">
        <v>8</v>
      </c>
      <c r="F2167" s="60">
        <v>2500</v>
      </c>
      <c r="G2167" s="60">
        <f>+OtherClients[[#This Row],[Boxes / Pieces]]*OtherClients[[#This Row],[Unit Quantity]]</f>
        <v>20000</v>
      </c>
      <c r="H2167" s="60">
        <v>280</v>
      </c>
      <c r="I2167" s="130" t="s">
        <v>278</v>
      </c>
      <c r="J2167" s="131"/>
      <c r="K2167" s="33" t="s">
        <v>278</v>
      </c>
      <c r="L2167" s="132"/>
      <c r="M2167" s="33" t="s">
        <v>278</v>
      </c>
      <c r="N2167" s="132"/>
      <c r="O2167" s="33" t="s">
        <v>278</v>
      </c>
      <c r="P2167" s="132"/>
      <c r="Q2167" s="33" t="s">
        <v>587</v>
      </c>
      <c r="R2167" s="132"/>
      <c r="S2167" s="33" t="s">
        <v>278</v>
      </c>
      <c r="T2167" s="132"/>
      <c r="U2167" s="33" t="s">
        <v>278</v>
      </c>
      <c r="V2167" s="132"/>
      <c r="W2167" s="59" t="s">
        <v>633</v>
      </c>
      <c r="X2167" s="33" t="str">
        <f>+VLOOKUP(OtherClients[[#This Row],[Part]],PartControl!$A$2:$E$564,5,FALSE)</f>
        <v>INFASCO</v>
      </c>
      <c r="Y2167" s="108">
        <f>IF(OtherClients[[#This Row],[Re-certified or New]]&lt;&gt;"Re-certified",IF(OtherClients[[#This Row],[Client]]="infasco",VLOOKUP(OtherClients[[#This Row],[Part]],PartControl!$A$2:$E$564,2,FALSE),OtherClients[[#This Row],[Total Quantity]]*VLOOKUP(OtherClients[[#This Row],[Part]],PartControl!$A$2:$E$564,2,FALSE)),0)</f>
        <v>0</v>
      </c>
      <c r="Z2167" s="108">
        <f>IF(OtherClients[[#This Row],[Re-certified or New]]&lt;&gt;"Re-certified",IF(OtherClients[[#This Row],[Client]]="infasco",VLOOKUP(OtherClients[[#This Row],[Part]],PartControl!$A$2:$E$564,2,FALSE),OtherClients[[#This Row],[Total Quantity]]*VLOOKUP(OtherClients[[#This Row],[Part]],PartControl!$A$2:$E$564,2,FALSE)),0)</f>
        <v>0</v>
      </c>
    </row>
    <row r="2168" spans="1:26" ht="25.15" hidden="1" customHeight="1" x14ac:dyDescent="0.25">
      <c r="A2168" s="112">
        <v>46265.707662037035</v>
      </c>
      <c r="B2168" s="5" t="s">
        <v>634</v>
      </c>
      <c r="C2168" s="5" t="s">
        <v>848</v>
      </c>
      <c r="D2168" s="5">
        <v>716776</v>
      </c>
      <c r="E2168" s="33">
        <f>19-3</f>
        <v>16</v>
      </c>
      <c r="F2168" s="60">
        <v>3200</v>
      </c>
      <c r="G2168" s="60">
        <f>+OtherClients[[#This Row],[Boxes / Pieces]]*OtherClients[[#This Row],[Unit Quantity]]</f>
        <v>51200</v>
      </c>
      <c r="H2168" s="60">
        <v>280</v>
      </c>
      <c r="I2168" s="130" t="s">
        <v>278</v>
      </c>
      <c r="J2168" s="131"/>
      <c r="K2168" s="33" t="s">
        <v>278</v>
      </c>
      <c r="L2168" s="132"/>
      <c r="M2168" s="33" t="s">
        <v>278</v>
      </c>
      <c r="N2168" s="132"/>
      <c r="O2168" s="33" t="s">
        <v>278</v>
      </c>
      <c r="P2168" s="132"/>
      <c r="Q2168" s="33" t="s">
        <v>587</v>
      </c>
      <c r="R2168" s="132"/>
      <c r="S2168" s="33" t="s">
        <v>278</v>
      </c>
      <c r="T2168" s="132"/>
      <c r="U2168" s="33" t="s">
        <v>278</v>
      </c>
      <c r="V2168" s="132"/>
      <c r="W2168" s="59" t="s">
        <v>633</v>
      </c>
      <c r="X2168" s="33" t="str">
        <f>+VLOOKUP(OtherClients[[#This Row],[Part]],PartControl!$A$2:$E$564,5,FALSE)</f>
        <v>infasco</v>
      </c>
      <c r="Y2168" s="108">
        <f>IF(OtherClients[[#This Row],[Re-certified or New]]&lt;&gt;"Re-certified",IF(OtherClients[[#This Row],[Client]]="infasco",VLOOKUP(OtherClients[[#This Row],[Part]],PartControl!$A$2:$E$564,2,FALSE),OtherClients[[#This Row],[Total Quantity]]*VLOOKUP(OtherClients[[#This Row],[Part]],PartControl!$A$2:$E$564,2,FALSE)),0)</f>
        <v>0</v>
      </c>
      <c r="Z2168" s="108">
        <f>IF(OtherClients[[#This Row],[Re-certified or New]]&lt;&gt;"Re-certified",IF(OtherClients[[#This Row],[Client]]="infasco",VLOOKUP(OtherClients[[#This Row],[Part]],PartControl!$A$2:$E$564,2,FALSE),OtherClients[[#This Row],[Total Quantity]]*VLOOKUP(OtherClients[[#This Row],[Part]],PartControl!$A$2:$E$564,2,FALSE)),0)</f>
        <v>0</v>
      </c>
    </row>
    <row r="2169" spans="1:26" ht="25.15" hidden="1" customHeight="1" x14ac:dyDescent="0.25">
      <c r="A2169" s="112">
        <v>46265.707662037035</v>
      </c>
      <c r="B2169" s="5" t="s">
        <v>834</v>
      </c>
      <c r="C2169" s="5" t="s">
        <v>719</v>
      </c>
      <c r="D2169" s="5">
        <v>717637</v>
      </c>
      <c r="E2169" s="33">
        <f>27-24</f>
        <v>3</v>
      </c>
      <c r="F2169" s="60">
        <v>2150</v>
      </c>
      <c r="G2169" s="60">
        <f>+OtherClients[[#This Row],[Boxes / Pieces]]*OtherClients[[#This Row],[Unit Quantity]]</f>
        <v>6450</v>
      </c>
      <c r="H2169" s="60">
        <v>280</v>
      </c>
      <c r="I2169" s="130" t="s">
        <v>278</v>
      </c>
      <c r="J2169" s="131"/>
      <c r="K2169" s="33" t="s">
        <v>278</v>
      </c>
      <c r="L2169" s="132"/>
      <c r="M2169" s="33" t="s">
        <v>278</v>
      </c>
      <c r="N2169" s="132"/>
      <c r="O2169" s="33" t="s">
        <v>278</v>
      </c>
      <c r="P2169" s="132"/>
      <c r="Q2169" s="33" t="s">
        <v>587</v>
      </c>
      <c r="R2169" s="132"/>
      <c r="S2169" s="33" t="s">
        <v>278</v>
      </c>
      <c r="T2169" s="132"/>
      <c r="U2169" s="33" t="s">
        <v>278</v>
      </c>
      <c r="V2169" s="132"/>
      <c r="W2169" s="59" t="s">
        <v>548</v>
      </c>
      <c r="X2169" s="33" t="str">
        <f>+VLOOKUP(OtherClients[[#This Row],[Part]],PartControl!$A$2:$E$564,5,FALSE)</f>
        <v>infasco</v>
      </c>
      <c r="Y2169" s="108">
        <f>IF(OtherClients[[#This Row],[Re-certified or New]]&lt;&gt;"Re-certified",IF(OtherClients[[#This Row],[Client]]="infasco",VLOOKUP(OtherClients[[#This Row],[Part]],PartControl!$A$2:$E$564,2,FALSE),OtherClients[[#This Row],[Total Quantity]]*VLOOKUP(OtherClients[[#This Row],[Part]],PartControl!$A$2:$E$564,2,FALSE)),0)</f>
        <v>106.94</v>
      </c>
      <c r="Z2169" s="108">
        <f>IF(OtherClients[[#This Row],[Re-certified or New]]&lt;&gt;"Re-certified",IF(OtherClients[[#This Row],[Client]]="infasco",VLOOKUP(OtherClients[[#This Row],[Part]],PartControl!$A$2:$E$564,2,FALSE),OtherClients[[#This Row],[Total Quantity]]*VLOOKUP(OtherClients[[#This Row],[Part]],PartControl!$A$2:$E$564,2,FALSE)),0)</f>
        <v>106.94</v>
      </c>
    </row>
    <row r="2170" spans="1:26" ht="25.15" hidden="1" customHeight="1" x14ac:dyDescent="0.25">
      <c r="A2170" s="112">
        <v>46265.707662037035</v>
      </c>
      <c r="B2170" s="5" t="s">
        <v>635</v>
      </c>
      <c r="C2170" s="5">
        <v>11561645</v>
      </c>
      <c r="D2170" s="5">
        <v>714524</v>
      </c>
      <c r="E2170" s="33">
        <f>37-15</f>
        <v>22</v>
      </c>
      <c r="F2170" s="60">
        <v>4000</v>
      </c>
      <c r="G2170" s="60">
        <f>+OtherClients[[#This Row],[Boxes / Pieces]]*OtherClients[[#This Row],[Unit Quantity]]</f>
        <v>88000</v>
      </c>
      <c r="H2170" s="60">
        <v>280</v>
      </c>
      <c r="I2170" s="130" t="s">
        <v>278</v>
      </c>
      <c r="J2170" s="131"/>
      <c r="K2170" s="33" t="s">
        <v>278</v>
      </c>
      <c r="L2170" s="132"/>
      <c r="M2170" s="33" t="s">
        <v>278</v>
      </c>
      <c r="N2170" s="132"/>
      <c r="O2170" s="33" t="s">
        <v>278</v>
      </c>
      <c r="P2170" s="132"/>
      <c r="Q2170" s="33" t="s">
        <v>587</v>
      </c>
      <c r="R2170" s="132"/>
      <c r="S2170" s="33" t="s">
        <v>278</v>
      </c>
      <c r="T2170" s="132"/>
      <c r="U2170" s="33" t="s">
        <v>278</v>
      </c>
      <c r="V2170" s="132"/>
      <c r="W2170" s="59" t="s">
        <v>548</v>
      </c>
      <c r="X2170" s="33" t="str">
        <f>+VLOOKUP(OtherClients[[#This Row],[Part]],PartControl!$A$2:$E$564,5,FALSE)</f>
        <v>infasco</v>
      </c>
      <c r="Y2170" s="108">
        <f>IF(OtherClients[[#This Row],[Re-certified or New]]&lt;&gt;"Re-certified",IF(OtherClients[[#This Row],[Client]]="infasco",VLOOKUP(OtherClients[[#This Row],[Part]],PartControl!$A$2:$E$564,2,FALSE),OtherClients[[#This Row],[Total Quantity]]*VLOOKUP(OtherClients[[#This Row],[Part]],PartControl!$A$2:$E$564,2,FALSE)),0)</f>
        <v>106.94</v>
      </c>
      <c r="Z2170" s="108">
        <f>IF(OtherClients[[#This Row],[Re-certified or New]]&lt;&gt;"Re-certified",IF(OtherClients[[#This Row],[Client]]="infasco",VLOOKUP(OtherClients[[#This Row],[Part]],PartControl!$A$2:$E$564,2,FALSE),OtherClients[[#This Row],[Total Quantity]]*VLOOKUP(OtherClients[[#This Row],[Part]],PartControl!$A$2:$E$564,2,FALSE)),0)</f>
        <v>106.94</v>
      </c>
    </row>
    <row r="2171" spans="1:26" ht="25.15" hidden="1" customHeight="1" x14ac:dyDescent="0.25">
      <c r="A2171" s="112">
        <v>46265.707662037035</v>
      </c>
      <c r="B2171" s="5" t="s">
        <v>635</v>
      </c>
      <c r="C2171" s="5">
        <v>11561645</v>
      </c>
      <c r="D2171" s="5">
        <v>714525</v>
      </c>
      <c r="E2171" s="33">
        <v>3</v>
      </c>
      <c r="F2171" s="60">
        <v>4000</v>
      </c>
      <c r="G2171" s="60">
        <f>+OtherClients[[#This Row],[Boxes / Pieces]]*OtherClients[[#This Row],[Unit Quantity]]</f>
        <v>12000</v>
      </c>
      <c r="H2171" s="60">
        <v>280</v>
      </c>
      <c r="I2171" s="130" t="s">
        <v>278</v>
      </c>
      <c r="J2171" s="131"/>
      <c r="K2171" s="33" t="s">
        <v>278</v>
      </c>
      <c r="L2171" s="132"/>
      <c r="M2171" s="33" t="s">
        <v>278</v>
      </c>
      <c r="N2171" s="132"/>
      <c r="O2171" s="33" t="s">
        <v>278</v>
      </c>
      <c r="P2171" s="132"/>
      <c r="Q2171" s="33" t="s">
        <v>587</v>
      </c>
      <c r="R2171" s="132"/>
      <c r="S2171" s="33" t="s">
        <v>278</v>
      </c>
      <c r="T2171" s="132"/>
      <c r="U2171" s="33" t="s">
        <v>278</v>
      </c>
      <c r="V2171" s="132"/>
      <c r="W2171" s="59" t="s">
        <v>633</v>
      </c>
      <c r="X2171" s="33" t="str">
        <f>+VLOOKUP(OtherClients[[#This Row],[Part]],PartControl!$A$2:$E$564,5,FALSE)</f>
        <v>infasco</v>
      </c>
      <c r="Y2171" s="108">
        <f>IF(OtherClients[[#This Row],[Re-certified or New]]&lt;&gt;"Re-certified",IF(OtherClients[[#This Row],[Client]]="infasco",VLOOKUP(OtherClients[[#This Row],[Part]],PartControl!$A$2:$E$564,2,FALSE),OtherClients[[#This Row],[Total Quantity]]*VLOOKUP(OtherClients[[#This Row],[Part]],PartControl!$A$2:$E$564,2,FALSE)),0)</f>
        <v>0</v>
      </c>
      <c r="Z2171" s="108">
        <f>IF(OtherClients[[#This Row],[Re-certified or New]]&lt;&gt;"Re-certified",IF(OtherClients[[#This Row],[Client]]="infasco",VLOOKUP(OtherClients[[#This Row],[Part]],PartControl!$A$2:$E$564,2,FALSE),OtherClients[[#This Row],[Total Quantity]]*VLOOKUP(OtherClients[[#This Row],[Part]],PartControl!$A$2:$E$564,2,FALSE)),0)</f>
        <v>0</v>
      </c>
    </row>
    <row r="2172" spans="1:26" ht="25.15" hidden="1" customHeight="1" x14ac:dyDescent="0.25">
      <c r="A2172" s="112">
        <v>46265.707662037035</v>
      </c>
      <c r="B2172" s="5" t="s">
        <v>357</v>
      </c>
      <c r="C2172" s="5" t="s">
        <v>897</v>
      </c>
      <c r="D2172" s="5">
        <v>717138</v>
      </c>
      <c r="E2172" s="33">
        <f>33-12</f>
        <v>21</v>
      </c>
      <c r="F2172" s="60">
        <v>2500</v>
      </c>
      <c r="G2172" s="60">
        <f>+OtherClients[[#This Row],[Boxes / Pieces]]*OtherClients[[#This Row],[Unit Quantity]]</f>
        <v>52500</v>
      </c>
      <c r="H2172" s="60">
        <v>280</v>
      </c>
      <c r="I2172" s="130" t="s">
        <v>278</v>
      </c>
      <c r="J2172" s="131"/>
      <c r="K2172" s="33" t="s">
        <v>278</v>
      </c>
      <c r="L2172" s="132"/>
      <c r="M2172" s="33" t="s">
        <v>278</v>
      </c>
      <c r="N2172" s="132"/>
      <c r="O2172" s="33" t="s">
        <v>278</v>
      </c>
      <c r="P2172" s="132"/>
      <c r="Q2172" s="33" t="s">
        <v>587</v>
      </c>
      <c r="R2172" s="132"/>
      <c r="S2172" s="33" t="s">
        <v>278</v>
      </c>
      <c r="T2172" s="132"/>
      <c r="U2172" s="33" t="s">
        <v>278</v>
      </c>
      <c r="V2172" s="132"/>
      <c r="W2172" s="59" t="s">
        <v>548</v>
      </c>
      <c r="X2172" s="33" t="str">
        <f>+VLOOKUP(OtherClients[[#This Row],[Part]],PartControl!$A$2:$E$564,5,FALSE)</f>
        <v>infasco</v>
      </c>
      <c r="Y2172" s="108">
        <f>IF(OtherClients[[#This Row],[Re-certified or New]]&lt;&gt;"Re-certified",IF(OtherClients[[#This Row],[Client]]="infasco",VLOOKUP(OtherClients[[#This Row],[Part]],PartControl!$A$2:$E$564,2,FALSE),OtherClients[[#This Row],[Total Quantity]]*VLOOKUP(OtherClients[[#This Row],[Part]],PartControl!$A$2:$E$564,2,FALSE)),0)</f>
        <v>106.94</v>
      </c>
      <c r="Z2172" s="108">
        <f>IF(OtherClients[[#This Row],[Re-certified or New]]&lt;&gt;"Re-certified",IF(OtherClients[[#This Row],[Client]]="infasco",VLOOKUP(OtherClients[[#This Row],[Part]],PartControl!$A$2:$E$564,2,FALSE),OtherClients[[#This Row],[Total Quantity]]*VLOOKUP(OtherClients[[#This Row],[Part]],PartControl!$A$2:$E$564,2,FALSE)),0)</f>
        <v>106.94</v>
      </c>
    </row>
    <row r="2173" spans="1:26" ht="25.15" hidden="1" customHeight="1" x14ac:dyDescent="0.25">
      <c r="A2173" s="112">
        <v>46265.707662037035</v>
      </c>
      <c r="B2173" s="5" t="s">
        <v>357</v>
      </c>
      <c r="C2173" s="5">
        <v>11546545</v>
      </c>
      <c r="D2173" s="5">
        <v>717321</v>
      </c>
      <c r="E2173" s="33">
        <v>34</v>
      </c>
      <c r="F2173" s="60">
        <v>2500</v>
      </c>
      <c r="G2173" s="60">
        <f>+OtherClients[[#This Row],[Boxes / Pieces]]*OtherClients[[#This Row],[Unit Quantity]]</f>
        <v>85000</v>
      </c>
      <c r="H2173" s="60">
        <v>280</v>
      </c>
      <c r="I2173" s="130" t="s">
        <v>278</v>
      </c>
      <c r="J2173" s="131"/>
      <c r="K2173" s="33" t="s">
        <v>278</v>
      </c>
      <c r="L2173" s="132"/>
      <c r="M2173" s="33" t="s">
        <v>278</v>
      </c>
      <c r="N2173" s="132"/>
      <c r="O2173" s="33" t="s">
        <v>278</v>
      </c>
      <c r="P2173" s="132"/>
      <c r="Q2173" s="33" t="s">
        <v>587</v>
      </c>
      <c r="R2173" s="132"/>
      <c r="S2173" s="33" t="s">
        <v>278</v>
      </c>
      <c r="T2173" s="132"/>
      <c r="U2173" s="33" t="s">
        <v>278</v>
      </c>
      <c r="V2173" s="132"/>
      <c r="W2173" s="59" t="s">
        <v>548</v>
      </c>
      <c r="X2173" s="33" t="str">
        <f>+VLOOKUP(OtherClients[[#This Row],[Part]],PartControl!$A$2:$E$564,5,FALSE)</f>
        <v>infasco</v>
      </c>
      <c r="Y2173" s="108">
        <f>IF(OtherClients[[#This Row],[Re-certified or New]]&lt;&gt;"Re-certified",IF(OtherClients[[#This Row],[Client]]="infasco",VLOOKUP(OtherClients[[#This Row],[Part]],PartControl!$A$2:$E$564,2,FALSE),OtherClients[[#This Row],[Total Quantity]]*VLOOKUP(OtherClients[[#This Row],[Part]],PartControl!$A$2:$E$564,2,FALSE)),0)</f>
        <v>106.94</v>
      </c>
      <c r="Z2173" s="108">
        <f>IF(OtherClients[[#This Row],[Re-certified or New]]&lt;&gt;"Re-certified",IF(OtherClients[[#This Row],[Client]]="infasco",VLOOKUP(OtherClients[[#This Row],[Part]],PartControl!$A$2:$E$564,2,FALSE),OtherClients[[#This Row],[Total Quantity]]*VLOOKUP(OtherClients[[#This Row],[Part]],PartControl!$A$2:$E$564,2,FALSE)),0)</f>
        <v>106.94</v>
      </c>
    </row>
    <row r="2174" spans="1:26" ht="25.15" hidden="1" customHeight="1" x14ac:dyDescent="0.25">
      <c r="A2174" s="112">
        <v>46265.707662037035</v>
      </c>
      <c r="B2174" s="5" t="s">
        <v>357</v>
      </c>
      <c r="C2174" s="5">
        <v>11546449</v>
      </c>
      <c r="D2174" s="5">
        <v>717694</v>
      </c>
      <c r="E2174" s="33">
        <v>6</v>
      </c>
      <c r="F2174" s="60">
        <v>2500</v>
      </c>
      <c r="G2174" s="60">
        <f>+OtherClients[[#This Row],[Boxes / Pieces]]*OtherClients[[#This Row],[Unit Quantity]]</f>
        <v>15000</v>
      </c>
      <c r="H2174" s="60">
        <v>280</v>
      </c>
      <c r="I2174" s="130" t="s">
        <v>278</v>
      </c>
      <c r="J2174" s="131"/>
      <c r="K2174" s="33" t="s">
        <v>278</v>
      </c>
      <c r="L2174" s="132"/>
      <c r="M2174" s="33" t="s">
        <v>278</v>
      </c>
      <c r="N2174" s="132"/>
      <c r="O2174" s="33" t="s">
        <v>278</v>
      </c>
      <c r="P2174" s="132"/>
      <c r="Q2174" s="33" t="s">
        <v>587</v>
      </c>
      <c r="R2174" s="132"/>
      <c r="S2174" s="33" t="s">
        <v>278</v>
      </c>
      <c r="T2174" s="132"/>
      <c r="U2174" s="33" t="s">
        <v>278</v>
      </c>
      <c r="V2174" s="132"/>
      <c r="W2174" s="59" t="s">
        <v>633</v>
      </c>
      <c r="X2174" s="33" t="str">
        <f>+VLOOKUP(OtherClients[[#This Row],[Part]],PartControl!$A$2:$E$564,5,FALSE)</f>
        <v>INFASCO</v>
      </c>
      <c r="Y2174" s="108">
        <f>IF(OtherClients[[#This Row],[Re-certified or New]]&lt;&gt;"Re-certified",IF(OtherClients[[#This Row],[Client]]="infasco",VLOOKUP(OtherClients[[#This Row],[Part]],PartControl!$A$2:$E$564,2,FALSE),OtherClients[[#This Row],[Total Quantity]]*VLOOKUP(OtherClients[[#This Row],[Part]],PartControl!$A$2:$E$564,2,FALSE)),0)</f>
        <v>0</v>
      </c>
      <c r="Z2174" s="108">
        <f>IF(OtherClients[[#This Row],[Re-certified or New]]&lt;&gt;"Re-certified",IF(OtherClients[[#This Row],[Client]]="infasco",VLOOKUP(OtherClients[[#This Row],[Part]],PartControl!$A$2:$E$564,2,FALSE),OtherClients[[#This Row],[Total Quantity]]*VLOOKUP(OtherClients[[#This Row],[Part]],PartControl!$A$2:$E$564,2,FALSE)),0)</f>
        <v>0</v>
      </c>
    </row>
    <row r="2175" spans="1:26" ht="25.15" hidden="1" customHeight="1" x14ac:dyDescent="0.25">
      <c r="A2175" s="112">
        <v>46265.707662037035</v>
      </c>
      <c r="B2175" s="5" t="s">
        <v>636</v>
      </c>
      <c r="C2175" s="5">
        <v>11549168</v>
      </c>
      <c r="D2175" s="5">
        <v>716566</v>
      </c>
      <c r="E2175" s="33">
        <v>30</v>
      </c>
      <c r="F2175" s="60">
        <v>1000</v>
      </c>
      <c r="G2175" s="60">
        <f>+OtherClients[[#This Row],[Boxes / Pieces]]*OtherClients[[#This Row],[Unit Quantity]]</f>
        <v>30000</v>
      </c>
      <c r="H2175" s="60">
        <v>280</v>
      </c>
      <c r="I2175" s="130" t="s">
        <v>278</v>
      </c>
      <c r="J2175" s="131"/>
      <c r="K2175" s="33" t="s">
        <v>278</v>
      </c>
      <c r="L2175" s="132"/>
      <c r="M2175" s="33" t="s">
        <v>278</v>
      </c>
      <c r="N2175" s="132"/>
      <c r="O2175" s="33" t="s">
        <v>278</v>
      </c>
      <c r="P2175" s="132"/>
      <c r="Q2175" s="33" t="s">
        <v>587</v>
      </c>
      <c r="R2175" s="132"/>
      <c r="S2175" s="33" t="s">
        <v>278</v>
      </c>
      <c r="T2175" s="132"/>
      <c r="U2175" s="33" t="s">
        <v>278</v>
      </c>
      <c r="V2175" s="132"/>
      <c r="W2175" s="59" t="s">
        <v>548</v>
      </c>
      <c r="X2175" s="33" t="str">
        <f>+VLOOKUP(OtherClients[[#This Row],[Part]],PartControl!$A$2:$E$564,5,FALSE)</f>
        <v>INFASCO</v>
      </c>
      <c r="Y2175" s="108">
        <f>IF(OtherClients[[#This Row],[Re-certified or New]]&lt;&gt;"Re-certified",IF(OtherClients[[#This Row],[Client]]="infasco",VLOOKUP(OtherClients[[#This Row],[Part]],PartControl!$A$2:$E$564,2,FALSE),OtherClients[[#This Row],[Total Quantity]]*VLOOKUP(OtherClients[[#This Row],[Part]],PartControl!$A$2:$E$564,2,FALSE)),0)</f>
        <v>106.94</v>
      </c>
      <c r="Z2175" s="108">
        <f>IF(OtherClients[[#This Row],[Re-certified or New]]&lt;&gt;"Re-certified",IF(OtherClients[[#This Row],[Client]]="infasco",VLOOKUP(OtherClients[[#This Row],[Part]],PartControl!$A$2:$E$564,2,FALSE),OtherClients[[#This Row],[Total Quantity]]*VLOOKUP(OtherClients[[#This Row],[Part]],PartControl!$A$2:$E$564,2,FALSE)),0)</f>
        <v>106.94</v>
      </c>
    </row>
    <row r="2176" spans="1:26" ht="25.15" hidden="1" customHeight="1" x14ac:dyDescent="0.25">
      <c r="A2176" s="112">
        <v>46265.707662037035</v>
      </c>
      <c r="B2176" s="5" t="s">
        <v>636</v>
      </c>
      <c r="C2176" s="5">
        <v>11549168</v>
      </c>
      <c r="D2176" s="5">
        <v>716914</v>
      </c>
      <c r="E2176" s="33">
        <v>28</v>
      </c>
      <c r="F2176" s="60">
        <v>1000</v>
      </c>
      <c r="G2176" s="60">
        <f>+OtherClients[[#This Row],[Boxes / Pieces]]*OtherClients[[#This Row],[Unit Quantity]]</f>
        <v>28000</v>
      </c>
      <c r="H2176" s="60">
        <v>280</v>
      </c>
      <c r="I2176" s="130" t="s">
        <v>278</v>
      </c>
      <c r="J2176" s="131"/>
      <c r="K2176" s="33" t="s">
        <v>278</v>
      </c>
      <c r="L2176" s="132"/>
      <c r="M2176" s="33" t="s">
        <v>278</v>
      </c>
      <c r="N2176" s="132"/>
      <c r="O2176" s="33" t="s">
        <v>278</v>
      </c>
      <c r="P2176" s="132"/>
      <c r="Q2176" s="33" t="s">
        <v>587</v>
      </c>
      <c r="R2176" s="132"/>
      <c r="S2176" s="33" t="s">
        <v>278</v>
      </c>
      <c r="T2176" s="132"/>
      <c r="U2176" s="33" t="s">
        <v>278</v>
      </c>
      <c r="V2176" s="132"/>
      <c r="W2176" s="59" t="s">
        <v>633</v>
      </c>
      <c r="X2176" s="33" t="str">
        <f>+VLOOKUP(OtherClients[[#This Row],[Part]],PartControl!$A$2:$E$564,5,FALSE)</f>
        <v>INFASCO</v>
      </c>
      <c r="Y2176" s="108">
        <f>IF(OtherClients[[#This Row],[Re-certified or New]]&lt;&gt;"Re-certified",IF(OtherClients[[#This Row],[Client]]="infasco",VLOOKUP(OtherClients[[#This Row],[Part]],PartControl!$A$2:$E$564,2,FALSE),OtherClients[[#This Row],[Total Quantity]]*VLOOKUP(OtherClients[[#This Row],[Part]],PartControl!$A$2:$E$564,2,FALSE)),0)</f>
        <v>0</v>
      </c>
      <c r="Z2176" s="108">
        <f>IF(OtherClients[[#This Row],[Re-certified or New]]&lt;&gt;"Re-certified",IF(OtherClients[[#This Row],[Client]]="infasco",VLOOKUP(OtherClients[[#This Row],[Part]],PartControl!$A$2:$E$564,2,FALSE),OtherClients[[#This Row],[Total Quantity]]*VLOOKUP(OtherClients[[#This Row],[Part]],PartControl!$A$2:$E$564,2,FALSE)),0)</f>
        <v>0</v>
      </c>
    </row>
    <row r="2177" spans="1:26" ht="25.15" hidden="1" customHeight="1" x14ac:dyDescent="0.25">
      <c r="A2177" s="112">
        <v>46265.707662037035</v>
      </c>
      <c r="B2177" s="5" t="s">
        <v>342</v>
      </c>
      <c r="C2177" s="5" t="s">
        <v>835</v>
      </c>
      <c r="D2177" s="5">
        <v>717625</v>
      </c>
      <c r="E2177" s="33">
        <v>19</v>
      </c>
      <c r="F2177" s="60">
        <v>660</v>
      </c>
      <c r="G2177" s="60">
        <f>+OtherClients[[#This Row],[Boxes / Pieces]]*OtherClients[[#This Row],[Unit Quantity]]</f>
        <v>12540</v>
      </c>
      <c r="H2177" s="60" t="s">
        <v>898</v>
      </c>
      <c r="I2177" s="130" t="s">
        <v>278</v>
      </c>
      <c r="J2177" s="131"/>
      <c r="K2177" s="33" t="s">
        <v>278</v>
      </c>
      <c r="L2177" s="132"/>
      <c r="M2177" s="33" t="s">
        <v>278</v>
      </c>
      <c r="N2177" s="132"/>
      <c r="O2177" s="33" t="s">
        <v>278</v>
      </c>
      <c r="P2177" s="132"/>
      <c r="Q2177" s="33" t="s">
        <v>587</v>
      </c>
      <c r="R2177" s="132"/>
      <c r="S2177" s="33" t="s">
        <v>278</v>
      </c>
      <c r="T2177" s="132"/>
      <c r="U2177" s="33" t="s">
        <v>278</v>
      </c>
      <c r="V2177" s="132"/>
      <c r="W2177" s="59" t="s">
        <v>548</v>
      </c>
      <c r="X2177" s="33" t="str">
        <f>+VLOOKUP(OtherClients[[#This Row],[Part]],PartControl!$A$2:$E$564,5,FALSE)</f>
        <v>infasco</v>
      </c>
      <c r="Y2177" s="108">
        <f>IF(OtherClients[[#This Row],[Re-certified or New]]&lt;&gt;"Re-certified",IF(OtherClients[[#This Row],[Client]]="infasco",VLOOKUP(OtherClients[[#This Row],[Part]],PartControl!$A$2:$E$564,2,FALSE),OtherClients[[#This Row],[Total Quantity]]*VLOOKUP(OtherClients[[#This Row],[Part]],PartControl!$A$2:$E$564,2,FALSE)),0)</f>
        <v>135.08000000000001</v>
      </c>
      <c r="Z2177" s="108">
        <f>IF(OtherClients[[#This Row],[Re-certified or New]]&lt;&gt;"Re-certified",IF(OtherClients[[#This Row],[Client]]="infasco",VLOOKUP(OtherClients[[#This Row],[Part]],PartControl!$A$2:$E$564,2,FALSE),OtherClients[[#This Row],[Total Quantity]]*VLOOKUP(OtherClients[[#This Row],[Part]],PartControl!$A$2:$E$564,2,FALSE)),0)</f>
        <v>135.08000000000001</v>
      </c>
    </row>
    <row r="2178" spans="1:26" ht="25.15" hidden="1" customHeight="1" x14ac:dyDescent="0.25">
      <c r="A2178" s="112">
        <v>46265.707662037035</v>
      </c>
      <c r="B2178" s="5" t="s">
        <v>342</v>
      </c>
      <c r="C2178" s="5" t="s">
        <v>823</v>
      </c>
      <c r="D2178" s="5">
        <v>717003</v>
      </c>
      <c r="E2178" s="33">
        <f>36+13</f>
        <v>49</v>
      </c>
      <c r="F2178" s="60">
        <v>1500</v>
      </c>
      <c r="G2178" s="60">
        <f>+OtherClients[[#This Row],[Boxes / Pieces]]*OtherClients[[#This Row],[Unit Quantity]]</f>
        <v>73500</v>
      </c>
      <c r="H2178" s="60" t="s">
        <v>898</v>
      </c>
      <c r="I2178" s="130" t="s">
        <v>278</v>
      </c>
      <c r="J2178" s="131"/>
      <c r="K2178" s="33" t="s">
        <v>278</v>
      </c>
      <c r="L2178" s="132"/>
      <c r="M2178" s="33" t="s">
        <v>278</v>
      </c>
      <c r="N2178" s="132"/>
      <c r="O2178" s="33" t="s">
        <v>278</v>
      </c>
      <c r="P2178" s="132"/>
      <c r="Q2178" s="33" t="s">
        <v>587</v>
      </c>
      <c r="R2178" s="132"/>
      <c r="S2178" s="33" t="s">
        <v>278</v>
      </c>
      <c r="T2178" s="132"/>
      <c r="U2178" s="33" t="s">
        <v>278</v>
      </c>
      <c r="V2178" s="132"/>
      <c r="W2178" s="59" t="s">
        <v>548</v>
      </c>
      <c r="X2178" s="33" t="str">
        <f>+VLOOKUP(OtherClients[[#This Row],[Part]],PartControl!$A$2:$E$564,5,FALSE)</f>
        <v>infasco</v>
      </c>
      <c r="Y2178" s="108">
        <f>IF(OtherClients[[#This Row],[Re-certified or New]]&lt;&gt;"Re-certified",IF(OtherClients[[#This Row],[Client]]="infasco",VLOOKUP(OtherClients[[#This Row],[Part]],PartControl!$A$2:$E$564,2,FALSE),OtherClients[[#This Row],[Total Quantity]]*VLOOKUP(OtherClients[[#This Row],[Part]],PartControl!$A$2:$E$564,2,FALSE)),0)</f>
        <v>226.94</v>
      </c>
      <c r="Z2178" s="108">
        <f>IF(OtherClients[[#This Row],[Re-certified or New]]&lt;&gt;"Re-certified",IF(OtherClients[[#This Row],[Client]]="infasco",VLOOKUP(OtherClients[[#This Row],[Part]],PartControl!$A$2:$E$564,2,FALSE),OtherClients[[#This Row],[Total Quantity]]*VLOOKUP(OtherClients[[#This Row],[Part]],PartControl!$A$2:$E$564,2,FALSE)),0)</f>
        <v>226.94</v>
      </c>
    </row>
    <row r="2179" spans="1:26" ht="25.15" hidden="1" customHeight="1" x14ac:dyDescent="0.25">
      <c r="A2179" s="112">
        <v>46265.707662037035</v>
      </c>
      <c r="B2179" s="5" t="s">
        <v>342</v>
      </c>
      <c r="C2179" s="5" t="s">
        <v>818</v>
      </c>
      <c r="D2179" s="5">
        <v>717462</v>
      </c>
      <c r="E2179" s="33">
        <v>33</v>
      </c>
      <c r="F2179" s="60">
        <v>670</v>
      </c>
      <c r="G2179" s="60">
        <f>+OtherClients[[#This Row],[Boxes / Pieces]]*OtherClients[[#This Row],[Unit Quantity]]</f>
        <v>22110</v>
      </c>
      <c r="H2179" s="60" t="s">
        <v>898</v>
      </c>
      <c r="I2179" s="130" t="s">
        <v>278</v>
      </c>
      <c r="J2179" s="131"/>
      <c r="K2179" s="33" t="s">
        <v>278</v>
      </c>
      <c r="L2179" s="132"/>
      <c r="M2179" s="33" t="s">
        <v>278</v>
      </c>
      <c r="N2179" s="132"/>
      <c r="O2179" s="33" t="s">
        <v>278</v>
      </c>
      <c r="P2179" s="132"/>
      <c r="Q2179" s="33" t="s">
        <v>587</v>
      </c>
      <c r="R2179" s="132"/>
      <c r="S2179" s="33" t="s">
        <v>278</v>
      </c>
      <c r="T2179" s="132"/>
      <c r="U2179" s="33" t="s">
        <v>278</v>
      </c>
      <c r="V2179" s="132"/>
      <c r="W2179" s="59" t="s">
        <v>548</v>
      </c>
      <c r="X2179" s="33" t="str">
        <f>+VLOOKUP(OtherClients[[#This Row],[Part]],PartControl!$A$2:$E$564,5,FALSE)</f>
        <v>infasco</v>
      </c>
      <c r="Y2179" s="108">
        <f>IF(OtherClients[[#This Row],[Re-certified or New]]&lt;&gt;"Re-certified",IF(OtherClients[[#This Row],[Client]]="infasco",VLOOKUP(OtherClients[[#This Row],[Part]],PartControl!$A$2:$E$564,2,FALSE),OtherClients[[#This Row],[Total Quantity]]*VLOOKUP(OtherClients[[#This Row],[Part]],PartControl!$A$2:$E$564,2,FALSE)),0)</f>
        <v>280.16000000000003</v>
      </c>
      <c r="Z2179" s="108">
        <f>IF(OtherClients[[#This Row],[Re-certified or New]]&lt;&gt;"Re-certified",IF(OtherClients[[#This Row],[Client]]="infasco",VLOOKUP(OtherClients[[#This Row],[Part]],PartControl!$A$2:$E$564,2,FALSE),OtherClients[[#This Row],[Total Quantity]]*VLOOKUP(OtherClients[[#This Row],[Part]],PartControl!$A$2:$E$564,2,FALSE)),0)</f>
        <v>280.16000000000003</v>
      </c>
    </row>
    <row r="2180" spans="1:26" ht="25.15" hidden="1" customHeight="1" x14ac:dyDescent="0.25">
      <c r="A2180" s="112">
        <v>46265.707662037035</v>
      </c>
      <c r="B2180" s="5" t="s">
        <v>342</v>
      </c>
      <c r="C2180" s="5">
        <v>11546379</v>
      </c>
      <c r="D2180" s="5">
        <v>716825</v>
      </c>
      <c r="E2180" s="33">
        <v>20</v>
      </c>
      <c r="F2180" s="60">
        <v>700</v>
      </c>
      <c r="G2180" s="60">
        <f>+OtherClients[[#This Row],[Boxes / Pieces]]*OtherClients[[#This Row],[Unit Quantity]]</f>
        <v>14000</v>
      </c>
      <c r="H2180" s="60" t="s">
        <v>898</v>
      </c>
      <c r="I2180" s="130" t="s">
        <v>278</v>
      </c>
      <c r="J2180" s="131"/>
      <c r="K2180" s="33" t="s">
        <v>278</v>
      </c>
      <c r="L2180" s="132"/>
      <c r="M2180" s="33" t="s">
        <v>278</v>
      </c>
      <c r="N2180" s="132"/>
      <c r="O2180" s="33" t="s">
        <v>278</v>
      </c>
      <c r="P2180" s="132"/>
      <c r="Q2180" s="33" t="s">
        <v>587</v>
      </c>
      <c r="R2180" s="132"/>
      <c r="S2180" s="33" t="s">
        <v>278</v>
      </c>
      <c r="T2180" s="132"/>
      <c r="U2180" s="33" t="s">
        <v>278</v>
      </c>
      <c r="V2180" s="132"/>
      <c r="W2180" s="59" t="s">
        <v>633</v>
      </c>
      <c r="X2180" s="33" t="str">
        <f>+VLOOKUP(OtherClients[[#This Row],[Part]],PartControl!$A$2:$E$564,5,FALSE)</f>
        <v>Infasco</v>
      </c>
      <c r="Y2180" s="108">
        <f>IF(OtherClients[[#This Row],[Re-certified or New]]&lt;&gt;"Re-certified",IF(OtherClients[[#This Row],[Client]]="infasco",VLOOKUP(OtherClients[[#This Row],[Part]],PartControl!$A$2:$E$564,2,FALSE),OtherClients[[#This Row],[Total Quantity]]*VLOOKUP(OtherClients[[#This Row],[Part]],PartControl!$A$2:$E$564,2,FALSE)),0)</f>
        <v>0</v>
      </c>
      <c r="Z2180" s="108">
        <f>IF(OtherClients[[#This Row],[Re-certified or New]]&lt;&gt;"Re-certified",IF(OtherClients[[#This Row],[Client]]="infasco",VLOOKUP(OtherClients[[#This Row],[Part]],PartControl!$A$2:$E$564,2,FALSE),OtherClients[[#This Row],[Total Quantity]]*VLOOKUP(OtherClients[[#This Row],[Part]],PartControl!$A$2:$E$564,2,FALSE)),0)</f>
        <v>0</v>
      </c>
    </row>
    <row r="2181" spans="1:26" ht="25.15" hidden="1" customHeight="1" x14ac:dyDescent="0.25">
      <c r="A2181" s="112">
        <v>46265.707662037035</v>
      </c>
      <c r="B2181" s="5" t="s">
        <v>342</v>
      </c>
      <c r="C2181" s="5" t="s">
        <v>823</v>
      </c>
      <c r="D2181" s="5">
        <v>716999</v>
      </c>
      <c r="E2181" s="33">
        <f>36+16-12</f>
        <v>40</v>
      </c>
      <c r="F2181" s="60">
        <v>1500</v>
      </c>
      <c r="G2181" s="60">
        <f>+OtherClients[[#This Row],[Boxes / Pieces]]*OtherClients[[#This Row],[Unit Quantity]]</f>
        <v>60000</v>
      </c>
      <c r="H2181" s="60" t="s">
        <v>898</v>
      </c>
      <c r="I2181" s="130" t="s">
        <v>278</v>
      </c>
      <c r="J2181" s="131"/>
      <c r="K2181" s="33" t="s">
        <v>278</v>
      </c>
      <c r="L2181" s="132"/>
      <c r="M2181" s="33" t="s">
        <v>278</v>
      </c>
      <c r="N2181" s="132"/>
      <c r="O2181" s="33" t="s">
        <v>278</v>
      </c>
      <c r="P2181" s="132"/>
      <c r="Q2181" s="33" t="s">
        <v>587</v>
      </c>
      <c r="R2181" s="132"/>
      <c r="S2181" s="33" t="s">
        <v>278</v>
      </c>
      <c r="T2181" s="132"/>
      <c r="U2181" s="33" t="s">
        <v>278</v>
      </c>
      <c r="V2181" s="132"/>
      <c r="W2181" s="59" t="s">
        <v>548</v>
      </c>
      <c r="X2181" s="33" t="str">
        <f>+VLOOKUP(OtherClients[[#This Row],[Part]],PartControl!$A$2:$E$564,5,FALSE)</f>
        <v>infasco</v>
      </c>
      <c r="Y2181" s="108">
        <f>IF(OtherClients[[#This Row],[Re-certified or New]]&lt;&gt;"Re-certified",IF(OtherClients[[#This Row],[Client]]="infasco",VLOOKUP(OtherClients[[#This Row],[Part]],PartControl!$A$2:$E$564,2,FALSE),OtherClients[[#This Row],[Total Quantity]]*VLOOKUP(OtherClients[[#This Row],[Part]],PartControl!$A$2:$E$564,2,FALSE)),0)</f>
        <v>226.94</v>
      </c>
      <c r="Z2181" s="108">
        <f>IF(OtherClients[[#This Row],[Re-certified or New]]&lt;&gt;"Re-certified",IF(OtherClients[[#This Row],[Client]]="infasco",VLOOKUP(OtherClients[[#This Row],[Part]],PartControl!$A$2:$E$564,2,FALSE),OtherClients[[#This Row],[Total Quantity]]*VLOOKUP(OtherClients[[#This Row],[Part]],PartControl!$A$2:$E$564,2,FALSE)),0)</f>
        <v>226.94</v>
      </c>
    </row>
    <row r="2182" spans="1:26" ht="25.15" hidden="1" customHeight="1" x14ac:dyDescent="0.25">
      <c r="A2182" s="112">
        <v>46265.707662037035</v>
      </c>
      <c r="B2182" s="5" t="s">
        <v>342</v>
      </c>
      <c r="C2182" s="5" t="s">
        <v>670</v>
      </c>
      <c r="D2182" s="5">
        <v>717010</v>
      </c>
      <c r="E2182" s="33">
        <v>36</v>
      </c>
      <c r="F2182" s="60">
        <v>520</v>
      </c>
      <c r="G2182" s="60">
        <f>+OtherClients[[#This Row],[Boxes / Pieces]]*OtherClients[[#This Row],[Unit Quantity]]</f>
        <v>18720</v>
      </c>
      <c r="H2182" s="60" t="s">
        <v>898</v>
      </c>
      <c r="I2182" s="130" t="s">
        <v>278</v>
      </c>
      <c r="J2182" s="131"/>
      <c r="K2182" s="33" t="s">
        <v>278</v>
      </c>
      <c r="L2182" s="132"/>
      <c r="M2182" s="33" t="s">
        <v>278</v>
      </c>
      <c r="N2182" s="132"/>
      <c r="O2182" s="33" t="s">
        <v>278</v>
      </c>
      <c r="P2182" s="132"/>
      <c r="Q2182" s="33" t="s">
        <v>587</v>
      </c>
      <c r="R2182" s="132"/>
      <c r="S2182" s="33" t="s">
        <v>278</v>
      </c>
      <c r="T2182" s="132"/>
      <c r="U2182" s="33" t="s">
        <v>278</v>
      </c>
      <c r="V2182" s="132"/>
      <c r="W2182" s="59" t="s">
        <v>548</v>
      </c>
      <c r="X2182" s="33" t="str">
        <f>+VLOOKUP(OtherClients[[#This Row],[Part]],PartControl!$A$2:$E$564,5,FALSE)</f>
        <v>infasco</v>
      </c>
      <c r="Y2182" s="108">
        <f>IF(OtherClients[[#This Row],[Re-certified or New]]&lt;&gt;"Re-certified",IF(OtherClients[[#This Row],[Client]]="infasco",VLOOKUP(OtherClients[[#This Row],[Part]],PartControl!$A$2:$E$564,2,FALSE),OtherClients[[#This Row],[Total Quantity]]*VLOOKUP(OtherClients[[#This Row],[Part]],PartControl!$A$2:$E$564,2,FALSE)),0)</f>
        <v>135.07999999999998</v>
      </c>
      <c r="Z2182" s="108">
        <f>IF(OtherClients[[#This Row],[Re-certified or New]]&lt;&gt;"Re-certified",IF(OtherClients[[#This Row],[Client]]="infasco",VLOOKUP(OtherClients[[#This Row],[Part]],PartControl!$A$2:$E$564,2,FALSE),OtherClients[[#This Row],[Total Quantity]]*VLOOKUP(OtherClients[[#This Row],[Part]],PartControl!$A$2:$E$564,2,FALSE)),0)</f>
        <v>135.07999999999998</v>
      </c>
    </row>
    <row r="2183" spans="1:26" ht="25.15" hidden="1" customHeight="1" x14ac:dyDescent="0.25">
      <c r="A2183" s="112">
        <v>46265.707662037035</v>
      </c>
      <c r="B2183" s="5" t="s">
        <v>342</v>
      </c>
      <c r="C2183" s="5" t="s">
        <v>670</v>
      </c>
      <c r="D2183" s="5">
        <v>717009</v>
      </c>
      <c r="E2183" s="33">
        <v>11</v>
      </c>
      <c r="F2183" s="60">
        <v>520</v>
      </c>
      <c r="G2183" s="60">
        <f>+OtherClients[[#This Row],[Boxes / Pieces]]*OtherClients[[#This Row],[Unit Quantity]]</f>
        <v>5720</v>
      </c>
      <c r="H2183" s="60" t="s">
        <v>898</v>
      </c>
      <c r="I2183" s="130" t="s">
        <v>278</v>
      </c>
      <c r="J2183" s="131"/>
      <c r="K2183" s="33" t="s">
        <v>278</v>
      </c>
      <c r="L2183" s="132"/>
      <c r="M2183" s="33" t="s">
        <v>278</v>
      </c>
      <c r="N2183" s="132"/>
      <c r="O2183" s="33" t="s">
        <v>278</v>
      </c>
      <c r="P2183" s="132"/>
      <c r="Q2183" s="33" t="s">
        <v>587</v>
      </c>
      <c r="R2183" s="132"/>
      <c r="S2183" s="33" t="s">
        <v>278</v>
      </c>
      <c r="T2183" s="132"/>
      <c r="U2183" s="33" t="s">
        <v>278</v>
      </c>
      <c r="V2183" s="132"/>
      <c r="W2183" s="59" t="s">
        <v>548</v>
      </c>
      <c r="X2183" s="33" t="str">
        <f>+VLOOKUP(OtherClients[[#This Row],[Part]],PartControl!$A$2:$E$564,5,FALSE)</f>
        <v>infasco</v>
      </c>
      <c r="Y2183" s="108">
        <f>IF(OtherClients[[#This Row],[Re-certified or New]]&lt;&gt;"Re-certified",IF(OtherClients[[#This Row],[Client]]="infasco",VLOOKUP(OtherClients[[#This Row],[Part]],PartControl!$A$2:$E$564,2,FALSE),OtherClients[[#This Row],[Total Quantity]]*VLOOKUP(OtherClients[[#This Row],[Part]],PartControl!$A$2:$E$564,2,FALSE)),0)</f>
        <v>135.07999999999998</v>
      </c>
      <c r="Z2183" s="108">
        <f>IF(OtherClients[[#This Row],[Re-certified or New]]&lt;&gt;"Re-certified",IF(OtherClients[[#This Row],[Client]]="infasco",VLOOKUP(OtherClients[[#This Row],[Part]],PartControl!$A$2:$E$564,2,FALSE),OtherClients[[#This Row],[Total Quantity]]*VLOOKUP(OtherClients[[#This Row],[Part]],PartControl!$A$2:$E$564,2,FALSE)),0)</f>
        <v>135.07999999999998</v>
      </c>
    </row>
    <row r="2184" spans="1:26" ht="25.15" hidden="1" customHeight="1" x14ac:dyDescent="0.25">
      <c r="A2184" s="112">
        <v>46265.707662037035</v>
      </c>
      <c r="B2184" s="5" t="s">
        <v>342</v>
      </c>
      <c r="C2184" s="5">
        <v>11546571</v>
      </c>
      <c r="D2184" s="5">
        <v>717163</v>
      </c>
      <c r="E2184" s="33">
        <v>33</v>
      </c>
      <c r="F2184" s="60">
        <v>1550</v>
      </c>
      <c r="G2184" s="60">
        <f>+OtherClients[[#This Row],[Boxes / Pieces]]*OtherClients[[#This Row],[Unit Quantity]]</f>
        <v>51150</v>
      </c>
      <c r="H2184" s="60" t="s">
        <v>898</v>
      </c>
      <c r="I2184" s="130" t="s">
        <v>278</v>
      </c>
      <c r="J2184" s="131"/>
      <c r="K2184" s="33" t="s">
        <v>278</v>
      </c>
      <c r="L2184" s="132"/>
      <c r="M2184" s="33" t="s">
        <v>278</v>
      </c>
      <c r="N2184" s="132"/>
      <c r="O2184" s="33" t="s">
        <v>278</v>
      </c>
      <c r="P2184" s="132"/>
      <c r="Q2184" s="33" t="s">
        <v>587</v>
      </c>
      <c r="R2184" s="132"/>
      <c r="S2184" s="33" t="s">
        <v>278</v>
      </c>
      <c r="T2184" s="132"/>
      <c r="U2184" s="33" t="s">
        <v>278</v>
      </c>
      <c r="V2184" s="132"/>
      <c r="W2184" s="59" t="s">
        <v>548</v>
      </c>
      <c r="X2184" s="33" t="str">
        <f>+VLOOKUP(OtherClients[[#This Row],[Part]],PartControl!$A$2:$E$564,5,FALSE)</f>
        <v>infasco</v>
      </c>
      <c r="Y2184" s="108">
        <f>IF(OtherClients[[#This Row],[Re-certified or New]]&lt;&gt;"Re-certified",IF(OtherClients[[#This Row],[Client]]="infasco",VLOOKUP(OtherClients[[#This Row],[Part]],PartControl!$A$2:$E$564,2,FALSE),OtherClients[[#This Row],[Total Quantity]]*VLOOKUP(OtherClients[[#This Row],[Part]],PartControl!$A$2:$E$564,2,FALSE)),0)</f>
        <v>135.07999999999998</v>
      </c>
      <c r="Z2184" s="108">
        <f>IF(OtherClients[[#This Row],[Re-certified or New]]&lt;&gt;"Re-certified",IF(OtherClients[[#This Row],[Client]]="infasco",VLOOKUP(OtherClients[[#This Row],[Part]],PartControl!$A$2:$E$564,2,FALSE),OtherClients[[#This Row],[Total Quantity]]*VLOOKUP(OtherClients[[#This Row],[Part]],PartControl!$A$2:$E$564,2,FALSE)),0)</f>
        <v>135.07999999999998</v>
      </c>
    </row>
    <row r="2185" spans="1:26" ht="25.15" hidden="1" customHeight="1" x14ac:dyDescent="0.25">
      <c r="A2185" s="112">
        <v>46265.707662037035</v>
      </c>
      <c r="B2185" s="5" t="s">
        <v>342</v>
      </c>
      <c r="C2185" s="5" t="s">
        <v>835</v>
      </c>
      <c r="D2185" s="5">
        <v>717628</v>
      </c>
      <c r="E2185" s="33">
        <v>36</v>
      </c>
      <c r="F2185" s="60">
        <v>660</v>
      </c>
      <c r="G2185" s="60">
        <f>+OtherClients[[#This Row],[Boxes / Pieces]]*OtherClients[[#This Row],[Unit Quantity]]</f>
        <v>23760</v>
      </c>
      <c r="H2185" s="60" t="s">
        <v>898</v>
      </c>
      <c r="I2185" s="130" t="s">
        <v>278</v>
      </c>
      <c r="J2185" s="131"/>
      <c r="K2185" s="33" t="s">
        <v>278</v>
      </c>
      <c r="L2185" s="132"/>
      <c r="M2185" s="33" t="s">
        <v>278</v>
      </c>
      <c r="N2185" s="132"/>
      <c r="O2185" s="33" t="s">
        <v>278</v>
      </c>
      <c r="P2185" s="132"/>
      <c r="Q2185" s="33" t="s">
        <v>587</v>
      </c>
      <c r="R2185" s="132"/>
      <c r="S2185" s="33" t="s">
        <v>278</v>
      </c>
      <c r="T2185" s="132"/>
      <c r="U2185" s="33" t="s">
        <v>278</v>
      </c>
      <c r="V2185" s="132"/>
      <c r="W2185" s="59" t="s">
        <v>548</v>
      </c>
      <c r="X2185" s="33" t="str">
        <f>+VLOOKUP(OtherClients[[#This Row],[Part]],PartControl!$A$2:$E$564,5,FALSE)</f>
        <v>infasco</v>
      </c>
      <c r="Y2185" s="108">
        <f>IF(OtherClients[[#This Row],[Re-certified or New]]&lt;&gt;"Re-certified",IF(OtherClients[[#This Row],[Client]]="infasco",VLOOKUP(OtherClients[[#This Row],[Part]],PartControl!$A$2:$E$564,2,FALSE),OtherClients[[#This Row],[Total Quantity]]*VLOOKUP(OtherClients[[#This Row],[Part]],PartControl!$A$2:$E$564,2,FALSE)),0)</f>
        <v>135.08000000000001</v>
      </c>
      <c r="Z2185" s="108">
        <f>IF(OtherClients[[#This Row],[Re-certified or New]]&lt;&gt;"Re-certified",IF(OtherClients[[#This Row],[Client]]="infasco",VLOOKUP(OtherClients[[#This Row],[Part]],PartControl!$A$2:$E$564,2,FALSE),OtherClients[[#This Row],[Total Quantity]]*VLOOKUP(OtherClients[[#This Row],[Part]],PartControl!$A$2:$E$564,2,FALSE)),0)</f>
        <v>135.08000000000001</v>
      </c>
    </row>
    <row r="2186" spans="1:26" ht="25.15" hidden="1" customHeight="1" x14ac:dyDescent="0.25">
      <c r="A2186" s="112">
        <v>46265.707662037035</v>
      </c>
      <c r="B2186" s="5" t="s">
        <v>343</v>
      </c>
      <c r="C2186" s="5" t="s">
        <v>835</v>
      </c>
      <c r="D2186" s="5">
        <v>717627</v>
      </c>
      <c r="E2186" s="33">
        <v>30</v>
      </c>
      <c r="F2186" s="60">
        <v>660</v>
      </c>
      <c r="G2186" s="60">
        <f>+OtherClients[[#This Row],[Boxes / Pieces]]*OtherClients[[#This Row],[Unit Quantity]]</f>
        <v>19800</v>
      </c>
      <c r="H2186" s="60" t="s">
        <v>899</v>
      </c>
      <c r="I2186" s="130" t="s">
        <v>278</v>
      </c>
      <c r="J2186" s="131"/>
      <c r="K2186" s="33" t="s">
        <v>278</v>
      </c>
      <c r="L2186" s="132"/>
      <c r="M2186" s="33" t="s">
        <v>278</v>
      </c>
      <c r="N2186" s="132"/>
      <c r="O2186" s="33" t="s">
        <v>278</v>
      </c>
      <c r="P2186" s="132"/>
      <c r="Q2186" s="33" t="s">
        <v>587</v>
      </c>
      <c r="R2186" s="132"/>
      <c r="S2186" s="33" t="s">
        <v>278</v>
      </c>
      <c r="T2186" s="132"/>
      <c r="U2186" s="33" t="s">
        <v>278</v>
      </c>
      <c r="V2186" s="132"/>
      <c r="W2186" s="59" t="s">
        <v>548</v>
      </c>
      <c r="X2186" s="33" t="str">
        <f>+VLOOKUP(OtherClients[[#This Row],[Part]],PartControl!$A$2:$E$564,5,FALSE)</f>
        <v>infasco</v>
      </c>
      <c r="Y2186" s="108">
        <f>IF(OtherClients[[#This Row],[Re-certified or New]]&lt;&gt;"Re-certified",IF(OtherClients[[#This Row],[Client]]="infasco",VLOOKUP(OtherClients[[#This Row],[Part]],PartControl!$A$2:$E$564,2,FALSE),OtherClients[[#This Row],[Total Quantity]]*VLOOKUP(OtherClients[[#This Row],[Part]],PartControl!$A$2:$E$564,2,FALSE)),0)</f>
        <v>135.08000000000001</v>
      </c>
      <c r="Z2186" s="108">
        <f>IF(OtherClients[[#This Row],[Re-certified or New]]&lt;&gt;"Re-certified",IF(OtherClients[[#This Row],[Client]]="infasco",VLOOKUP(OtherClients[[#This Row],[Part]],PartControl!$A$2:$E$564,2,FALSE),OtherClients[[#This Row],[Total Quantity]]*VLOOKUP(OtherClients[[#This Row],[Part]],PartControl!$A$2:$E$564,2,FALSE)),0)</f>
        <v>135.08000000000001</v>
      </c>
    </row>
    <row r="2187" spans="1:26" ht="25.15" hidden="1" customHeight="1" x14ac:dyDescent="0.25">
      <c r="A2187" s="112">
        <v>46265.707662037035</v>
      </c>
      <c r="B2187" s="5" t="s">
        <v>343</v>
      </c>
      <c r="C2187" s="5" t="s">
        <v>818</v>
      </c>
      <c r="D2187" s="5">
        <v>717467</v>
      </c>
      <c r="E2187" s="33">
        <v>36</v>
      </c>
      <c r="F2187" s="60">
        <v>670</v>
      </c>
      <c r="G2187" s="60">
        <f>+OtherClients[[#This Row],[Boxes / Pieces]]*OtherClients[[#This Row],[Unit Quantity]]</f>
        <v>24120</v>
      </c>
      <c r="H2187" s="60" t="s">
        <v>899</v>
      </c>
      <c r="I2187" s="130" t="s">
        <v>278</v>
      </c>
      <c r="J2187" s="131"/>
      <c r="K2187" s="33" t="s">
        <v>278</v>
      </c>
      <c r="L2187" s="132"/>
      <c r="M2187" s="33" t="s">
        <v>278</v>
      </c>
      <c r="N2187" s="132"/>
      <c r="O2187" s="33" t="s">
        <v>278</v>
      </c>
      <c r="P2187" s="132"/>
      <c r="Q2187" s="33" t="s">
        <v>587</v>
      </c>
      <c r="R2187" s="132"/>
      <c r="S2187" s="33" t="s">
        <v>278</v>
      </c>
      <c r="T2187" s="132"/>
      <c r="U2187" s="33" t="s">
        <v>278</v>
      </c>
      <c r="V2187" s="132"/>
      <c r="W2187" s="59" t="s">
        <v>548</v>
      </c>
      <c r="X2187" s="33" t="str">
        <f>+VLOOKUP(OtherClients[[#This Row],[Part]],PartControl!$A$2:$E$564,5,FALSE)</f>
        <v>infasco</v>
      </c>
      <c r="Y2187" s="108">
        <f>IF(OtherClients[[#This Row],[Re-certified or New]]&lt;&gt;"Re-certified",IF(OtherClients[[#This Row],[Client]]="infasco",VLOOKUP(OtherClients[[#This Row],[Part]],PartControl!$A$2:$E$564,2,FALSE),OtherClients[[#This Row],[Total Quantity]]*VLOOKUP(OtherClients[[#This Row],[Part]],PartControl!$A$2:$E$564,2,FALSE)),0)</f>
        <v>280.16000000000003</v>
      </c>
      <c r="Z2187" s="108">
        <f>IF(OtherClients[[#This Row],[Re-certified or New]]&lt;&gt;"Re-certified",IF(OtherClients[[#This Row],[Client]]="infasco",VLOOKUP(OtherClients[[#This Row],[Part]],PartControl!$A$2:$E$564,2,FALSE),OtherClients[[#This Row],[Total Quantity]]*VLOOKUP(OtherClients[[#This Row],[Part]],PartControl!$A$2:$E$564,2,FALSE)),0)</f>
        <v>280.16000000000003</v>
      </c>
    </row>
    <row r="2188" spans="1:26" ht="25.15" hidden="1" customHeight="1" x14ac:dyDescent="0.25">
      <c r="A2188" s="112">
        <v>46265.707662037035</v>
      </c>
      <c r="B2188" s="5" t="s">
        <v>343</v>
      </c>
      <c r="C2188" s="5" t="s">
        <v>818</v>
      </c>
      <c r="D2188" s="5">
        <v>717468</v>
      </c>
      <c r="E2188" s="33">
        <v>36</v>
      </c>
      <c r="F2188" s="60">
        <v>670</v>
      </c>
      <c r="G2188" s="60">
        <f>+OtherClients[[#This Row],[Boxes / Pieces]]*OtherClients[[#This Row],[Unit Quantity]]</f>
        <v>24120</v>
      </c>
      <c r="H2188" s="60" t="s">
        <v>899</v>
      </c>
      <c r="I2188" s="130" t="s">
        <v>278</v>
      </c>
      <c r="J2188" s="131"/>
      <c r="K2188" s="33" t="s">
        <v>278</v>
      </c>
      <c r="L2188" s="132"/>
      <c r="M2188" s="33" t="s">
        <v>278</v>
      </c>
      <c r="N2188" s="132"/>
      <c r="O2188" s="33" t="s">
        <v>278</v>
      </c>
      <c r="P2188" s="132"/>
      <c r="Q2188" s="33" t="s">
        <v>587</v>
      </c>
      <c r="R2188" s="132"/>
      <c r="S2188" s="33" t="s">
        <v>278</v>
      </c>
      <c r="T2188" s="132"/>
      <c r="U2188" s="33" t="s">
        <v>278</v>
      </c>
      <c r="V2188" s="132"/>
      <c r="W2188" s="59" t="s">
        <v>548</v>
      </c>
      <c r="X2188" s="33" t="str">
        <f>+VLOOKUP(OtherClients[[#This Row],[Part]],PartControl!$A$2:$E$564,5,FALSE)</f>
        <v>infasco</v>
      </c>
      <c r="Y2188" s="108">
        <f>IF(OtherClients[[#This Row],[Re-certified or New]]&lt;&gt;"Re-certified",IF(OtherClients[[#This Row],[Client]]="infasco",VLOOKUP(OtherClients[[#This Row],[Part]],PartControl!$A$2:$E$564,2,FALSE),OtherClients[[#This Row],[Total Quantity]]*VLOOKUP(OtherClients[[#This Row],[Part]],PartControl!$A$2:$E$564,2,FALSE)),0)</f>
        <v>280.16000000000003</v>
      </c>
      <c r="Z2188" s="108">
        <f>IF(OtherClients[[#This Row],[Re-certified or New]]&lt;&gt;"Re-certified",IF(OtherClients[[#This Row],[Client]]="infasco",VLOOKUP(OtherClients[[#This Row],[Part]],PartControl!$A$2:$E$564,2,FALSE),OtherClients[[#This Row],[Total Quantity]]*VLOOKUP(OtherClients[[#This Row],[Part]],PartControl!$A$2:$E$564,2,FALSE)),0)</f>
        <v>280.16000000000003</v>
      </c>
    </row>
    <row r="2189" spans="1:26" ht="25.15" hidden="1" customHeight="1" x14ac:dyDescent="0.25">
      <c r="A2189" s="112">
        <v>46265.707662037035</v>
      </c>
      <c r="B2189" s="5" t="s">
        <v>343</v>
      </c>
      <c r="C2189" s="5" t="s">
        <v>818</v>
      </c>
      <c r="D2189" s="5">
        <v>717461</v>
      </c>
      <c r="E2189" s="33">
        <v>14</v>
      </c>
      <c r="F2189" s="60">
        <v>670</v>
      </c>
      <c r="G2189" s="60">
        <f>+OtherClients[[#This Row],[Boxes / Pieces]]*OtherClients[[#This Row],[Unit Quantity]]</f>
        <v>9380</v>
      </c>
      <c r="H2189" s="60" t="s">
        <v>899</v>
      </c>
      <c r="I2189" s="130" t="s">
        <v>278</v>
      </c>
      <c r="J2189" s="131"/>
      <c r="K2189" s="33" t="s">
        <v>278</v>
      </c>
      <c r="L2189" s="132"/>
      <c r="M2189" s="33" t="s">
        <v>278</v>
      </c>
      <c r="N2189" s="132"/>
      <c r="O2189" s="33" t="s">
        <v>278</v>
      </c>
      <c r="P2189" s="132"/>
      <c r="Q2189" s="33" t="s">
        <v>587</v>
      </c>
      <c r="R2189" s="132"/>
      <c r="S2189" s="33" t="s">
        <v>278</v>
      </c>
      <c r="T2189" s="132"/>
      <c r="U2189" s="33" t="s">
        <v>278</v>
      </c>
      <c r="V2189" s="132"/>
      <c r="W2189" s="59" t="s">
        <v>548</v>
      </c>
      <c r="X2189" s="33" t="str">
        <f>+VLOOKUP(OtherClients[[#This Row],[Part]],PartControl!$A$2:$E$564,5,FALSE)</f>
        <v>infasco</v>
      </c>
      <c r="Y2189" s="108">
        <f>IF(OtherClients[[#This Row],[Re-certified or New]]&lt;&gt;"Re-certified",IF(OtherClients[[#This Row],[Client]]="infasco",VLOOKUP(OtherClients[[#This Row],[Part]],PartControl!$A$2:$E$564,2,FALSE),OtherClients[[#This Row],[Total Quantity]]*VLOOKUP(OtherClients[[#This Row],[Part]],PartControl!$A$2:$E$564,2,FALSE)),0)</f>
        <v>280.16000000000003</v>
      </c>
      <c r="Z2189" s="108">
        <f>IF(OtherClients[[#This Row],[Re-certified or New]]&lt;&gt;"Re-certified",IF(OtherClients[[#This Row],[Client]]="infasco",VLOOKUP(OtherClients[[#This Row],[Part]],PartControl!$A$2:$E$564,2,FALSE),OtherClients[[#This Row],[Total Quantity]]*VLOOKUP(OtherClients[[#This Row],[Part]],PartControl!$A$2:$E$564,2,FALSE)),0)</f>
        <v>280.16000000000003</v>
      </c>
    </row>
    <row r="2190" spans="1:26" ht="25.15" hidden="1" customHeight="1" x14ac:dyDescent="0.25">
      <c r="A2190" s="112">
        <v>46265.707662037035</v>
      </c>
      <c r="B2190" s="5" t="s">
        <v>343</v>
      </c>
      <c r="C2190" s="5" t="s">
        <v>843</v>
      </c>
      <c r="D2190" s="5">
        <v>717166</v>
      </c>
      <c r="E2190" s="33">
        <v>25</v>
      </c>
      <c r="F2190" s="60">
        <v>220</v>
      </c>
      <c r="G2190" s="60">
        <f>+OtherClients[[#This Row],[Boxes / Pieces]]*OtherClients[[#This Row],[Unit Quantity]]</f>
        <v>5500</v>
      </c>
      <c r="H2190" s="60" t="s">
        <v>899</v>
      </c>
      <c r="I2190" s="130" t="s">
        <v>278</v>
      </c>
      <c r="J2190" s="131"/>
      <c r="K2190" s="33" t="s">
        <v>278</v>
      </c>
      <c r="L2190" s="132"/>
      <c r="M2190" s="33" t="s">
        <v>278</v>
      </c>
      <c r="N2190" s="132"/>
      <c r="O2190" s="33" t="s">
        <v>278</v>
      </c>
      <c r="P2190" s="132"/>
      <c r="Q2190" s="33" t="s">
        <v>587</v>
      </c>
      <c r="R2190" s="132"/>
      <c r="S2190" s="33" t="s">
        <v>278</v>
      </c>
      <c r="T2190" s="132"/>
      <c r="U2190" s="33" t="s">
        <v>278</v>
      </c>
      <c r="V2190" s="132"/>
      <c r="W2190" s="59" t="s">
        <v>633</v>
      </c>
      <c r="X2190" s="33" t="str">
        <f>+VLOOKUP(OtherClients[[#This Row],[Part]],PartControl!$A$2:$E$564,5,FALSE)</f>
        <v>infasco</v>
      </c>
      <c r="Y2190" s="108">
        <f>IF(OtherClients[[#This Row],[Re-certified or New]]&lt;&gt;"Re-certified",IF(OtherClients[[#This Row],[Client]]="infasco",VLOOKUP(OtherClients[[#This Row],[Part]],PartControl!$A$2:$E$564,2,FALSE),OtherClients[[#This Row],[Total Quantity]]*VLOOKUP(OtherClients[[#This Row],[Part]],PartControl!$A$2:$E$564,2,FALSE)),0)</f>
        <v>0</v>
      </c>
      <c r="Z2190" s="108">
        <f>IF(OtherClients[[#This Row],[Re-certified or New]]&lt;&gt;"Re-certified",IF(OtherClients[[#This Row],[Client]]="infasco",VLOOKUP(OtherClients[[#This Row],[Part]],PartControl!$A$2:$E$564,2,FALSE),OtherClients[[#This Row],[Total Quantity]]*VLOOKUP(OtherClients[[#This Row],[Part]],PartControl!$A$2:$E$564,2,FALSE)),0)</f>
        <v>0</v>
      </c>
    </row>
    <row r="2191" spans="1:26" ht="25.15" hidden="1" customHeight="1" x14ac:dyDescent="0.25">
      <c r="A2191" s="112">
        <v>46265.707662037035</v>
      </c>
      <c r="B2191" s="5" t="s">
        <v>343</v>
      </c>
      <c r="C2191" s="5" t="s">
        <v>823</v>
      </c>
      <c r="D2191" s="5">
        <v>717004</v>
      </c>
      <c r="E2191" s="33">
        <f>36+11-20</f>
        <v>27</v>
      </c>
      <c r="F2191" s="60">
        <v>1500</v>
      </c>
      <c r="G2191" s="60">
        <f>+OtherClients[[#This Row],[Boxes / Pieces]]*OtherClients[[#This Row],[Unit Quantity]]</f>
        <v>40500</v>
      </c>
      <c r="H2191" s="60" t="s">
        <v>899</v>
      </c>
      <c r="I2191" s="130" t="s">
        <v>278</v>
      </c>
      <c r="J2191" s="131"/>
      <c r="K2191" s="33" t="s">
        <v>278</v>
      </c>
      <c r="L2191" s="132"/>
      <c r="M2191" s="33" t="s">
        <v>278</v>
      </c>
      <c r="N2191" s="132"/>
      <c r="O2191" s="33" t="s">
        <v>278</v>
      </c>
      <c r="P2191" s="132"/>
      <c r="Q2191" s="33" t="s">
        <v>587</v>
      </c>
      <c r="R2191" s="132"/>
      <c r="S2191" s="33" t="s">
        <v>278</v>
      </c>
      <c r="T2191" s="132"/>
      <c r="U2191" s="33" t="s">
        <v>278</v>
      </c>
      <c r="V2191" s="132"/>
      <c r="W2191" s="59" t="s">
        <v>548</v>
      </c>
      <c r="X2191" s="33" t="str">
        <f>+VLOOKUP(OtherClients[[#This Row],[Part]],PartControl!$A$2:$E$564,5,FALSE)</f>
        <v>infasco</v>
      </c>
      <c r="Y2191" s="108">
        <f>IF(OtherClients[[#This Row],[Re-certified or New]]&lt;&gt;"Re-certified",IF(OtherClients[[#This Row],[Client]]="infasco",VLOOKUP(OtherClients[[#This Row],[Part]],PartControl!$A$2:$E$564,2,FALSE),OtherClients[[#This Row],[Total Quantity]]*VLOOKUP(OtherClients[[#This Row],[Part]],PartControl!$A$2:$E$564,2,FALSE)),0)</f>
        <v>226.94</v>
      </c>
      <c r="Z2191" s="108">
        <f>IF(OtherClients[[#This Row],[Re-certified or New]]&lt;&gt;"Re-certified",IF(OtherClients[[#This Row],[Client]]="infasco",VLOOKUP(OtherClients[[#This Row],[Part]],PartControl!$A$2:$E$564,2,FALSE),OtherClients[[#This Row],[Total Quantity]]*VLOOKUP(OtherClients[[#This Row],[Part]],PartControl!$A$2:$E$564,2,FALSE)),0)</f>
        <v>226.94</v>
      </c>
    </row>
    <row r="2192" spans="1:26" ht="25.15" hidden="1" customHeight="1" x14ac:dyDescent="0.25">
      <c r="A2192" s="112">
        <v>46265.707662037035</v>
      </c>
      <c r="B2192" s="5" t="s">
        <v>343</v>
      </c>
      <c r="C2192" s="5">
        <v>11546571</v>
      </c>
      <c r="D2192" s="5">
        <v>716747</v>
      </c>
      <c r="E2192" s="33">
        <v>36</v>
      </c>
      <c r="F2192" s="60">
        <v>1550</v>
      </c>
      <c r="G2192" s="60">
        <f>+OtherClients[[#This Row],[Boxes / Pieces]]*OtherClients[[#This Row],[Unit Quantity]]</f>
        <v>55800</v>
      </c>
      <c r="H2192" s="60" t="s">
        <v>899</v>
      </c>
      <c r="I2192" s="130" t="s">
        <v>278</v>
      </c>
      <c r="J2192" s="131"/>
      <c r="K2192" s="33" t="s">
        <v>278</v>
      </c>
      <c r="L2192" s="132"/>
      <c r="M2192" s="33" t="s">
        <v>278</v>
      </c>
      <c r="N2192" s="132"/>
      <c r="O2192" s="33" t="s">
        <v>278</v>
      </c>
      <c r="P2192" s="132"/>
      <c r="Q2192" s="33" t="s">
        <v>587</v>
      </c>
      <c r="R2192" s="132"/>
      <c r="S2192" s="33" t="s">
        <v>278</v>
      </c>
      <c r="T2192" s="132"/>
      <c r="U2192" s="33" t="s">
        <v>278</v>
      </c>
      <c r="V2192" s="132"/>
      <c r="W2192" s="59" t="s">
        <v>548</v>
      </c>
      <c r="X2192" s="33" t="str">
        <f>+VLOOKUP(OtherClients[[#This Row],[Part]],PartControl!$A$2:$E$564,5,FALSE)</f>
        <v>infasco</v>
      </c>
      <c r="Y2192" s="108">
        <f>IF(OtherClients[[#This Row],[Re-certified or New]]&lt;&gt;"Re-certified",IF(OtherClients[[#This Row],[Client]]="infasco",VLOOKUP(OtherClients[[#This Row],[Part]],PartControl!$A$2:$E$564,2,FALSE),OtherClients[[#This Row],[Total Quantity]]*VLOOKUP(OtherClients[[#This Row],[Part]],PartControl!$A$2:$E$564,2,FALSE)),0)</f>
        <v>135.07999999999998</v>
      </c>
      <c r="Z2192" s="108">
        <f>IF(OtherClients[[#This Row],[Re-certified or New]]&lt;&gt;"Re-certified",IF(OtherClients[[#This Row],[Client]]="infasco",VLOOKUP(OtherClients[[#This Row],[Part]],PartControl!$A$2:$E$564,2,FALSE),OtherClients[[#This Row],[Total Quantity]]*VLOOKUP(OtherClients[[#This Row],[Part]],PartControl!$A$2:$E$564,2,FALSE)),0)</f>
        <v>135.07999999999998</v>
      </c>
    </row>
    <row r="2193" spans="1:26" ht="25.15" hidden="1" customHeight="1" x14ac:dyDescent="0.25">
      <c r="A2193" s="112">
        <v>46265.707662037035</v>
      </c>
      <c r="B2193" s="5" t="s">
        <v>343</v>
      </c>
      <c r="C2193" s="5" t="s">
        <v>818</v>
      </c>
      <c r="D2193" s="5">
        <v>717464</v>
      </c>
      <c r="E2193" s="33">
        <v>36</v>
      </c>
      <c r="F2193" s="60">
        <v>670</v>
      </c>
      <c r="G2193" s="60">
        <f>+OtherClients[[#This Row],[Boxes / Pieces]]*OtherClients[[#This Row],[Unit Quantity]]</f>
        <v>24120</v>
      </c>
      <c r="H2193" s="60" t="s">
        <v>899</v>
      </c>
      <c r="I2193" s="130" t="s">
        <v>278</v>
      </c>
      <c r="J2193" s="131"/>
      <c r="K2193" s="33" t="s">
        <v>278</v>
      </c>
      <c r="L2193" s="132"/>
      <c r="M2193" s="33" t="s">
        <v>278</v>
      </c>
      <c r="N2193" s="132"/>
      <c r="O2193" s="33" t="s">
        <v>278</v>
      </c>
      <c r="P2193" s="132"/>
      <c r="Q2193" s="33" t="s">
        <v>587</v>
      </c>
      <c r="R2193" s="132"/>
      <c r="S2193" s="33" t="s">
        <v>278</v>
      </c>
      <c r="T2193" s="132"/>
      <c r="U2193" s="33" t="s">
        <v>278</v>
      </c>
      <c r="V2193" s="132"/>
      <c r="W2193" s="59" t="s">
        <v>548</v>
      </c>
      <c r="X2193" s="33" t="str">
        <f>+VLOOKUP(OtherClients[[#This Row],[Part]],PartControl!$A$2:$E$564,5,FALSE)</f>
        <v>infasco</v>
      </c>
      <c r="Y2193" s="108">
        <f>IF(OtherClients[[#This Row],[Re-certified or New]]&lt;&gt;"Re-certified",IF(OtherClients[[#This Row],[Client]]="infasco",VLOOKUP(OtherClients[[#This Row],[Part]],PartControl!$A$2:$E$564,2,FALSE),OtherClients[[#This Row],[Total Quantity]]*VLOOKUP(OtherClients[[#This Row],[Part]],PartControl!$A$2:$E$564,2,FALSE)),0)</f>
        <v>280.16000000000003</v>
      </c>
      <c r="Z2193" s="108">
        <f>IF(OtherClients[[#This Row],[Re-certified or New]]&lt;&gt;"Re-certified",IF(OtherClients[[#This Row],[Client]]="infasco",VLOOKUP(OtherClients[[#This Row],[Part]],PartControl!$A$2:$E$564,2,FALSE),OtherClients[[#This Row],[Total Quantity]]*VLOOKUP(OtherClients[[#This Row],[Part]],PartControl!$A$2:$E$564,2,FALSE)),0)</f>
        <v>280.16000000000003</v>
      </c>
    </row>
    <row r="2194" spans="1:26" ht="25.15" hidden="1" customHeight="1" x14ac:dyDescent="0.25">
      <c r="A2194" s="112">
        <v>46265.707662037035</v>
      </c>
      <c r="B2194" s="5" t="s">
        <v>343</v>
      </c>
      <c r="C2194" s="5" t="s">
        <v>818</v>
      </c>
      <c r="D2194" s="5">
        <v>717469</v>
      </c>
      <c r="E2194" s="33">
        <v>20</v>
      </c>
      <c r="F2194" s="60">
        <v>670</v>
      </c>
      <c r="G2194" s="60">
        <f>+OtherClients[[#This Row],[Boxes / Pieces]]*OtherClients[[#This Row],[Unit Quantity]]</f>
        <v>13400</v>
      </c>
      <c r="H2194" s="60" t="s">
        <v>899</v>
      </c>
      <c r="I2194" s="130" t="s">
        <v>278</v>
      </c>
      <c r="J2194" s="131"/>
      <c r="K2194" s="33" t="s">
        <v>278</v>
      </c>
      <c r="L2194" s="132"/>
      <c r="M2194" s="33" t="s">
        <v>278</v>
      </c>
      <c r="N2194" s="132"/>
      <c r="O2194" s="33" t="s">
        <v>278</v>
      </c>
      <c r="P2194" s="132"/>
      <c r="Q2194" s="33" t="s">
        <v>587</v>
      </c>
      <c r="R2194" s="132"/>
      <c r="S2194" s="33" t="s">
        <v>278</v>
      </c>
      <c r="T2194" s="132"/>
      <c r="U2194" s="33" t="s">
        <v>278</v>
      </c>
      <c r="V2194" s="132"/>
      <c r="W2194" s="59" t="s">
        <v>548</v>
      </c>
      <c r="X2194" s="33" t="str">
        <f>+VLOOKUP(OtherClients[[#This Row],[Part]],PartControl!$A$2:$E$564,5,FALSE)</f>
        <v>infasco</v>
      </c>
      <c r="Y2194" s="108">
        <f>IF(OtherClients[[#This Row],[Re-certified or New]]&lt;&gt;"Re-certified",IF(OtherClients[[#This Row],[Client]]="infasco",VLOOKUP(OtherClients[[#This Row],[Part]],PartControl!$A$2:$E$564,2,FALSE),OtherClients[[#This Row],[Total Quantity]]*VLOOKUP(OtherClients[[#This Row],[Part]],PartControl!$A$2:$E$564,2,FALSE)),0)</f>
        <v>280.16000000000003</v>
      </c>
      <c r="Z2194" s="108">
        <f>IF(OtherClients[[#This Row],[Re-certified or New]]&lt;&gt;"Re-certified",IF(OtherClients[[#This Row],[Client]]="infasco",VLOOKUP(OtherClients[[#This Row],[Part]],PartControl!$A$2:$E$564,2,FALSE),OtherClients[[#This Row],[Total Quantity]]*VLOOKUP(OtherClients[[#This Row],[Part]],PartControl!$A$2:$E$564,2,FALSE)),0)</f>
        <v>280.16000000000003</v>
      </c>
    </row>
    <row r="2195" spans="1:26" ht="25.15" hidden="1" customHeight="1" x14ac:dyDescent="0.25">
      <c r="A2195" s="112">
        <v>46265.707662037035</v>
      </c>
      <c r="B2195" s="5" t="s">
        <v>343</v>
      </c>
      <c r="C2195" s="5">
        <v>11546571</v>
      </c>
      <c r="D2195" s="5">
        <v>716748</v>
      </c>
      <c r="E2195" s="33">
        <v>26</v>
      </c>
      <c r="F2195" s="60">
        <v>1550</v>
      </c>
      <c r="G2195" s="60">
        <f>+OtherClients[[#This Row],[Boxes / Pieces]]*OtherClients[[#This Row],[Unit Quantity]]</f>
        <v>40300</v>
      </c>
      <c r="H2195" s="60" t="s">
        <v>899</v>
      </c>
      <c r="I2195" s="130" t="s">
        <v>278</v>
      </c>
      <c r="J2195" s="131"/>
      <c r="K2195" s="33" t="s">
        <v>278</v>
      </c>
      <c r="L2195" s="132"/>
      <c r="M2195" s="33" t="s">
        <v>278</v>
      </c>
      <c r="N2195" s="132"/>
      <c r="O2195" s="33" t="s">
        <v>278</v>
      </c>
      <c r="P2195" s="132"/>
      <c r="Q2195" s="33" t="s">
        <v>587</v>
      </c>
      <c r="R2195" s="132"/>
      <c r="S2195" s="33" t="s">
        <v>278</v>
      </c>
      <c r="T2195" s="132"/>
      <c r="U2195" s="33" t="s">
        <v>278</v>
      </c>
      <c r="V2195" s="132"/>
      <c r="W2195" s="59" t="s">
        <v>548</v>
      </c>
      <c r="X2195" s="33" t="str">
        <f>+VLOOKUP(OtherClients[[#This Row],[Part]],PartControl!$A$2:$E$564,5,FALSE)</f>
        <v>infasco</v>
      </c>
      <c r="Y2195" s="108">
        <f>IF(OtherClients[[#This Row],[Re-certified or New]]&lt;&gt;"Re-certified",IF(OtherClients[[#This Row],[Client]]="infasco",VLOOKUP(OtherClients[[#This Row],[Part]],PartControl!$A$2:$E$564,2,FALSE),OtherClients[[#This Row],[Total Quantity]]*VLOOKUP(OtherClients[[#This Row],[Part]],PartControl!$A$2:$E$564,2,FALSE)),0)</f>
        <v>135.07999999999998</v>
      </c>
      <c r="Z2195" s="108">
        <f>IF(OtherClients[[#This Row],[Re-certified or New]]&lt;&gt;"Re-certified",IF(OtherClients[[#This Row],[Client]]="infasco",VLOOKUP(OtherClients[[#This Row],[Part]],PartControl!$A$2:$E$564,2,FALSE),OtherClients[[#This Row],[Total Quantity]]*VLOOKUP(OtherClients[[#This Row],[Part]],PartControl!$A$2:$E$564,2,FALSE)),0)</f>
        <v>135.07999999999998</v>
      </c>
    </row>
    <row r="2196" spans="1:26" ht="25.15" hidden="1" customHeight="1" x14ac:dyDescent="0.25">
      <c r="A2196" s="112">
        <v>46265.707662037035</v>
      </c>
      <c r="B2196" s="5" t="s">
        <v>344</v>
      </c>
      <c r="C2196" s="5" t="s">
        <v>700</v>
      </c>
      <c r="D2196" s="5">
        <v>714533</v>
      </c>
      <c r="E2196" s="33">
        <f>36+13-32</f>
        <v>17</v>
      </c>
      <c r="F2196" s="60">
        <v>1000</v>
      </c>
      <c r="G2196" s="60">
        <f>+OtherClients[[#This Row],[Boxes / Pieces]]*OtherClients[[#This Row],[Unit Quantity]]</f>
        <v>17000</v>
      </c>
      <c r="H2196" s="60" t="s">
        <v>816</v>
      </c>
      <c r="I2196" s="130" t="s">
        <v>278</v>
      </c>
      <c r="J2196" s="131"/>
      <c r="K2196" s="33" t="s">
        <v>278</v>
      </c>
      <c r="L2196" s="132"/>
      <c r="M2196" s="33" t="s">
        <v>278</v>
      </c>
      <c r="N2196" s="132"/>
      <c r="O2196" s="33" t="s">
        <v>278</v>
      </c>
      <c r="P2196" s="132"/>
      <c r="Q2196" s="33" t="s">
        <v>587</v>
      </c>
      <c r="R2196" s="132"/>
      <c r="S2196" s="33" t="s">
        <v>278</v>
      </c>
      <c r="T2196" s="132"/>
      <c r="U2196" s="33" t="s">
        <v>278</v>
      </c>
      <c r="V2196" s="132"/>
      <c r="W2196" s="59" t="s">
        <v>548</v>
      </c>
      <c r="X2196" s="33" t="str">
        <f>+VLOOKUP(OtherClients[[#This Row],[Part]],PartControl!$A$2:$E$564,5,FALSE)</f>
        <v>infasco</v>
      </c>
      <c r="Y2196" s="108">
        <f>IF(OtherClients[[#This Row],[Re-certified or New]]&lt;&gt;"Re-certified",IF(OtherClients[[#This Row],[Client]]="infasco",VLOOKUP(OtherClients[[#This Row],[Part]],PartControl!$A$2:$E$564,2,FALSE),OtherClients[[#This Row],[Total Quantity]]*VLOOKUP(OtherClients[[#This Row],[Part]],PartControl!$A$2:$E$564,2,FALSE)),0)</f>
        <v>106.94</v>
      </c>
      <c r="Z2196" s="108">
        <f>IF(OtherClients[[#This Row],[Re-certified or New]]&lt;&gt;"Re-certified",IF(OtherClients[[#This Row],[Client]]="infasco",VLOOKUP(OtherClients[[#This Row],[Part]],PartControl!$A$2:$E$564,2,FALSE),OtherClients[[#This Row],[Total Quantity]]*VLOOKUP(OtherClients[[#This Row],[Part]],PartControl!$A$2:$E$564,2,FALSE)),0)</f>
        <v>106.94</v>
      </c>
    </row>
    <row r="2197" spans="1:26" ht="25.15" hidden="1" customHeight="1" x14ac:dyDescent="0.25">
      <c r="A2197" s="112">
        <v>46265.707662037035</v>
      </c>
      <c r="B2197" s="5" t="s">
        <v>344</v>
      </c>
      <c r="C2197" s="5" t="s">
        <v>838</v>
      </c>
      <c r="D2197" s="5">
        <v>716305</v>
      </c>
      <c r="E2197" s="33">
        <v>32</v>
      </c>
      <c r="F2197" s="60">
        <v>1200</v>
      </c>
      <c r="G2197" s="60">
        <f>+OtherClients[[#This Row],[Boxes / Pieces]]*OtherClients[[#This Row],[Unit Quantity]]</f>
        <v>38400</v>
      </c>
      <c r="H2197" s="60" t="s">
        <v>816</v>
      </c>
      <c r="I2197" s="130" t="s">
        <v>278</v>
      </c>
      <c r="J2197" s="131"/>
      <c r="K2197" s="33" t="s">
        <v>278</v>
      </c>
      <c r="L2197" s="132"/>
      <c r="M2197" s="33" t="s">
        <v>278</v>
      </c>
      <c r="N2197" s="132"/>
      <c r="O2197" s="33" t="s">
        <v>278</v>
      </c>
      <c r="P2197" s="132"/>
      <c r="Q2197" s="33" t="s">
        <v>587</v>
      </c>
      <c r="R2197" s="132"/>
      <c r="S2197" s="33" t="s">
        <v>278</v>
      </c>
      <c r="T2197" s="132"/>
      <c r="U2197" s="33" t="s">
        <v>278</v>
      </c>
      <c r="V2197" s="132"/>
      <c r="W2197" s="59" t="s">
        <v>548</v>
      </c>
      <c r="X2197" s="33" t="str">
        <f>+VLOOKUP(OtherClients[[#This Row],[Part]],PartControl!$A$2:$E$564,5,FALSE)</f>
        <v>infasco</v>
      </c>
      <c r="Y2197" s="108">
        <f>IF(OtherClients[[#This Row],[Re-certified or New]]&lt;&gt;"Re-certified",IF(OtherClients[[#This Row],[Client]]="infasco",VLOOKUP(OtherClients[[#This Row],[Part]],PartControl!$A$2:$E$564,2,FALSE),OtherClients[[#This Row],[Total Quantity]]*VLOOKUP(OtherClients[[#This Row],[Part]],PartControl!$A$2:$E$564,2,FALSE)),0)</f>
        <v>106.94</v>
      </c>
      <c r="Z2197" s="108">
        <f>IF(OtherClients[[#This Row],[Re-certified or New]]&lt;&gt;"Re-certified",IF(OtherClients[[#This Row],[Client]]="infasco",VLOOKUP(OtherClients[[#This Row],[Part]],PartControl!$A$2:$E$564,2,FALSE),OtherClients[[#This Row],[Total Quantity]]*VLOOKUP(OtherClients[[#This Row],[Part]],PartControl!$A$2:$E$564,2,FALSE)),0)</f>
        <v>106.94</v>
      </c>
    </row>
    <row r="2198" spans="1:26" ht="25.15" hidden="1" customHeight="1" x14ac:dyDescent="0.25">
      <c r="A2198" s="112">
        <v>46265.707662037035</v>
      </c>
      <c r="B2198" s="5" t="s">
        <v>344</v>
      </c>
      <c r="C2198" s="5" t="s">
        <v>818</v>
      </c>
      <c r="D2198" s="5">
        <v>717470</v>
      </c>
      <c r="E2198" s="33">
        <v>38</v>
      </c>
      <c r="F2198" s="60">
        <v>670</v>
      </c>
      <c r="G2198" s="60">
        <f>+OtherClients[[#This Row],[Boxes / Pieces]]*OtherClients[[#This Row],[Unit Quantity]]</f>
        <v>25460</v>
      </c>
      <c r="H2198" s="60" t="s">
        <v>816</v>
      </c>
      <c r="I2198" s="130" t="s">
        <v>278</v>
      </c>
      <c r="J2198" s="131"/>
      <c r="K2198" s="33" t="s">
        <v>278</v>
      </c>
      <c r="L2198" s="132"/>
      <c r="M2198" s="33" t="s">
        <v>278</v>
      </c>
      <c r="N2198" s="132"/>
      <c r="O2198" s="33" t="s">
        <v>278</v>
      </c>
      <c r="P2198" s="132"/>
      <c r="Q2198" s="33" t="s">
        <v>587</v>
      </c>
      <c r="R2198" s="132"/>
      <c r="S2198" s="33" t="s">
        <v>278</v>
      </c>
      <c r="T2198" s="132"/>
      <c r="U2198" s="33" t="s">
        <v>278</v>
      </c>
      <c r="V2198" s="132"/>
      <c r="W2198" s="59" t="s">
        <v>548</v>
      </c>
      <c r="X2198" s="33" t="str">
        <f>+VLOOKUP(OtherClients[[#This Row],[Part]],PartControl!$A$2:$E$564,5,FALSE)</f>
        <v>infasco</v>
      </c>
      <c r="Y2198" s="108">
        <f>IF(OtherClients[[#This Row],[Re-certified or New]]&lt;&gt;"Re-certified",IF(OtherClients[[#This Row],[Client]]="infasco",VLOOKUP(OtherClients[[#This Row],[Part]],PartControl!$A$2:$E$564,2,FALSE),OtherClients[[#This Row],[Total Quantity]]*VLOOKUP(OtherClients[[#This Row],[Part]],PartControl!$A$2:$E$564,2,FALSE)),0)</f>
        <v>280.16000000000003</v>
      </c>
      <c r="Z2198" s="108">
        <f>IF(OtherClients[[#This Row],[Re-certified or New]]&lt;&gt;"Re-certified",IF(OtherClients[[#This Row],[Client]]="infasco",VLOOKUP(OtherClients[[#This Row],[Part]],PartControl!$A$2:$E$564,2,FALSE),OtherClients[[#This Row],[Total Quantity]]*VLOOKUP(OtherClients[[#This Row],[Part]],PartControl!$A$2:$E$564,2,FALSE)),0)</f>
        <v>280.16000000000003</v>
      </c>
    </row>
    <row r="2199" spans="1:26" ht="25.15" hidden="1" customHeight="1" x14ac:dyDescent="0.25">
      <c r="A2199" s="112">
        <v>46265.707662037035</v>
      </c>
      <c r="B2199" s="5" t="s">
        <v>344</v>
      </c>
      <c r="C2199" s="5" t="s">
        <v>843</v>
      </c>
      <c r="D2199" s="5">
        <v>717172</v>
      </c>
      <c r="E2199" s="33">
        <v>36</v>
      </c>
      <c r="F2199" s="60">
        <v>220</v>
      </c>
      <c r="G2199" s="60">
        <f>+OtherClients[[#This Row],[Boxes / Pieces]]*OtherClients[[#This Row],[Unit Quantity]]</f>
        <v>7920</v>
      </c>
      <c r="H2199" s="60" t="s">
        <v>816</v>
      </c>
      <c r="I2199" s="130" t="s">
        <v>278</v>
      </c>
      <c r="J2199" s="131"/>
      <c r="K2199" s="33" t="s">
        <v>278</v>
      </c>
      <c r="L2199" s="132"/>
      <c r="M2199" s="33" t="s">
        <v>278</v>
      </c>
      <c r="N2199" s="132"/>
      <c r="O2199" s="33" t="s">
        <v>278</v>
      </c>
      <c r="P2199" s="132"/>
      <c r="Q2199" s="33" t="s">
        <v>587</v>
      </c>
      <c r="R2199" s="132"/>
      <c r="S2199" s="33" t="s">
        <v>278</v>
      </c>
      <c r="T2199" s="132"/>
      <c r="U2199" s="33" t="s">
        <v>278</v>
      </c>
      <c r="V2199" s="132"/>
      <c r="W2199" s="59" t="s">
        <v>548</v>
      </c>
      <c r="X2199" s="33" t="str">
        <f>+VLOOKUP(OtherClients[[#This Row],[Part]],PartControl!$A$2:$E$564,5,FALSE)</f>
        <v>infasco</v>
      </c>
      <c r="Y2199" s="108">
        <f>IF(OtherClients[[#This Row],[Re-certified or New]]&lt;&gt;"Re-certified",IF(OtherClients[[#This Row],[Client]]="infasco",VLOOKUP(OtherClients[[#This Row],[Part]],PartControl!$A$2:$E$564,2,FALSE),OtherClients[[#This Row],[Total Quantity]]*VLOOKUP(OtherClients[[#This Row],[Part]],PartControl!$A$2:$E$564,2,FALSE)),0)</f>
        <v>106.94</v>
      </c>
      <c r="Z2199" s="108">
        <f>IF(OtherClients[[#This Row],[Re-certified or New]]&lt;&gt;"Re-certified",IF(OtherClients[[#This Row],[Client]]="infasco",VLOOKUP(OtherClients[[#This Row],[Part]],PartControl!$A$2:$E$564,2,FALSE),OtherClients[[#This Row],[Total Quantity]]*VLOOKUP(OtherClients[[#This Row],[Part]],PartControl!$A$2:$E$564,2,FALSE)),0)</f>
        <v>106.94</v>
      </c>
    </row>
    <row r="2200" spans="1:26" ht="25.15" hidden="1" customHeight="1" x14ac:dyDescent="0.25">
      <c r="A2200" s="112">
        <v>46265.707662037035</v>
      </c>
      <c r="B2200" s="5" t="s">
        <v>344</v>
      </c>
      <c r="C2200" s="5" t="s">
        <v>843</v>
      </c>
      <c r="D2200" s="5">
        <v>717173</v>
      </c>
      <c r="E2200" s="33">
        <v>36</v>
      </c>
      <c r="F2200" s="60">
        <v>220</v>
      </c>
      <c r="G2200" s="60">
        <f>+OtherClients[[#This Row],[Boxes / Pieces]]*OtherClients[[#This Row],[Unit Quantity]]</f>
        <v>7920</v>
      </c>
      <c r="H2200" s="60" t="s">
        <v>816</v>
      </c>
      <c r="I2200" s="130" t="s">
        <v>278</v>
      </c>
      <c r="J2200" s="131"/>
      <c r="K2200" s="33" t="s">
        <v>278</v>
      </c>
      <c r="L2200" s="132"/>
      <c r="M2200" s="33" t="s">
        <v>278</v>
      </c>
      <c r="N2200" s="132"/>
      <c r="O2200" s="33" t="s">
        <v>278</v>
      </c>
      <c r="P2200" s="132"/>
      <c r="Q2200" s="33" t="s">
        <v>587</v>
      </c>
      <c r="R2200" s="132"/>
      <c r="S2200" s="33" t="s">
        <v>278</v>
      </c>
      <c r="T2200" s="132"/>
      <c r="U2200" s="33" t="s">
        <v>278</v>
      </c>
      <c r="V2200" s="132"/>
      <c r="W2200" s="59" t="s">
        <v>548</v>
      </c>
      <c r="X2200" s="33" t="str">
        <f>+VLOOKUP(OtherClients[[#This Row],[Part]],PartControl!$A$2:$E$564,5,FALSE)</f>
        <v>infasco</v>
      </c>
      <c r="Y2200" s="108">
        <f>IF(OtherClients[[#This Row],[Re-certified or New]]&lt;&gt;"Re-certified",IF(OtherClients[[#This Row],[Client]]="infasco",VLOOKUP(OtherClients[[#This Row],[Part]],PartControl!$A$2:$E$564,2,FALSE),OtherClients[[#This Row],[Total Quantity]]*VLOOKUP(OtherClients[[#This Row],[Part]],PartControl!$A$2:$E$564,2,FALSE)),0)</f>
        <v>106.94</v>
      </c>
      <c r="Z2200" s="108">
        <f>IF(OtherClients[[#This Row],[Re-certified or New]]&lt;&gt;"Re-certified",IF(OtherClients[[#This Row],[Client]]="infasco",VLOOKUP(OtherClients[[#This Row],[Part]],PartControl!$A$2:$E$564,2,FALSE),OtherClients[[#This Row],[Total Quantity]]*VLOOKUP(OtherClients[[#This Row],[Part]],PartControl!$A$2:$E$564,2,FALSE)),0)</f>
        <v>106.94</v>
      </c>
    </row>
    <row r="2201" spans="1:26" ht="25.15" hidden="1" customHeight="1" x14ac:dyDescent="0.25">
      <c r="A2201" s="112">
        <v>46265.707662037035</v>
      </c>
      <c r="B2201" s="5" t="s">
        <v>344</v>
      </c>
      <c r="C2201" s="5" t="s">
        <v>843</v>
      </c>
      <c r="D2201" s="5">
        <v>717174</v>
      </c>
      <c r="E2201" s="33">
        <v>20</v>
      </c>
      <c r="F2201" s="60">
        <v>220</v>
      </c>
      <c r="G2201" s="60">
        <f>+OtherClients[[#This Row],[Boxes / Pieces]]*OtherClients[[#This Row],[Unit Quantity]]</f>
        <v>4400</v>
      </c>
      <c r="H2201" s="60" t="s">
        <v>816</v>
      </c>
      <c r="I2201" s="130" t="s">
        <v>278</v>
      </c>
      <c r="J2201" s="131"/>
      <c r="K2201" s="33" t="s">
        <v>278</v>
      </c>
      <c r="L2201" s="132"/>
      <c r="M2201" s="33" t="s">
        <v>278</v>
      </c>
      <c r="N2201" s="132"/>
      <c r="O2201" s="33" t="s">
        <v>278</v>
      </c>
      <c r="P2201" s="132"/>
      <c r="Q2201" s="33" t="s">
        <v>587</v>
      </c>
      <c r="R2201" s="132"/>
      <c r="S2201" s="33" t="s">
        <v>278</v>
      </c>
      <c r="T2201" s="132"/>
      <c r="U2201" s="33" t="s">
        <v>278</v>
      </c>
      <c r="V2201" s="132"/>
      <c r="W2201" s="59" t="s">
        <v>548</v>
      </c>
      <c r="X2201" s="33" t="str">
        <f>+VLOOKUP(OtherClients[[#This Row],[Part]],PartControl!$A$2:$E$564,5,FALSE)</f>
        <v>infasco</v>
      </c>
      <c r="Y2201" s="108">
        <f>IF(OtherClients[[#This Row],[Re-certified or New]]&lt;&gt;"Re-certified",IF(OtherClients[[#This Row],[Client]]="infasco",VLOOKUP(OtherClients[[#This Row],[Part]],PartControl!$A$2:$E$564,2,FALSE),OtherClients[[#This Row],[Total Quantity]]*VLOOKUP(OtherClients[[#This Row],[Part]],PartControl!$A$2:$E$564,2,FALSE)),0)</f>
        <v>106.94</v>
      </c>
      <c r="Z2201" s="108">
        <f>IF(OtherClients[[#This Row],[Re-certified or New]]&lt;&gt;"Re-certified",IF(OtherClients[[#This Row],[Client]]="infasco",VLOOKUP(OtherClients[[#This Row],[Part]],PartControl!$A$2:$E$564,2,FALSE),OtherClients[[#This Row],[Total Quantity]]*VLOOKUP(OtherClients[[#This Row],[Part]],PartControl!$A$2:$E$564,2,FALSE)),0)</f>
        <v>106.94</v>
      </c>
    </row>
    <row r="2202" spans="1:26" ht="25.15" hidden="1" customHeight="1" x14ac:dyDescent="0.25">
      <c r="A2202" s="112">
        <v>46265.707662037035</v>
      </c>
      <c r="B2202" s="5" t="s">
        <v>344</v>
      </c>
      <c r="C2202" s="5" t="s">
        <v>835</v>
      </c>
      <c r="D2202" s="5">
        <v>717626</v>
      </c>
      <c r="E2202" s="33">
        <v>34</v>
      </c>
      <c r="F2202" s="60">
        <v>660</v>
      </c>
      <c r="G2202" s="60">
        <f>+OtherClients[[#This Row],[Boxes / Pieces]]*OtherClients[[#This Row],[Unit Quantity]]</f>
        <v>22440</v>
      </c>
      <c r="H2202" s="60" t="s">
        <v>816</v>
      </c>
      <c r="I2202" s="130" t="s">
        <v>278</v>
      </c>
      <c r="J2202" s="131"/>
      <c r="K2202" s="33" t="s">
        <v>278</v>
      </c>
      <c r="L2202" s="132"/>
      <c r="M2202" s="33" t="s">
        <v>278</v>
      </c>
      <c r="N2202" s="132"/>
      <c r="O2202" s="33" t="s">
        <v>278</v>
      </c>
      <c r="P2202" s="132"/>
      <c r="Q2202" s="33" t="s">
        <v>587</v>
      </c>
      <c r="R2202" s="132"/>
      <c r="S2202" s="33" t="s">
        <v>278</v>
      </c>
      <c r="T2202" s="132"/>
      <c r="U2202" s="33" t="s">
        <v>278</v>
      </c>
      <c r="V2202" s="132"/>
      <c r="W2202" s="59" t="s">
        <v>548</v>
      </c>
      <c r="X2202" s="33" t="str">
        <f>+VLOOKUP(OtherClients[[#This Row],[Part]],PartControl!$A$2:$E$564,5,FALSE)</f>
        <v>infasco</v>
      </c>
      <c r="Y2202" s="108">
        <f>IF(OtherClients[[#This Row],[Re-certified or New]]&lt;&gt;"Re-certified",IF(OtherClients[[#This Row],[Client]]="infasco",VLOOKUP(OtherClients[[#This Row],[Part]],PartControl!$A$2:$E$564,2,FALSE),OtherClients[[#This Row],[Total Quantity]]*VLOOKUP(OtherClients[[#This Row],[Part]],PartControl!$A$2:$E$564,2,FALSE)),0)</f>
        <v>135.08000000000001</v>
      </c>
      <c r="Z2202" s="108">
        <f>IF(OtherClients[[#This Row],[Re-certified or New]]&lt;&gt;"Re-certified",IF(OtherClients[[#This Row],[Client]]="infasco",VLOOKUP(OtherClients[[#This Row],[Part]],PartControl!$A$2:$E$564,2,FALSE),OtherClients[[#This Row],[Total Quantity]]*VLOOKUP(OtherClients[[#This Row],[Part]],PartControl!$A$2:$E$564,2,FALSE)),0)</f>
        <v>135.08000000000001</v>
      </c>
    </row>
    <row r="2203" spans="1:26" ht="25.15" hidden="1" customHeight="1" x14ac:dyDescent="0.25">
      <c r="A2203" s="112">
        <v>46265.707662037035</v>
      </c>
      <c r="B2203" s="5" t="s">
        <v>344</v>
      </c>
      <c r="C2203" s="5" t="s">
        <v>795</v>
      </c>
      <c r="D2203" s="5">
        <v>717450</v>
      </c>
      <c r="E2203" s="33">
        <v>36</v>
      </c>
      <c r="F2203" s="60">
        <v>800</v>
      </c>
      <c r="G2203" s="60">
        <f>+OtherClients[[#This Row],[Boxes / Pieces]]*OtherClients[[#This Row],[Unit Quantity]]</f>
        <v>28800</v>
      </c>
      <c r="H2203" s="60" t="s">
        <v>816</v>
      </c>
      <c r="I2203" s="130" t="s">
        <v>278</v>
      </c>
      <c r="J2203" s="131"/>
      <c r="K2203" s="33" t="s">
        <v>278</v>
      </c>
      <c r="L2203" s="132"/>
      <c r="M2203" s="33" t="s">
        <v>278</v>
      </c>
      <c r="N2203" s="132"/>
      <c r="O2203" s="33" t="s">
        <v>278</v>
      </c>
      <c r="P2203" s="132"/>
      <c r="Q2203" s="33" t="s">
        <v>587</v>
      </c>
      <c r="R2203" s="132"/>
      <c r="S2203" s="33" t="s">
        <v>278</v>
      </c>
      <c r="T2203" s="132"/>
      <c r="U2203" s="33" t="s">
        <v>278</v>
      </c>
      <c r="V2203" s="132"/>
      <c r="W2203" s="59" t="s">
        <v>548</v>
      </c>
      <c r="X2203" s="33" t="str">
        <f>+VLOOKUP(OtherClients[[#This Row],[Part]],PartControl!$A$2:$E$564,5,FALSE)</f>
        <v>infasco</v>
      </c>
      <c r="Y2203" s="108">
        <f>IF(OtherClients[[#This Row],[Re-certified or New]]&lt;&gt;"Re-certified",IF(OtherClients[[#This Row],[Client]]="infasco",VLOOKUP(OtherClients[[#This Row],[Part]],PartControl!$A$2:$E$564,2,FALSE),OtherClients[[#This Row],[Total Quantity]]*VLOOKUP(OtherClients[[#This Row],[Part]],PartControl!$A$2:$E$564,2,FALSE)),0)</f>
        <v>280.16000000000003</v>
      </c>
      <c r="Z2203" s="108">
        <f>IF(OtherClients[[#This Row],[Re-certified or New]]&lt;&gt;"Re-certified",IF(OtherClients[[#This Row],[Client]]="infasco",VLOOKUP(OtherClients[[#This Row],[Part]],PartControl!$A$2:$E$564,2,FALSE),OtherClients[[#This Row],[Total Quantity]]*VLOOKUP(OtherClients[[#This Row],[Part]],PartControl!$A$2:$E$564,2,FALSE)),0)</f>
        <v>280.16000000000003</v>
      </c>
    </row>
    <row r="2204" spans="1:26" ht="25.15" hidden="1" customHeight="1" x14ac:dyDescent="0.25">
      <c r="A2204" s="112">
        <v>46265.707662037035</v>
      </c>
      <c r="B2204" s="5" t="s">
        <v>344</v>
      </c>
      <c r="C2204" s="5" t="s">
        <v>795</v>
      </c>
      <c r="D2204" s="5">
        <v>717449</v>
      </c>
      <c r="E2204" s="33">
        <v>13</v>
      </c>
      <c r="F2204" s="60">
        <v>800</v>
      </c>
      <c r="G2204" s="60">
        <f>+OtherClients[[#This Row],[Boxes / Pieces]]*OtherClients[[#This Row],[Unit Quantity]]</f>
        <v>10400</v>
      </c>
      <c r="H2204" s="60" t="s">
        <v>816</v>
      </c>
      <c r="I2204" s="130" t="s">
        <v>278</v>
      </c>
      <c r="J2204" s="131"/>
      <c r="K2204" s="33" t="s">
        <v>278</v>
      </c>
      <c r="L2204" s="132"/>
      <c r="M2204" s="33" t="s">
        <v>278</v>
      </c>
      <c r="N2204" s="132"/>
      <c r="O2204" s="33" t="s">
        <v>278</v>
      </c>
      <c r="P2204" s="132"/>
      <c r="Q2204" s="33" t="s">
        <v>587</v>
      </c>
      <c r="R2204" s="132"/>
      <c r="S2204" s="33" t="s">
        <v>278</v>
      </c>
      <c r="T2204" s="132"/>
      <c r="U2204" s="33" t="s">
        <v>278</v>
      </c>
      <c r="V2204" s="132"/>
      <c r="W2204" s="59" t="s">
        <v>548</v>
      </c>
      <c r="X2204" s="33" t="str">
        <f>+VLOOKUP(OtherClients[[#This Row],[Part]],PartControl!$A$2:$E$564,5,FALSE)</f>
        <v>infasco</v>
      </c>
      <c r="Y2204" s="108">
        <f>IF(OtherClients[[#This Row],[Re-certified or New]]&lt;&gt;"Re-certified",IF(OtherClients[[#This Row],[Client]]="infasco",VLOOKUP(OtherClients[[#This Row],[Part]],PartControl!$A$2:$E$564,2,FALSE),OtherClients[[#This Row],[Total Quantity]]*VLOOKUP(OtherClients[[#This Row],[Part]],PartControl!$A$2:$E$564,2,FALSE)),0)</f>
        <v>280.16000000000003</v>
      </c>
      <c r="Z2204" s="108">
        <f>IF(OtherClients[[#This Row],[Re-certified or New]]&lt;&gt;"Re-certified",IF(OtherClients[[#This Row],[Client]]="infasco",VLOOKUP(OtherClients[[#This Row],[Part]],PartControl!$A$2:$E$564,2,FALSE),OtherClients[[#This Row],[Total Quantity]]*VLOOKUP(OtherClients[[#This Row],[Part]],PartControl!$A$2:$E$564,2,FALSE)),0)</f>
        <v>280.16000000000003</v>
      </c>
    </row>
    <row r="2205" spans="1:26" ht="25.15" hidden="1" customHeight="1" x14ac:dyDescent="0.25">
      <c r="A2205" s="112">
        <v>46265.707662037035</v>
      </c>
      <c r="B2205" s="5" t="s">
        <v>344</v>
      </c>
      <c r="C2205" s="5">
        <v>11546379</v>
      </c>
      <c r="D2205" s="5">
        <v>716826</v>
      </c>
      <c r="E2205" s="33">
        <v>32</v>
      </c>
      <c r="F2205" s="60">
        <v>700</v>
      </c>
      <c r="G2205" s="60">
        <f>+OtherClients[[#This Row],[Boxes / Pieces]]*OtherClients[[#This Row],[Unit Quantity]]</f>
        <v>22400</v>
      </c>
      <c r="H2205" s="60" t="s">
        <v>816</v>
      </c>
      <c r="I2205" s="130" t="s">
        <v>278</v>
      </c>
      <c r="J2205" s="131"/>
      <c r="K2205" s="33" t="s">
        <v>278</v>
      </c>
      <c r="L2205" s="132"/>
      <c r="M2205" s="33" t="s">
        <v>278</v>
      </c>
      <c r="N2205" s="132"/>
      <c r="O2205" s="33" t="s">
        <v>278</v>
      </c>
      <c r="P2205" s="132"/>
      <c r="Q2205" s="33" t="s">
        <v>587</v>
      </c>
      <c r="R2205" s="132"/>
      <c r="S2205" s="33" t="s">
        <v>278</v>
      </c>
      <c r="T2205" s="132"/>
      <c r="U2205" s="33" t="s">
        <v>278</v>
      </c>
      <c r="V2205" s="132"/>
      <c r="W2205" s="59" t="s">
        <v>548</v>
      </c>
      <c r="X2205" s="33" t="str">
        <f>+VLOOKUP(OtherClients[[#This Row],[Part]],PartControl!$A$2:$E$564,5,FALSE)</f>
        <v>Infasco</v>
      </c>
      <c r="Y2205" s="108">
        <f>IF(OtherClients[[#This Row],[Re-certified or New]]&lt;&gt;"Re-certified",IF(OtherClients[[#This Row],[Client]]="infasco",VLOOKUP(OtherClients[[#This Row],[Part]],PartControl!$A$2:$E$564,2,FALSE),OtherClients[[#This Row],[Total Quantity]]*VLOOKUP(OtherClients[[#This Row],[Part]],PartControl!$A$2:$E$564,2,FALSE)),0)</f>
        <v>106.94</v>
      </c>
      <c r="Z2205" s="108">
        <f>IF(OtherClients[[#This Row],[Re-certified or New]]&lt;&gt;"Re-certified",IF(OtherClients[[#This Row],[Client]]="infasco",VLOOKUP(OtherClients[[#This Row],[Part]],PartControl!$A$2:$E$564,2,FALSE),OtherClients[[#This Row],[Total Quantity]]*VLOOKUP(OtherClients[[#This Row],[Part]],PartControl!$A$2:$E$564,2,FALSE)),0)</f>
        <v>106.94</v>
      </c>
    </row>
    <row r="2206" spans="1:26" ht="25.15" hidden="1" customHeight="1" x14ac:dyDescent="0.25">
      <c r="A2206" s="112">
        <v>46265.707662037035</v>
      </c>
      <c r="B2206" s="5" t="s">
        <v>345</v>
      </c>
      <c r="C2206" s="5" t="s">
        <v>823</v>
      </c>
      <c r="D2206" s="5">
        <v>717000</v>
      </c>
      <c r="E2206" s="33">
        <v>14</v>
      </c>
      <c r="F2206" s="60">
        <v>1500</v>
      </c>
      <c r="G2206" s="60">
        <f>+OtherClients[[#This Row],[Boxes / Pieces]]*OtherClients[[#This Row],[Unit Quantity]]</f>
        <v>21000</v>
      </c>
      <c r="H2206" s="60" t="s">
        <v>896</v>
      </c>
      <c r="I2206" s="130" t="s">
        <v>278</v>
      </c>
      <c r="J2206" s="131"/>
      <c r="K2206" s="33" t="s">
        <v>278</v>
      </c>
      <c r="L2206" s="132"/>
      <c r="M2206" s="33" t="s">
        <v>278</v>
      </c>
      <c r="N2206" s="132"/>
      <c r="O2206" s="33" t="s">
        <v>278</v>
      </c>
      <c r="P2206" s="132"/>
      <c r="Q2206" s="33" t="s">
        <v>587</v>
      </c>
      <c r="R2206" s="132"/>
      <c r="S2206" s="33" t="s">
        <v>278</v>
      </c>
      <c r="T2206" s="132"/>
      <c r="U2206" s="33" t="s">
        <v>278</v>
      </c>
      <c r="V2206" s="132"/>
      <c r="W2206" s="59" t="s">
        <v>548</v>
      </c>
      <c r="X2206" s="33" t="str">
        <f>+VLOOKUP(OtherClients[[#This Row],[Part]],PartControl!$A$2:$E$564,5,FALSE)</f>
        <v>infasco</v>
      </c>
      <c r="Y2206" s="108">
        <f>IF(OtherClients[[#This Row],[Re-certified or New]]&lt;&gt;"Re-certified",IF(OtherClients[[#This Row],[Client]]="infasco",VLOOKUP(OtherClients[[#This Row],[Part]],PartControl!$A$2:$E$564,2,FALSE),OtherClients[[#This Row],[Total Quantity]]*VLOOKUP(OtherClients[[#This Row],[Part]],PartControl!$A$2:$E$564,2,FALSE)),0)</f>
        <v>226.94</v>
      </c>
      <c r="Z2206" s="108">
        <f>IF(OtherClients[[#This Row],[Re-certified or New]]&lt;&gt;"Re-certified",IF(OtherClients[[#This Row],[Client]]="infasco",VLOOKUP(OtherClients[[#This Row],[Part]],PartControl!$A$2:$E$564,2,FALSE),OtherClients[[#This Row],[Total Quantity]]*VLOOKUP(OtherClients[[#This Row],[Part]],PartControl!$A$2:$E$564,2,FALSE)),0)</f>
        <v>226.94</v>
      </c>
    </row>
    <row r="2207" spans="1:26" ht="25.15" hidden="1" customHeight="1" x14ac:dyDescent="0.25">
      <c r="A2207" s="112">
        <v>46265.707662037035</v>
      </c>
      <c r="B2207" s="5" t="s">
        <v>345</v>
      </c>
      <c r="C2207" s="5">
        <v>11546571</v>
      </c>
      <c r="D2207" s="5">
        <v>717164</v>
      </c>
      <c r="E2207" s="33">
        <v>31</v>
      </c>
      <c r="F2207" s="60">
        <v>1550</v>
      </c>
      <c r="G2207" s="60">
        <f>+OtherClients[[#This Row],[Boxes / Pieces]]*OtherClients[[#This Row],[Unit Quantity]]</f>
        <v>48050</v>
      </c>
      <c r="H2207" s="60" t="s">
        <v>896</v>
      </c>
      <c r="I2207" s="130" t="s">
        <v>278</v>
      </c>
      <c r="J2207" s="131"/>
      <c r="K2207" s="33" t="s">
        <v>278</v>
      </c>
      <c r="L2207" s="132"/>
      <c r="M2207" s="33" t="s">
        <v>278</v>
      </c>
      <c r="N2207" s="132"/>
      <c r="O2207" s="33" t="s">
        <v>278</v>
      </c>
      <c r="P2207" s="132"/>
      <c r="Q2207" s="33" t="s">
        <v>587</v>
      </c>
      <c r="R2207" s="132"/>
      <c r="S2207" s="33" t="s">
        <v>278</v>
      </c>
      <c r="T2207" s="132"/>
      <c r="U2207" s="33" t="s">
        <v>278</v>
      </c>
      <c r="V2207" s="132"/>
      <c r="W2207" s="59" t="s">
        <v>548</v>
      </c>
      <c r="X2207" s="33" t="str">
        <f>+VLOOKUP(OtherClients[[#This Row],[Part]],PartControl!$A$2:$E$564,5,FALSE)</f>
        <v>infasco</v>
      </c>
      <c r="Y2207" s="108">
        <f>IF(OtherClients[[#This Row],[Re-certified or New]]&lt;&gt;"Re-certified",IF(OtherClients[[#This Row],[Client]]="infasco",VLOOKUP(OtherClients[[#This Row],[Part]],PartControl!$A$2:$E$564,2,FALSE),OtherClients[[#This Row],[Total Quantity]]*VLOOKUP(OtherClients[[#This Row],[Part]],PartControl!$A$2:$E$564,2,FALSE)),0)</f>
        <v>135.07999999999998</v>
      </c>
      <c r="Z2207" s="108">
        <f>IF(OtherClients[[#This Row],[Re-certified or New]]&lt;&gt;"Re-certified",IF(OtherClients[[#This Row],[Client]]="infasco",VLOOKUP(OtherClients[[#This Row],[Part]],PartControl!$A$2:$E$564,2,FALSE),OtherClients[[#This Row],[Total Quantity]]*VLOOKUP(OtherClients[[#This Row],[Part]],PartControl!$A$2:$E$564,2,FALSE)),0)</f>
        <v>135.07999999999998</v>
      </c>
    </row>
    <row r="2208" spans="1:26" ht="25.15" hidden="1" customHeight="1" x14ac:dyDescent="0.25">
      <c r="A2208" s="112">
        <v>46265.707662037035</v>
      </c>
      <c r="B2208" s="5" t="s">
        <v>345</v>
      </c>
      <c r="C2208" s="5" t="s">
        <v>827</v>
      </c>
      <c r="D2208" s="5">
        <v>716829</v>
      </c>
      <c r="E2208" s="33">
        <v>42</v>
      </c>
      <c r="F2208" s="60">
        <v>940</v>
      </c>
      <c r="G2208" s="60">
        <f>+OtherClients[[#This Row],[Boxes / Pieces]]*OtherClients[[#This Row],[Unit Quantity]]</f>
        <v>39480</v>
      </c>
      <c r="H2208" s="60" t="s">
        <v>896</v>
      </c>
      <c r="I2208" s="130" t="s">
        <v>278</v>
      </c>
      <c r="J2208" s="131"/>
      <c r="K2208" s="33" t="s">
        <v>278</v>
      </c>
      <c r="L2208" s="132"/>
      <c r="M2208" s="33" t="s">
        <v>278</v>
      </c>
      <c r="N2208" s="132"/>
      <c r="O2208" s="33" t="s">
        <v>278</v>
      </c>
      <c r="P2208" s="132"/>
      <c r="Q2208" s="33" t="s">
        <v>587</v>
      </c>
      <c r="R2208" s="132"/>
      <c r="S2208" s="33" t="s">
        <v>278</v>
      </c>
      <c r="T2208" s="132"/>
      <c r="U2208" s="33" t="s">
        <v>278</v>
      </c>
      <c r="V2208" s="132"/>
      <c r="W2208" s="59" t="s">
        <v>548</v>
      </c>
      <c r="X2208" s="33" t="str">
        <f>+VLOOKUP(OtherClients[[#This Row],[Part]],PartControl!$A$2:$E$564,5,FALSE)</f>
        <v>infasco</v>
      </c>
      <c r="Y2208" s="108">
        <f>IF(OtherClients[[#This Row],[Re-certified or New]]&lt;&gt;"Re-certified",IF(OtherClients[[#This Row],[Client]]="infasco",VLOOKUP(OtherClients[[#This Row],[Part]],PartControl!$A$2:$E$564,2,FALSE),OtherClients[[#This Row],[Total Quantity]]*VLOOKUP(OtherClients[[#This Row],[Part]],PartControl!$A$2:$E$564,2,FALSE)),0)</f>
        <v>106.94</v>
      </c>
      <c r="Z2208" s="108">
        <f>IF(OtherClients[[#This Row],[Re-certified or New]]&lt;&gt;"Re-certified",IF(OtherClients[[#This Row],[Client]]="infasco",VLOOKUP(OtherClients[[#This Row],[Part]],PartControl!$A$2:$E$564,2,FALSE),OtherClients[[#This Row],[Total Quantity]]*VLOOKUP(OtherClients[[#This Row],[Part]],PartControl!$A$2:$E$564,2,FALSE)),0)</f>
        <v>106.94</v>
      </c>
    </row>
    <row r="2209" spans="1:26" ht="25.15" hidden="1" customHeight="1" x14ac:dyDescent="0.25">
      <c r="A2209" s="112">
        <v>46265.707662037035</v>
      </c>
      <c r="B2209" s="5" t="s">
        <v>345</v>
      </c>
      <c r="C2209" s="5" t="s">
        <v>843</v>
      </c>
      <c r="D2209" s="5">
        <v>717171</v>
      </c>
      <c r="E2209" s="33">
        <v>36</v>
      </c>
      <c r="F2209" s="60">
        <v>220</v>
      </c>
      <c r="G2209" s="60">
        <f>+OtherClients[[#This Row],[Boxes / Pieces]]*OtherClients[[#This Row],[Unit Quantity]]</f>
        <v>7920</v>
      </c>
      <c r="H2209" s="60" t="s">
        <v>896</v>
      </c>
      <c r="I2209" s="130" t="s">
        <v>278</v>
      </c>
      <c r="J2209" s="131"/>
      <c r="K2209" s="33" t="s">
        <v>278</v>
      </c>
      <c r="L2209" s="132"/>
      <c r="M2209" s="33" t="s">
        <v>278</v>
      </c>
      <c r="N2209" s="132"/>
      <c r="O2209" s="33" t="s">
        <v>278</v>
      </c>
      <c r="P2209" s="132"/>
      <c r="Q2209" s="33" t="s">
        <v>587</v>
      </c>
      <c r="R2209" s="132"/>
      <c r="S2209" s="33" t="s">
        <v>278</v>
      </c>
      <c r="T2209" s="132"/>
      <c r="U2209" s="33" t="s">
        <v>278</v>
      </c>
      <c r="V2209" s="132"/>
      <c r="W2209" s="59" t="s">
        <v>548</v>
      </c>
      <c r="X2209" s="33" t="str">
        <f>+VLOOKUP(OtherClients[[#This Row],[Part]],PartControl!$A$2:$E$564,5,FALSE)</f>
        <v>infasco</v>
      </c>
      <c r="Y2209" s="108">
        <f>IF(OtherClients[[#This Row],[Re-certified or New]]&lt;&gt;"Re-certified",IF(OtherClients[[#This Row],[Client]]="infasco",VLOOKUP(OtherClients[[#This Row],[Part]],PartControl!$A$2:$E$564,2,FALSE),OtherClients[[#This Row],[Total Quantity]]*VLOOKUP(OtherClients[[#This Row],[Part]],PartControl!$A$2:$E$564,2,FALSE)),0)</f>
        <v>106.94</v>
      </c>
      <c r="Z2209" s="108">
        <f>IF(OtherClients[[#This Row],[Re-certified or New]]&lt;&gt;"Re-certified",IF(OtherClients[[#This Row],[Client]]="infasco",VLOOKUP(OtherClients[[#This Row],[Part]],PartControl!$A$2:$E$564,2,FALSE),OtherClients[[#This Row],[Total Quantity]]*VLOOKUP(OtherClients[[#This Row],[Part]],PartControl!$A$2:$E$564,2,FALSE)),0)</f>
        <v>106.94</v>
      </c>
    </row>
    <row r="2210" spans="1:26" ht="25.15" hidden="1" customHeight="1" x14ac:dyDescent="0.25">
      <c r="A2210" s="112">
        <v>46265.707662037035</v>
      </c>
      <c r="B2210" s="5" t="s">
        <v>345</v>
      </c>
      <c r="C2210" s="5" t="s">
        <v>843</v>
      </c>
      <c r="D2210" s="5">
        <v>717170</v>
      </c>
      <c r="E2210" s="33">
        <v>38</v>
      </c>
      <c r="F2210" s="60">
        <v>220</v>
      </c>
      <c r="G2210" s="60">
        <f>+OtherClients[[#This Row],[Boxes / Pieces]]*OtherClients[[#This Row],[Unit Quantity]]</f>
        <v>8360</v>
      </c>
      <c r="H2210" s="60" t="s">
        <v>896</v>
      </c>
      <c r="I2210" s="130" t="s">
        <v>278</v>
      </c>
      <c r="J2210" s="131"/>
      <c r="K2210" s="33" t="s">
        <v>278</v>
      </c>
      <c r="L2210" s="132"/>
      <c r="M2210" s="33" t="s">
        <v>278</v>
      </c>
      <c r="N2210" s="132"/>
      <c r="O2210" s="33" t="s">
        <v>278</v>
      </c>
      <c r="P2210" s="132"/>
      <c r="Q2210" s="33" t="s">
        <v>587</v>
      </c>
      <c r="R2210" s="132"/>
      <c r="S2210" s="33" t="s">
        <v>278</v>
      </c>
      <c r="T2210" s="132"/>
      <c r="U2210" s="33" t="s">
        <v>278</v>
      </c>
      <c r="V2210" s="132"/>
      <c r="W2210" s="59" t="s">
        <v>548</v>
      </c>
      <c r="X2210" s="33" t="str">
        <f>+VLOOKUP(OtherClients[[#This Row],[Part]],PartControl!$A$2:$E$564,5,FALSE)</f>
        <v>infasco</v>
      </c>
      <c r="Y2210" s="108">
        <f>IF(OtherClients[[#This Row],[Re-certified or New]]&lt;&gt;"Re-certified",IF(OtherClients[[#This Row],[Client]]="infasco",VLOOKUP(OtherClients[[#This Row],[Part]],PartControl!$A$2:$E$564,2,FALSE),OtherClients[[#This Row],[Total Quantity]]*VLOOKUP(OtherClients[[#This Row],[Part]],PartControl!$A$2:$E$564,2,FALSE)),0)</f>
        <v>106.94</v>
      </c>
      <c r="Z2210" s="108">
        <f>IF(OtherClients[[#This Row],[Re-certified or New]]&lt;&gt;"Re-certified",IF(OtherClients[[#This Row],[Client]]="infasco",VLOOKUP(OtherClients[[#This Row],[Part]],PartControl!$A$2:$E$564,2,FALSE),OtherClients[[#This Row],[Total Quantity]]*VLOOKUP(OtherClients[[#This Row],[Part]],PartControl!$A$2:$E$564,2,FALSE)),0)</f>
        <v>106.94</v>
      </c>
    </row>
    <row r="2211" spans="1:26" ht="25.15" hidden="1" customHeight="1" x14ac:dyDescent="0.25">
      <c r="A2211" s="112">
        <v>46265.707662037035</v>
      </c>
      <c r="B2211" s="5" t="s">
        <v>345</v>
      </c>
      <c r="C2211" s="5">
        <v>11602031</v>
      </c>
      <c r="D2211" s="5">
        <v>717899</v>
      </c>
      <c r="E2211" s="33">
        <v>21</v>
      </c>
      <c r="F2211" s="60">
        <v>145</v>
      </c>
      <c r="G2211" s="60">
        <f>+OtherClients[[#This Row],[Boxes / Pieces]]*OtherClients[[#This Row],[Unit Quantity]]</f>
        <v>3045</v>
      </c>
      <c r="H2211" s="60" t="s">
        <v>896</v>
      </c>
      <c r="I2211" s="130" t="s">
        <v>278</v>
      </c>
      <c r="J2211" s="131"/>
      <c r="K2211" s="33" t="s">
        <v>278</v>
      </c>
      <c r="L2211" s="132"/>
      <c r="M2211" s="33" t="s">
        <v>278</v>
      </c>
      <c r="N2211" s="132"/>
      <c r="O2211" s="33" t="s">
        <v>278</v>
      </c>
      <c r="P2211" s="132"/>
      <c r="Q2211" s="33" t="s">
        <v>587</v>
      </c>
      <c r="R2211" s="132"/>
      <c r="S2211" s="33" t="s">
        <v>278</v>
      </c>
      <c r="T2211" s="132"/>
      <c r="U2211" s="33" t="s">
        <v>278</v>
      </c>
      <c r="V2211" s="132"/>
      <c r="W2211" s="59" t="s">
        <v>548</v>
      </c>
      <c r="X2211" s="33" t="str">
        <f>+VLOOKUP(OtherClients[[#This Row],[Part]],PartControl!$A$2:$E$564,5,FALSE)</f>
        <v>INFASCO</v>
      </c>
      <c r="Y2211" s="108">
        <f>IF(OtherClients[[#This Row],[Re-certified or New]]&lt;&gt;"Re-certified",IF(OtherClients[[#This Row],[Client]]="infasco",VLOOKUP(OtherClients[[#This Row],[Part]],PartControl!$A$2:$E$564,2,FALSE),OtherClients[[#This Row],[Total Quantity]]*VLOOKUP(OtherClients[[#This Row],[Part]],PartControl!$A$2:$E$564,2,FALSE)),0)</f>
        <v>135.07999999999998</v>
      </c>
      <c r="Z2211" s="108">
        <f>IF(OtherClients[[#This Row],[Re-certified or New]]&lt;&gt;"Re-certified",IF(OtherClients[[#This Row],[Client]]="infasco",VLOOKUP(OtherClients[[#This Row],[Part]],PartControl!$A$2:$E$564,2,FALSE),OtherClients[[#This Row],[Total Quantity]]*VLOOKUP(OtherClients[[#This Row],[Part]],PartControl!$A$2:$E$564,2,FALSE)),0)</f>
        <v>135.07999999999998</v>
      </c>
    </row>
    <row r="2212" spans="1:26" ht="25.15" hidden="1" customHeight="1" x14ac:dyDescent="0.25">
      <c r="A2212" s="112">
        <v>46265.707662037035</v>
      </c>
      <c r="B2212" s="5" t="s">
        <v>345</v>
      </c>
      <c r="C2212" s="5" t="s">
        <v>721</v>
      </c>
      <c r="D2212" s="5">
        <v>717640</v>
      </c>
      <c r="E2212" s="33">
        <v>36</v>
      </c>
      <c r="F2212" s="60">
        <v>4500</v>
      </c>
      <c r="G2212" s="60">
        <f>+OtherClients[[#This Row],[Boxes / Pieces]]*OtherClients[[#This Row],[Unit Quantity]]</f>
        <v>162000</v>
      </c>
      <c r="H2212" s="60" t="s">
        <v>896</v>
      </c>
      <c r="I2212" s="130" t="s">
        <v>278</v>
      </c>
      <c r="J2212" s="131"/>
      <c r="K2212" s="33" t="s">
        <v>278</v>
      </c>
      <c r="L2212" s="132"/>
      <c r="M2212" s="33" t="s">
        <v>278</v>
      </c>
      <c r="N2212" s="132"/>
      <c r="O2212" s="33" t="s">
        <v>278</v>
      </c>
      <c r="P2212" s="132"/>
      <c r="Q2212" s="33" t="s">
        <v>587</v>
      </c>
      <c r="R2212" s="132"/>
      <c r="S2212" s="33" t="s">
        <v>278</v>
      </c>
      <c r="T2212" s="132"/>
      <c r="U2212" s="33" t="s">
        <v>278</v>
      </c>
      <c r="V2212" s="132"/>
      <c r="W2212" s="59" t="s">
        <v>548</v>
      </c>
      <c r="X2212" s="33" t="str">
        <f>+VLOOKUP(OtherClients[[#This Row],[Part]],PartControl!$A$2:$E$564,5,FALSE)</f>
        <v>Infasco</v>
      </c>
      <c r="Y2212" s="108">
        <f>IF(OtherClients[[#This Row],[Re-certified or New]]&lt;&gt;"Re-certified",IF(OtherClients[[#This Row],[Client]]="infasco",VLOOKUP(OtherClients[[#This Row],[Part]],PartControl!$A$2:$E$564,2,FALSE),OtherClients[[#This Row],[Total Quantity]]*VLOOKUP(OtherClients[[#This Row],[Part]],PartControl!$A$2:$E$564,2,FALSE)),0)</f>
        <v>106.94</v>
      </c>
      <c r="Z2212" s="108">
        <f>IF(OtherClients[[#This Row],[Re-certified or New]]&lt;&gt;"Re-certified",IF(OtherClients[[#This Row],[Client]]="infasco",VLOOKUP(OtherClients[[#This Row],[Part]],PartControl!$A$2:$E$564,2,FALSE),OtherClients[[#This Row],[Total Quantity]]*VLOOKUP(OtherClients[[#This Row],[Part]],PartControl!$A$2:$E$564,2,FALSE)),0)</f>
        <v>106.94</v>
      </c>
    </row>
    <row r="2213" spans="1:26" ht="25.15" hidden="1" customHeight="1" x14ac:dyDescent="0.25">
      <c r="A2213" s="112">
        <v>46265.707662037035</v>
      </c>
      <c r="B2213" s="5" t="s">
        <v>345</v>
      </c>
      <c r="C2213" s="5" t="s">
        <v>721</v>
      </c>
      <c r="D2213" s="5">
        <v>717639</v>
      </c>
      <c r="E2213" s="33">
        <v>14</v>
      </c>
      <c r="F2213" s="60">
        <v>4500</v>
      </c>
      <c r="G2213" s="60">
        <f>+OtherClients[[#This Row],[Boxes / Pieces]]*OtherClients[[#This Row],[Unit Quantity]]</f>
        <v>63000</v>
      </c>
      <c r="H2213" s="60" t="s">
        <v>896</v>
      </c>
      <c r="I2213" s="130" t="s">
        <v>278</v>
      </c>
      <c r="J2213" s="131"/>
      <c r="K2213" s="33" t="s">
        <v>278</v>
      </c>
      <c r="L2213" s="132"/>
      <c r="M2213" s="33" t="s">
        <v>278</v>
      </c>
      <c r="N2213" s="132"/>
      <c r="O2213" s="33" t="s">
        <v>278</v>
      </c>
      <c r="P2213" s="132"/>
      <c r="Q2213" s="33" t="s">
        <v>587</v>
      </c>
      <c r="R2213" s="132"/>
      <c r="S2213" s="33" t="s">
        <v>278</v>
      </c>
      <c r="T2213" s="132"/>
      <c r="U2213" s="33" t="s">
        <v>278</v>
      </c>
      <c r="V2213" s="132"/>
      <c r="W2213" s="59" t="s">
        <v>548</v>
      </c>
      <c r="X2213" s="33" t="str">
        <f>+VLOOKUP(OtherClients[[#This Row],[Part]],PartControl!$A$2:$E$564,5,FALSE)</f>
        <v>Infasco</v>
      </c>
      <c r="Y2213" s="108">
        <f>IF(OtherClients[[#This Row],[Re-certified or New]]&lt;&gt;"Re-certified",IF(OtherClients[[#This Row],[Client]]="infasco",VLOOKUP(OtherClients[[#This Row],[Part]],PartControl!$A$2:$E$564,2,FALSE),OtherClients[[#This Row],[Total Quantity]]*VLOOKUP(OtherClients[[#This Row],[Part]],PartControl!$A$2:$E$564,2,FALSE)),0)</f>
        <v>106.94</v>
      </c>
      <c r="Z2213" s="108">
        <f>IF(OtherClients[[#This Row],[Re-certified or New]]&lt;&gt;"Re-certified",IF(OtherClients[[#This Row],[Client]]="infasco",VLOOKUP(OtherClients[[#This Row],[Part]],PartControl!$A$2:$E$564,2,FALSE),OtherClients[[#This Row],[Total Quantity]]*VLOOKUP(OtherClients[[#This Row],[Part]],PartControl!$A$2:$E$564,2,FALSE)),0)</f>
        <v>106.94</v>
      </c>
    </row>
    <row r="2214" spans="1:26" ht="25.15" hidden="1" customHeight="1" x14ac:dyDescent="0.25">
      <c r="A2214" s="112">
        <v>46265.707662037035</v>
      </c>
      <c r="B2214" s="5" t="s">
        <v>346</v>
      </c>
      <c r="C2214" s="5" t="s">
        <v>794</v>
      </c>
      <c r="D2214" s="5">
        <v>716404</v>
      </c>
      <c r="E2214" s="33">
        <v>22</v>
      </c>
      <c r="F2214" s="60">
        <v>195</v>
      </c>
      <c r="G2214" s="60">
        <f>+OtherClients[[#This Row],[Boxes / Pieces]]*OtherClients[[#This Row],[Unit Quantity]]</f>
        <v>4290</v>
      </c>
      <c r="H2214" s="60">
        <v>197</v>
      </c>
      <c r="I2214" s="130" t="s">
        <v>278</v>
      </c>
      <c r="J2214" s="131"/>
      <c r="K2214" s="33" t="s">
        <v>278</v>
      </c>
      <c r="L2214" s="132"/>
      <c r="M2214" s="33" t="s">
        <v>278</v>
      </c>
      <c r="N2214" s="132"/>
      <c r="O2214" s="33" t="s">
        <v>278</v>
      </c>
      <c r="P2214" s="132"/>
      <c r="Q2214" s="33" t="s">
        <v>587</v>
      </c>
      <c r="R2214" s="132"/>
      <c r="S2214" s="33" t="s">
        <v>278</v>
      </c>
      <c r="T2214" s="132"/>
      <c r="U2214" s="33" t="s">
        <v>278</v>
      </c>
      <c r="V2214" s="132"/>
      <c r="W2214" s="59" t="s">
        <v>633</v>
      </c>
      <c r="X2214" s="33" t="str">
        <f>+VLOOKUP(OtherClients[[#This Row],[Part]],PartControl!$A$2:$E$564,5,FALSE)</f>
        <v>infasco</v>
      </c>
      <c r="Y2214" s="108">
        <f>IF(OtherClients[[#This Row],[Re-certified or New]]&lt;&gt;"Re-certified",IF(OtherClients[[#This Row],[Client]]="infasco",VLOOKUP(OtherClients[[#This Row],[Part]],PartControl!$A$2:$E$564,2,FALSE),OtherClients[[#This Row],[Total Quantity]]*VLOOKUP(OtherClients[[#This Row],[Part]],PartControl!$A$2:$E$564,2,FALSE)),0)</f>
        <v>0</v>
      </c>
      <c r="Z2214" s="108">
        <f>IF(OtherClients[[#This Row],[Re-certified or New]]&lt;&gt;"Re-certified",IF(OtherClients[[#This Row],[Client]]="infasco",VLOOKUP(OtherClients[[#This Row],[Part]],PartControl!$A$2:$E$564,2,FALSE),OtherClients[[#This Row],[Total Quantity]]*VLOOKUP(OtherClients[[#This Row],[Part]],PartControl!$A$2:$E$564,2,FALSE)),0)</f>
        <v>0</v>
      </c>
    </row>
    <row r="2215" spans="1:26" ht="25.15" hidden="1" customHeight="1" x14ac:dyDescent="0.25">
      <c r="A2215" s="112">
        <v>46265.707662037035</v>
      </c>
      <c r="B2215" s="5" t="s">
        <v>347</v>
      </c>
      <c r="C2215" s="5" t="s">
        <v>730</v>
      </c>
      <c r="D2215" s="5">
        <v>713721</v>
      </c>
      <c r="E2215" s="33">
        <v>6</v>
      </c>
      <c r="F2215" s="60">
        <v>3500</v>
      </c>
      <c r="G2215" s="60">
        <f>+OtherClients[[#This Row],[Boxes / Pieces]]*OtherClients[[#This Row],[Unit Quantity]]</f>
        <v>21000</v>
      </c>
      <c r="H2215" s="60">
        <v>285</v>
      </c>
      <c r="I2215" s="130" t="s">
        <v>278</v>
      </c>
      <c r="J2215" s="131"/>
      <c r="K2215" s="33" t="s">
        <v>278</v>
      </c>
      <c r="L2215" s="132"/>
      <c r="M2215" s="33" t="s">
        <v>278</v>
      </c>
      <c r="N2215" s="132"/>
      <c r="O2215" s="33" t="s">
        <v>278</v>
      </c>
      <c r="P2215" s="132"/>
      <c r="Q2215" s="33" t="s">
        <v>587</v>
      </c>
      <c r="R2215" s="132"/>
      <c r="S2215" s="33" t="s">
        <v>278</v>
      </c>
      <c r="T2215" s="132"/>
      <c r="U2215" s="33" t="s">
        <v>278</v>
      </c>
      <c r="V2215" s="132"/>
      <c r="W2215" s="59" t="s">
        <v>633</v>
      </c>
      <c r="X2215" s="33" t="str">
        <f>+VLOOKUP(OtherClients[[#This Row],[Part]],PartControl!$A$2:$E$564,5,FALSE)</f>
        <v>infasco</v>
      </c>
      <c r="Y2215" s="108">
        <f>IF(OtherClients[[#This Row],[Re-certified or New]]&lt;&gt;"Re-certified",IF(OtherClients[[#This Row],[Client]]="infasco",VLOOKUP(OtherClients[[#This Row],[Part]],PartControl!$A$2:$E$564,2,FALSE),OtherClients[[#This Row],[Total Quantity]]*VLOOKUP(OtherClients[[#This Row],[Part]],PartControl!$A$2:$E$564,2,FALSE)),0)</f>
        <v>0</v>
      </c>
      <c r="Z2215" s="108">
        <f>IF(OtherClients[[#This Row],[Re-certified or New]]&lt;&gt;"Re-certified",IF(OtherClients[[#This Row],[Client]]="infasco",VLOOKUP(OtherClients[[#This Row],[Part]],PartControl!$A$2:$E$564,2,FALSE),OtherClients[[#This Row],[Total Quantity]]*VLOOKUP(OtherClients[[#This Row],[Part]],PartControl!$A$2:$E$564,2,FALSE)),0)</f>
        <v>0</v>
      </c>
    </row>
    <row r="2216" spans="1:26" ht="25.15" hidden="1" customHeight="1" x14ac:dyDescent="0.25">
      <c r="A2216" s="112">
        <v>46266</v>
      </c>
      <c r="B2216" s="5" t="s">
        <v>640</v>
      </c>
      <c r="C2216" s="5" t="s">
        <v>814</v>
      </c>
      <c r="D2216" s="5">
        <v>717564</v>
      </c>
      <c r="E2216" s="33">
        <v>30</v>
      </c>
      <c r="F2216" s="60">
        <v>2500</v>
      </c>
      <c r="G2216" s="60">
        <v>75000</v>
      </c>
      <c r="H2216" s="60">
        <v>280</v>
      </c>
      <c r="I2216" s="130" t="s">
        <v>278</v>
      </c>
      <c r="J2216" s="131"/>
      <c r="K2216" s="33" t="s">
        <v>278</v>
      </c>
      <c r="L2216" s="132"/>
      <c r="M2216" s="33" t="s">
        <v>278</v>
      </c>
      <c r="N2216" s="132"/>
      <c r="O2216" s="33" t="s">
        <v>278</v>
      </c>
      <c r="P2216" s="132"/>
      <c r="Q2216" s="33" t="s">
        <v>587</v>
      </c>
      <c r="R2216" s="132"/>
      <c r="S2216" s="33" t="s">
        <v>278</v>
      </c>
      <c r="T2216" s="132"/>
      <c r="U2216" s="33" t="s">
        <v>278</v>
      </c>
      <c r="V2216" s="132"/>
      <c r="W2216" s="133" t="s">
        <v>548</v>
      </c>
      <c r="X2216" s="33" t="str">
        <f>+VLOOKUP(OtherClients[[#This Row],[Part]],PartControl!$A$2:$E$564,5,FALSE)</f>
        <v>Infasco</v>
      </c>
      <c r="Y2216" s="132">
        <v>106.94</v>
      </c>
      <c r="Z2216" s="108">
        <f>IF(OtherClients[[#This Row],[Re-certified or New]]&lt;&gt;"Re-certified",IF(OtherClients[[#This Row],[Client]]="infasco",VLOOKUP(OtherClients[[#This Row],[Part]],PartControl!$A$2:$E$564,2,FALSE),OtherClients[[#This Row],[Total Quantity]]*VLOOKUP(OtherClients[[#This Row],[Part]],PartControl!$A$2:$E$564,2,FALSE)),0)</f>
        <v>106.94</v>
      </c>
    </row>
    <row r="2217" spans="1:26" ht="25.15" hidden="1" customHeight="1" x14ac:dyDescent="0.25">
      <c r="A2217" s="112">
        <v>46266</v>
      </c>
      <c r="B2217" s="5" t="s">
        <v>640</v>
      </c>
      <c r="C2217" s="5" t="s">
        <v>814</v>
      </c>
      <c r="D2217" s="5">
        <v>717288</v>
      </c>
      <c r="E2217" s="33">
        <v>8</v>
      </c>
      <c r="F2217" s="60">
        <v>2500</v>
      </c>
      <c r="G2217" s="60">
        <f>+OtherClients[[#This Row],[Boxes / Pieces]]*OtherClients[[#This Row],[Unit Quantity]]</f>
        <v>20000</v>
      </c>
      <c r="H2217" s="60">
        <v>280</v>
      </c>
      <c r="I2217" s="130" t="s">
        <v>278</v>
      </c>
      <c r="J2217" s="131"/>
      <c r="K2217" s="33" t="s">
        <v>278</v>
      </c>
      <c r="L2217" s="132"/>
      <c r="M2217" s="33" t="s">
        <v>278</v>
      </c>
      <c r="N2217" s="132"/>
      <c r="O2217" s="33" t="s">
        <v>278</v>
      </c>
      <c r="P2217" s="132"/>
      <c r="Q2217" s="33" t="s">
        <v>587</v>
      </c>
      <c r="R2217" s="132"/>
      <c r="S2217" s="33" t="s">
        <v>278</v>
      </c>
      <c r="T2217" s="132"/>
      <c r="U2217" s="33" t="s">
        <v>278</v>
      </c>
      <c r="V2217" s="132"/>
      <c r="W2217" s="59" t="s">
        <v>633</v>
      </c>
      <c r="X2217" s="33" t="str">
        <f>+VLOOKUP(OtherClients[[#This Row],[Part]],PartControl!$A$2:$E$564,5,FALSE)</f>
        <v>Infasco</v>
      </c>
      <c r="Y2217" s="108">
        <f>IF(OtherClients[[#This Row],[Re-certified or New]]&lt;&gt;"Re-certified",IF(OtherClients[[#This Row],[Client]]="infasco",VLOOKUP(OtherClients[[#This Row],[Part]],PartControl!$A$2:$E$564,2,FALSE),OtherClients[[#This Row],[Total Quantity]]*VLOOKUP(OtherClients[[#This Row],[Part]],PartControl!$A$2:$E$564,2,FALSE)),0)</f>
        <v>0</v>
      </c>
      <c r="Z2217" s="108">
        <f>IF(OtherClients[[#This Row],[Re-certified or New]]&lt;&gt;"Re-certified",IF(OtherClients[[#This Row],[Client]]="infasco",VLOOKUP(OtherClients[[#This Row],[Part]],PartControl!$A$2:$E$564,2,FALSE),OtherClients[[#This Row],[Total Quantity]]*VLOOKUP(OtherClients[[#This Row],[Part]],PartControl!$A$2:$E$564,2,FALSE)),0)</f>
        <v>0</v>
      </c>
    </row>
    <row r="2218" spans="1:26" ht="25.15" hidden="1" customHeight="1" x14ac:dyDescent="0.25">
      <c r="A2218" s="112">
        <v>46266</v>
      </c>
      <c r="B2218" s="5" t="s">
        <v>634</v>
      </c>
      <c r="C2218" s="5" t="s">
        <v>848</v>
      </c>
      <c r="D2218" s="5">
        <v>716776</v>
      </c>
      <c r="E2218" s="33">
        <f>31-16</f>
        <v>15</v>
      </c>
      <c r="F2218" s="60">
        <v>3200</v>
      </c>
      <c r="G2218" s="60">
        <f>+OtherClients[[#This Row],[Boxes / Pieces]]*OtherClients[[#This Row],[Unit Quantity]]</f>
        <v>48000</v>
      </c>
      <c r="H2218" s="60">
        <v>280</v>
      </c>
      <c r="I2218" s="130" t="s">
        <v>278</v>
      </c>
      <c r="J2218" s="131"/>
      <c r="K2218" s="33" t="s">
        <v>278</v>
      </c>
      <c r="L2218" s="132"/>
      <c r="M2218" s="33" t="s">
        <v>278</v>
      </c>
      <c r="N2218" s="132"/>
      <c r="O2218" s="33" t="s">
        <v>278</v>
      </c>
      <c r="P2218" s="132"/>
      <c r="Q2218" s="33" t="s">
        <v>587</v>
      </c>
      <c r="R2218" s="132"/>
      <c r="S2218" s="33" t="s">
        <v>278</v>
      </c>
      <c r="T2218" s="132"/>
      <c r="U2218" s="33" t="s">
        <v>278</v>
      </c>
      <c r="V2218" s="132"/>
      <c r="W2218" s="59" t="s">
        <v>548</v>
      </c>
      <c r="X2218" s="33" t="str">
        <f>+VLOOKUP(OtherClients[[#This Row],[Part]],PartControl!$A$2:$E$564,5,FALSE)</f>
        <v>infasco</v>
      </c>
      <c r="Y2218" s="108">
        <f>IF(OtherClients[[#This Row],[Re-certified or New]]&lt;&gt;"Re-certified",IF(OtherClients[[#This Row],[Client]]="infasco",VLOOKUP(OtherClients[[#This Row],[Part]],PartControl!$A$2:$E$564,2,FALSE),OtherClients[[#This Row],[Total Quantity]]*VLOOKUP(OtherClients[[#This Row],[Part]],PartControl!$A$2:$E$564,2,FALSE)),0)</f>
        <v>106.94</v>
      </c>
      <c r="Z2218" s="108">
        <f>IF(OtherClients[[#This Row],[Re-certified or New]]&lt;&gt;"Re-certified",IF(OtherClients[[#This Row],[Client]]="infasco",VLOOKUP(OtherClients[[#This Row],[Part]],PartControl!$A$2:$E$564,2,FALSE),OtherClients[[#This Row],[Total Quantity]]*VLOOKUP(OtherClients[[#This Row],[Part]],PartControl!$A$2:$E$564,2,FALSE)),0)</f>
        <v>106.94</v>
      </c>
    </row>
    <row r="2219" spans="1:26" ht="25.15" hidden="1" customHeight="1" x14ac:dyDescent="0.25">
      <c r="A2219" s="112">
        <v>46266</v>
      </c>
      <c r="B2219" s="5" t="s">
        <v>634</v>
      </c>
      <c r="C2219" s="5" t="s">
        <v>721</v>
      </c>
      <c r="D2219" s="5">
        <v>717650</v>
      </c>
      <c r="E2219" s="33">
        <v>2</v>
      </c>
      <c r="F2219" s="60">
        <v>4500</v>
      </c>
      <c r="G2219" s="60">
        <f>+OtherClients[[#This Row],[Boxes / Pieces]]*OtherClients[[#This Row],[Unit Quantity]]</f>
        <v>9000</v>
      </c>
      <c r="H2219" s="60">
        <v>280</v>
      </c>
      <c r="I2219" s="130" t="s">
        <v>278</v>
      </c>
      <c r="J2219" s="131"/>
      <c r="K2219" s="33" t="s">
        <v>278</v>
      </c>
      <c r="L2219" s="132"/>
      <c r="M2219" s="33" t="s">
        <v>278</v>
      </c>
      <c r="N2219" s="132"/>
      <c r="O2219" s="33" t="s">
        <v>278</v>
      </c>
      <c r="P2219" s="132"/>
      <c r="Q2219" s="33" t="s">
        <v>587</v>
      </c>
      <c r="R2219" s="132"/>
      <c r="S2219" s="33" t="s">
        <v>278</v>
      </c>
      <c r="T2219" s="132"/>
      <c r="U2219" s="33" t="s">
        <v>278</v>
      </c>
      <c r="V2219" s="132"/>
      <c r="W2219" s="59" t="s">
        <v>633</v>
      </c>
      <c r="X2219" s="33" t="str">
        <f>+VLOOKUP(OtherClients[[#This Row],[Part]],PartControl!$A$2:$E$564,5,FALSE)</f>
        <v>Infasco</v>
      </c>
      <c r="Y2219" s="108">
        <f>IF(OtherClients[[#This Row],[Re-certified or New]]&lt;&gt;"Re-certified",IF(OtherClients[[#This Row],[Client]]="infasco",VLOOKUP(OtherClients[[#This Row],[Part]],PartControl!$A$2:$E$564,2,FALSE),OtherClients[[#This Row],[Total Quantity]]*VLOOKUP(OtherClients[[#This Row],[Part]],PartControl!$A$2:$E$564,2,FALSE)),0)</f>
        <v>0</v>
      </c>
      <c r="Z2219" s="108">
        <f>IF(OtherClients[[#This Row],[Re-certified or New]]&lt;&gt;"Re-certified",IF(OtherClients[[#This Row],[Client]]="infasco",VLOOKUP(OtherClients[[#This Row],[Part]],PartControl!$A$2:$E$564,2,FALSE),OtherClients[[#This Row],[Total Quantity]]*VLOOKUP(OtherClients[[#This Row],[Part]],PartControl!$A$2:$E$564,2,FALSE)),0)</f>
        <v>0</v>
      </c>
    </row>
    <row r="2220" spans="1:26" ht="25.15" hidden="1" customHeight="1" x14ac:dyDescent="0.25">
      <c r="A2220" s="112">
        <v>46266</v>
      </c>
      <c r="B2220" s="5" t="s">
        <v>635</v>
      </c>
      <c r="C2220" s="5">
        <v>11561645</v>
      </c>
      <c r="D2220" s="5">
        <v>714525</v>
      </c>
      <c r="E2220" s="33">
        <f>22-3</f>
        <v>19</v>
      </c>
      <c r="F2220" s="60">
        <v>4000</v>
      </c>
      <c r="G2220" s="60">
        <f>+OtherClients[[#This Row],[Boxes / Pieces]]*OtherClients[[#This Row],[Unit Quantity]]</f>
        <v>76000</v>
      </c>
      <c r="H2220" s="60">
        <v>280</v>
      </c>
      <c r="I2220" s="130" t="s">
        <v>278</v>
      </c>
      <c r="J2220" s="131"/>
      <c r="K2220" s="33" t="s">
        <v>278</v>
      </c>
      <c r="L2220" s="132"/>
      <c r="M2220" s="33" t="s">
        <v>278</v>
      </c>
      <c r="N2220" s="132"/>
      <c r="O2220" s="33" t="s">
        <v>278</v>
      </c>
      <c r="P2220" s="132"/>
      <c r="Q2220" s="33" t="s">
        <v>587</v>
      </c>
      <c r="R2220" s="132"/>
      <c r="S2220" s="33" t="s">
        <v>278</v>
      </c>
      <c r="T2220" s="132"/>
      <c r="U2220" s="33" t="s">
        <v>278</v>
      </c>
      <c r="V2220" s="132"/>
      <c r="W2220" s="59" t="s">
        <v>548</v>
      </c>
      <c r="X2220" s="33" t="str">
        <f>+VLOOKUP(OtherClients[[#This Row],[Part]],PartControl!$A$2:$E$564,5,FALSE)</f>
        <v>infasco</v>
      </c>
      <c r="Y2220" s="108">
        <f>IF(OtherClients[[#This Row],[Re-certified or New]]&lt;&gt;"Re-certified",IF(OtherClients[[#This Row],[Client]]="infasco",VLOOKUP(OtherClients[[#This Row],[Part]],PartControl!$A$2:$E$564,2,FALSE),OtherClients[[#This Row],[Total Quantity]]*VLOOKUP(OtherClients[[#This Row],[Part]],PartControl!$A$2:$E$564,2,FALSE)),0)</f>
        <v>106.94</v>
      </c>
      <c r="Z2220" s="108">
        <f>IF(OtherClients[[#This Row],[Re-certified or New]]&lt;&gt;"Re-certified",IF(OtherClients[[#This Row],[Client]]="infasco",VLOOKUP(OtherClients[[#This Row],[Part]],PartControl!$A$2:$E$564,2,FALSE),OtherClients[[#This Row],[Total Quantity]]*VLOOKUP(OtherClients[[#This Row],[Part]],PartControl!$A$2:$E$564,2,FALSE)),0)</f>
        <v>106.94</v>
      </c>
    </row>
    <row r="2221" spans="1:26" ht="25.15" hidden="1" customHeight="1" x14ac:dyDescent="0.25">
      <c r="A2221" s="112">
        <v>46266</v>
      </c>
      <c r="B2221" s="5" t="s">
        <v>637</v>
      </c>
      <c r="C2221" s="5">
        <v>11546449</v>
      </c>
      <c r="D2221" s="5">
        <v>717693</v>
      </c>
      <c r="E2221" s="33">
        <f>35-8</f>
        <v>27</v>
      </c>
      <c r="F2221" s="60">
        <v>2500</v>
      </c>
      <c r="G2221" s="60">
        <f>+OtherClients[[#This Row],[Boxes / Pieces]]*OtherClients[[#This Row],[Unit Quantity]]</f>
        <v>67500</v>
      </c>
      <c r="H2221" s="60">
        <v>280</v>
      </c>
      <c r="I2221" s="130" t="s">
        <v>278</v>
      </c>
      <c r="J2221" s="131"/>
      <c r="K2221" s="33" t="s">
        <v>278</v>
      </c>
      <c r="L2221" s="132"/>
      <c r="M2221" s="33" t="s">
        <v>278</v>
      </c>
      <c r="N2221" s="132"/>
      <c r="O2221" s="33" t="s">
        <v>278</v>
      </c>
      <c r="P2221" s="132"/>
      <c r="Q2221" s="33" t="s">
        <v>587</v>
      </c>
      <c r="R2221" s="132"/>
      <c r="S2221" s="33" t="s">
        <v>278</v>
      </c>
      <c r="T2221" s="132"/>
      <c r="U2221" s="33" t="s">
        <v>278</v>
      </c>
      <c r="V2221" s="132"/>
      <c r="W2221" s="59" t="s">
        <v>548</v>
      </c>
      <c r="X2221" s="33" t="str">
        <f>+VLOOKUP(OtherClients[[#This Row],[Part]],PartControl!$A$2:$E$564,5,FALSE)</f>
        <v>INFASCO</v>
      </c>
      <c r="Y2221" s="108">
        <f>IF(OtherClients[[#This Row],[Re-certified or New]]&lt;&gt;"Re-certified",IF(OtherClients[[#This Row],[Client]]="infasco",VLOOKUP(OtherClients[[#This Row],[Part]],PartControl!$A$2:$E$564,2,FALSE),OtherClients[[#This Row],[Total Quantity]]*VLOOKUP(OtherClients[[#This Row],[Part]],PartControl!$A$2:$E$564,2,FALSE)),0)</f>
        <v>106.94</v>
      </c>
      <c r="Z2221" s="108">
        <f>IF(OtherClients[[#This Row],[Re-certified or New]]&lt;&gt;"Re-certified",IF(OtherClients[[#This Row],[Client]]="infasco",VLOOKUP(OtherClients[[#This Row],[Part]],PartControl!$A$2:$E$564,2,FALSE),OtherClients[[#This Row],[Total Quantity]]*VLOOKUP(OtherClients[[#This Row],[Part]],PartControl!$A$2:$E$564,2,FALSE)),0)</f>
        <v>106.94</v>
      </c>
    </row>
    <row r="2222" spans="1:26" ht="25.15" hidden="1" customHeight="1" x14ac:dyDescent="0.25">
      <c r="A2222" s="112">
        <v>46266</v>
      </c>
      <c r="B2222" s="5" t="s">
        <v>637</v>
      </c>
      <c r="C2222" s="5">
        <v>11546449</v>
      </c>
      <c r="D2222" s="5">
        <v>717689</v>
      </c>
      <c r="E2222" s="33">
        <v>37</v>
      </c>
      <c r="F2222" s="60">
        <v>2500</v>
      </c>
      <c r="G2222" s="60">
        <f>+OtherClients[[#This Row],[Boxes / Pieces]]*OtherClients[[#This Row],[Unit Quantity]]</f>
        <v>92500</v>
      </c>
      <c r="H2222" s="60">
        <v>280</v>
      </c>
      <c r="I2222" s="130" t="s">
        <v>278</v>
      </c>
      <c r="J2222" s="131"/>
      <c r="K2222" s="33" t="s">
        <v>278</v>
      </c>
      <c r="L2222" s="132"/>
      <c r="M2222" s="33" t="s">
        <v>278</v>
      </c>
      <c r="N2222" s="132"/>
      <c r="O2222" s="33" t="s">
        <v>278</v>
      </c>
      <c r="P2222" s="132"/>
      <c r="Q2222" s="33" t="s">
        <v>587</v>
      </c>
      <c r="R2222" s="132"/>
      <c r="S2222" s="33" t="s">
        <v>278</v>
      </c>
      <c r="T2222" s="132"/>
      <c r="U2222" s="33" t="s">
        <v>278</v>
      </c>
      <c r="V2222" s="132"/>
      <c r="W2222" s="59" t="s">
        <v>548</v>
      </c>
      <c r="X2222" s="33" t="str">
        <f>+VLOOKUP(OtherClients[[#This Row],[Part]],PartControl!$A$2:$E$564,5,FALSE)</f>
        <v>INFASCO</v>
      </c>
      <c r="Y2222" s="108">
        <f>IF(OtherClients[[#This Row],[Re-certified or New]]&lt;&gt;"Re-certified",IF(OtherClients[[#This Row],[Client]]="infasco",VLOOKUP(OtherClients[[#This Row],[Part]],PartControl!$A$2:$E$564,2,FALSE),OtherClients[[#This Row],[Total Quantity]]*VLOOKUP(OtherClients[[#This Row],[Part]],PartControl!$A$2:$E$564,2,FALSE)),0)</f>
        <v>106.94</v>
      </c>
      <c r="Z2222" s="108">
        <f>IF(OtherClients[[#This Row],[Re-certified or New]]&lt;&gt;"Re-certified",IF(OtherClients[[#This Row],[Client]]="infasco",VLOOKUP(OtherClients[[#This Row],[Part]],PartControl!$A$2:$E$564,2,FALSE),OtherClients[[#This Row],[Total Quantity]]*VLOOKUP(OtherClients[[#This Row],[Part]],PartControl!$A$2:$E$564,2,FALSE)),0)</f>
        <v>106.94</v>
      </c>
    </row>
    <row r="2223" spans="1:26" ht="25.15" hidden="1" customHeight="1" x14ac:dyDescent="0.25">
      <c r="A2223" s="112">
        <v>46266</v>
      </c>
      <c r="B2223" s="5" t="s">
        <v>637</v>
      </c>
      <c r="C2223" s="5" t="s">
        <v>721</v>
      </c>
      <c r="D2223" s="5">
        <v>717649</v>
      </c>
      <c r="E2223" s="33">
        <v>10</v>
      </c>
      <c r="F2223" s="60">
        <v>4500</v>
      </c>
      <c r="G2223" s="60">
        <f>+OtherClients[[#This Row],[Boxes / Pieces]]*OtherClients[[#This Row],[Unit Quantity]]</f>
        <v>45000</v>
      </c>
      <c r="H2223" s="60">
        <v>280</v>
      </c>
      <c r="I2223" s="130" t="s">
        <v>278</v>
      </c>
      <c r="J2223" s="131"/>
      <c r="K2223" s="33" t="s">
        <v>278</v>
      </c>
      <c r="L2223" s="132"/>
      <c r="M2223" s="33" t="s">
        <v>278</v>
      </c>
      <c r="N2223" s="132"/>
      <c r="O2223" s="33" t="s">
        <v>278</v>
      </c>
      <c r="P2223" s="132"/>
      <c r="Q2223" s="33" t="s">
        <v>587</v>
      </c>
      <c r="R2223" s="132"/>
      <c r="S2223" s="33" t="s">
        <v>278</v>
      </c>
      <c r="T2223" s="132"/>
      <c r="U2223" s="33" t="s">
        <v>278</v>
      </c>
      <c r="V2223" s="132"/>
      <c r="W2223" s="59" t="s">
        <v>633</v>
      </c>
      <c r="X2223" s="33" t="str">
        <f>+VLOOKUP(OtherClients[[#This Row],[Part]],PartControl!$A$2:$E$564,5,FALSE)</f>
        <v>Infasco</v>
      </c>
      <c r="Y2223" s="108">
        <f>IF(OtherClients[[#This Row],[Re-certified or New]]&lt;&gt;"Re-certified",IF(OtherClients[[#This Row],[Client]]="infasco",VLOOKUP(OtherClients[[#This Row],[Part]],PartControl!$A$2:$E$564,2,FALSE),OtherClients[[#This Row],[Total Quantity]]*VLOOKUP(OtherClients[[#This Row],[Part]],PartControl!$A$2:$E$564,2,FALSE)),0)</f>
        <v>0</v>
      </c>
      <c r="Z2223" s="108">
        <f>IF(OtherClients[[#This Row],[Re-certified or New]]&lt;&gt;"Re-certified",IF(OtherClients[[#This Row],[Client]]="infasco",VLOOKUP(OtherClients[[#This Row],[Part]],PartControl!$A$2:$E$564,2,FALSE),OtherClients[[#This Row],[Total Quantity]]*VLOOKUP(OtherClients[[#This Row],[Part]],PartControl!$A$2:$E$564,2,FALSE)),0)</f>
        <v>0</v>
      </c>
    </row>
    <row r="2224" spans="1:26" ht="25.15" hidden="1" customHeight="1" x14ac:dyDescent="0.25">
      <c r="A2224" s="112">
        <v>46266</v>
      </c>
      <c r="B2224" s="5" t="s">
        <v>357</v>
      </c>
      <c r="C2224" s="5">
        <v>11546449</v>
      </c>
      <c r="D2224" s="5">
        <v>717694</v>
      </c>
      <c r="E2224" s="33">
        <f>36-6</f>
        <v>30</v>
      </c>
      <c r="F2224" s="60">
        <v>2500</v>
      </c>
      <c r="G2224" s="60">
        <f>+OtherClients[[#This Row],[Boxes / Pieces]]*OtherClients[[#This Row],[Unit Quantity]]</f>
        <v>75000</v>
      </c>
      <c r="H2224" s="60">
        <v>280</v>
      </c>
      <c r="I2224" s="130" t="s">
        <v>278</v>
      </c>
      <c r="J2224" s="131"/>
      <c r="K2224" s="33" t="s">
        <v>278</v>
      </c>
      <c r="L2224" s="132"/>
      <c r="M2224" s="33" t="s">
        <v>278</v>
      </c>
      <c r="N2224" s="132"/>
      <c r="O2224" s="33" t="s">
        <v>278</v>
      </c>
      <c r="P2224" s="132"/>
      <c r="Q2224" s="33" t="s">
        <v>587</v>
      </c>
      <c r="R2224" s="132"/>
      <c r="S2224" s="33" t="s">
        <v>278</v>
      </c>
      <c r="T2224" s="132"/>
      <c r="U2224" s="33" t="s">
        <v>278</v>
      </c>
      <c r="V2224" s="132"/>
      <c r="W2224" s="59" t="s">
        <v>548</v>
      </c>
      <c r="X2224" s="33" t="str">
        <f>+VLOOKUP(OtherClients[[#This Row],[Part]],PartControl!$A$2:$E$564,5,FALSE)</f>
        <v>INFASCO</v>
      </c>
      <c r="Y2224" s="108">
        <f>IF(OtherClients[[#This Row],[Re-certified or New]]&lt;&gt;"Re-certified",IF(OtherClients[[#This Row],[Client]]="infasco",VLOOKUP(OtherClients[[#This Row],[Part]],PartControl!$A$2:$E$564,2,FALSE),OtherClients[[#This Row],[Total Quantity]]*VLOOKUP(OtherClients[[#This Row],[Part]],PartControl!$A$2:$E$564,2,FALSE)),0)</f>
        <v>106.94</v>
      </c>
      <c r="Z2224" s="108">
        <f>IF(OtherClients[[#This Row],[Re-certified or New]]&lt;&gt;"Re-certified",IF(OtherClients[[#This Row],[Client]]="infasco",VLOOKUP(OtherClients[[#This Row],[Part]],PartControl!$A$2:$E$564,2,FALSE),OtherClients[[#This Row],[Total Quantity]]*VLOOKUP(OtherClients[[#This Row],[Part]],PartControl!$A$2:$E$564,2,FALSE)),0)</f>
        <v>106.94</v>
      </c>
    </row>
    <row r="2225" spans="1:26" ht="25.15" hidden="1" customHeight="1" x14ac:dyDescent="0.25">
      <c r="A2225" s="112">
        <v>46266</v>
      </c>
      <c r="B2225" s="5" t="s">
        <v>636</v>
      </c>
      <c r="C2225" s="5">
        <v>11549168</v>
      </c>
      <c r="D2225" s="5">
        <v>716914</v>
      </c>
      <c r="E2225" s="33">
        <f>36+6-28</f>
        <v>14</v>
      </c>
      <c r="F2225" s="60">
        <v>1000</v>
      </c>
      <c r="G2225" s="60">
        <f>+OtherClients[[#This Row],[Boxes / Pieces]]*OtherClients[[#This Row],[Unit Quantity]]</f>
        <v>14000</v>
      </c>
      <c r="H2225" s="60">
        <v>280</v>
      </c>
      <c r="I2225" s="130" t="s">
        <v>278</v>
      </c>
      <c r="J2225" s="131"/>
      <c r="K2225" s="33" t="s">
        <v>278</v>
      </c>
      <c r="L2225" s="132"/>
      <c r="M2225" s="33" t="s">
        <v>278</v>
      </c>
      <c r="N2225" s="132"/>
      <c r="O2225" s="33" t="s">
        <v>278</v>
      </c>
      <c r="P2225" s="132"/>
      <c r="Q2225" s="33" t="s">
        <v>587</v>
      </c>
      <c r="R2225" s="132"/>
      <c r="S2225" s="33" t="s">
        <v>278</v>
      </c>
      <c r="T2225" s="132"/>
      <c r="U2225" s="33" t="s">
        <v>278</v>
      </c>
      <c r="V2225" s="132"/>
      <c r="W2225" s="59" t="s">
        <v>548</v>
      </c>
      <c r="X2225" s="33" t="str">
        <f>+VLOOKUP(OtherClients[[#This Row],[Part]],PartControl!$A$2:$E$564,5,FALSE)</f>
        <v>INFASCO</v>
      </c>
      <c r="Y2225" s="108">
        <f>IF(OtherClients[[#This Row],[Re-certified or New]]&lt;&gt;"Re-certified",IF(OtherClients[[#This Row],[Client]]="infasco",VLOOKUP(OtherClients[[#This Row],[Part]],PartControl!$A$2:$E$564,2,FALSE),OtherClients[[#This Row],[Total Quantity]]*VLOOKUP(OtherClients[[#This Row],[Part]],PartControl!$A$2:$E$564,2,FALSE)),0)</f>
        <v>106.94</v>
      </c>
      <c r="Z2225" s="108">
        <f>IF(OtherClients[[#This Row],[Re-certified or New]]&lt;&gt;"Re-certified",IF(OtherClients[[#This Row],[Client]]="infasco",VLOOKUP(OtherClients[[#This Row],[Part]],PartControl!$A$2:$E$564,2,FALSE),OtherClients[[#This Row],[Total Quantity]]*VLOOKUP(OtherClients[[#This Row],[Part]],PartControl!$A$2:$E$564,2,FALSE)),0)</f>
        <v>106.94</v>
      </c>
    </row>
    <row r="2226" spans="1:26" ht="25.15" hidden="1" customHeight="1" x14ac:dyDescent="0.25">
      <c r="A2226" s="112">
        <v>46266</v>
      </c>
      <c r="B2226" s="5" t="s">
        <v>636</v>
      </c>
      <c r="C2226" s="5" t="s">
        <v>703</v>
      </c>
      <c r="D2226" s="5">
        <v>717507</v>
      </c>
      <c r="E2226" s="33">
        <v>24</v>
      </c>
      <c r="F2226" s="60">
        <v>700</v>
      </c>
      <c r="G2226" s="60">
        <f>+OtherClients[[#This Row],[Boxes / Pieces]]*OtherClients[[#This Row],[Unit Quantity]]</f>
        <v>16800</v>
      </c>
      <c r="H2226" s="60">
        <v>280</v>
      </c>
      <c r="I2226" s="130" t="s">
        <v>278</v>
      </c>
      <c r="J2226" s="131"/>
      <c r="K2226" s="33" t="s">
        <v>278</v>
      </c>
      <c r="L2226" s="132"/>
      <c r="M2226" s="33" t="s">
        <v>278</v>
      </c>
      <c r="N2226" s="132"/>
      <c r="O2226" s="33" t="s">
        <v>278</v>
      </c>
      <c r="P2226" s="132"/>
      <c r="Q2226" s="33" t="s">
        <v>587</v>
      </c>
      <c r="R2226" s="132"/>
      <c r="S2226" s="33" t="s">
        <v>278</v>
      </c>
      <c r="T2226" s="132"/>
      <c r="U2226" s="33" t="s">
        <v>278</v>
      </c>
      <c r="V2226" s="132"/>
      <c r="W2226" s="59" t="s">
        <v>633</v>
      </c>
      <c r="X2226" s="33" t="str">
        <f>+VLOOKUP(OtherClients[[#This Row],[Part]],PartControl!$A$2:$E$564,5,FALSE)</f>
        <v>infasco</v>
      </c>
      <c r="Y2226" s="108">
        <f>IF(OtherClients[[#This Row],[Re-certified or New]]&lt;&gt;"Re-certified",IF(OtherClients[[#This Row],[Client]]="infasco",VLOOKUP(OtherClients[[#This Row],[Part]],PartControl!$A$2:$E$564,2,FALSE),OtherClients[[#This Row],[Total Quantity]]*VLOOKUP(OtherClients[[#This Row],[Part]],PartControl!$A$2:$E$564,2,FALSE)),0)</f>
        <v>0</v>
      </c>
      <c r="Z2226" s="108">
        <f>IF(OtherClients[[#This Row],[Re-certified or New]]&lt;&gt;"Re-certified",IF(OtherClients[[#This Row],[Client]]="infasco",VLOOKUP(OtherClients[[#This Row],[Part]],PartControl!$A$2:$E$564,2,FALSE),OtherClients[[#This Row],[Total Quantity]]*VLOOKUP(OtherClients[[#This Row],[Part]],PartControl!$A$2:$E$564,2,FALSE)),0)</f>
        <v>0</v>
      </c>
    </row>
    <row r="2227" spans="1:26" ht="25.15" hidden="1" customHeight="1" x14ac:dyDescent="0.25">
      <c r="A2227" s="112">
        <v>46266</v>
      </c>
      <c r="B2227" s="5" t="s">
        <v>236</v>
      </c>
      <c r="C2227" s="5">
        <v>11546449</v>
      </c>
      <c r="D2227" s="5">
        <v>717691</v>
      </c>
      <c r="E2227" s="33">
        <f>16-2</f>
        <v>14</v>
      </c>
      <c r="F2227" s="60">
        <v>2500</v>
      </c>
      <c r="G2227" s="60">
        <f>+OtherClients[[#This Row],[Boxes / Pieces]]*OtherClients[[#This Row],[Unit Quantity]]</f>
        <v>35000</v>
      </c>
      <c r="H2227" s="60">
        <v>290</v>
      </c>
      <c r="I2227" s="130" t="s">
        <v>278</v>
      </c>
      <c r="J2227" s="131"/>
      <c r="K2227" s="33" t="s">
        <v>278</v>
      </c>
      <c r="L2227" s="132"/>
      <c r="M2227" s="33" t="s">
        <v>278</v>
      </c>
      <c r="N2227" s="132"/>
      <c r="O2227" s="33" t="s">
        <v>278</v>
      </c>
      <c r="P2227" s="132"/>
      <c r="Q2227" s="33" t="s">
        <v>587</v>
      </c>
      <c r="R2227" s="132"/>
      <c r="S2227" s="33" t="s">
        <v>278</v>
      </c>
      <c r="T2227" s="132"/>
      <c r="U2227" s="33" t="s">
        <v>278</v>
      </c>
      <c r="V2227" s="132"/>
      <c r="W2227" s="59" t="s">
        <v>548</v>
      </c>
      <c r="X2227" s="33" t="str">
        <f>+VLOOKUP(OtherClients[[#This Row],[Part]],PartControl!$A$2:$E$564,5,FALSE)</f>
        <v>INFASCO</v>
      </c>
      <c r="Y2227" s="108">
        <f>IF(OtherClients[[#This Row],[Re-certified or New]]&lt;&gt;"Re-certified",IF(OtherClients[[#This Row],[Client]]="infasco",VLOOKUP(OtherClients[[#This Row],[Part]],PartControl!$A$2:$E$564,2,FALSE),OtherClients[[#This Row],[Total Quantity]]*VLOOKUP(OtherClients[[#This Row],[Part]],PartControl!$A$2:$E$564,2,FALSE)),0)</f>
        <v>106.94</v>
      </c>
      <c r="Z2227" s="108">
        <f>IF(OtherClients[[#This Row],[Re-certified or New]]&lt;&gt;"Re-certified",IF(OtherClients[[#This Row],[Client]]="infasco",VLOOKUP(OtherClients[[#This Row],[Part]],PartControl!$A$2:$E$564,2,FALSE),OtherClients[[#This Row],[Total Quantity]]*VLOOKUP(OtherClients[[#This Row],[Part]],PartControl!$A$2:$E$564,2,FALSE)),0)</f>
        <v>106.94</v>
      </c>
    </row>
    <row r="2228" spans="1:26" ht="25.15" hidden="1" customHeight="1" x14ac:dyDescent="0.25">
      <c r="A2228" s="112">
        <v>46266</v>
      </c>
      <c r="B2228" s="5" t="s">
        <v>239</v>
      </c>
      <c r="C2228" s="5" t="s">
        <v>687</v>
      </c>
      <c r="D2228" s="5">
        <v>717218</v>
      </c>
      <c r="E2228" s="33">
        <f>36-16</f>
        <v>20</v>
      </c>
      <c r="F2228" s="60">
        <v>280</v>
      </c>
      <c r="G2228" s="60">
        <f>+OtherClients[[#This Row],[Boxes / Pieces]]*OtherClients[[#This Row],[Unit Quantity]]</f>
        <v>5600</v>
      </c>
      <c r="H2228" s="60">
        <v>290</v>
      </c>
      <c r="I2228" s="130" t="s">
        <v>278</v>
      </c>
      <c r="J2228" s="131"/>
      <c r="K2228" s="33" t="s">
        <v>278</v>
      </c>
      <c r="L2228" s="132"/>
      <c r="M2228" s="33" t="s">
        <v>278</v>
      </c>
      <c r="N2228" s="132"/>
      <c r="O2228" s="33" t="s">
        <v>278</v>
      </c>
      <c r="P2228" s="132"/>
      <c r="Q2228" s="33" t="s">
        <v>587</v>
      </c>
      <c r="R2228" s="132"/>
      <c r="S2228" s="33" t="s">
        <v>278</v>
      </c>
      <c r="T2228" s="132"/>
      <c r="U2228" s="33" t="s">
        <v>278</v>
      </c>
      <c r="V2228" s="132"/>
      <c r="W2228" s="59" t="s">
        <v>548</v>
      </c>
      <c r="X2228" s="33" t="str">
        <f>+VLOOKUP(OtherClients[[#This Row],[Part]],PartControl!$A$2:$E$564,5,FALSE)</f>
        <v>infasco</v>
      </c>
      <c r="Y2228" s="108">
        <f>IF(OtherClients[[#This Row],[Re-certified or New]]&lt;&gt;"Re-certified",IF(OtherClients[[#This Row],[Client]]="infasco",VLOOKUP(OtherClients[[#This Row],[Part]],PartControl!$A$2:$E$564,2,FALSE),OtherClients[[#This Row],[Total Quantity]]*VLOOKUP(OtherClients[[#This Row],[Part]],PartControl!$A$2:$E$564,2,FALSE)),0)</f>
        <v>106.94</v>
      </c>
      <c r="Z2228" s="108">
        <f>IF(OtherClients[[#This Row],[Re-certified or New]]&lt;&gt;"Re-certified",IF(OtherClients[[#This Row],[Client]]="infasco",VLOOKUP(OtherClients[[#This Row],[Part]],PartControl!$A$2:$E$564,2,FALSE),OtherClients[[#This Row],[Total Quantity]]*VLOOKUP(OtherClients[[#This Row],[Part]],PartControl!$A$2:$E$564,2,FALSE)),0)</f>
        <v>106.94</v>
      </c>
    </row>
    <row r="2229" spans="1:26" ht="25.15" hidden="1" customHeight="1" x14ac:dyDescent="0.25">
      <c r="A2229" s="112">
        <v>46266</v>
      </c>
      <c r="B2229" s="5" t="s">
        <v>239</v>
      </c>
      <c r="C2229" s="5" t="s">
        <v>687</v>
      </c>
      <c r="D2229" s="5">
        <v>717215</v>
      </c>
      <c r="E2229" s="33">
        <v>36</v>
      </c>
      <c r="F2229" s="60">
        <v>280</v>
      </c>
      <c r="G2229" s="60">
        <f>+OtherClients[[#This Row],[Boxes / Pieces]]*OtherClients[[#This Row],[Unit Quantity]]</f>
        <v>10080</v>
      </c>
      <c r="H2229" s="60">
        <v>290</v>
      </c>
      <c r="I2229" s="130" t="s">
        <v>278</v>
      </c>
      <c r="J2229" s="131"/>
      <c r="K2229" s="33" t="s">
        <v>278</v>
      </c>
      <c r="L2229" s="132"/>
      <c r="M2229" s="33" t="s">
        <v>278</v>
      </c>
      <c r="N2229" s="132"/>
      <c r="O2229" s="33" t="s">
        <v>278</v>
      </c>
      <c r="P2229" s="132"/>
      <c r="Q2229" s="33" t="s">
        <v>587</v>
      </c>
      <c r="R2229" s="132"/>
      <c r="S2229" s="33" t="s">
        <v>278</v>
      </c>
      <c r="T2229" s="132"/>
      <c r="U2229" s="33" t="s">
        <v>278</v>
      </c>
      <c r="V2229" s="132"/>
      <c r="W2229" s="59" t="s">
        <v>548</v>
      </c>
      <c r="X2229" s="33" t="str">
        <f>+VLOOKUP(OtherClients[[#This Row],[Part]],PartControl!$A$2:$E$564,5,FALSE)</f>
        <v>infasco</v>
      </c>
      <c r="Y2229" s="108">
        <f>IF(OtherClients[[#This Row],[Re-certified or New]]&lt;&gt;"Re-certified",IF(OtherClients[[#This Row],[Client]]="infasco",VLOOKUP(OtherClients[[#This Row],[Part]],PartControl!$A$2:$E$564,2,FALSE),OtherClients[[#This Row],[Total Quantity]]*VLOOKUP(OtherClients[[#This Row],[Part]],PartControl!$A$2:$E$564,2,FALSE)),0)</f>
        <v>106.94</v>
      </c>
      <c r="Z2229" s="108">
        <f>IF(OtherClients[[#This Row],[Re-certified or New]]&lt;&gt;"Re-certified",IF(OtherClients[[#This Row],[Client]]="infasco",VLOOKUP(OtherClients[[#This Row],[Part]],PartControl!$A$2:$E$564,2,FALSE),OtherClients[[#This Row],[Total Quantity]]*VLOOKUP(OtherClients[[#This Row],[Part]],PartControl!$A$2:$E$564,2,FALSE)),0)</f>
        <v>106.94</v>
      </c>
    </row>
    <row r="2230" spans="1:26" ht="25.15" hidden="1" customHeight="1" x14ac:dyDescent="0.25">
      <c r="A2230" s="112">
        <v>46266</v>
      </c>
      <c r="B2230" s="5" t="s">
        <v>239</v>
      </c>
      <c r="C2230" s="5" t="s">
        <v>687</v>
      </c>
      <c r="D2230" s="5">
        <v>717217</v>
      </c>
      <c r="E2230" s="33">
        <v>36</v>
      </c>
      <c r="F2230" s="60">
        <v>280</v>
      </c>
      <c r="G2230" s="60">
        <f>+OtherClients[[#This Row],[Boxes / Pieces]]*OtherClients[[#This Row],[Unit Quantity]]</f>
        <v>10080</v>
      </c>
      <c r="H2230" s="60">
        <v>290</v>
      </c>
      <c r="I2230" s="130" t="s">
        <v>278</v>
      </c>
      <c r="J2230" s="131"/>
      <c r="K2230" s="33" t="s">
        <v>278</v>
      </c>
      <c r="L2230" s="132"/>
      <c r="M2230" s="33" t="s">
        <v>278</v>
      </c>
      <c r="N2230" s="132"/>
      <c r="O2230" s="33" t="s">
        <v>278</v>
      </c>
      <c r="P2230" s="132"/>
      <c r="Q2230" s="33" t="s">
        <v>587</v>
      </c>
      <c r="R2230" s="132"/>
      <c r="S2230" s="33" t="s">
        <v>278</v>
      </c>
      <c r="T2230" s="132"/>
      <c r="U2230" s="33" t="s">
        <v>278</v>
      </c>
      <c r="V2230" s="132"/>
      <c r="W2230" s="59" t="s">
        <v>548</v>
      </c>
      <c r="X2230" s="33" t="str">
        <f>+VLOOKUP(OtherClients[[#This Row],[Part]],PartControl!$A$2:$E$564,5,FALSE)</f>
        <v>infasco</v>
      </c>
      <c r="Y2230" s="108">
        <f>IF(OtherClients[[#This Row],[Re-certified or New]]&lt;&gt;"Re-certified",IF(OtherClients[[#This Row],[Client]]="infasco",VLOOKUP(OtherClients[[#This Row],[Part]],PartControl!$A$2:$E$564,2,FALSE),OtherClients[[#This Row],[Total Quantity]]*VLOOKUP(OtherClients[[#This Row],[Part]],PartControl!$A$2:$E$564,2,FALSE)),0)</f>
        <v>106.94</v>
      </c>
      <c r="Z2230" s="108">
        <f>IF(OtherClients[[#This Row],[Re-certified or New]]&lt;&gt;"Re-certified",IF(OtherClients[[#This Row],[Client]]="infasco",VLOOKUP(OtherClients[[#This Row],[Part]],PartControl!$A$2:$E$564,2,FALSE),OtherClients[[#This Row],[Total Quantity]]*VLOOKUP(OtherClients[[#This Row],[Part]],PartControl!$A$2:$E$564,2,FALSE)),0)</f>
        <v>106.94</v>
      </c>
    </row>
    <row r="2231" spans="1:26" ht="25.15" hidden="1" customHeight="1" x14ac:dyDescent="0.25">
      <c r="A2231" s="112">
        <v>46266</v>
      </c>
      <c r="B2231" s="5" t="s">
        <v>239</v>
      </c>
      <c r="C2231" s="5" t="s">
        <v>687</v>
      </c>
      <c r="D2231" s="5">
        <v>717210</v>
      </c>
      <c r="E2231" s="33">
        <v>12</v>
      </c>
      <c r="F2231" s="60">
        <v>280</v>
      </c>
      <c r="G2231" s="60">
        <f>+OtherClients[[#This Row],[Boxes / Pieces]]*OtherClients[[#This Row],[Unit Quantity]]</f>
        <v>3360</v>
      </c>
      <c r="H2231" s="60">
        <v>290</v>
      </c>
      <c r="I2231" s="130" t="s">
        <v>278</v>
      </c>
      <c r="J2231" s="131"/>
      <c r="K2231" s="33" t="s">
        <v>278</v>
      </c>
      <c r="L2231" s="132"/>
      <c r="M2231" s="33" t="s">
        <v>278</v>
      </c>
      <c r="N2231" s="132"/>
      <c r="O2231" s="33" t="s">
        <v>278</v>
      </c>
      <c r="P2231" s="132"/>
      <c r="Q2231" s="33" t="s">
        <v>587</v>
      </c>
      <c r="R2231" s="132"/>
      <c r="S2231" s="33" t="s">
        <v>278</v>
      </c>
      <c r="T2231" s="132"/>
      <c r="U2231" s="33" t="s">
        <v>278</v>
      </c>
      <c r="V2231" s="132"/>
      <c r="W2231" s="59" t="s">
        <v>633</v>
      </c>
      <c r="X2231" s="33" t="str">
        <f>+VLOOKUP(OtherClients[[#This Row],[Part]],PartControl!$A$2:$E$564,5,FALSE)</f>
        <v>infasco</v>
      </c>
      <c r="Y2231" s="108">
        <f>IF(OtherClients[[#This Row],[Re-certified or New]]&lt;&gt;"Re-certified",IF(OtherClients[[#This Row],[Client]]="infasco",VLOOKUP(OtherClients[[#This Row],[Part]],PartControl!$A$2:$E$564,2,FALSE),OtherClients[[#This Row],[Total Quantity]]*VLOOKUP(OtherClients[[#This Row],[Part]],PartControl!$A$2:$E$564,2,FALSE)),0)</f>
        <v>0</v>
      </c>
      <c r="Z2231" s="108">
        <f>IF(OtherClients[[#This Row],[Re-certified or New]]&lt;&gt;"Re-certified",IF(OtherClients[[#This Row],[Client]]="infasco",VLOOKUP(OtherClients[[#This Row],[Part]],PartControl!$A$2:$E$564,2,FALSE),OtherClients[[#This Row],[Total Quantity]]*VLOOKUP(OtherClients[[#This Row],[Part]],PartControl!$A$2:$E$564,2,FALSE)),0)</f>
        <v>0</v>
      </c>
    </row>
    <row r="2232" spans="1:26" ht="25.15" hidden="1" customHeight="1" x14ac:dyDescent="0.25">
      <c r="A2232" s="112">
        <v>46266</v>
      </c>
      <c r="B2232" s="5" t="s">
        <v>235</v>
      </c>
      <c r="C2232" s="5">
        <v>11546571</v>
      </c>
      <c r="D2232" s="5">
        <v>717162</v>
      </c>
      <c r="E2232" s="33">
        <f>28-16</f>
        <v>12</v>
      </c>
      <c r="F2232" s="60">
        <v>1550</v>
      </c>
      <c r="G2232" s="60">
        <f>+OtherClients[[#This Row],[Boxes / Pieces]]*OtherClients[[#This Row],[Unit Quantity]]</f>
        <v>18600</v>
      </c>
      <c r="H2232" s="60">
        <v>290</v>
      </c>
      <c r="I2232" s="130" t="s">
        <v>278</v>
      </c>
      <c r="J2232" s="131"/>
      <c r="K2232" s="33" t="s">
        <v>278</v>
      </c>
      <c r="L2232" s="132"/>
      <c r="M2232" s="33" t="s">
        <v>278</v>
      </c>
      <c r="N2232" s="132"/>
      <c r="O2232" s="33" t="s">
        <v>278</v>
      </c>
      <c r="P2232" s="132"/>
      <c r="Q2232" s="33" t="s">
        <v>587</v>
      </c>
      <c r="R2232" s="132"/>
      <c r="S2232" s="33" t="s">
        <v>278</v>
      </c>
      <c r="T2232" s="132"/>
      <c r="U2232" s="33" t="s">
        <v>278</v>
      </c>
      <c r="V2232" s="132"/>
      <c r="W2232" s="59" t="s">
        <v>548</v>
      </c>
      <c r="X2232" s="33" t="str">
        <f>+VLOOKUP(OtherClients[[#This Row],[Part]],PartControl!$A$2:$E$564,5,FALSE)</f>
        <v>infasco</v>
      </c>
      <c r="Y2232" s="108">
        <f>IF(OtherClients[[#This Row],[Re-certified or New]]&lt;&gt;"Re-certified",IF(OtherClients[[#This Row],[Client]]="infasco",VLOOKUP(OtherClients[[#This Row],[Part]],PartControl!$A$2:$E$564,2,FALSE),OtherClients[[#This Row],[Total Quantity]]*VLOOKUP(OtherClients[[#This Row],[Part]],PartControl!$A$2:$E$564,2,FALSE)),0)</f>
        <v>135.07999999999998</v>
      </c>
      <c r="Z2232" s="108">
        <f>IF(OtherClients[[#This Row],[Re-certified or New]]&lt;&gt;"Re-certified",IF(OtherClients[[#This Row],[Client]]="infasco",VLOOKUP(OtherClients[[#This Row],[Part]],PartControl!$A$2:$E$564,2,FALSE),OtherClients[[#This Row],[Total Quantity]]*VLOOKUP(OtherClients[[#This Row],[Part]],PartControl!$A$2:$E$564,2,FALSE)),0)</f>
        <v>135.07999999999998</v>
      </c>
    </row>
    <row r="2233" spans="1:26" ht="25.15" hidden="1" customHeight="1" x14ac:dyDescent="0.25">
      <c r="A2233" s="112">
        <v>46266</v>
      </c>
      <c r="B2233" s="5" t="s">
        <v>235</v>
      </c>
      <c r="C2233" s="5">
        <v>11546571</v>
      </c>
      <c r="D2233" s="5">
        <v>717161</v>
      </c>
      <c r="E2233" s="33">
        <v>2</v>
      </c>
      <c r="F2233" s="60">
        <v>1550</v>
      </c>
      <c r="G2233" s="60">
        <f>+OtherClients[[#This Row],[Boxes / Pieces]]*OtherClients[[#This Row],[Unit Quantity]]</f>
        <v>3100</v>
      </c>
      <c r="H2233" s="60">
        <v>290</v>
      </c>
      <c r="I2233" s="130" t="s">
        <v>278</v>
      </c>
      <c r="J2233" s="131"/>
      <c r="K2233" s="33" t="s">
        <v>278</v>
      </c>
      <c r="L2233" s="132"/>
      <c r="M2233" s="33" t="s">
        <v>278</v>
      </c>
      <c r="N2233" s="132"/>
      <c r="O2233" s="33" t="s">
        <v>278</v>
      </c>
      <c r="P2233" s="132"/>
      <c r="Q2233" s="33" t="s">
        <v>587</v>
      </c>
      <c r="R2233" s="132"/>
      <c r="S2233" s="33" t="s">
        <v>278</v>
      </c>
      <c r="T2233" s="132"/>
      <c r="U2233" s="33" t="s">
        <v>278</v>
      </c>
      <c r="V2233" s="132"/>
      <c r="W2233" s="59" t="s">
        <v>633</v>
      </c>
      <c r="X2233" s="33" t="str">
        <f>+VLOOKUP(OtherClients[[#This Row],[Part]],PartControl!$A$2:$E$564,5,FALSE)</f>
        <v>infasco</v>
      </c>
      <c r="Y2233" s="108">
        <f>IF(OtherClients[[#This Row],[Re-certified or New]]&lt;&gt;"Re-certified",IF(OtherClients[[#This Row],[Client]]="infasco",VLOOKUP(OtherClients[[#This Row],[Part]],PartControl!$A$2:$E$564,2,FALSE),OtherClients[[#This Row],[Total Quantity]]*VLOOKUP(OtherClients[[#This Row],[Part]],PartControl!$A$2:$E$564,2,FALSE)),0)</f>
        <v>0</v>
      </c>
      <c r="Z2233" s="108">
        <f>IF(OtherClients[[#This Row],[Re-certified or New]]&lt;&gt;"Re-certified",IF(OtherClients[[#This Row],[Client]]="infasco",VLOOKUP(OtherClients[[#This Row],[Part]],PartControl!$A$2:$E$564,2,FALSE),OtherClients[[#This Row],[Total Quantity]]*VLOOKUP(OtherClients[[#This Row],[Part]],PartControl!$A$2:$E$564,2,FALSE)),0)</f>
        <v>0</v>
      </c>
    </row>
    <row r="2234" spans="1:26" ht="25.15" hidden="1" customHeight="1" x14ac:dyDescent="0.25">
      <c r="A2234" s="112">
        <v>46266</v>
      </c>
      <c r="B2234" s="5" t="s">
        <v>237</v>
      </c>
      <c r="C2234" s="5">
        <v>11549168</v>
      </c>
      <c r="D2234" s="5">
        <v>716910</v>
      </c>
      <c r="E2234" s="33">
        <f>36+8-14</f>
        <v>30</v>
      </c>
      <c r="F2234" s="60">
        <v>1000</v>
      </c>
      <c r="G2234" s="60">
        <f>+OtherClients[[#This Row],[Boxes / Pieces]]*OtherClients[[#This Row],[Unit Quantity]]</f>
        <v>30000</v>
      </c>
      <c r="H2234" s="60">
        <v>290</v>
      </c>
      <c r="I2234" s="130" t="s">
        <v>278</v>
      </c>
      <c r="J2234" s="131"/>
      <c r="K2234" s="33" t="s">
        <v>278</v>
      </c>
      <c r="L2234" s="132"/>
      <c r="M2234" s="33" t="s">
        <v>278</v>
      </c>
      <c r="N2234" s="132"/>
      <c r="O2234" s="33" t="s">
        <v>278</v>
      </c>
      <c r="P2234" s="132"/>
      <c r="Q2234" s="33" t="s">
        <v>587</v>
      </c>
      <c r="R2234" s="132"/>
      <c r="S2234" s="33" t="s">
        <v>278</v>
      </c>
      <c r="T2234" s="132"/>
      <c r="U2234" s="33" t="s">
        <v>278</v>
      </c>
      <c r="V2234" s="132"/>
      <c r="W2234" s="59" t="s">
        <v>548</v>
      </c>
      <c r="X2234" s="33" t="str">
        <f>+VLOOKUP(OtherClients[[#This Row],[Part]],PartControl!$A$2:$E$564,5,FALSE)</f>
        <v>INFASCO</v>
      </c>
      <c r="Y2234" s="108">
        <f>IF(OtherClients[[#This Row],[Re-certified or New]]&lt;&gt;"Re-certified",IF(OtherClients[[#This Row],[Client]]="infasco",VLOOKUP(OtherClients[[#This Row],[Part]],PartControl!$A$2:$E$564,2,FALSE),OtherClients[[#This Row],[Total Quantity]]*VLOOKUP(OtherClients[[#This Row],[Part]],PartControl!$A$2:$E$564,2,FALSE)),0)</f>
        <v>106.94</v>
      </c>
      <c r="Z2234" s="108">
        <f>IF(OtherClients[[#This Row],[Re-certified or New]]&lt;&gt;"Re-certified",IF(OtherClients[[#This Row],[Client]]="infasco",VLOOKUP(OtherClients[[#This Row],[Part]],PartControl!$A$2:$E$564,2,FALSE),OtherClients[[#This Row],[Total Quantity]]*VLOOKUP(OtherClients[[#This Row],[Part]],PartControl!$A$2:$E$564,2,FALSE)),0)</f>
        <v>106.94</v>
      </c>
    </row>
    <row r="2235" spans="1:26" ht="25.15" hidden="1" customHeight="1" x14ac:dyDescent="0.25">
      <c r="A2235" s="112">
        <v>46266</v>
      </c>
      <c r="B2235" s="5" t="s">
        <v>237</v>
      </c>
      <c r="C2235" s="5" t="s">
        <v>703</v>
      </c>
      <c r="D2235" s="5">
        <v>717509</v>
      </c>
      <c r="E2235" s="33">
        <v>36</v>
      </c>
      <c r="F2235" s="60">
        <v>700</v>
      </c>
      <c r="G2235" s="60">
        <f>+OtherClients[[#This Row],[Boxes / Pieces]]*OtherClients[[#This Row],[Unit Quantity]]</f>
        <v>25200</v>
      </c>
      <c r="H2235" s="60">
        <v>290</v>
      </c>
      <c r="I2235" s="130" t="s">
        <v>278</v>
      </c>
      <c r="J2235" s="131"/>
      <c r="K2235" s="33" t="s">
        <v>278</v>
      </c>
      <c r="L2235" s="132"/>
      <c r="M2235" s="33" t="s">
        <v>278</v>
      </c>
      <c r="N2235" s="132"/>
      <c r="O2235" s="33" t="s">
        <v>278</v>
      </c>
      <c r="P2235" s="132"/>
      <c r="Q2235" s="33" t="s">
        <v>587</v>
      </c>
      <c r="R2235" s="132"/>
      <c r="S2235" s="33" t="s">
        <v>278</v>
      </c>
      <c r="T2235" s="132"/>
      <c r="U2235" s="33" t="s">
        <v>278</v>
      </c>
      <c r="V2235" s="132"/>
      <c r="W2235" s="59" t="s">
        <v>548</v>
      </c>
      <c r="X2235" s="33" t="str">
        <f>+VLOOKUP(OtherClients[[#This Row],[Part]],PartControl!$A$2:$E$564,5,FALSE)</f>
        <v>infasco</v>
      </c>
      <c r="Y2235" s="108">
        <f>IF(OtherClients[[#This Row],[Re-certified or New]]&lt;&gt;"Re-certified",IF(OtherClients[[#This Row],[Client]]="infasco",VLOOKUP(OtherClients[[#This Row],[Part]],PartControl!$A$2:$E$564,2,FALSE),OtherClients[[#This Row],[Total Quantity]]*VLOOKUP(OtherClients[[#This Row],[Part]],PartControl!$A$2:$E$564,2,FALSE)),0)</f>
        <v>106.94</v>
      </c>
      <c r="Z2235" s="108">
        <f>IF(OtherClients[[#This Row],[Re-certified or New]]&lt;&gt;"Re-certified",IF(OtherClients[[#This Row],[Client]]="infasco",VLOOKUP(OtherClients[[#This Row],[Part]],PartControl!$A$2:$E$564,2,FALSE),OtherClients[[#This Row],[Total Quantity]]*VLOOKUP(OtherClients[[#This Row],[Part]],PartControl!$A$2:$E$564,2,FALSE)),0)</f>
        <v>106.94</v>
      </c>
    </row>
    <row r="2236" spans="1:26" ht="25.15" hidden="1" customHeight="1" x14ac:dyDescent="0.25">
      <c r="A2236" s="112">
        <v>46266</v>
      </c>
      <c r="B2236" s="5" t="s">
        <v>237</v>
      </c>
      <c r="C2236" s="5" t="s">
        <v>703</v>
      </c>
      <c r="D2236" s="5">
        <v>717510</v>
      </c>
      <c r="E2236" s="33">
        <v>36</v>
      </c>
      <c r="F2236" s="60">
        <v>700</v>
      </c>
      <c r="G2236" s="60">
        <f>+OtherClients[[#This Row],[Boxes / Pieces]]*OtherClients[[#This Row],[Unit Quantity]]</f>
        <v>25200</v>
      </c>
      <c r="H2236" s="60">
        <v>290</v>
      </c>
      <c r="I2236" s="130" t="s">
        <v>278</v>
      </c>
      <c r="J2236" s="131"/>
      <c r="K2236" s="33" t="s">
        <v>278</v>
      </c>
      <c r="L2236" s="132"/>
      <c r="M2236" s="33" t="s">
        <v>278</v>
      </c>
      <c r="N2236" s="132"/>
      <c r="O2236" s="33" t="s">
        <v>278</v>
      </c>
      <c r="P2236" s="132"/>
      <c r="Q2236" s="33" t="s">
        <v>587</v>
      </c>
      <c r="R2236" s="132"/>
      <c r="S2236" s="33" t="s">
        <v>278</v>
      </c>
      <c r="T2236" s="132"/>
      <c r="U2236" s="33" t="s">
        <v>278</v>
      </c>
      <c r="V2236" s="132"/>
      <c r="W2236" s="59" t="s">
        <v>548</v>
      </c>
      <c r="X2236" s="33" t="str">
        <f>+VLOOKUP(OtherClients[[#This Row],[Part]],PartControl!$A$2:$E$564,5,FALSE)</f>
        <v>infasco</v>
      </c>
      <c r="Y2236" s="108">
        <f>IF(OtherClients[[#This Row],[Re-certified or New]]&lt;&gt;"Re-certified",IF(OtherClients[[#This Row],[Client]]="infasco",VLOOKUP(OtherClients[[#This Row],[Part]],PartControl!$A$2:$E$564,2,FALSE),OtherClients[[#This Row],[Total Quantity]]*VLOOKUP(OtherClients[[#This Row],[Part]],PartControl!$A$2:$E$564,2,FALSE)),0)</f>
        <v>106.94</v>
      </c>
      <c r="Z2236" s="108">
        <f>IF(OtherClients[[#This Row],[Re-certified or New]]&lt;&gt;"Re-certified",IF(OtherClients[[#This Row],[Client]]="infasco",VLOOKUP(OtherClients[[#This Row],[Part]],PartControl!$A$2:$E$564,2,FALSE),OtherClients[[#This Row],[Total Quantity]]*VLOOKUP(OtherClients[[#This Row],[Part]],PartControl!$A$2:$E$564,2,FALSE)),0)</f>
        <v>106.94</v>
      </c>
    </row>
    <row r="2237" spans="1:26" ht="25.15" hidden="1" customHeight="1" x14ac:dyDescent="0.25">
      <c r="A2237" s="112">
        <v>46266</v>
      </c>
      <c r="B2237" s="5" t="s">
        <v>237</v>
      </c>
      <c r="C2237" s="5" t="s">
        <v>703</v>
      </c>
      <c r="D2237" s="5">
        <v>717029</v>
      </c>
      <c r="E2237" s="33">
        <v>23</v>
      </c>
      <c r="F2237" s="60">
        <v>700</v>
      </c>
      <c r="G2237" s="60">
        <f>+OtherClients[[#This Row],[Boxes / Pieces]]*OtherClients[[#This Row],[Unit Quantity]]</f>
        <v>16100</v>
      </c>
      <c r="H2237" s="60">
        <v>290</v>
      </c>
      <c r="I2237" s="130" t="s">
        <v>278</v>
      </c>
      <c r="J2237" s="131"/>
      <c r="K2237" s="33" t="s">
        <v>278</v>
      </c>
      <c r="L2237" s="132"/>
      <c r="M2237" s="33" t="s">
        <v>278</v>
      </c>
      <c r="N2237" s="132"/>
      <c r="O2237" s="33" t="s">
        <v>278</v>
      </c>
      <c r="P2237" s="132"/>
      <c r="Q2237" s="33" t="s">
        <v>587</v>
      </c>
      <c r="R2237" s="132"/>
      <c r="S2237" s="33" t="s">
        <v>278</v>
      </c>
      <c r="T2237" s="132"/>
      <c r="U2237" s="33" t="s">
        <v>278</v>
      </c>
      <c r="V2237" s="132"/>
      <c r="W2237" s="59" t="s">
        <v>633</v>
      </c>
      <c r="X2237" s="33" t="str">
        <f>+VLOOKUP(OtherClients[[#This Row],[Part]],PartControl!$A$2:$E$564,5,FALSE)</f>
        <v>infasco</v>
      </c>
      <c r="Y2237" s="108">
        <f>IF(OtherClients[[#This Row],[Re-certified or New]]&lt;&gt;"Re-certified",IF(OtherClients[[#This Row],[Client]]="infasco",VLOOKUP(OtherClients[[#This Row],[Part]],PartControl!$A$2:$E$564,2,FALSE),OtherClients[[#This Row],[Total Quantity]]*VLOOKUP(OtherClients[[#This Row],[Part]],PartControl!$A$2:$E$564,2,FALSE)),0)</f>
        <v>0</v>
      </c>
      <c r="Z2237" s="108">
        <f>IF(OtherClients[[#This Row],[Re-certified or New]]&lt;&gt;"Re-certified",IF(OtherClients[[#This Row],[Client]]="infasco",VLOOKUP(OtherClients[[#This Row],[Part]],PartControl!$A$2:$E$564,2,FALSE),OtherClients[[#This Row],[Total Quantity]]*VLOOKUP(OtherClients[[#This Row],[Part]],PartControl!$A$2:$E$564,2,FALSE)),0)</f>
        <v>0</v>
      </c>
    </row>
    <row r="2238" spans="1:26" ht="25.15" hidden="1" customHeight="1" x14ac:dyDescent="0.25">
      <c r="A2238" s="112">
        <v>46266</v>
      </c>
      <c r="B2238" s="5" t="s">
        <v>250</v>
      </c>
      <c r="C2238" s="5">
        <v>11549170</v>
      </c>
      <c r="D2238" s="5">
        <v>716932</v>
      </c>
      <c r="E2238" s="33">
        <v>10</v>
      </c>
      <c r="F2238" s="60">
        <v>400</v>
      </c>
      <c r="G2238" s="60">
        <f>+OtherClients[[#This Row],[Boxes / Pieces]]*OtherClients[[#This Row],[Unit Quantity]]</f>
        <v>4000</v>
      </c>
      <c r="H2238" s="60">
        <v>290</v>
      </c>
      <c r="I2238" s="130" t="s">
        <v>278</v>
      </c>
      <c r="J2238" s="131"/>
      <c r="K2238" s="33" t="s">
        <v>278</v>
      </c>
      <c r="L2238" s="132"/>
      <c r="M2238" s="33" t="s">
        <v>278</v>
      </c>
      <c r="N2238" s="132"/>
      <c r="O2238" s="33" t="s">
        <v>278</v>
      </c>
      <c r="P2238" s="132"/>
      <c r="Q2238" s="33" t="s">
        <v>587</v>
      </c>
      <c r="R2238" s="132"/>
      <c r="S2238" s="33" t="s">
        <v>278</v>
      </c>
      <c r="T2238" s="132"/>
      <c r="U2238" s="33" t="s">
        <v>278</v>
      </c>
      <c r="V2238" s="132"/>
      <c r="W2238" s="59" t="s">
        <v>548</v>
      </c>
      <c r="X2238" s="33" t="str">
        <f>+VLOOKUP(OtherClients[[#This Row],[Part]],PartControl!$A$2:$E$564,5,FALSE)</f>
        <v>INFASCO</v>
      </c>
      <c r="Y2238" s="108">
        <f>IF(OtherClients[[#This Row],[Re-certified or New]]&lt;&gt;"Re-certified",IF(OtherClients[[#This Row],[Client]]="infasco",VLOOKUP(OtherClients[[#This Row],[Part]],PartControl!$A$2:$E$564,2,FALSE),OtherClients[[#This Row],[Total Quantity]]*VLOOKUP(OtherClients[[#This Row],[Part]],PartControl!$A$2:$E$564,2,FALSE)),0)</f>
        <v>106.94</v>
      </c>
      <c r="Z2238" s="108">
        <f>IF(OtherClients[[#This Row],[Re-certified or New]]&lt;&gt;"Re-certified",IF(OtherClients[[#This Row],[Client]]="infasco",VLOOKUP(OtherClients[[#This Row],[Part]],PartControl!$A$2:$E$564,2,FALSE),OtherClients[[#This Row],[Total Quantity]]*VLOOKUP(OtherClients[[#This Row],[Part]],PartControl!$A$2:$E$564,2,FALSE)),0)</f>
        <v>106.94</v>
      </c>
    </row>
    <row r="2239" spans="1:26" ht="25.15" hidden="1" customHeight="1" x14ac:dyDescent="0.25">
      <c r="A2239" s="112">
        <v>46266</v>
      </c>
      <c r="B2239" s="5" t="s">
        <v>250</v>
      </c>
      <c r="C2239" s="5">
        <v>11549170</v>
      </c>
      <c r="D2239" s="5">
        <v>716939</v>
      </c>
      <c r="E2239" s="33">
        <v>11</v>
      </c>
      <c r="F2239" s="60">
        <v>400</v>
      </c>
      <c r="G2239" s="60">
        <f>+OtherClients[[#This Row],[Boxes / Pieces]]*OtherClients[[#This Row],[Unit Quantity]]</f>
        <v>4400</v>
      </c>
      <c r="H2239" s="60">
        <v>290</v>
      </c>
      <c r="I2239" s="130" t="s">
        <v>278</v>
      </c>
      <c r="J2239" s="131"/>
      <c r="K2239" s="33" t="s">
        <v>278</v>
      </c>
      <c r="L2239" s="132"/>
      <c r="M2239" s="33" t="s">
        <v>278</v>
      </c>
      <c r="N2239" s="132"/>
      <c r="O2239" s="33" t="s">
        <v>278</v>
      </c>
      <c r="P2239" s="132"/>
      <c r="Q2239" s="33" t="s">
        <v>587</v>
      </c>
      <c r="R2239" s="132"/>
      <c r="S2239" s="33" t="s">
        <v>278</v>
      </c>
      <c r="T2239" s="132"/>
      <c r="U2239" s="33" t="s">
        <v>278</v>
      </c>
      <c r="V2239" s="132"/>
      <c r="W2239" s="59" t="s">
        <v>548</v>
      </c>
      <c r="X2239" s="33" t="str">
        <f>+VLOOKUP(OtherClients[[#This Row],[Part]],PartControl!$A$2:$E$564,5,FALSE)</f>
        <v>INFASCO</v>
      </c>
      <c r="Y2239" s="108">
        <f>IF(OtherClients[[#This Row],[Re-certified or New]]&lt;&gt;"Re-certified",IF(OtherClients[[#This Row],[Client]]="infasco",VLOOKUP(OtherClients[[#This Row],[Part]],PartControl!$A$2:$E$564,2,FALSE),OtherClients[[#This Row],[Total Quantity]]*VLOOKUP(OtherClients[[#This Row],[Part]],PartControl!$A$2:$E$564,2,FALSE)),0)</f>
        <v>106.94</v>
      </c>
      <c r="Z2239" s="108">
        <f>IF(OtherClients[[#This Row],[Re-certified or New]]&lt;&gt;"Re-certified",IF(OtherClients[[#This Row],[Client]]="infasco",VLOOKUP(OtherClients[[#This Row],[Part]],PartControl!$A$2:$E$564,2,FALSE),OtherClients[[#This Row],[Total Quantity]]*VLOOKUP(OtherClients[[#This Row],[Part]],PartControl!$A$2:$E$564,2,FALSE)),0)</f>
        <v>106.94</v>
      </c>
    </row>
    <row r="2240" spans="1:26" ht="25.15" hidden="1" customHeight="1" x14ac:dyDescent="0.25">
      <c r="A2240" s="112">
        <v>46266</v>
      </c>
      <c r="B2240" s="5" t="s">
        <v>250</v>
      </c>
      <c r="C2240" s="5">
        <v>11549170</v>
      </c>
      <c r="D2240" s="5">
        <v>716931</v>
      </c>
      <c r="E2240" s="33">
        <v>36</v>
      </c>
      <c r="F2240" s="60">
        <v>400</v>
      </c>
      <c r="G2240" s="60">
        <f>+OtherClients[[#This Row],[Boxes / Pieces]]*OtherClients[[#This Row],[Unit Quantity]]</f>
        <v>14400</v>
      </c>
      <c r="H2240" s="60">
        <v>290</v>
      </c>
      <c r="I2240" s="130" t="s">
        <v>278</v>
      </c>
      <c r="J2240" s="131"/>
      <c r="K2240" s="33" t="s">
        <v>278</v>
      </c>
      <c r="L2240" s="132"/>
      <c r="M2240" s="33" t="s">
        <v>278</v>
      </c>
      <c r="N2240" s="132"/>
      <c r="O2240" s="33" t="s">
        <v>278</v>
      </c>
      <c r="P2240" s="132"/>
      <c r="Q2240" s="33" t="s">
        <v>587</v>
      </c>
      <c r="R2240" s="132"/>
      <c r="S2240" s="33" t="s">
        <v>278</v>
      </c>
      <c r="T2240" s="132"/>
      <c r="U2240" s="33" t="s">
        <v>278</v>
      </c>
      <c r="V2240" s="132"/>
      <c r="W2240" s="59" t="s">
        <v>548</v>
      </c>
      <c r="X2240" s="33" t="str">
        <f>+VLOOKUP(OtherClients[[#This Row],[Part]],PartControl!$A$2:$E$564,5,FALSE)</f>
        <v>INFASCO</v>
      </c>
      <c r="Y2240" s="108">
        <f>IF(OtherClients[[#This Row],[Re-certified or New]]&lt;&gt;"Re-certified",IF(OtherClients[[#This Row],[Client]]="infasco",VLOOKUP(OtherClients[[#This Row],[Part]],PartControl!$A$2:$E$564,2,FALSE),OtherClients[[#This Row],[Total Quantity]]*VLOOKUP(OtherClients[[#This Row],[Part]],PartControl!$A$2:$E$564,2,FALSE)),0)</f>
        <v>106.94</v>
      </c>
      <c r="Z2240" s="108">
        <f>IF(OtherClients[[#This Row],[Re-certified or New]]&lt;&gt;"Re-certified",IF(OtherClients[[#This Row],[Client]]="infasco",VLOOKUP(OtherClients[[#This Row],[Part]],PartControl!$A$2:$E$564,2,FALSE),OtherClients[[#This Row],[Total Quantity]]*VLOOKUP(OtherClients[[#This Row],[Part]],PartControl!$A$2:$E$564,2,FALSE)),0)</f>
        <v>106.94</v>
      </c>
    </row>
    <row r="2241" spans="1:26" ht="25.15" hidden="1" customHeight="1" x14ac:dyDescent="0.25">
      <c r="A2241" s="112">
        <v>46266</v>
      </c>
      <c r="B2241" s="5" t="s">
        <v>250</v>
      </c>
      <c r="C2241" s="5">
        <v>11549170</v>
      </c>
      <c r="D2241" s="5">
        <v>716923</v>
      </c>
      <c r="E2241" s="33">
        <v>28</v>
      </c>
      <c r="F2241" s="60">
        <v>400</v>
      </c>
      <c r="G2241" s="60">
        <f>+OtherClients[[#This Row],[Boxes / Pieces]]*OtherClients[[#This Row],[Unit Quantity]]</f>
        <v>11200</v>
      </c>
      <c r="H2241" s="60">
        <v>290</v>
      </c>
      <c r="I2241" s="130" t="s">
        <v>278</v>
      </c>
      <c r="J2241" s="131"/>
      <c r="K2241" s="33" t="s">
        <v>278</v>
      </c>
      <c r="L2241" s="132"/>
      <c r="M2241" s="33" t="s">
        <v>278</v>
      </c>
      <c r="N2241" s="132"/>
      <c r="O2241" s="33" t="s">
        <v>278</v>
      </c>
      <c r="P2241" s="132"/>
      <c r="Q2241" s="33" t="s">
        <v>587</v>
      </c>
      <c r="R2241" s="132"/>
      <c r="S2241" s="33" t="s">
        <v>278</v>
      </c>
      <c r="T2241" s="132"/>
      <c r="U2241" s="33" t="s">
        <v>278</v>
      </c>
      <c r="V2241" s="132"/>
      <c r="W2241" s="59" t="s">
        <v>633</v>
      </c>
      <c r="X2241" s="33" t="str">
        <f>+VLOOKUP(OtherClients[[#This Row],[Part]],PartControl!$A$2:$E$564,5,FALSE)</f>
        <v>INFASCO</v>
      </c>
      <c r="Y2241" s="108">
        <f>IF(OtherClients[[#This Row],[Re-certified or New]]&lt;&gt;"Re-certified",IF(OtherClients[[#This Row],[Client]]="infasco",VLOOKUP(OtherClients[[#This Row],[Part]],PartControl!$A$2:$E$564,2,FALSE),OtherClients[[#This Row],[Total Quantity]]*VLOOKUP(OtherClients[[#This Row],[Part]],PartControl!$A$2:$E$564,2,FALSE)),0)</f>
        <v>0</v>
      </c>
      <c r="Z2241" s="108">
        <f>IF(OtherClients[[#This Row],[Re-certified or New]]&lt;&gt;"Re-certified",IF(OtherClients[[#This Row],[Client]]="infasco",VLOOKUP(OtherClients[[#This Row],[Part]],PartControl!$A$2:$E$564,2,FALSE),OtherClients[[#This Row],[Total Quantity]]*VLOOKUP(OtherClients[[#This Row],[Part]],PartControl!$A$2:$E$564,2,FALSE)),0)</f>
        <v>0</v>
      </c>
    </row>
    <row r="2242" spans="1:26" ht="25.15" hidden="1" customHeight="1" x14ac:dyDescent="0.25">
      <c r="A2242" s="112">
        <v>46266</v>
      </c>
      <c r="B2242" s="5" t="s">
        <v>242</v>
      </c>
      <c r="C2242" s="5">
        <v>82248</v>
      </c>
      <c r="D2242" s="5">
        <v>717420</v>
      </c>
      <c r="E2242" s="33">
        <v>36</v>
      </c>
      <c r="F2242" s="60">
        <v>1050</v>
      </c>
      <c r="G2242" s="60">
        <f>+OtherClients[[#This Row],[Boxes / Pieces]]*OtherClients[[#This Row],[Unit Quantity]]</f>
        <v>37800</v>
      </c>
      <c r="H2242" s="60">
        <v>275</v>
      </c>
      <c r="I2242" s="130" t="s">
        <v>278</v>
      </c>
      <c r="J2242" s="131"/>
      <c r="K2242" s="33" t="s">
        <v>278</v>
      </c>
      <c r="L2242" s="132"/>
      <c r="M2242" s="33" t="s">
        <v>278</v>
      </c>
      <c r="N2242" s="132"/>
      <c r="O2242" s="33" t="s">
        <v>278</v>
      </c>
      <c r="P2242" s="132"/>
      <c r="Q2242" s="33" t="s">
        <v>587</v>
      </c>
      <c r="R2242" s="132"/>
      <c r="S2242" s="33" t="s">
        <v>278</v>
      </c>
      <c r="T2242" s="132"/>
      <c r="U2242" s="33" t="s">
        <v>278</v>
      </c>
      <c r="V2242" s="132"/>
      <c r="W2242" s="59" t="s">
        <v>548</v>
      </c>
      <c r="X2242" s="33" t="str">
        <f>+VLOOKUP(OtherClients[[#This Row],[Part]],PartControl!$A$2:$E$564,5,FALSE)</f>
        <v>Infasco</v>
      </c>
      <c r="Y2242" s="108">
        <f>IF(OtherClients[[#This Row],[Re-certified or New]]&lt;&gt;"Re-certified",IF(OtherClients[[#This Row],[Client]]="infasco",VLOOKUP(OtherClients[[#This Row],[Part]],PartControl!$A$2:$E$564,2,FALSE),OtherClients[[#This Row],[Total Quantity]]*VLOOKUP(OtherClients[[#This Row],[Part]],PartControl!$A$2:$E$564,2,FALSE)),0)</f>
        <v>106.94</v>
      </c>
      <c r="Z2242" s="108">
        <f>IF(OtherClients[[#This Row],[Re-certified or New]]&lt;&gt;"Re-certified",IF(OtherClients[[#This Row],[Client]]="infasco",VLOOKUP(OtherClients[[#This Row],[Part]],PartControl!$A$2:$E$564,2,FALSE),OtherClients[[#This Row],[Total Quantity]]*VLOOKUP(OtherClients[[#This Row],[Part]],PartControl!$A$2:$E$564,2,FALSE)),0)</f>
        <v>106.94</v>
      </c>
    </row>
    <row r="2243" spans="1:26" ht="25.15" hidden="1" customHeight="1" x14ac:dyDescent="0.25">
      <c r="A2243" s="112">
        <v>46266</v>
      </c>
      <c r="B2243" s="5" t="s">
        <v>242</v>
      </c>
      <c r="C2243" s="5" t="s">
        <v>645</v>
      </c>
      <c r="D2243" s="5">
        <v>717405</v>
      </c>
      <c r="E2243" s="33">
        <v>16</v>
      </c>
      <c r="F2243" s="60">
        <v>1000</v>
      </c>
      <c r="G2243" s="60">
        <f>+OtherClients[[#This Row],[Boxes / Pieces]]*OtherClients[[#This Row],[Unit Quantity]]</f>
        <v>16000</v>
      </c>
      <c r="H2243" s="60">
        <v>275</v>
      </c>
      <c r="I2243" s="130" t="s">
        <v>278</v>
      </c>
      <c r="J2243" s="131"/>
      <c r="K2243" s="33" t="s">
        <v>278</v>
      </c>
      <c r="L2243" s="132"/>
      <c r="M2243" s="33" t="s">
        <v>278</v>
      </c>
      <c r="N2243" s="132"/>
      <c r="O2243" s="33" t="s">
        <v>278</v>
      </c>
      <c r="P2243" s="132"/>
      <c r="Q2243" s="33" t="s">
        <v>587</v>
      </c>
      <c r="R2243" s="132"/>
      <c r="S2243" s="33" t="s">
        <v>278</v>
      </c>
      <c r="T2243" s="132"/>
      <c r="U2243" s="33" t="s">
        <v>278</v>
      </c>
      <c r="V2243" s="132"/>
      <c r="W2243" s="59" t="s">
        <v>633</v>
      </c>
      <c r="X2243" s="33" t="str">
        <f>+VLOOKUP(OtherClients[[#This Row],[Part]],PartControl!$A$2:$E$564,5,FALSE)</f>
        <v>infasco</v>
      </c>
      <c r="Y2243" s="108">
        <f>IF(OtherClients[[#This Row],[Re-certified or New]]&lt;&gt;"Re-certified",IF(OtherClients[[#This Row],[Client]]="infasco",VLOOKUP(OtherClients[[#This Row],[Part]],PartControl!$A$2:$E$564,2,FALSE),OtherClients[[#This Row],[Total Quantity]]*VLOOKUP(OtherClients[[#This Row],[Part]],PartControl!$A$2:$E$564,2,FALSE)),0)</f>
        <v>0</v>
      </c>
      <c r="Z2243" s="108">
        <f>IF(OtherClients[[#This Row],[Re-certified or New]]&lt;&gt;"Re-certified",IF(OtherClients[[#This Row],[Client]]="infasco",VLOOKUP(OtherClients[[#This Row],[Part]],PartControl!$A$2:$E$564,2,FALSE),OtherClients[[#This Row],[Total Quantity]]*VLOOKUP(OtherClients[[#This Row],[Part]],PartControl!$A$2:$E$564,2,FALSE)),0)</f>
        <v>0</v>
      </c>
    </row>
    <row r="2244" spans="1:26" ht="25.15" hidden="1" customHeight="1" x14ac:dyDescent="0.25">
      <c r="A2244" s="112">
        <v>46266</v>
      </c>
      <c r="B2244" s="5" t="s">
        <v>252</v>
      </c>
      <c r="C2244" s="5" t="s">
        <v>706</v>
      </c>
      <c r="D2244" s="5">
        <v>716819</v>
      </c>
      <c r="E2244" s="33">
        <f>36+5-14</f>
        <v>27</v>
      </c>
      <c r="F2244" s="60">
        <v>1900</v>
      </c>
      <c r="G2244" s="60">
        <f>+OtherClients[[#This Row],[Boxes / Pieces]]*OtherClients[[#This Row],[Unit Quantity]]</f>
        <v>51300</v>
      </c>
      <c r="H2244" s="60">
        <v>275</v>
      </c>
      <c r="I2244" s="130" t="s">
        <v>278</v>
      </c>
      <c r="J2244" s="131"/>
      <c r="K2244" s="33" t="s">
        <v>278</v>
      </c>
      <c r="L2244" s="132"/>
      <c r="M2244" s="33" t="s">
        <v>278</v>
      </c>
      <c r="N2244" s="132"/>
      <c r="O2244" s="33" t="s">
        <v>278</v>
      </c>
      <c r="P2244" s="132"/>
      <c r="Q2244" s="33" t="s">
        <v>587</v>
      </c>
      <c r="R2244" s="132"/>
      <c r="S2244" s="33" t="s">
        <v>278</v>
      </c>
      <c r="T2244" s="132"/>
      <c r="U2244" s="33" t="s">
        <v>278</v>
      </c>
      <c r="V2244" s="132"/>
      <c r="W2244" s="59" t="s">
        <v>548</v>
      </c>
      <c r="X2244" s="33" t="str">
        <f>+VLOOKUP(OtherClients[[#This Row],[Part]],PartControl!$A$2:$E$564,5,FALSE)</f>
        <v>infasco</v>
      </c>
      <c r="Y2244" s="108">
        <f>IF(OtherClients[[#This Row],[Re-certified or New]]&lt;&gt;"Re-certified",IF(OtherClients[[#This Row],[Client]]="infasco",VLOOKUP(OtherClients[[#This Row],[Part]],PartControl!$A$2:$E$564,2,FALSE),OtherClients[[#This Row],[Total Quantity]]*VLOOKUP(OtherClients[[#This Row],[Part]],PartControl!$A$2:$E$564,2,FALSE)),0)</f>
        <v>106.94</v>
      </c>
      <c r="Z2244" s="108">
        <f>IF(OtherClients[[#This Row],[Re-certified or New]]&lt;&gt;"Re-certified",IF(OtherClients[[#This Row],[Client]]="infasco",VLOOKUP(OtherClients[[#This Row],[Part]],PartControl!$A$2:$E$564,2,FALSE),OtherClients[[#This Row],[Total Quantity]]*VLOOKUP(OtherClients[[#This Row],[Part]],PartControl!$A$2:$E$564,2,FALSE)),0)</f>
        <v>106.94</v>
      </c>
    </row>
    <row r="2245" spans="1:26" ht="25.15" hidden="1" customHeight="1" x14ac:dyDescent="0.25">
      <c r="A2245" s="112">
        <v>46266</v>
      </c>
      <c r="B2245" s="5" t="s">
        <v>252</v>
      </c>
      <c r="C2245" s="5" t="s">
        <v>721</v>
      </c>
      <c r="D2245" s="5">
        <v>717644</v>
      </c>
      <c r="E2245" s="33">
        <v>13</v>
      </c>
      <c r="F2245" s="60">
        <v>4500</v>
      </c>
      <c r="G2245" s="60">
        <f>+OtherClients[[#This Row],[Boxes / Pieces]]*OtherClients[[#This Row],[Unit Quantity]]</f>
        <v>58500</v>
      </c>
      <c r="H2245" s="60">
        <v>275</v>
      </c>
      <c r="I2245" s="130" t="s">
        <v>278</v>
      </c>
      <c r="J2245" s="131"/>
      <c r="K2245" s="33" t="s">
        <v>278</v>
      </c>
      <c r="L2245" s="132"/>
      <c r="M2245" s="33" t="s">
        <v>278</v>
      </c>
      <c r="N2245" s="132"/>
      <c r="O2245" s="33" t="s">
        <v>278</v>
      </c>
      <c r="P2245" s="132"/>
      <c r="Q2245" s="33" t="s">
        <v>587</v>
      </c>
      <c r="R2245" s="132"/>
      <c r="S2245" s="33" t="s">
        <v>278</v>
      </c>
      <c r="T2245" s="132"/>
      <c r="U2245" s="33" t="s">
        <v>278</v>
      </c>
      <c r="V2245" s="132"/>
      <c r="W2245" s="59" t="s">
        <v>633</v>
      </c>
      <c r="X2245" s="33" t="str">
        <f>+VLOOKUP(OtherClients[[#This Row],[Part]],PartControl!$A$2:$E$564,5,FALSE)</f>
        <v>Infasco</v>
      </c>
      <c r="Y2245" s="108">
        <f>IF(OtherClients[[#This Row],[Re-certified or New]]&lt;&gt;"Re-certified",IF(OtherClients[[#This Row],[Client]]="infasco",VLOOKUP(OtherClients[[#This Row],[Part]],PartControl!$A$2:$E$564,2,FALSE),OtherClients[[#This Row],[Total Quantity]]*VLOOKUP(OtherClients[[#This Row],[Part]],PartControl!$A$2:$E$564,2,FALSE)),0)</f>
        <v>0</v>
      </c>
      <c r="Z2245" s="108">
        <f>IF(OtherClients[[#This Row],[Re-certified or New]]&lt;&gt;"Re-certified",IF(OtherClients[[#This Row],[Client]]="infasco",VLOOKUP(OtherClients[[#This Row],[Part]],PartControl!$A$2:$E$564,2,FALSE),OtherClients[[#This Row],[Total Quantity]]*VLOOKUP(OtherClients[[#This Row],[Part]],PartControl!$A$2:$E$564,2,FALSE)),0)</f>
        <v>0</v>
      </c>
    </row>
    <row r="2246" spans="1:26" ht="25.15" hidden="1" customHeight="1" x14ac:dyDescent="0.25">
      <c r="A2246" s="112">
        <v>46266</v>
      </c>
      <c r="B2246" s="5" t="s">
        <v>232</v>
      </c>
      <c r="C2246" s="5">
        <v>11546545</v>
      </c>
      <c r="D2246" s="5">
        <v>717322</v>
      </c>
      <c r="E2246" s="33">
        <f>34-15</f>
        <v>19</v>
      </c>
      <c r="F2246" s="60">
        <v>2500</v>
      </c>
      <c r="G2246" s="60">
        <f>+OtherClients[[#This Row],[Boxes / Pieces]]*OtherClients[[#This Row],[Unit Quantity]]</f>
        <v>47500</v>
      </c>
      <c r="H2246" s="60">
        <v>275</v>
      </c>
      <c r="I2246" s="130" t="s">
        <v>278</v>
      </c>
      <c r="J2246" s="131"/>
      <c r="K2246" s="33" t="s">
        <v>278</v>
      </c>
      <c r="L2246" s="132"/>
      <c r="M2246" s="33" t="s">
        <v>278</v>
      </c>
      <c r="N2246" s="132"/>
      <c r="O2246" s="33" t="s">
        <v>278</v>
      </c>
      <c r="P2246" s="132"/>
      <c r="Q2246" s="33" t="s">
        <v>587</v>
      </c>
      <c r="R2246" s="132"/>
      <c r="S2246" s="33" t="s">
        <v>278</v>
      </c>
      <c r="T2246" s="132"/>
      <c r="U2246" s="33" t="s">
        <v>278</v>
      </c>
      <c r="V2246" s="132"/>
      <c r="W2246" s="59" t="s">
        <v>548</v>
      </c>
      <c r="X2246" s="33" t="str">
        <f>+VLOOKUP(OtherClients[[#This Row],[Part]],PartControl!$A$2:$E$564,5,FALSE)</f>
        <v>infasco</v>
      </c>
      <c r="Y2246" s="108">
        <f>IF(OtherClients[[#This Row],[Re-certified or New]]&lt;&gt;"Re-certified",IF(OtherClients[[#This Row],[Client]]="infasco",VLOOKUP(OtherClients[[#This Row],[Part]],PartControl!$A$2:$E$564,2,FALSE),OtherClients[[#This Row],[Total Quantity]]*VLOOKUP(OtherClients[[#This Row],[Part]],PartControl!$A$2:$E$564,2,FALSE)),0)</f>
        <v>106.94</v>
      </c>
      <c r="Z2246" s="108">
        <f>IF(OtherClients[[#This Row],[Re-certified or New]]&lt;&gt;"Re-certified",IF(OtherClients[[#This Row],[Client]]="infasco",VLOOKUP(OtherClients[[#This Row],[Part]],PartControl!$A$2:$E$564,2,FALSE),OtherClients[[#This Row],[Total Quantity]]*VLOOKUP(OtherClients[[#This Row],[Part]],PartControl!$A$2:$E$564,2,FALSE)),0)</f>
        <v>106.94</v>
      </c>
    </row>
    <row r="2247" spans="1:26" ht="25.15" hidden="1" customHeight="1" x14ac:dyDescent="0.25">
      <c r="A2247" s="112">
        <v>46266</v>
      </c>
      <c r="B2247" s="5" t="s">
        <v>232</v>
      </c>
      <c r="C2247" s="5">
        <v>11546449</v>
      </c>
      <c r="D2247" s="5">
        <v>717690</v>
      </c>
      <c r="E2247" s="33">
        <v>27</v>
      </c>
      <c r="F2247" s="60">
        <v>2500</v>
      </c>
      <c r="G2247" s="60">
        <f>+OtherClients[[#This Row],[Boxes / Pieces]]*OtherClients[[#This Row],[Unit Quantity]]</f>
        <v>67500</v>
      </c>
      <c r="H2247" s="60">
        <v>275</v>
      </c>
      <c r="I2247" s="130" t="s">
        <v>278</v>
      </c>
      <c r="J2247" s="131"/>
      <c r="K2247" s="33" t="s">
        <v>278</v>
      </c>
      <c r="L2247" s="132"/>
      <c r="M2247" s="33" t="s">
        <v>278</v>
      </c>
      <c r="N2247" s="132"/>
      <c r="O2247" s="33" t="s">
        <v>278</v>
      </c>
      <c r="P2247" s="132"/>
      <c r="Q2247" s="33" t="s">
        <v>587</v>
      </c>
      <c r="R2247" s="132"/>
      <c r="S2247" s="33" t="s">
        <v>278</v>
      </c>
      <c r="T2247" s="132"/>
      <c r="U2247" s="33" t="s">
        <v>278</v>
      </c>
      <c r="V2247" s="132"/>
      <c r="W2247" s="59" t="s">
        <v>633</v>
      </c>
      <c r="X2247" s="33" t="str">
        <f>+VLOOKUP(OtherClients[[#This Row],[Part]],PartControl!$A$2:$E$564,5,FALSE)</f>
        <v>INFASCO</v>
      </c>
      <c r="Y2247" s="108">
        <f>IF(OtherClients[[#This Row],[Re-certified or New]]&lt;&gt;"Re-certified",IF(OtherClients[[#This Row],[Client]]="infasco",VLOOKUP(OtherClients[[#This Row],[Part]],PartControl!$A$2:$E$564,2,FALSE),OtherClients[[#This Row],[Total Quantity]]*VLOOKUP(OtherClients[[#This Row],[Part]],PartControl!$A$2:$E$564,2,FALSE)),0)</f>
        <v>0</v>
      </c>
      <c r="Z2247" s="108">
        <f>IF(OtherClients[[#This Row],[Re-certified or New]]&lt;&gt;"Re-certified",IF(OtherClients[[#This Row],[Client]]="infasco",VLOOKUP(OtherClients[[#This Row],[Part]],PartControl!$A$2:$E$564,2,FALSE),OtherClients[[#This Row],[Total Quantity]]*VLOOKUP(OtherClients[[#This Row],[Part]],PartControl!$A$2:$E$564,2,FALSE)),0)</f>
        <v>0</v>
      </c>
    </row>
    <row r="2248" spans="1:26" ht="25.15" hidden="1" customHeight="1" x14ac:dyDescent="0.25">
      <c r="A2248" s="112">
        <v>46266</v>
      </c>
      <c r="B2248" s="5" t="s">
        <v>234</v>
      </c>
      <c r="C2248" s="5">
        <v>11546449</v>
      </c>
      <c r="D2248" s="5">
        <v>717692</v>
      </c>
      <c r="E2248" s="33">
        <f>23-5</f>
        <v>18</v>
      </c>
      <c r="F2248" s="60">
        <v>2500</v>
      </c>
      <c r="G2248" s="60">
        <f>+OtherClients[[#This Row],[Boxes / Pieces]]*OtherClients[[#This Row],[Unit Quantity]]</f>
        <v>45000</v>
      </c>
      <c r="H2248" s="60">
        <v>275</v>
      </c>
      <c r="I2248" s="130" t="s">
        <v>278</v>
      </c>
      <c r="J2248" s="131"/>
      <c r="K2248" s="33" t="s">
        <v>278</v>
      </c>
      <c r="L2248" s="132"/>
      <c r="M2248" s="33" t="s">
        <v>278</v>
      </c>
      <c r="N2248" s="132"/>
      <c r="O2248" s="33" t="s">
        <v>278</v>
      </c>
      <c r="P2248" s="132"/>
      <c r="Q2248" s="33" t="s">
        <v>587</v>
      </c>
      <c r="R2248" s="132"/>
      <c r="S2248" s="33" t="s">
        <v>278</v>
      </c>
      <c r="T2248" s="132"/>
      <c r="U2248" s="33" t="s">
        <v>278</v>
      </c>
      <c r="V2248" s="132"/>
      <c r="W2248" s="59" t="s">
        <v>633</v>
      </c>
      <c r="X2248" s="33" t="str">
        <f>+VLOOKUP(OtherClients[[#This Row],[Part]],PartControl!$A$2:$E$564,5,FALSE)</f>
        <v>INFASCO</v>
      </c>
      <c r="Y2248" s="108">
        <f>IF(OtherClients[[#This Row],[Re-certified or New]]&lt;&gt;"Re-certified",IF(OtherClients[[#This Row],[Client]]="infasco",VLOOKUP(OtherClients[[#This Row],[Part]],PartControl!$A$2:$E$564,2,FALSE),OtherClients[[#This Row],[Total Quantity]]*VLOOKUP(OtherClients[[#This Row],[Part]],PartControl!$A$2:$E$564,2,FALSE)),0)</f>
        <v>0</v>
      </c>
      <c r="Z2248" s="108">
        <f>IF(OtherClients[[#This Row],[Re-certified or New]]&lt;&gt;"Re-certified",IF(OtherClients[[#This Row],[Client]]="infasco",VLOOKUP(OtherClients[[#This Row],[Part]],PartControl!$A$2:$E$564,2,FALSE),OtherClients[[#This Row],[Total Quantity]]*VLOOKUP(OtherClients[[#This Row],[Part]],PartControl!$A$2:$E$564,2,FALSE)),0)</f>
        <v>0</v>
      </c>
    </row>
    <row r="2249" spans="1:26" ht="25.15" hidden="1" customHeight="1" x14ac:dyDescent="0.25">
      <c r="A2249" s="112">
        <v>46266</v>
      </c>
      <c r="B2249" s="5" t="s">
        <v>233</v>
      </c>
      <c r="C2249" s="5">
        <v>11549168</v>
      </c>
      <c r="D2249" s="5">
        <v>716565</v>
      </c>
      <c r="E2249" s="33">
        <f>42-35</f>
        <v>7</v>
      </c>
      <c r="F2249" s="60">
        <v>1000</v>
      </c>
      <c r="G2249" s="60">
        <f>+OtherClients[[#This Row],[Boxes / Pieces]]*OtherClients[[#This Row],[Unit Quantity]]</f>
        <v>7000</v>
      </c>
      <c r="H2249" s="60">
        <v>275</v>
      </c>
      <c r="I2249" s="130" t="s">
        <v>278</v>
      </c>
      <c r="J2249" s="131"/>
      <c r="K2249" s="33" t="s">
        <v>278</v>
      </c>
      <c r="L2249" s="132"/>
      <c r="M2249" s="33" t="s">
        <v>278</v>
      </c>
      <c r="N2249" s="132"/>
      <c r="O2249" s="33" t="s">
        <v>278</v>
      </c>
      <c r="P2249" s="132"/>
      <c r="Q2249" s="33" t="s">
        <v>587</v>
      </c>
      <c r="R2249" s="132"/>
      <c r="S2249" s="33" t="s">
        <v>278</v>
      </c>
      <c r="T2249" s="132"/>
      <c r="U2249" s="33" t="s">
        <v>278</v>
      </c>
      <c r="V2249" s="132"/>
      <c r="W2249" s="59" t="s">
        <v>548</v>
      </c>
      <c r="X2249" s="33" t="str">
        <f>+VLOOKUP(OtherClients[[#This Row],[Part]],PartControl!$A$2:$E$564,5,FALSE)</f>
        <v>INFASCO</v>
      </c>
      <c r="Y2249" s="108">
        <f>IF(OtherClients[[#This Row],[Re-certified or New]]&lt;&gt;"Re-certified",IF(OtherClients[[#This Row],[Client]]="infasco",VLOOKUP(OtherClients[[#This Row],[Part]],PartControl!$A$2:$E$564,2,FALSE),OtherClients[[#This Row],[Total Quantity]]*VLOOKUP(OtherClients[[#This Row],[Part]],PartControl!$A$2:$E$564,2,FALSE)),0)</f>
        <v>106.94</v>
      </c>
      <c r="Z2249" s="108">
        <f>IF(OtherClients[[#This Row],[Re-certified or New]]&lt;&gt;"Re-certified",IF(OtherClients[[#This Row],[Client]]="infasco",VLOOKUP(OtherClients[[#This Row],[Part]],PartControl!$A$2:$E$564,2,FALSE),OtherClients[[#This Row],[Total Quantity]]*VLOOKUP(OtherClients[[#This Row],[Part]],PartControl!$A$2:$E$564,2,FALSE)),0)</f>
        <v>106.94</v>
      </c>
    </row>
    <row r="2250" spans="1:26" ht="25.15" hidden="1" customHeight="1" x14ac:dyDescent="0.25">
      <c r="A2250" s="112">
        <v>46266</v>
      </c>
      <c r="B2250" s="5" t="s">
        <v>233</v>
      </c>
      <c r="C2250" s="5" t="s">
        <v>814</v>
      </c>
      <c r="D2250" s="5">
        <v>717565</v>
      </c>
      <c r="E2250" s="33">
        <v>31</v>
      </c>
      <c r="F2250" s="60">
        <v>2500</v>
      </c>
      <c r="G2250" s="60">
        <f>+OtherClients[[#This Row],[Boxes / Pieces]]*OtherClients[[#This Row],[Unit Quantity]]</f>
        <v>77500</v>
      </c>
      <c r="H2250" s="60">
        <v>275</v>
      </c>
      <c r="I2250" s="130" t="s">
        <v>278</v>
      </c>
      <c r="J2250" s="131"/>
      <c r="K2250" s="33" t="s">
        <v>278</v>
      </c>
      <c r="L2250" s="132"/>
      <c r="M2250" s="33" t="s">
        <v>278</v>
      </c>
      <c r="N2250" s="132"/>
      <c r="O2250" s="33" t="s">
        <v>278</v>
      </c>
      <c r="P2250" s="132"/>
      <c r="Q2250" s="33" t="s">
        <v>587</v>
      </c>
      <c r="R2250" s="132"/>
      <c r="S2250" s="33" t="s">
        <v>278</v>
      </c>
      <c r="T2250" s="132"/>
      <c r="U2250" s="33" t="s">
        <v>278</v>
      </c>
      <c r="V2250" s="132"/>
      <c r="W2250" s="59" t="s">
        <v>548</v>
      </c>
      <c r="X2250" s="33" t="str">
        <f>+VLOOKUP(OtherClients[[#This Row],[Part]],PartControl!$A$2:$E$564,5,FALSE)</f>
        <v>Infasco</v>
      </c>
      <c r="Y2250" s="108">
        <f>IF(OtherClients[[#This Row],[Re-certified or New]]&lt;&gt;"Re-certified",IF(OtherClients[[#This Row],[Client]]="infasco",VLOOKUP(OtherClients[[#This Row],[Part]],PartControl!$A$2:$E$564,2,FALSE),OtherClients[[#This Row],[Total Quantity]]*VLOOKUP(OtherClients[[#This Row],[Part]],PartControl!$A$2:$E$564,2,FALSE)),0)</f>
        <v>106.94</v>
      </c>
      <c r="Z2250" s="108">
        <f>IF(OtherClients[[#This Row],[Re-certified or New]]&lt;&gt;"Re-certified",IF(OtherClients[[#This Row],[Client]]="infasco",VLOOKUP(OtherClients[[#This Row],[Part]],PartControl!$A$2:$E$564,2,FALSE),OtherClients[[#This Row],[Total Quantity]]*VLOOKUP(OtherClients[[#This Row],[Part]],PartControl!$A$2:$E$564,2,FALSE)),0)</f>
        <v>106.94</v>
      </c>
    </row>
    <row r="2251" spans="1:26" ht="25.15" hidden="1" customHeight="1" x14ac:dyDescent="0.25">
      <c r="A2251" s="112">
        <v>46266</v>
      </c>
      <c r="B2251" s="5" t="s">
        <v>233</v>
      </c>
      <c r="C2251" s="5" t="s">
        <v>814</v>
      </c>
      <c r="D2251" s="5">
        <v>717180</v>
      </c>
      <c r="E2251" s="33">
        <v>5</v>
      </c>
      <c r="F2251" s="60">
        <v>2500</v>
      </c>
      <c r="G2251" s="60">
        <f>+OtherClients[[#This Row],[Boxes / Pieces]]*OtherClients[[#This Row],[Unit Quantity]]</f>
        <v>12500</v>
      </c>
      <c r="H2251" s="60">
        <v>275</v>
      </c>
      <c r="I2251" s="130" t="s">
        <v>278</v>
      </c>
      <c r="J2251" s="131"/>
      <c r="K2251" s="33" t="s">
        <v>278</v>
      </c>
      <c r="L2251" s="132"/>
      <c r="M2251" s="33" t="s">
        <v>278</v>
      </c>
      <c r="N2251" s="132"/>
      <c r="O2251" s="33" t="s">
        <v>278</v>
      </c>
      <c r="P2251" s="132"/>
      <c r="Q2251" s="33" t="s">
        <v>587</v>
      </c>
      <c r="R2251" s="132"/>
      <c r="S2251" s="33" t="s">
        <v>278</v>
      </c>
      <c r="T2251" s="132"/>
      <c r="U2251" s="33" t="s">
        <v>278</v>
      </c>
      <c r="V2251" s="132"/>
      <c r="W2251" s="59" t="s">
        <v>633</v>
      </c>
      <c r="X2251" s="33" t="str">
        <f>+VLOOKUP(OtherClients[[#This Row],[Part]],PartControl!$A$2:$E$564,5,FALSE)</f>
        <v>Infasco</v>
      </c>
      <c r="Y2251" s="108">
        <f>IF(OtherClients[[#This Row],[Re-certified or New]]&lt;&gt;"Re-certified",IF(OtherClients[[#This Row],[Client]]="infasco",VLOOKUP(OtherClients[[#This Row],[Part]],PartControl!$A$2:$E$564,2,FALSE),OtherClients[[#This Row],[Total Quantity]]*VLOOKUP(OtherClients[[#This Row],[Part]],PartControl!$A$2:$E$564,2,FALSE)),0)</f>
        <v>0</v>
      </c>
      <c r="Z2251" s="108">
        <f>IF(OtherClients[[#This Row],[Re-certified or New]]&lt;&gt;"Re-certified",IF(OtherClients[[#This Row],[Client]]="infasco",VLOOKUP(OtherClients[[#This Row],[Part]],PartControl!$A$2:$E$564,2,FALSE),OtherClients[[#This Row],[Total Quantity]]*VLOOKUP(OtherClients[[#This Row],[Part]],PartControl!$A$2:$E$564,2,FALSE)),0)</f>
        <v>0</v>
      </c>
    </row>
    <row r="2252" spans="1:26" ht="25.15" hidden="1" customHeight="1" x14ac:dyDescent="0.25">
      <c r="A2252" s="112">
        <v>46266</v>
      </c>
      <c r="B2252" s="5" t="s">
        <v>238</v>
      </c>
      <c r="C2252" s="5" t="s">
        <v>833</v>
      </c>
      <c r="D2252" s="5">
        <v>717265</v>
      </c>
      <c r="E2252" s="33">
        <v>57</v>
      </c>
      <c r="F2252" s="60">
        <v>1500</v>
      </c>
      <c r="G2252" s="60">
        <f>+OtherClients[[#This Row],[Boxes / Pieces]]*OtherClients[[#This Row],[Unit Quantity]]</f>
        <v>85500</v>
      </c>
      <c r="H2252" s="60">
        <v>275</v>
      </c>
      <c r="I2252" s="130" t="s">
        <v>278</v>
      </c>
      <c r="J2252" s="131"/>
      <c r="K2252" s="33" t="s">
        <v>278</v>
      </c>
      <c r="L2252" s="132"/>
      <c r="M2252" s="33" t="s">
        <v>278</v>
      </c>
      <c r="N2252" s="132"/>
      <c r="O2252" s="33" t="s">
        <v>278</v>
      </c>
      <c r="P2252" s="132"/>
      <c r="Q2252" s="33" t="s">
        <v>587</v>
      </c>
      <c r="R2252" s="132"/>
      <c r="S2252" s="33" t="s">
        <v>278</v>
      </c>
      <c r="T2252" s="132"/>
      <c r="U2252" s="33" t="s">
        <v>278</v>
      </c>
      <c r="V2252" s="132"/>
      <c r="W2252" s="59" t="s">
        <v>548</v>
      </c>
      <c r="X2252" s="33" t="str">
        <f>+VLOOKUP(OtherClients[[#This Row],[Part]],PartControl!$A$2:$E$564,5,FALSE)</f>
        <v>infasco</v>
      </c>
      <c r="Y2252" s="108">
        <f>IF(OtherClients[[#This Row],[Re-certified or New]]&lt;&gt;"Re-certified",IF(OtherClients[[#This Row],[Client]]="infasco",VLOOKUP(OtherClients[[#This Row],[Part]],PartControl!$A$2:$E$564,2,FALSE),OtherClients[[#This Row],[Total Quantity]]*VLOOKUP(OtherClients[[#This Row],[Part]],PartControl!$A$2:$E$564,2,FALSE)),0)</f>
        <v>106.94</v>
      </c>
      <c r="Z2252" s="108">
        <f>IF(OtherClients[[#This Row],[Re-certified or New]]&lt;&gt;"Re-certified",IF(OtherClients[[#This Row],[Client]]="infasco",VLOOKUP(OtherClients[[#This Row],[Part]],PartControl!$A$2:$E$564,2,FALSE),OtherClients[[#This Row],[Total Quantity]]*VLOOKUP(OtherClients[[#This Row],[Part]],PartControl!$A$2:$E$564,2,FALSE)),0)</f>
        <v>106.94</v>
      </c>
    </row>
    <row r="2253" spans="1:26" ht="25.15" hidden="1" customHeight="1" x14ac:dyDescent="0.25">
      <c r="A2253" s="112">
        <v>46266</v>
      </c>
      <c r="B2253" s="5" t="s">
        <v>238</v>
      </c>
      <c r="C2253" s="5" t="s">
        <v>833</v>
      </c>
      <c r="D2253" s="5">
        <v>717259</v>
      </c>
      <c r="E2253" s="33">
        <v>5</v>
      </c>
      <c r="F2253" s="60">
        <v>1500</v>
      </c>
      <c r="G2253" s="60">
        <f>+OtherClients[[#This Row],[Boxes / Pieces]]*OtherClients[[#This Row],[Unit Quantity]]</f>
        <v>7500</v>
      </c>
      <c r="H2253" s="60">
        <v>275</v>
      </c>
      <c r="I2253" s="130" t="s">
        <v>278</v>
      </c>
      <c r="J2253" s="131"/>
      <c r="K2253" s="33" t="s">
        <v>278</v>
      </c>
      <c r="L2253" s="132"/>
      <c r="M2253" s="33" t="s">
        <v>278</v>
      </c>
      <c r="N2253" s="132"/>
      <c r="O2253" s="33" t="s">
        <v>278</v>
      </c>
      <c r="P2253" s="132"/>
      <c r="Q2253" s="33" t="s">
        <v>587</v>
      </c>
      <c r="R2253" s="132"/>
      <c r="S2253" s="33" t="s">
        <v>278</v>
      </c>
      <c r="T2253" s="132"/>
      <c r="U2253" s="33" t="s">
        <v>278</v>
      </c>
      <c r="V2253" s="132"/>
      <c r="W2253" s="59" t="s">
        <v>633</v>
      </c>
      <c r="X2253" s="33" t="str">
        <f>+VLOOKUP(OtherClients[[#This Row],[Part]],PartControl!$A$2:$E$564,5,FALSE)</f>
        <v>infasco</v>
      </c>
      <c r="Y2253" s="108">
        <f>IF(OtherClients[[#This Row],[Re-certified or New]]&lt;&gt;"Re-certified",IF(OtherClients[[#This Row],[Client]]="infasco",VLOOKUP(OtherClients[[#This Row],[Part]],PartControl!$A$2:$E$564,2,FALSE),OtherClients[[#This Row],[Total Quantity]]*VLOOKUP(OtherClients[[#This Row],[Part]],PartControl!$A$2:$E$564,2,FALSE)),0)</f>
        <v>0</v>
      </c>
      <c r="Z2253" s="108">
        <f>IF(OtherClients[[#This Row],[Re-certified or New]]&lt;&gt;"Re-certified",IF(OtherClients[[#This Row],[Client]]="infasco",VLOOKUP(OtherClients[[#This Row],[Part]],PartControl!$A$2:$E$564,2,FALSE),OtherClients[[#This Row],[Total Quantity]]*VLOOKUP(OtherClients[[#This Row],[Part]],PartControl!$A$2:$E$564,2,FALSE)),0)</f>
        <v>0</v>
      </c>
    </row>
    <row r="2254" spans="1:26" ht="25.15" hidden="1" customHeight="1" x14ac:dyDescent="0.25">
      <c r="A2254" s="112">
        <v>46266</v>
      </c>
      <c r="B2254" s="5" t="s">
        <v>246</v>
      </c>
      <c r="C2254" s="5">
        <v>11549168</v>
      </c>
      <c r="D2254" s="5">
        <v>716911</v>
      </c>
      <c r="E2254" s="33">
        <f>36+6-26</f>
        <v>16</v>
      </c>
      <c r="F2254" s="60">
        <v>1000</v>
      </c>
      <c r="G2254" s="60">
        <f>+OtherClients[[#This Row],[Boxes / Pieces]]*OtherClients[[#This Row],[Unit Quantity]]</f>
        <v>16000</v>
      </c>
      <c r="H2254" s="60">
        <v>292</v>
      </c>
      <c r="I2254" s="130" t="s">
        <v>278</v>
      </c>
      <c r="J2254" s="131"/>
      <c r="K2254" s="33" t="s">
        <v>278</v>
      </c>
      <c r="L2254" s="132"/>
      <c r="M2254" s="33" t="s">
        <v>278</v>
      </c>
      <c r="N2254" s="132"/>
      <c r="O2254" s="33" t="s">
        <v>278</v>
      </c>
      <c r="P2254" s="132"/>
      <c r="Q2254" s="33" t="s">
        <v>587</v>
      </c>
      <c r="R2254" s="132"/>
      <c r="S2254" s="33" t="s">
        <v>278</v>
      </c>
      <c r="T2254" s="132"/>
      <c r="U2254" s="33" t="s">
        <v>278</v>
      </c>
      <c r="V2254" s="132"/>
      <c r="W2254" s="59" t="s">
        <v>548</v>
      </c>
      <c r="X2254" s="33" t="str">
        <f>+VLOOKUP(OtherClients[[#This Row],[Part]],PartControl!$A$2:$E$564,5,FALSE)</f>
        <v>INFASCO</v>
      </c>
      <c r="Y2254" s="108">
        <f>IF(OtherClients[[#This Row],[Re-certified or New]]&lt;&gt;"Re-certified",IF(OtherClients[[#This Row],[Client]]="infasco",VLOOKUP(OtherClients[[#This Row],[Part]],PartControl!$A$2:$E$564,2,FALSE),OtherClients[[#This Row],[Total Quantity]]*VLOOKUP(OtherClients[[#This Row],[Part]],PartControl!$A$2:$E$564,2,FALSE)),0)</f>
        <v>106.94</v>
      </c>
      <c r="Z2254" s="108">
        <f>IF(OtherClients[[#This Row],[Re-certified or New]]&lt;&gt;"Re-certified",IF(OtherClients[[#This Row],[Client]]="infasco",VLOOKUP(OtherClients[[#This Row],[Part]],PartControl!$A$2:$E$564,2,FALSE),OtherClients[[#This Row],[Total Quantity]]*VLOOKUP(OtherClients[[#This Row],[Part]],PartControl!$A$2:$E$564,2,FALSE)),0)</f>
        <v>106.94</v>
      </c>
    </row>
    <row r="2255" spans="1:26" ht="25.15" hidden="1" customHeight="1" x14ac:dyDescent="0.25">
      <c r="A2255" s="112">
        <v>46266</v>
      </c>
      <c r="B2255" s="5" t="s">
        <v>246</v>
      </c>
      <c r="C2255" s="5" t="s">
        <v>860</v>
      </c>
      <c r="D2255" s="5">
        <v>717176</v>
      </c>
      <c r="E2255" s="33">
        <v>36</v>
      </c>
      <c r="F2255" s="60">
        <v>1250</v>
      </c>
      <c r="G2255" s="60">
        <f>+OtherClients[[#This Row],[Boxes / Pieces]]*OtherClients[[#This Row],[Unit Quantity]]</f>
        <v>45000</v>
      </c>
      <c r="H2255" s="60">
        <v>292</v>
      </c>
      <c r="I2255" s="130" t="s">
        <v>278</v>
      </c>
      <c r="J2255" s="131"/>
      <c r="K2255" s="33" t="s">
        <v>278</v>
      </c>
      <c r="L2255" s="132"/>
      <c r="M2255" s="33" t="s">
        <v>278</v>
      </c>
      <c r="N2255" s="132"/>
      <c r="O2255" s="33" t="s">
        <v>278</v>
      </c>
      <c r="P2255" s="132"/>
      <c r="Q2255" s="33" t="s">
        <v>587</v>
      </c>
      <c r="R2255" s="132"/>
      <c r="S2255" s="33" t="s">
        <v>278</v>
      </c>
      <c r="T2255" s="132"/>
      <c r="U2255" s="33" t="s">
        <v>278</v>
      </c>
      <c r="V2255" s="132"/>
      <c r="W2255" s="59" t="s">
        <v>548</v>
      </c>
      <c r="X2255" s="33" t="str">
        <f>+VLOOKUP(OtherClients[[#This Row],[Part]],PartControl!$A$2:$E$564,5,FALSE)</f>
        <v>infasco</v>
      </c>
      <c r="Y2255" s="108">
        <f>IF(OtherClients[[#This Row],[Re-certified or New]]&lt;&gt;"Re-certified",IF(OtherClients[[#This Row],[Client]]="infasco",VLOOKUP(OtherClients[[#This Row],[Part]],PartControl!$A$2:$E$564,2,FALSE),OtherClients[[#This Row],[Total Quantity]]*VLOOKUP(OtherClients[[#This Row],[Part]],PartControl!$A$2:$E$564,2,FALSE)),0)</f>
        <v>106.94</v>
      </c>
      <c r="Z2255" s="108">
        <f>IF(OtherClients[[#This Row],[Re-certified or New]]&lt;&gt;"Re-certified",IF(OtherClients[[#This Row],[Client]]="infasco",VLOOKUP(OtherClients[[#This Row],[Part]],PartControl!$A$2:$E$564,2,FALSE),OtherClients[[#This Row],[Total Quantity]]*VLOOKUP(OtherClients[[#This Row],[Part]],PartControl!$A$2:$E$564,2,FALSE)),0)</f>
        <v>106.94</v>
      </c>
    </row>
    <row r="2256" spans="1:26" ht="25.15" hidden="1" customHeight="1" x14ac:dyDescent="0.25">
      <c r="A2256" s="112">
        <v>46266</v>
      </c>
      <c r="B2256" s="5" t="s">
        <v>246</v>
      </c>
      <c r="C2256" s="5" t="s">
        <v>860</v>
      </c>
      <c r="D2256" s="5">
        <v>717178</v>
      </c>
      <c r="E2256" s="33">
        <v>9</v>
      </c>
      <c r="F2256" s="60">
        <v>1250</v>
      </c>
      <c r="G2256" s="60">
        <f>+OtherClients[[#This Row],[Boxes / Pieces]]*OtherClients[[#This Row],[Unit Quantity]]</f>
        <v>11250</v>
      </c>
      <c r="H2256" s="60">
        <v>292</v>
      </c>
      <c r="I2256" s="130" t="s">
        <v>278</v>
      </c>
      <c r="J2256" s="131"/>
      <c r="K2256" s="33" t="s">
        <v>278</v>
      </c>
      <c r="L2256" s="132"/>
      <c r="M2256" s="33" t="s">
        <v>278</v>
      </c>
      <c r="N2256" s="132"/>
      <c r="O2256" s="33" t="s">
        <v>278</v>
      </c>
      <c r="P2256" s="132"/>
      <c r="Q2256" s="33" t="s">
        <v>587</v>
      </c>
      <c r="R2256" s="132"/>
      <c r="S2256" s="33" t="s">
        <v>278</v>
      </c>
      <c r="T2256" s="132"/>
      <c r="U2256" s="33" t="s">
        <v>278</v>
      </c>
      <c r="V2256" s="132"/>
      <c r="W2256" s="59" t="s">
        <v>633</v>
      </c>
      <c r="X2256" s="33" t="str">
        <f>+VLOOKUP(OtherClients[[#This Row],[Part]],PartControl!$A$2:$E$564,5,FALSE)</f>
        <v>infasco</v>
      </c>
      <c r="Y2256" s="108">
        <f>IF(OtherClients[[#This Row],[Re-certified or New]]&lt;&gt;"Re-certified",IF(OtherClients[[#This Row],[Client]]="infasco",VLOOKUP(OtherClients[[#This Row],[Part]],PartControl!$A$2:$E$564,2,FALSE),OtherClients[[#This Row],[Total Quantity]]*VLOOKUP(OtherClients[[#This Row],[Part]],PartControl!$A$2:$E$564,2,FALSE)),0)</f>
        <v>0</v>
      </c>
      <c r="Z2256" s="108">
        <f>IF(OtherClients[[#This Row],[Re-certified or New]]&lt;&gt;"Re-certified",IF(OtherClients[[#This Row],[Client]]="infasco",VLOOKUP(OtherClients[[#This Row],[Part]],PartControl!$A$2:$E$564,2,FALSE),OtherClients[[#This Row],[Total Quantity]]*VLOOKUP(OtherClients[[#This Row],[Part]],PartControl!$A$2:$E$564,2,FALSE)),0)</f>
        <v>0</v>
      </c>
    </row>
    <row r="2257" spans="1:26" ht="25.15" hidden="1" customHeight="1" x14ac:dyDescent="0.25">
      <c r="A2257" s="112">
        <v>46266</v>
      </c>
      <c r="B2257" s="5" t="s">
        <v>245</v>
      </c>
      <c r="C2257" s="5" t="s">
        <v>706</v>
      </c>
      <c r="D2257" s="5">
        <v>716821</v>
      </c>
      <c r="E2257" s="33">
        <f>36-14</f>
        <v>22</v>
      </c>
      <c r="F2257" s="60">
        <v>1900</v>
      </c>
      <c r="G2257" s="60">
        <f>+OtherClients[[#This Row],[Boxes / Pieces]]*OtherClients[[#This Row],[Unit Quantity]]</f>
        <v>41800</v>
      </c>
      <c r="H2257" s="60">
        <v>292</v>
      </c>
      <c r="I2257" s="130" t="s">
        <v>278</v>
      </c>
      <c r="J2257" s="131"/>
      <c r="K2257" s="33" t="s">
        <v>278</v>
      </c>
      <c r="L2257" s="132"/>
      <c r="M2257" s="33" t="s">
        <v>278</v>
      </c>
      <c r="N2257" s="132"/>
      <c r="O2257" s="33" t="s">
        <v>278</v>
      </c>
      <c r="P2257" s="132"/>
      <c r="Q2257" s="33" t="s">
        <v>587</v>
      </c>
      <c r="R2257" s="132"/>
      <c r="S2257" s="33" t="s">
        <v>278</v>
      </c>
      <c r="T2257" s="132"/>
      <c r="U2257" s="33" t="s">
        <v>278</v>
      </c>
      <c r="V2257" s="132"/>
      <c r="W2257" s="59" t="s">
        <v>548</v>
      </c>
      <c r="X2257" s="33" t="str">
        <f>+VLOOKUP(OtherClients[[#This Row],[Part]],PartControl!$A$2:$E$564,5,FALSE)</f>
        <v>infasco</v>
      </c>
      <c r="Y2257" s="108">
        <f>IF(OtherClients[[#This Row],[Re-certified or New]]&lt;&gt;"Re-certified",IF(OtherClients[[#This Row],[Client]]="infasco",VLOOKUP(OtherClients[[#This Row],[Part]],PartControl!$A$2:$E$564,2,FALSE),OtherClients[[#This Row],[Total Quantity]]*VLOOKUP(OtherClients[[#This Row],[Part]],PartControl!$A$2:$E$564,2,FALSE)),0)</f>
        <v>106.94</v>
      </c>
      <c r="Z2257" s="108">
        <f>IF(OtherClients[[#This Row],[Re-certified or New]]&lt;&gt;"Re-certified",IF(OtherClients[[#This Row],[Client]]="infasco",VLOOKUP(OtherClients[[#This Row],[Part]],PartControl!$A$2:$E$564,2,FALSE),OtherClients[[#This Row],[Total Quantity]]*VLOOKUP(OtherClients[[#This Row],[Part]],PartControl!$A$2:$E$564,2,FALSE)),0)</f>
        <v>106.94</v>
      </c>
    </row>
    <row r="2258" spans="1:26" ht="25.15" hidden="1" customHeight="1" x14ac:dyDescent="0.25">
      <c r="A2258" s="112">
        <v>46266</v>
      </c>
      <c r="B2258" s="5" t="s">
        <v>244</v>
      </c>
      <c r="C2258" s="5" t="s">
        <v>706</v>
      </c>
      <c r="D2258" s="5">
        <v>716818</v>
      </c>
      <c r="E2258" s="33">
        <v>16</v>
      </c>
      <c r="F2258" s="60">
        <v>1900</v>
      </c>
      <c r="G2258" s="60">
        <f>+OtherClients[[#This Row],[Boxes / Pieces]]*OtherClients[[#This Row],[Unit Quantity]]</f>
        <v>30400</v>
      </c>
      <c r="H2258" s="60">
        <v>292</v>
      </c>
      <c r="I2258" s="130" t="s">
        <v>278</v>
      </c>
      <c r="J2258" s="131"/>
      <c r="K2258" s="33" t="s">
        <v>278</v>
      </c>
      <c r="L2258" s="132"/>
      <c r="M2258" s="33" t="s">
        <v>278</v>
      </c>
      <c r="N2258" s="132"/>
      <c r="O2258" s="33" t="s">
        <v>278</v>
      </c>
      <c r="P2258" s="132"/>
      <c r="Q2258" s="33" t="s">
        <v>587</v>
      </c>
      <c r="R2258" s="132"/>
      <c r="S2258" s="33" t="s">
        <v>278</v>
      </c>
      <c r="T2258" s="132"/>
      <c r="U2258" s="33" t="s">
        <v>278</v>
      </c>
      <c r="V2258" s="132"/>
      <c r="W2258" s="59" t="s">
        <v>633</v>
      </c>
      <c r="X2258" s="33" t="str">
        <f>+VLOOKUP(OtherClients[[#This Row],[Part]],PartControl!$A$2:$E$564,5,FALSE)</f>
        <v>infasco</v>
      </c>
      <c r="Y2258" s="108">
        <f>IF(OtherClients[[#This Row],[Re-certified or New]]&lt;&gt;"Re-certified",IF(OtherClients[[#This Row],[Client]]="infasco",VLOOKUP(OtherClients[[#This Row],[Part]],PartControl!$A$2:$E$564,2,FALSE),OtherClients[[#This Row],[Total Quantity]]*VLOOKUP(OtherClients[[#This Row],[Part]],PartControl!$A$2:$E$564,2,FALSE)),0)</f>
        <v>0</v>
      </c>
      <c r="Z2258" s="108">
        <f>IF(OtherClients[[#This Row],[Re-certified or New]]&lt;&gt;"Re-certified",IF(OtherClients[[#This Row],[Client]]="infasco",VLOOKUP(OtherClients[[#This Row],[Part]],PartControl!$A$2:$E$564,2,FALSE),OtherClients[[#This Row],[Total Quantity]]*VLOOKUP(OtherClients[[#This Row],[Part]],PartControl!$A$2:$E$564,2,FALSE)),0)</f>
        <v>0</v>
      </c>
    </row>
    <row r="2259" spans="1:26" ht="25.15" hidden="1" customHeight="1" x14ac:dyDescent="0.25">
      <c r="A2259" s="112">
        <v>46266</v>
      </c>
      <c r="B2259" s="5" t="s">
        <v>624</v>
      </c>
      <c r="C2259" s="5">
        <v>11549170</v>
      </c>
      <c r="D2259" s="5">
        <v>716933</v>
      </c>
      <c r="E2259" s="33">
        <f>36-16</f>
        <v>20</v>
      </c>
      <c r="F2259" s="60">
        <v>400</v>
      </c>
      <c r="G2259" s="60">
        <f>+OtherClients[[#This Row],[Boxes / Pieces]]*OtherClients[[#This Row],[Unit Quantity]]</f>
        <v>8000</v>
      </c>
      <c r="H2259" s="60">
        <v>292</v>
      </c>
      <c r="I2259" s="130" t="s">
        <v>278</v>
      </c>
      <c r="J2259" s="131"/>
      <c r="K2259" s="33" t="s">
        <v>278</v>
      </c>
      <c r="L2259" s="132"/>
      <c r="M2259" s="33" t="s">
        <v>278</v>
      </c>
      <c r="N2259" s="132"/>
      <c r="O2259" s="33" t="s">
        <v>278</v>
      </c>
      <c r="P2259" s="132"/>
      <c r="Q2259" s="33" t="s">
        <v>587</v>
      </c>
      <c r="R2259" s="132"/>
      <c r="S2259" s="33" t="s">
        <v>278</v>
      </c>
      <c r="T2259" s="132"/>
      <c r="U2259" s="33" t="s">
        <v>278</v>
      </c>
      <c r="V2259" s="132"/>
      <c r="W2259" s="59" t="s">
        <v>548</v>
      </c>
      <c r="X2259" s="33" t="str">
        <f>+VLOOKUP(OtherClients[[#This Row],[Part]],PartControl!$A$2:$E$564,5,FALSE)</f>
        <v>INFASCO</v>
      </c>
      <c r="Y2259" s="108">
        <f>IF(OtherClients[[#This Row],[Re-certified or New]]&lt;&gt;"Re-certified",IF(OtherClients[[#This Row],[Client]]="infasco",VLOOKUP(OtherClients[[#This Row],[Part]],PartControl!$A$2:$E$564,2,FALSE),OtherClients[[#This Row],[Total Quantity]]*VLOOKUP(OtherClients[[#This Row],[Part]],PartControl!$A$2:$E$564,2,FALSE)),0)</f>
        <v>106.94</v>
      </c>
      <c r="Z2259" s="108">
        <f>IF(OtherClients[[#This Row],[Re-certified or New]]&lt;&gt;"Re-certified",IF(OtherClients[[#This Row],[Client]]="infasco",VLOOKUP(OtherClients[[#This Row],[Part]],PartControl!$A$2:$E$564,2,FALSE),OtherClients[[#This Row],[Total Quantity]]*VLOOKUP(OtherClients[[#This Row],[Part]],PartControl!$A$2:$E$564,2,FALSE)),0)</f>
        <v>106.94</v>
      </c>
    </row>
    <row r="2260" spans="1:26" ht="25.15" hidden="1" customHeight="1" x14ac:dyDescent="0.25">
      <c r="A2260" s="112">
        <v>46266</v>
      </c>
      <c r="B2260" s="5" t="s">
        <v>624</v>
      </c>
      <c r="C2260" s="5">
        <v>11549170</v>
      </c>
      <c r="D2260" s="5">
        <v>716930</v>
      </c>
      <c r="E2260" s="33">
        <v>36</v>
      </c>
      <c r="F2260" s="60">
        <v>400</v>
      </c>
      <c r="G2260" s="60">
        <f>+OtherClients[[#This Row],[Boxes / Pieces]]*OtherClients[[#This Row],[Unit Quantity]]</f>
        <v>14400</v>
      </c>
      <c r="H2260" s="60">
        <v>292</v>
      </c>
      <c r="I2260" s="130" t="s">
        <v>278</v>
      </c>
      <c r="J2260" s="131"/>
      <c r="K2260" s="33" t="s">
        <v>278</v>
      </c>
      <c r="L2260" s="132"/>
      <c r="M2260" s="33" t="s">
        <v>278</v>
      </c>
      <c r="N2260" s="132"/>
      <c r="O2260" s="33" t="s">
        <v>278</v>
      </c>
      <c r="P2260" s="132"/>
      <c r="Q2260" s="33" t="s">
        <v>587</v>
      </c>
      <c r="R2260" s="132"/>
      <c r="S2260" s="33" t="s">
        <v>278</v>
      </c>
      <c r="T2260" s="132"/>
      <c r="U2260" s="33" t="s">
        <v>278</v>
      </c>
      <c r="V2260" s="132"/>
      <c r="W2260" s="59" t="s">
        <v>548</v>
      </c>
      <c r="X2260" s="33" t="str">
        <f>+VLOOKUP(OtherClients[[#This Row],[Part]],PartControl!$A$2:$E$564,5,FALSE)</f>
        <v>INFASCO</v>
      </c>
      <c r="Y2260" s="108">
        <f>IF(OtherClients[[#This Row],[Re-certified or New]]&lt;&gt;"Re-certified",IF(OtherClients[[#This Row],[Client]]="infasco",VLOOKUP(OtherClients[[#This Row],[Part]],PartControl!$A$2:$E$564,2,FALSE),OtherClients[[#This Row],[Total Quantity]]*VLOOKUP(OtherClients[[#This Row],[Part]],PartControl!$A$2:$E$564,2,FALSE)),0)</f>
        <v>106.94</v>
      </c>
      <c r="Z2260" s="108">
        <f>IF(OtherClients[[#This Row],[Re-certified or New]]&lt;&gt;"Re-certified",IF(OtherClients[[#This Row],[Client]]="infasco",VLOOKUP(OtherClients[[#This Row],[Part]],PartControl!$A$2:$E$564,2,FALSE),OtherClients[[#This Row],[Total Quantity]]*VLOOKUP(OtherClients[[#This Row],[Part]],PartControl!$A$2:$E$564,2,FALSE)),0)</f>
        <v>106.94</v>
      </c>
    </row>
    <row r="2261" spans="1:26" ht="25.15" hidden="1" customHeight="1" x14ac:dyDescent="0.25">
      <c r="A2261" s="112">
        <v>46266</v>
      </c>
      <c r="B2261" s="5" t="s">
        <v>624</v>
      </c>
      <c r="C2261" s="5">
        <v>11549170</v>
      </c>
      <c r="D2261" s="5">
        <v>716922</v>
      </c>
      <c r="E2261" s="33">
        <v>36</v>
      </c>
      <c r="F2261" s="60">
        <v>400</v>
      </c>
      <c r="G2261" s="60">
        <f>+OtherClients[[#This Row],[Boxes / Pieces]]*OtherClients[[#This Row],[Unit Quantity]]</f>
        <v>14400</v>
      </c>
      <c r="H2261" s="60">
        <v>292</v>
      </c>
      <c r="I2261" s="130" t="s">
        <v>278</v>
      </c>
      <c r="J2261" s="131"/>
      <c r="K2261" s="33" t="s">
        <v>278</v>
      </c>
      <c r="L2261" s="132"/>
      <c r="M2261" s="33" t="s">
        <v>278</v>
      </c>
      <c r="N2261" s="132"/>
      <c r="O2261" s="33" t="s">
        <v>278</v>
      </c>
      <c r="P2261" s="132"/>
      <c r="Q2261" s="33" t="s">
        <v>587</v>
      </c>
      <c r="R2261" s="132"/>
      <c r="S2261" s="33" t="s">
        <v>278</v>
      </c>
      <c r="T2261" s="132"/>
      <c r="U2261" s="33" t="s">
        <v>278</v>
      </c>
      <c r="V2261" s="132"/>
      <c r="W2261" s="59" t="s">
        <v>548</v>
      </c>
      <c r="X2261" s="33" t="str">
        <f>+VLOOKUP(OtherClients[[#This Row],[Part]],PartControl!$A$2:$E$564,5,FALSE)</f>
        <v>INFASCO</v>
      </c>
      <c r="Y2261" s="108">
        <f>IF(OtherClients[[#This Row],[Re-certified or New]]&lt;&gt;"Re-certified",IF(OtherClients[[#This Row],[Client]]="infasco",VLOOKUP(OtherClients[[#This Row],[Part]],PartControl!$A$2:$E$564,2,FALSE),OtherClients[[#This Row],[Total Quantity]]*VLOOKUP(OtherClients[[#This Row],[Part]],PartControl!$A$2:$E$564,2,FALSE)),0)</f>
        <v>106.94</v>
      </c>
      <c r="Z2261" s="108">
        <f>IF(OtherClients[[#This Row],[Re-certified or New]]&lt;&gt;"Re-certified",IF(OtherClients[[#This Row],[Client]]="infasco",VLOOKUP(OtherClients[[#This Row],[Part]],PartControl!$A$2:$E$564,2,FALSE),OtherClients[[#This Row],[Total Quantity]]*VLOOKUP(OtherClients[[#This Row],[Part]],PartControl!$A$2:$E$564,2,FALSE)),0)</f>
        <v>106.94</v>
      </c>
    </row>
    <row r="2262" spans="1:26" ht="25.15" hidden="1" customHeight="1" x14ac:dyDescent="0.25">
      <c r="A2262" s="112">
        <v>46266</v>
      </c>
      <c r="B2262" s="5" t="s">
        <v>624</v>
      </c>
      <c r="C2262" s="5">
        <v>11549170</v>
      </c>
      <c r="D2262" s="5">
        <v>716575</v>
      </c>
      <c r="E2262" s="33">
        <v>15</v>
      </c>
      <c r="F2262" s="60">
        <v>400</v>
      </c>
      <c r="G2262" s="60">
        <f>+OtherClients[[#This Row],[Boxes / Pieces]]*OtherClients[[#This Row],[Unit Quantity]]</f>
        <v>6000</v>
      </c>
      <c r="H2262" s="60">
        <v>292</v>
      </c>
      <c r="I2262" s="130" t="s">
        <v>278</v>
      </c>
      <c r="J2262" s="131"/>
      <c r="K2262" s="33" t="s">
        <v>278</v>
      </c>
      <c r="L2262" s="132"/>
      <c r="M2262" s="33" t="s">
        <v>278</v>
      </c>
      <c r="N2262" s="132"/>
      <c r="O2262" s="33" t="s">
        <v>278</v>
      </c>
      <c r="P2262" s="132"/>
      <c r="Q2262" s="33" t="s">
        <v>587</v>
      </c>
      <c r="R2262" s="132"/>
      <c r="S2262" s="33" t="s">
        <v>278</v>
      </c>
      <c r="T2262" s="132"/>
      <c r="U2262" s="33" t="s">
        <v>278</v>
      </c>
      <c r="V2262" s="132"/>
      <c r="W2262" s="59" t="s">
        <v>633</v>
      </c>
      <c r="X2262" s="33" t="str">
        <f>+VLOOKUP(OtherClients[[#This Row],[Part]],PartControl!$A$2:$E$564,5,FALSE)</f>
        <v>INFASCO</v>
      </c>
      <c r="Y2262" s="108">
        <f>IF(OtherClients[[#This Row],[Re-certified or New]]&lt;&gt;"Re-certified",IF(OtherClients[[#This Row],[Client]]="infasco",VLOOKUP(OtherClients[[#This Row],[Part]],PartControl!$A$2:$E$564,2,FALSE),OtherClients[[#This Row],[Total Quantity]]*VLOOKUP(OtherClients[[#This Row],[Part]],PartControl!$A$2:$E$564,2,FALSE)),0)</f>
        <v>0</v>
      </c>
      <c r="Z2262" s="108">
        <f>IF(OtherClients[[#This Row],[Re-certified or New]]&lt;&gt;"Re-certified",IF(OtherClients[[#This Row],[Client]]="infasco",VLOOKUP(OtherClients[[#This Row],[Part]],PartControl!$A$2:$E$564,2,FALSE),OtherClients[[#This Row],[Total Quantity]]*VLOOKUP(OtherClients[[#This Row],[Part]],PartControl!$A$2:$E$564,2,FALSE)),0)</f>
        <v>0</v>
      </c>
    </row>
    <row r="2263" spans="1:26" ht="25.15" hidden="1" customHeight="1" x14ac:dyDescent="0.25">
      <c r="A2263" s="112">
        <v>46266</v>
      </c>
      <c r="B2263" s="5" t="s">
        <v>623</v>
      </c>
      <c r="C2263" s="5">
        <v>11549170</v>
      </c>
      <c r="D2263" s="5">
        <v>716582</v>
      </c>
      <c r="E2263" s="33">
        <f>27-16</f>
        <v>11</v>
      </c>
      <c r="F2263" s="60">
        <v>400</v>
      </c>
      <c r="G2263" s="60">
        <f>+OtherClients[[#This Row],[Boxes / Pieces]]*OtherClients[[#This Row],[Unit Quantity]]</f>
        <v>4400</v>
      </c>
      <c r="H2263" s="60">
        <v>292</v>
      </c>
      <c r="I2263" s="130" t="s">
        <v>278</v>
      </c>
      <c r="J2263" s="131"/>
      <c r="K2263" s="33" t="s">
        <v>278</v>
      </c>
      <c r="L2263" s="132"/>
      <c r="M2263" s="33" t="s">
        <v>278</v>
      </c>
      <c r="N2263" s="132"/>
      <c r="O2263" s="33" t="s">
        <v>278</v>
      </c>
      <c r="P2263" s="132"/>
      <c r="Q2263" s="33" t="s">
        <v>587</v>
      </c>
      <c r="R2263" s="132"/>
      <c r="S2263" s="33" t="s">
        <v>278</v>
      </c>
      <c r="T2263" s="132"/>
      <c r="U2263" s="33" t="s">
        <v>278</v>
      </c>
      <c r="V2263" s="132"/>
      <c r="W2263" s="59" t="s">
        <v>548</v>
      </c>
      <c r="X2263" s="33" t="str">
        <f>+VLOOKUP(OtherClients[[#This Row],[Part]],PartControl!$A$2:$E$564,5,FALSE)</f>
        <v>INFASCO</v>
      </c>
      <c r="Y2263" s="108">
        <f>IF(OtherClients[[#This Row],[Re-certified or New]]&lt;&gt;"Re-certified",IF(OtherClients[[#This Row],[Client]]="infasco",VLOOKUP(OtherClients[[#This Row],[Part]],PartControl!$A$2:$E$564,2,FALSE),OtherClients[[#This Row],[Total Quantity]]*VLOOKUP(OtherClients[[#This Row],[Part]],PartControl!$A$2:$E$564,2,FALSE)),0)</f>
        <v>106.94</v>
      </c>
      <c r="Z2263" s="108">
        <f>IF(OtherClients[[#This Row],[Re-certified or New]]&lt;&gt;"Re-certified",IF(OtherClients[[#This Row],[Client]]="infasco",VLOOKUP(OtherClients[[#This Row],[Part]],PartControl!$A$2:$E$564,2,FALSE),OtherClients[[#This Row],[Total Quantity]]*VLOOKUP(OtherClients[[#This Row],[Part]],PartControl!$A$2:$E$564,2,FALSE)),0)</f>
        <v>106.94</v>
      </c>
    </row>
    <row r="2264" spans="1:26" ht="25.15" hidden="1" customHeight="1" x14ac:dyDescent="0.25">
      <c r="A2264" s="112">
        <v>46266</v>
      </c>
      <c r="B2264" s="5" t="s">
        <v>623</v>
      </c>
      <c r="C2264" s="5">
        <v>11549170</v>
      </c>
      <c r="D2264" s="5">
        <v>716938</v>
      </c>
      <c r="E2264" s="33">
        <f>6+36</f>
        <v>42</v>
      </c>
      <c r="F2264" s="60">
        <v>400</v>
      </c>
      <c r="G2264" s="60">
        <f>+OtherClients[[#This Row],[Boxes / Pieces]]*OtherClients[[#This Row],[Unit Quantity]]</f>
        <v>16800</v>
      </c>
      <c r="H2264" s="60">
        <v>292</v>
      </c>
      <c r="I2264" s="130" t="s">
        <v>278</v>
      </c>
      <c r="J2264" s="131"/>
      <c r="K2264" s="33" t="s">
        <v>278</v>
      </c>
      <c r="L2264" s="132"/>
      <c r="M2264" s="33" t="s">
        <v>278</v>
      </c>
      <c r="N2264" s="132"/>
      <c r="O2264" s="33" t="s">
        <v>278</v>
      </c>
      <c r="P2264" s="132"/>
      <c r="Q2264" s="33" t="s">
        <v>587</v>
      </c>
      <c r="R2264" s="132"/>
      <c r="S2264" s="33" t="s">
        <v>278</v>
      </c>
      <c r="T2264" s="132"/>
      <c r="U2264" s="33" t="s">
        <v>278</v>
      </c>
      <c r="V2264" s="132"/>
      <c r="W2264" s="59" t="s">
        <v>548</v>
      </c>
      <c r="X2264" s="33" t="str">
        <f>+VLOOKUP(OtherClients[[#This Row],[Part]],PartControl!$A$2:$E$564,5,FALSE)</f>
        <v>INFASCO</v>
      </c>
      <c r="Y2264" s="108">
        <f>IF(OtherClients[[#This Row],[Re-certified or New]]&lt;&gt;"Re-certified",IF(OtherClients[[#This Row],[Client]]="infasco",VLOOKUP(OtherClients[[#This Row],[Part]],PartControl!$A$2:$E$564,2,FALSE),OtherClients[[#This Row],[Total Quantity]]*VLOOKUP(OtherClients[[#This Row],[Part]],PartControl!$A$2:$E$564,2,FALSE)),0)</f>
        <v>106.94</v>
      </c>
      <c r="Z2264" s="108">
        <f>IF(OtherClients[[#This Row],[Re-certified or New]]&lt;&gt;"Re-certified",IF(OtherClients[[#This Row],[Client]]="infasco",VLOOKUP(OtherClients[[#This Row],[Part]],PartControl!$A$2:$E$564,2,FALSE),OtherClients[[#This Row],[Total Quantity]]*VLOOKUP(OtherClients[[#This Row],[Part]],PartControl!$A$2:$E$564,2,FALSE)),0)</f>
        <v>106.94</v>
      </c>
    </row>
    <row r="2265" spans="1:26" ht="25.15" hidden="1" customHeight="1" x14ac:dyDescent="0.25">
      <c r="A2265" s="112">
        <v>46266</v>
      </c>
      <c r="B2265" s="5" t="s">
        <v>623</v>
      </c>
      <c r="C2265" s="5">
        <v>11549170</v>
      </c>
      <c r="D2265" s="5">
        <v>716560</v>
      </c>
      <c r="E2265" s="33">
        <v>36</v>
      </c>
      <c r="F2265" s="60">
        <v>400</v>
      </c>
      <c r="G2265" s="60">
        <f>+OtherClients[[#This Row],[Boxes / Pieces]]*OtherClients[[#This Row],[Unit Quantity]]</f>
        <v>14400</v>
      </c>
      <c r="H2265" s="60">
        <v>292</v>
      </c>
      <c r="I2265" s="130" t="s">
        <v>278</v>
      </c>
      <c r="J2265" s="131"/>
      <c r="K2265" s="33" t="s">
        <v>278</v>
      </c>
      <c r="L2265" s="132"/>
      <c r="M2265" s="33" t="s">
        <v>278</v>
      </c>
      <c r="N2265" s="132"/>
      <c r="O2265" s="33" t="s">
        <v>278</v>
      </c>
      <c r="P2265" s="132"/>
      <c r="Q2265" s="33" t="s">
        <v>587</v>
      </c>
      <c r="R2265" s="132"/>
      <c r="S2265" s="33" t="s">
        <v>278</v>
      </c>
      <c r="T2265" s="132"/>
      <c r="U2265" s="33" t="s">
        <v>278</v>
      </c>
      <c r="V2265" s="132"/>
      <c r="W2265" s="59" t="s">
        <v>548</v>
      </c>
      <c r="X2265" s="33" t="str">
        <f>+VLOOKUP(OtherClients[[#This Row],[Part]],PartControl!$A$2:$E$564,5,FALSE)</f>
        <v>INFASCO</v>
      </c>
      <c r="Y2265" s="108">
        <f>IF(OtherClients[[#This Row],[Re-certified or New]]&lt;&gt;"Re-certified",IF(OtherClients[[#This Row],[Client]]="infasco",VLOOKUP(OtherClients[[#This Row],[Part]],PartControl!$A$2:$E$564,2,FALSE),OtherClients[[#This Row],[Total Quantity]]*VLOOKUP(OtherClients[[#This Row],[Part]],PartControl!$A$2:$E$564,2,FALSE)),0)</f>
        <v>106.94</v>
      </c>
      <c r="Z2265" s="108">
        <f>IF(OtherClients[[#This Row],[Re-certified or New]]&lt;&gt;"Re-certified",IF(OtherClients[[#This Row],[Client]]="infasco",VLOOKUP(OtherClients[[#This Row],[Part]],PartControl!$A$2:$E$564,2,FALSE),OtherClients[[#This Row],[Total Quantity]]*VLOOKUP(OtherClients[[#This Row],[Part]],PartControl!$A$2:$E$564,2,FALSE)),0)</f>
        <v>106.94</v>
      </c>
    </row>
    <row r="2266" spans="1:26" ht="25.15" hidden="1" customHeight="1" x14ac:dyDescent="0.25">
      <c r="A2266" s="112">
        <v>46266</v>
      </c>
      <c r="B2266" s="5" t="s">
        <v>623</v>
      </c>
      <c r="C2266" s="5">
        <v>11549170</v>
      </c>
      <c r="D2266" s="5">
        <v>716573</v>
      </c>
      <c r="E2266" s="33">
        <v>15</v>
      </c>
      <c r="F2266" s="60">
        <v>400</v>
      </c>
      <c r="G2266" s="60">
        <f>+OtherClients[[#This Row],[Boxes / Pieces]]*OtherClients[[#This Row],[Unit Quantity]]</f>
        <v>6000</v>
      </c>
      <c r="H2266" s="60">
        <v>292</v>
      </c>
      <c r="I2266" s="130" t="s">
        <v>278</v>
      </c>
      <c r="J2266" s="131"/>
      <c r="K2266" s="33" t="s">
        <v>278</v>
      </c>
      <c r="L2266" s="132"/>
      <c r="M2266" s="33" t="s">
        <v>278</v>
      </c>
      <c r="N2266" s="132"/>
      <c r="O2266" s="33" t="s">
        <v>278</v>
      </c>
      <c r="P2266" s="132"/>
      <c r="Q2266" s="33" t="s">
        <v>587</v>
      </c>
      <c r="R2266" s="132"/>
      <c r="S2266" s="33" t="s">
        <v>278</v>
      </c>
      <c r="T2266" s="132"/>
      <c r="U2266" s="33" t="s">
        <v>278</v>
      </c>
      <c r="V2266" s="132"/>
      <c r="W2266" s="59" t="s">
        <v>633</v>
      </c>
      <c r="X2266" s="33" t="str">
        <f>+VLOOKUP(OtherClients[[#This Row],[Part]],PartControl!$A$2:$E$564,5,FALSE)</f>
        <v>INFASCO</v>
      </c>
      <c r="Y2266" s="108">
        <f>IF(OtherClients[[#This Row],[Re-certified or New]]&lt;&gt;"Re-certified",IF(OtherClients[[#This Row],[Client]]="infasco",VLOOKUP(OtherClients[[#This Row],[Part]],PartControl!$A$2:$E$564,2,FALSE),OtherClients[[#This Row],[Total Quantity]]*VLOOKUP(OtherClients[[#This Row],[Part]],PartControl!$A$2:$E$564,2,FALSE)),0)</f>
        <v>0</v>
      </c>
      <c r="Z2266" s="108">
        <f>IF(OtherClients[[#This Row],[Re-certified or New]]&lt;&gt;"Re-certified",IF(OtherClients[[#This Row],[Client]]="infasco",VLOOKUP(OtherClients[[#This Row],[Part]],PartControl!$A$2:$E$564,2,FALSE),OtherClients[[#This Row],[Total Quantity]]*VLOOKUP(OtherClients[[#This Row],[Part]],PartControl!$A$2:$E$564,2,FALSE)),0)</f>
        <v>0</v>
      </c>
    </row>
    <row r="2267" spans="1:26" ht="25.15" hidden="1" customHeight="1" x14ac:dyDescent="0.25">
      <c r="A2267" s="112">
        <v>46266</v>
      </c>
      <c r="B2267" s="5" t="s">
        <v>243</v>
      </c>
      <c r="C2267" s="5">
        <v>11546389</v>
      </c>
      <c r="D2267" s="5">
        <v>717704</v>
      </c>
      <c r="E2267" s="33">
        <v>12</v>
      </c>
      <c r="F2267" s="60">
        <v>4500</v>
      </c>
      <c r="G2267" s="60">
        <f>+OtherClients[[#This Row],[Boxes / Pieces]]*OtherClients[[#This Row],[Unit Quantity]]</f>
        <v>54000</v>
      </c>
      <c r="H2267" s="60">
        <v>292</v>
      </c>
      <c r="I2267" s="130" t="s">
        <v>278</v>
      </c>
      <c r="J2267" s="131"/>
      <c r="K2267" s="33" t="s">
        <v>278</v>
      </c>
      <c r="L2267" s="132"/>
      <c r="M2267" s="33" t="s">
        <v>278</v>
      </c>
      <c r="N2267" s="132"/>
      <c r="O2267" s="33" t="s">
        <v>278</v>
      </c>
      <c r="P2267" s="132"/>
      <c r="Q2267" s="33" t="s">
        <v>587</v>
      </c>
      <c r="R2267" s="132"/>
      <c r="S2267" s="33" t="s">
        <v>278</v>
      </c>
      <c r="T2267" s="132"/>
      <c r="U2267" s="33" t="s">
        <v>278</v>
      </c>
      <c r="V2267" s="132"/>
      <c r="W2267" s="59" t="s">
        <v>548</v>
      </c>
      <c r="X2267" s="33" t="str">
        <f>+VLOOKUP(OtherClients[[#This Row],[Part]],PartControl!$A$2:$E$564,5,FALSE)</f>
        <v>INFASCO</v>
      </c>
      <c r="Y2267" s="108">
        <f>IF(OtherClients[[#This Row],[Re-certified or New]]&lt;&gt;"Re-certified",IF(OtherClients[[#This Row],[Client]]="infasco",VLOOKUP(OtherClients[[#This Row],[Part]],PartControl!$A$2:$E$564,2,FALSE),OtherClients[[#This Row],[Total Quantity]]*VLOOKUP(OtherClients[[#This Row],[Part]],PartControl!$A$2:$E$564,2,FALSE)),0)</f>
        <v>106.94</v>
      </c>
      <c r="Z2267" s="108">
        <f>IF(OtherClients[[#This Row],[Re-certified or New]]&lt;&gt;"Re-certified",IF(OtherClients[[#This Row],[Client]]="infasco",VLOOKUP(OtherClients[[#This Row],[Part]],PartControl!$A$2:$E$564,2,FALSE),OtherClients[[#This Row],[Total Quantity]]*VLOOKUP(OtherClients[[#This Row],[Part]],PartControl!$A$2:$E$564,2,FALSE)),0)</f>
        <v>106.94</v>
      </c>
    </row>
    <row r="2268" spans="1:26" ht="25.15" hidden="1" customHeight="1" x14ac:dyDescent="0.25">
      <c r="A2268" s="112">
        <v>46266</v>
      </c>
      <c r="B2268" s="5" t="s">
        <v>243</v>
      </c>
      <c r="C2268" s="5" t="s">
        <v>721</v>
      </c>
      <c r="D2268" s="5">
        <v>717645</v>
      </c>
      <c r="E2268" s="33">
        <v>5</v>
      </c>
      <c r="F2268" s="60">
        <v>4500</v>
      </c>
      <c r="G2268" s="60">
        <f>+OtherClients[[#This Row],[Boxes / Pieces]]*OtherClients[[#This Row],[Unit Quantity]]</f>
        <v>22500</v>
      </c>
      <c r="H2268" s="60">
        <v>292</v>
      </c>
      <c r="I2268" s="130" t="s">
        <v>278</v>
      </c>
      <c r="J2268" s="131"/>
      <c r="K2268" s="33" t="s">
        <v>278</v>
      </c>
      <c r="L2268" s="132"/>
      <c r="M2268" s="33" t="s">
        <v>278</v>
      </c>
      <c r="N2268" s="132"/>
      <c r="O2268" s="33" t="s">
        <v>278</v>
      </c>
      <c r="P2268" s="132"/>
      <c r="Q2268" s="33" t="s">
        <v>587</v>
      </c>
      <c r="R2268" s="132"/>
      <c r="S2268" s="33" t="s">
        <v>278</v>
      </c>
      <c r="T2268" s="132"/>
      <c r="U2268" s="33" t="s">
        <v>278</v>
      </c>
      <c r="V2268" s="132"/>
      <c r="W2268" s="59" t="s">
        <v>633</v>
      </c>
      <c r="X2268" s="33" t="str">
        <f>+VLOOKUP(OtherClients[[#This Row],[Part]],PartControl!$A$2:$E$564,5,FALSE)</f>
        <v>Infasco</v>
      </c>
      <c r="Y2268" s="108">
        <f>IF(OtherClients[[#This Row],[Re-certified or New]]&lt;&gt;"Re-certified",IF(OtherClients[[#This Row],[Client]]="infasco",VLOOKUP(OtherClients[[#This Row],[Part]],PartControl!$A$2:$E$564,2,FALSE),OtherClients[[#This Row],[Total Quantity]]*VLOOKUP(OtherClients[[#This Row],[Part]],PartControl!$A$2:$E$564,2,FALSE)),0)</f>
        <v>0</v>
      </c>
      <c r="Z2268" s="108">
        <f>IF(OtherClients[[#This Row],[Re-certified or New]]&lt;&gt;"Re-certified",IF(OtherClients[[#This Row],[Client]]="infasco",VLOOKUP(OtherClients[[#This Row],[Part]],PartControl!$A$2:$E$564,2,FALSE),OtherClients[[#This Row],[Total Quantity]]*VLOOKUP(OtherClients[[#This Row],[Part]],PartControl!$A$2:$E$564,2,FALSE)),0)</f>
        <v>0</v>
      </c>
    </row>
    <row r="2269" spans="1:26" ht="25.15" hidden="1" customHeight="1" x14ac:dyDescent="0.25">
      <c r="A2269" s="112">
        <v>46266</v>
      </c>
      <c r="B2269" s="5" t="s">
        <v>251</v>
      </c>
      <c r="C2269" s="5">
        <v>11549168</v>
      </c>
      <c r="D2269" s="5">
        <v>716915</v>
      </c>
      <c r="E2269" s="33">
        <f>12+29</f>
        <v>41</v>
      </c>
      <c r="F2269" s="60">
        <v>1000</v>
      </c>
      <c r="G2269" s="60">
        <f>+OtherClients[[#This Row],[Boxes / Pieces]]*OtherClients[[#This Row],[Unit Quantity]]</f>
        <v>41000</v>
      </c>
      <c r="H2269" s="60">
        <v>292</v>
      </c>
      <c r="I2269" s="130" t="s">
        <v>278</v>
      </c>
      <c r="J2269" s="131"/>
      <c r="K2269" s="33" t="s">
        <v>278</v>
      </c>
      <c r="L2269" s="132"/>
      <c r="M2269" s="33" t="s">
        <v>278</v>
      </c>
      <c r="N2269" s="132"/>
      <c r="O2269" s="33" t="s">
        <v>278</v>
      </c>
      <c r="P2269" s="132"/>
      <c r="Q2269" s="33" t="s">
        <v>587</v>
      </c>
      <c r="R2269" s="132"/>
      <c r="S2269" s="33" t="s">
        <v>278</v>
      </c>
      <c r="T2269" s="132"/>
      <c r="U2269" s="33" t="s">
        <v>278</v>
      </c>
      <c r="V2269" s="132"/>
      <c r="W2269" s="59" t="s">
        <v>633</v>
      </c>
      <c r="X2269" s="33" t="str">
        <f>+VLOOKUP(OtherClients[[#This Row],[Part]],PartControl!$A$2:$E$564,5,FALSE)</f>
        <v>INFASCO</v>
      </c>
      <c r="Y2269" s="108">
        <f>IF(OtherClients[[#This Row],[Re-certified or New]]&lt;&gt;"Re-certified",IF(OtherClients[[#This Row],[Client]]="infasco",VLOOKUP(OtherClients[[#This Row],[Part]],PartControl!$A$2:$E$564,2,FALSE),OtherClients[[#This Row],[Total Quantity]]*VLOOKUP(OtherClients[[#This Row],[Part]],PartControl!$A$2:$E$564,2,FALSE)),0)</f>
        <v>0</v>
      </c>
      <c r="Z2269" s="108">
        <f>IF(OtherClients[[#This Row],[Re-certified or New]]&lt;&gt;"Re-certified",IF(OtherClients[[#This Row],[Client]]="infasco",VLOOKUP(OtherClients[[#This Row],[Part]],PartControl!$A$2:$E$564,2,FALSE),OtherClients[[#This Row],[Total Quantity]]*VLOOKUP(OtherClients[[#This Row],[Part]],PartControl!$A$2:$E$564,2,FALSE)),0)</f>
        <v>0</v>
      </c>
    </row>
    <row r="2270" spans="1:26" ht="25.15" hidden="1" customHeight="1" x14ac:dyDescent="0.25">
      <c r="A2270" s="112">
        <v>46266</v>
      </c>
      <c r="B2270" s="5" t="s">
        <v>249</v>
      </c>
      <c r="C2270" s="5">
        <v>11612078</v>
      </c>
      <c r="D2270" s="5">
        <v>707328</v>
      </c>
      <c r="E2270" s="33">
        <v>2</v>
      </c>
      <c r="F2270" s="60">
        <v>1850</v>
      </c>
      <c r="G2270" s="60">
        <f>+OtherClients[[#This Row],[Boxes / Pieces]]*OtherClients[[#This Row],[Unit Quantity]]</f>
        <v>3700</v>
      </c>
      <c r="H2270" s="60">
        <v>4</v>
      </c>
      <c r="I2270" s="130" t="s">
        <v>278</v>
      </c>
      <c r="J2270" s="131"/>
      <c r="K2270" s="33" t="s">
        <v>278</v>
      </c>
      <c r="L2270" s="132"/>
      <c r="M2270" s="33" t="s">
        <v>278</v>
      </c>
      <c r="N2270" s="132"/>
      <c r="O2270" s="33" t="s">
        <v>278</v>
      </c>
      <c r="P2270" s="132"/>
      <c r="Q2270" s="33" t="s">
        <v>587</v>
      </c>
      <c r="R2270" s="132"/>
      <c r="S2270" s="33" t="s">
        <v>278</v>
      </c>
      <c r="T2270" s="132"/>
      <c r="U2270" s="33" t="s">
        <v>278</v>
      </c>
      <c r="V2270" s="132"/>
      <c r="W2270" s="59" t="s">
        <v>548</v>
      </c>
      <c r="X2270" s="33" t="str">
        <f>+VLOOKUP(OtherClients[[#This Row],[Part]],PartControl!$A$2:$E$564,5,FALSE)</f>
        <v>infasco</v>
      </c>
      <c r="Y2270" s="108">
        <f>IF(OtherClients[[#This Row],[Re-certified or New]]&lt;&gt;"Re-certified",IF(OtherClients[[#This Row],[Client]]="infasco",VLOOKUP(OtherClients[[#This Row],[Part]],PartControl!$A$2:$E$564,2,FALSE),OtherClients[[#This Row],[Total Quantity]]*VLOOKUP(OtherClients[[#This Row],[Part]],PartControl!$A$2:$E$564,2,FALSE)),0)</f>
        <v>247.64</v>
      </c>
      <c r="Z2270" s="108">
        <f>IF(OtherClients[[#This Row],[Re-certified or New]]&lt;&gt;"Re-certified",IF(OtherClients[[#This Row],[Client]]="infasco",VLOOKUP(OtherClients[[#This Row],[Part]],PartControl!$A$2:$E$564,2,FALSE),OtherClients[[#This Row],[Total Quantity]]*VLOOKUP(OtherClients[[#This Row],[Part]],PartControl!$A$2:$E$564,2,FALSE)),0)</f>
        <v>247.64</v>
      </c>
    </row>
    <row r="2271" spans="1:26" ht="25.15" hidden="1" customHeight="1" x14ac:dyDescent="0.25">
      <c r="A2271" s="112">
        <v>46266</v>
      </c>
      <c r="B2271" s="5" t="s">
        <v>249</v>
      </c>
      <c r="C2271" s="5">
        <v>11612078</v>
      </c>
      <c r="D2271" s="5">
        <v>703121</v>
      </c>
      <c r="E2271" s="33">
        <v>20</v>
      </c>
      <c r="F2271" s="60">
        <v>1850</v>
      </c>
      <c r="G2271" s="60">
        <f>+OtherClients[[#This Row],[Boxes / Pieces]]*OtherClients[[#This Row],[Unit Quantity]]</f>
        <v>37000</v>
      </c>
      <c r="H2271" s="60">
        <v>4</v>
      </c>
      <c r="I2271" s="130" t="s">
        <v>278</v>
      </c>
      <c r="J2271" s="131"/>
      <c r="K2271" s="33" t="s">
        <v>278</v>
      </c>
      <c r="L2271" s="132"/>
      <c r="M2271" s="33" t="s">
        <v>278</v>
      </c>
      <c r="N2271" s="132"/>
      <c r="O2271" s="33" t="s">
        <v>278</v>
      </c>
      <c r="P2271" s="132"/>
      <c r="Q2271" s="33" t="s">
        <v>587</v>
      </c>
      <c r="R2271" s="132"/>
      <c r="S2271" s="33" t="s">
        <v>278</v>
      </c>
      <c r="T2271" s="132"/>
      <c r="U2271" s="33" t="s">
        <v>278</v>
      </c>
      <c r="V2271" s="132"/>
      <c r="W2271" s="59" t="s">
        <v>633</v>
      </c>
      <c r="X2271" s="33" t="str">
        <f>+VLOOKUP(OtherClients[[#This Row],[Part]],PartControl!$A$2:$E$564,5,FALSE)</f>
        <v>infasco</v>
      </c>
      <c r="Y2271" s="108">
        <f>IF(OtherClients[[#This Row],[Re-certified or New]]&lt;&gt;"Re-certified",IF(OtherClients[[#This Row],[Client]]="infasco",VLOOKUP(OtherClients[[#This Row],[Part]],PartControl!$A$2:$E$564,2,FALSE),OtherClients[[#This Row],[Total Quantity]]*VLOOKUP(OtherClients[[#This Row],[Part]],PartControl!$A$2:$E$564,2,FALSE)),0)</f>
        <v>0</v>
      </c>
      <c r="Z2271" s="108">
        <f>IF(OtherClients[[#This Row],[Re-certified or New]]&lt;&gt;"Re-certified",IF(OtherClients[[#This Row],[Client]]="infasco",VLOOKUP(OtherClients[[#This Row],[Part]],PartControl!$A$2:$E$564,2,FALSE),OtherClients[[#This Row],[Total Quantity]]*VLOOKUP(OtherClients[[#This Row],[Part]],PartControl!$A$2:$E$564,2,FALSE)),0)</f>
        <v>0</v>
      </c>
    </row>
    <row r="2272" spans="1:26" ht="25.15" hidden="1" customHeight="1" x14ac:dyDescent="0.25">
      <c r="A2272" s="112">
        <v>46266</v>
      </c>
      <c r="B2272" s="5" t="s">
        <v>342</v>
      </c>
      <c r="C2272" s="5">
        <v>11546379</v>
      </c>
      <c r="D2272" s="5">
        <v>716825</v>
      </c>
      <c r="E2272" s="33">
        <f>36+3-20</f>
        <v>19</v>
      </c>
      <c r="F2272" s="60">
        <v>700</v>
      </c>
      <c r="G2272" s="60">
        <f>+OtherClients[[#This Row],[Boxes / Pieces]]*OtherClients[[#This Row],[Unit Quantity]]</f>
        <v>13300</v>
      </c>
      <c r="H2272" s="60" t="s">
        <v>900</v>
      </c>
      <c r="I2272" s="130" t="s">
        <v>278</v>
      </c>
      <c r="J2272" s="131"/>
      <c r="K2272" s="33" t="s">
        <v>278</v>
      </c>
      <c r="L2272" s="132"/>
      <c r="M2272" s="33" t="s">
        <v>278</v>
      </c>
      <c r="N2272" s="132"/>
      <c r="O2272" s="33" t="s">
        <v>278</v>
      </c>
      <c r="P2272" s="132"/>
      <c r="Q2272" s="33" t="s">
        <v>587</v>
      </c>
      <c r="R2272" s="132"/>
      <c r="S2272" s="33" t="s">
        <v>278</v>
      </c>
      <c r="T2272" s="132"/>
      <c r="U2272" s="33" t="s">
        <v>278</v>
      </c>
      <c r="V2272" s="132"/>
      <c r="W2272" s="59" t="s">
        <v>548</v>
      </c>
      <c r="X2272" s="33" t="str">
        <f>+VLOOKUP(OtherClients[[#This Row],[Part]],PartControl!$A$2:$E$564,5,FALSE)</f>
        <v>Infasco</v>
      </c>
      <c r="Y2272" s="108">
        <f>IF(OtherClients[[#This Row],[Re-certified or New]]&lt;&gt;"Re-certified",IF(OtherClients[[#This Row],[Client]]="infasco",VLOOKUP(OtherClients[[#This Row],[Part]],PartControl!$A$2:$E$564,2,FALSE),OtherClients[[#This Row],[Total Quantity]]*VLOOKUP(OtherClients[[#This Row],[Part]],PartControl!$A$2:$E$564,2,FALSE)),0)</f>
        <v>106.94</v>
      </c>
      <c r="Z2272" s="108">
        <f>IF(OtherClients[[#This Row],[Re-certified or New]]&lt;&gt;"Re-certified",IF(OtherClients[[#This Row],[Client]]="infasco",VLOOKUP(OtherClients[[#This Row],[Part]],PartControl!$A$2:$E$564,2,FALSE),OtherClients[[#This Row],[Total Quantity]]*VLOOKUP(OtherClients[[#This Row],[Part]],PartControl!$A$2:$E$564,2,FALSE)),0)</f>
        <v>106.94</v>
      </c>
    </row>
    <row r="2273" spans="1:26" ht="25.15" hidden="1" customHeight="1" x14ac:dyDescent="0.25">
      <c r="A2273" s="112">
        <v>46266</v>
      </c>
      <c r="B2273" s="5" t="s">
        <v>342</v>
      </c>
      <c r="C2273" s="5">
        <v>40073474</v>
      </c>
      <c r="D2273" s="5">
        <v>717907</v>
      </c>
      <c r="E2273" s="33">
        <v>36</v>
      </c>
      <c r="F2273" s="60">
        <v>150</v>
      </c>
      <c r="G2273" s="60">
        <f>+OtherClients[[#This Row],[Boxes / Pieces]]*OtherClients[[#This Row],[Unit Quantity]]</f>
        <v>5400</v>
      </c>
      <c r="H2273" s="60" t="s">
        <v>900</v>
      </c>
      <c r="I2273" s="130" t="s">
        <v>278</v>
      </c>
      <c r="J2273" s="131"/>
      <c r="K2273" s="33" t="s">
        <v>278</v>
      </c>
      <c r="L2273" s="132"/>
      <c r="M2273" s="33" t="s">
        <v>278</v>
      </c>
      <c r="N2273" s="132"/>
      <c r="O2273" s="33" t="s">
        <v>278</v>
      </c>
      <c r="P2273" s="132"/>
      <c r="Q2273" s="33" t="s">
        <v>587</v>
      </c>
      <c r="R2273" s="132"/>
      <c r="S2273" s="33" t="s">
        <v>278</v>
      </c>
      <c r="T2273" s="132"/>
      <c r="U2273" s="33" t="s">
        <v>278</v>
      </c>
      <c r="V2273" s="132"/>
      <c r="W2273" s="59" t="s">
        <v>548</v>
      </c>
      <c r="X2273" s="33" t="str">
        <f>+VLOOKUP(OtherClients[[#This Row],[Part]],PartControl!$A$2:$E$564,5,FALSE)</f>
        <v>infasco</v>
      </c>
      <c r="Y2273" s="108">
        <f>IF(OtherClients[[#This Row],[Re-certified or New]]&lt;&gt;"Re-certified",IF(OtherClients[[#This Row],[Client]]="infasco",VLOOKUP(OtherClients[[#This Row],[Part]],PartControl!$A$2:$E$564,2,FALSE),OtherClients[[#This Row],[Total Quantity]]*VLOOKUP(OtherClients[[#This Row],[Part]],PartControl!$A$2:$E$564,2,FALSE)),0)</f>
        <v>106.94</v>
      </c>
      <c r="Z2273" s="108">
        <f>IF(OtherClients[[#This Row],[Re-certified or New]]&lt;&gt;"Re-certified",IF(OtherClients[[#This Row],[Client]]="infasco",VLOOKUP(OtherClients[[#This Row],[Part]],PartControl!$A$2:$E$564,2,FALSE),OtherClients[[#This Row],[Total Quantity]]*VLOOKUP(OtherClients[[#This Row],[Part]],PartControl!$A$2:$E$564,2,FALSE)),0)</f>
        <v>106.94</v>
      </c>
    </row>
    <row r="2274" spans="1:26" ht="25.15" hidden="1" customHeight="1" x14ac:dyDescent="0.25">
      <c r="A2274" s="112">
        <v>46266</v>
      </c>
      <c r="B2274" s="5" t="s">
        <v>342</v>
      </c>
      <c r="C2274" s="5">
        <v>11546703</v>
      </c>
      <c r="D2274" s="5">
        <v>715817</v>
      </c>
      <c r="E2274" s="33">
        <f>36+19</f>
        <v>55</v>
      </c>
      <c r="F2274" s="60">
        <v>4000</v>
      </c>
      <c r="G2274" s="60">
        <f>+OtherClients[[#This Row],[Boxes / Pieces]]*OtherClients[[#This Row],[Unit Quantity]]</f>
        <v>220000</v>
      </c>
      <c r="H2274" s="60" t="s">
        <v>900</v>
      </c>
      <c r="I2274" s="130" t="s">
        <v>278</v>
      </c>
      <c r="J2274" s="131"/>
      <c r="K2274" s="33" t="s">
        <v>278</v>
      </c>
      <c r="L2274" s="132"/>
      <c r="M2274" s="33" t="s">
        <v>278</v>
      </c>
      <c r="N2274" s="132"/>
      <c r="O2274" s="33" t="s">
        <v>278</v>
      </c>
      <c r="P2274" s="132"/>
      <c r="Q2274" s="33" t="s">
        <v>587</v>
      </c>
      <c r="R2274" s="132"/>
      <c r="S2274" s="33" t="s">
        <v>278</v>
      </c>
      <c r="T2274" s="132"/>
      <c r="U2274" s="33" t="s">
        <v>278</v>
      </c>
      <c r="V2274" s="132"/>
      <c r="W2274" s="59" t="s">
        <v>548</v>
      </c>
      <c r="X2274" s="33" t="str">
        <f>+VLOOKUP(OtherClients[[#This Row],[Part]],PartControl!$A$2:$E$564,5,FALSE)</f>
        <v>infasco</v>
      </c>
      <c r="Y2274" s="108">
        <f>IF(OtherClients[[#This Row],[Re-certified or New]]&lt;&gt;"Re-certified",IF(OtherClients[[#This Row],[Client]]="infasco",VLOOKUP(OtherClients[[#This Row],[Part]],PartControl!$A$2:$E$564,2,FALSE),OtherClients[[#This Row],[Total Quantity]]*VLOOKUP(OtherClients[[#This Row],[Part]],PartControl!$A$2:$E$564,2,FALSE)),0)</f>
        <v>135.07999999999998</v>
      </c>
      <c r="Z2274" s="108">
        <f>IF(OtherClients[[#This Row],[Re-certified or New]]&lt;&gt;"Re-certified",IF(OtherClients[[#This Row],[Client]]="infasco",VLOOKUP(OtherClients[[#This Row],[Part]],PartControl!$A$2:$E$564,2,FALSE),OtherClients[[#This Row],[Total Quantity]]*VLOOKUP(OtherClients[[#This Row],[Part]],PartControl!$A$2:$E$564,2,FALSE)),0)</f>
        <v>135.07999999999998</v>
      </c>
    </row>
    <row r="2275" spans="1:26" ht="25.15" hidden="1" customHeight="1" x14ac:dyDescent="0.25">
      <c r="A2275" s="112">
        <v>46266</v>
      </c>
      <c r="B2275" s="5" t="s">
        <v>342</v>
      </c>
      <c r="C2275" s="5">
        <v>11546703</v>
      </c>
      <c r="D2275" s="5">
        <v>715816</v>
      </c>
      <c r="E2275" s="33">
        <v>23</v>
      </c>
      <c r="F2275" s="60">
        <v>4000</v>
      </c>
      <c r="G2275" s="60">
        <f>+OtherClients[[#This Row],[Boxes / Pieces]]*OtherClients[[#This Row],[Unit Quantity]]</f>
        <v>92000</v>
      </c>
      <c r="H2275" s="60" t="s">
        <v>900</v>
      </c>
      <c r="I2275" s="130" t="s">
        <v>278</v>
      </c>
      <c r="J2275" s="131"/>
      <c r="K2275" s="33" t="s">
        <v>278</v>
      </c>
      <c r="L2275" s="132"/>
      <c r="M2275" s="33" t="s">
        <v>278</v>
      </c>
      <c r="N2275" s="132"/>
      <c r="O2275" s="33" t="s">
        <v>278</v>
      </c>
      <c r="P2275" s="132"/>
      <c r="Q2275" s="33" t="s">
        <v>587</v>
      </c>
      <c r="R2275" s="132"/>
      <c r="S2275" s="33" t="s">
        <v>278</v>
      </c>
      <c r="T2275" s="132"/>
      <c r="U2275" s="33" t="s">
        <v>278</v>
      </c>
      <c r="V2275" s="132"/>
      <c r="W2275" s="59" t="s">
        <v>548</v>
      </c>
      <c r="X2275" s="33" t="str">
        <f>+VLOOKUP(OtherClients[[#This Row],[Part]],PartControl!$A$2:$E$564,5,FALSE)</f>
        <v>infasco</v>
      </c>
      <c r="Y2275" s="108">
        <f>IF(OtherClients[[#This Row],[Re-certified or New]]&lt;&gt;"Re-certified",IF(OtherClients[[#This Row],[Client]]="infasco",VLOOKUP(OtherClients[[#This Row],[Part]],PartControl!$A$2:$E$564,2,FALSE),OtherClients[[#This Row],[Total Quantity]]*VLOOKUP(OtherClients[[#This Row],[Part]],PartControl!$A$2:$E$564,2,FALSE)),0)</f>
        <v>135.07999999999998</v>
      </c>
      <c r="Z2275" s="108">
        <f>IF(OtherClients[[#This Row],[Re-certified or New]]&lt;&gt;"Re-certified",IF(OtherClients[[#This Row],[Client]]="infasco",VLOOKUP(OtherClients[[#This Row],[Part]],PartControl!$A$2:$E$564,2,FALSE),OtherClients[[#This Row],[Total Quantity]]*VLOOKUP(OtherClients[[#This Row],[Part]],PartControl!$A$2:$E$564,2,FALSE)),0)</f>
        <v>135.07999999999998</v>
      </c>
    </row>
    <row r="2276" spans="1:26" ht="25.15" hidden="1" customHeight="1" x14ac:dyDescent="0.25">
      <c r="A2276" s="112">
        <v>46266</v>
      </c>
      <c r="B2276" s="5" t="s">
        <v>342</v>
      </c>
      <c r="C2276" s="5">
        <v>11546465</v>
      </c>
      <c r="D2276" s="5">
        <v>715687</v>
      </c>
      <c r="E2276" s="33">
        <v>34</v>
      </c>
      <c r="F2276" s="60">
        <v>1100</v>
      </c>
      <c r="G2276" s="60">
        <f>+OtherClients[[#This Row],[Boxes / Pieces]]*OtherClients[[#This Row],[Unit Quantity]]</f>
        <v>37400</v>
      </c>
      <c r="H2276" s="60" t="s">
        <v>900</v>
      </c>
      <c r="I2276" s="130" t="s">
        <v>278</v>
      </c>
      <c r="J2276" s="131"/>
      <c r="K2276" s="33" t="s">
        <v>278</v>
      </c>
      <c r="L2276" s="132"/>
      <c r="M2276" s="33" t="s">
        <v>278</v>
      </c>
      <c r="N2276" s="132"/>
      <c r="O2276" s="33" t="s">
        <v>278</v>
      </c>
      <c r="P2276" s="132"/>
      <c r="Q2276" s="33" t="s">
        <v>587</v>
      </c>
      <c r="R2276" s="132"/>
      <c r="S2276" s="33" t="s">
        <v>278</v>
      </c>
      <c r="T2276" s="132"/>
      <c r="U2276" s="33" t="s">
        <v>278</v>
      </c>
      <c r="V2276" s="132"/>
      <c r="W2276" s="59" t="s">
        <v>548</v>
      </c>
      <c r="X2276" s="33" t="str">
        <f>+VLOOKUP(OtherClients[[#This Row],[Part]],PartControl!$A$2:$E$564,5,FALSE)</f>
        <v>infasco</v>
      </c>
      <c r="Y2276" s="108">
        <f>IF(OtherClients[[#This Row],[Re-certified or New]]&lt;&gt;"Re-certified",IF(OtherClients[[#This Row],[Client]]="infasco",VLOOKUP(OtherClients[[#This Row],[Part]],PartControl!$A$2:$E$564,2,FALSE),OtherClients[[#This Row],[Total Quantity]]*VLOOKUP(OtherClients[[#This Row],[Part]],PartControl!$A$2:$E$564,2,FALSE)),0)</f>
        <v>106.94</v>
      </c>
      <c r="Z2276" s="108">
        <f>IF(OtherClients[[#This Row],[Re-certified or New]]&lt;&gt;"Re-certified",IF(OtherClients[[#This Row],[Client]]="infasco",VLOOKUP(OtherClients[[#This Row],[Part]],PartControl!$A$2:$E$564,2,FALSE),OtherClients[[#This Row],[Total Quantity]]*VLOOKUP(OtherClients[[#This Row],[Part]],PartControl!$A$2:$E$564,2,FALSE)),0)</f>
        <v>106.94</v>
      </c>
    </row>
    <row r="2277" spans="1:26" ht="25.15" hidden="1" customHeight="1" x14ac:dyDescent="0.25">
      <c r="A2277" s="112">
        <v>46266</v>
      </c>
      <c r="B2277" s="5" t="s">
        <v>342</v>
      </c>
      <c r="C2277" s="5">
        <v>11546465</v>
      </c>
      <c r="D2277" s="5">
        <v>715686</v>
      </c>
      <c r="E2277" s="33">
        <v>34</v>
      </c>
      <c r="F2277" s="60">
        <v>1100</v>
      </c>
      <c r="G2277" s="60">
        <f>+OtherClients[[#This Row],[Boxes / Pieces]]*OtherClients[[#This Row],[Unit Quantity]]</f>
        <v>37400</v>
      </c>
      <c r="H2277" s="60" t="s">
        <v>900</v>
      </c>
      <c r="I2277" s="130" t="s">
        <v>278</v>
      </c>
      <c r="J2277" s="131"/>
      <c r="K2277" s="33" t="s">
        <v>278</v>
      </c>
      <c r="L2277" s="132"/>
      <c r="M2277" s="33" t="s">
        <v>278</v>
      </c>
      <c r="N2277" s="132"/>
      <c r="O2277" s="33" t="s">
        <v>278</v>
      </c>
      <c r="P2277" s="132"/>
      <c r="Q2277" s="33" t="s">
        <v>587</v>
      </c>
      <c r="R2277" s="132"/>
      <c r="S2277" s="33" t="s">
        <v>278</v>
      </c>
      <c r="T2277" s="132"/>
      <c r="U2277" s="33" t="s">
        <v>278</v>
      </c>
      <c r="V2277" s="132"/>
      <c r="W2277" s="59" t="s">
        <v>548</v>
      </c>
      <c r="X2277" s="33" t="str">
        <f>+VLOOKUP(OtherClients[[#This Row],[Part]],PartControl!$A$2:$E$564,5,FALSE)</f>
        <v>infasco</v>
      </c>
      <c r="Y2277" s="108">
        <f>IF(OtherClients[[#This Row],[Re-certified or New]]&lt;&gt;"Re-certified",IF(OtherClients[[#This Row],[Client]]="infasco",VLOOKUP(OtherClients[[#This Row],[Part]],PartControl!$A$2:$E$564,2,FALSE),OtherClients[[#This Row],[Total Quantity]]*VLOOKUP(OtherClients[[#This Row],[Part]],PartControl!$A$2:$E$564,2,FALSE)),0)</f>
        <v>106.94</v>
      </c>
      <c r="Z2277" s="108">
        <f>IF(OtherClients[[#This Row],[Re-certified or New]]&lt;&gt;"Re-certified",IF(OtherClients[[#This Row],[Client]]="infasco",VLOOKUP(OtherClients[[#This Row],[Part]],PartControl!$A$2:$E$564,2,FALSE),OtherClients[[#This Row],[Total Quantity]]*VLOOKUP(OtherClients[[#This Row],[Part]],PartControl!$A$2:$E$564,2,FALSE)),0)</f>
        <v>106.94</v>
      </c>
    </row>
    <row r="2278" spans="1:26" ht="25.15" hidden="1" customHeight="1" x14ac:dyDescent="0.25">
      <c r="A2278" s="112">
        <v>46266</v>
      </c>
      <c r="B2278" s="5" t="s">
        <v>342</v>
      </c>
      <c r="C2278" s="5" t="s">
        <v>843</v>
      </c>
      <c r="D2278" s="5">
        <v>716627</v>
      </c>
      <c r="E2278" s="33">
        <v>36</v>
      </c>
      <c r="F2278" s="60">
        <v>220</v>
      </c>
      <c r="G2278" s="60">
        <f>+OtherClients[[#This Row],[Boxes / Pieces]]*OtherClients[[#This Row],[Unit Quantity]]</f>
        <v>7920</v>
      </c>
      <c r="H2278" s="60" t="s">
        <v>900</v>
      </c>
      <c r="I2278" s="130" t="s">
        <v>278</v>
      </c>
      <c r="J2278" s="131"/>
      <c r="K2278" s="33" t="s">
        <v>278</v>
      </c>
      <c r="L2278" s="132"/>
      <c r="M2278" s="33" t="s">
        <v>278</v>
      </c>
      <c r="N2278" s="132"/>
      <c r="O2278" s="33" t="s">
        <v>278</v>
      </c>
      <c r="P2278" s="132"/>
      <c r="Q2278" s="33" t="s">
        <v>587</v>
      </c>
      <c r="R2278" s="132"/>
      <c r="S2278" s="33" t="s">
        <v>278</v>
      </c>
      <c r="T2278" s="132"/>
      <c r="U2278" s="33" t="s">
        <v>278</v>
      </c>
      <c r="V2278" s="132"/>
      <c r="W2278" s="59" t="s">
        <v>548</v>
      </c>
      <c r="X2278" s="33" t="str">
        <f>+VLOOKUP(OtherClients[[#This Row],[Part]],PartControl!$A$2:$E$564,5,FALSE)</f>
        <v>infasco</v>
      </c>
      <c r="Y2278" s="108">
        <f>IF(OtherClients[[#This Row],[Re-certified or New]]&lt;&gt;"Re-certified",IF(OtherClients[[#This Row],[Client]]="infasco",VLOOKUP(OtherClients[[#This Row],[Part]],PartControl!$A$2:$E$564,2,FALSE),OtherClients[[#This Row],[Total Quantity]]*VLOOKUP(OtherClients[[#This Row],[Part]],PartControl!$A$2:$E$564,2,FALSE)),0)</f>
        <v>106.94</v>
      </c>
      <c r="Z2278" s="108">
        <f>IF(OtherClients[[#This Row],[Re-certified or New]]&lt;&gt;"Re-certified",IF(OtherClients[[#This Row],[Client]]="infasco",VLOOKUP(OtherClients[[#This Row],[Part]],PartControl!$A$2:$E$564,2,FALSE),OtherClients[[#This Row],[Total Quantity]]*VLOOKUP(OtherClients[[#This Row],[Part]],PartControl!$A$2:$E$564,2,FALSE)),0)</f>
        <v>106.94</v>
      </c>
    </row>
    <row r="2279" spans="1:26" ht="25.15" hidden="1" customHeight="1" x14ac:dyDescent="0.25">
      <c r="A2279" s="112">
        <v>46266</v>
      </c>
      <c r="B2279" s="5" t="s">
        <v>342</v>
      </c>
      <c r="C2279" s="5" t="s">
        <v>843</v>
      </c>
      <c r="D2279" s="5">
        <v>716635</v>
      </c>
      <c r="E2279" s="33">
        <v>36</v>
      </c>
      <c r="F2279" s="60">
        <v>220</v>
      </c>
      <c r="G2279" s="60">
        <f>+OtherClients[[#This Row],[Boxes / Pieces]]*OtherClients[[#This Row],[Unit Quantity]]</f>
        <v>7920</v>
      </c>
      <c r="H2279" s="60" t="s">
        <v>900</v>
      </c>
      <c r="I2279" s="130" t="s">
        <v>278</v>
      </c>
      <c r="J2279" s="131"/>
      <c r="K2279" s="33" t="s">
        <v>278</v>
      </c>
      <c r="L2279" s="132"/>
      <c r="M2279" s="33" t="s">
        <v>278</v>
      </c>
      <c r="N2279" s="132"/>
      <c r="O2279" s="33" t="s">
        <v>278</v>
      </c>
      <c r="P2279" s="132"/>
      <c r="Q2279" s="33" t="s">
        <v>587</v>
      </c>
      <c r="R2279" s="132"/>
      <c r="S2279" s="33" t="s">
        <v>278</v>
      </c>
      <c r="T2279" s="132"/>
      <c r="U2279" s="33" t="s">
        <v>278</v>
      </c>
      <c r="V2279" s="132"/>
      <c r="W2279" s="59" t="s">
        <v>548</v>
      </c>
      <c r="X2279" s="33" t="str">
        <f>+VLOOKUP(OtherClients[[#This Row],[Part]],PartControl!$A$2:$E$564,5,FALSE)</f>
        <v>infasco</v>
      </c>
      <c r="Y2279" s="108">
        <f>IF(OtherClients[[#This Row],[Re-certified or New]]&lt;&gt;"Re-certified",IF(OtherClients[[#This Row],[Client]]="infasco",VLOOKUP(OtherClients[[#This Row],[Part]],PartControl!$A$2:$E$564,2,FALSE),OtherClients[[#This Row],[Total Quantity]]*VLOOKUP(OtherClients[[#This Row],[Part]],PartControl!$A$2:$E$564,2,FALSE)),0)</f>
        <v>106.94</v>
      </c>
      <c r="Z2279" s="108">
        <f>IF(OtherClients[[#This Row],[Re-certified or New]]&lt;&gt;"Re-certified",IF(OtherClients[[#This Row],[Client]]="infasco",VLOOKUP(OtherClients[[#This Row],[Part]],PartControl!$A$2:$E$564,2,FALSE),OtherClients[[#This Row],[Total Quantity]]*VLOOKUP(OtherClients[[#This Row],[Part]],PartControl!$A$2:$E$564,2,FALSE)),0)</f>
        <v>106.94</v>
      </c>
    </row>
    <row r="2280" spans="1:26" ht="25.15" hidden="1" customHeight="1" x14ac:dyDescent="0.25">
      <c r="A2280" s="112">
        <v>46266</v>
      </c>
      <c r="B2280" s="5" t="s">
        <v>342</v>
      </c>
      <c r="C2280" s="5" t="s">
        <v>843</v>
      </c>
      <c r="D2280" s="5">
        <v>716634</v>
      </c>
      <c r="E2280" s="33">
        <v>28</v>
      </c>
      <c r="F2280" s="60">
        <v>220</v>
      </c>
      <c r="G2280" s="60">
        <f>+OtherClients[[#This Row],[Boxes / Pieces]]*OtherClients[[#This Row],[Unit Quantity]]</f>
        <v>6160</v>
      </c>
      <c r="H2280" s="60" t="s">
        <v>900</v>
      </c>
      <c r="I2280" s="130" t="s">
        <v>278</v>
      </c>
      <c r="J2280" s="131"/>
      <c r="K2280" s="33" t="s">
        <v>278</v>
      </c>
      <c r="L2280" s="132"/>
      <c r="M2280" s="33" t="s">
        <v>278</v>
      </c>
      <c r="N2280" s="132"/>
      <c r="O2280" s="33" t="s">
        <v>278</v>
      </c>
      <c r="P2280" s="132"/>
      <c r="Q2280" s="33" t="s">
        <v>587</v>
      </c>
      <c r="R2280" s="132"/>
      <c r="S2280" s="33" t="s">
        <v>278</v>
      </c>
      <c r="T2280" s="132"/>
      <c r="U2280" s="33" t="s">
        <v>278</v>
      </c>
      <c r="V2280" s="132"/>
      <c r="W2280" s="59" t="s">
        <v>548</v>
      </c>
      <c r="X2280" s="33" t="str">
        <f>+VLOOKUP(OtherClients[[#This Row],[Part]],PartControl!$A$2:$E$564,5,FALSE)</f>
        <v>infasco</v>
      </c>
      <c r="Y2280" s="108">
        <f>IF(OtherClients[[#This Row],[Re-certified or New]]&lt;&gt;"Re-certified",IF(OtherClients[[#This Row],[Client]]="infasco",VLOOKUP(OtherClients[[#This Row],[Part]],PartControl!$A$2:$E$564,2,FALSE),OtherClients[[#This Row],[Total Quantity]]*VLOOKUP(OtherClients[[#This Row],[Part]],PartControl!$A$2:$E$564,2,FALSE)),0)</f>
        <v>106.94</v>
      </c>
      <c r="Z2280" s="108">
        <f>IF(OtherClients[[#This Row],[Re-certified or New]]&lt;&gt;"Re-certified",IF(OtherClients[[#This Row],[Client]]="infasco",VLOOKUP(OtherClients[[#This Row],[Part]],PartControl!$A$2:$E$564,2,FALSE),OtherClients[[#This Row],[Total Quantity]]*VLOOKUP(OtherClients[[#This Row],[Part]],PartControl!$A$2:$E$564,2,FALSE)),0)</f>
        <v>106.94</v>
      </c>
    </row>
    <row r="2281" spans="1:26" ht="25.15" hidden="1" customHeight="1" x14ac:dyDescent="0.25">
      <c r="A2281" s="112">
        <v>46266</v>
      </c>
      <c r="B2281" s="5" t="s">
        <v>342</v>
      </c>
      <c r="C2281" s="5" t="s">
        <v>662</v>
      </c>
      <c r="D2281" s="5">
        <v>717980</v>
      </c>
      <c r="E2281" s="33">
        <v>27</v>
      </c>
      <c r="F2281" s="60">
        <v>580</v>
      </c>
      <c r="G2281" s="60">
        <f>+OtherClients[[#This Row],[Boxes / Pieces]]*OtherClients[[#This Row],[Unit Quantity]]</f>
        <v>15660</v>
      </c>
      <c r="H2281" s="60" t="s">
        <v>900</v>
      </c>
      <c r="I2281" s="130" t="s">
        <v>278</v>
      </c>
      <c r="J2281" s="131"/>
      <c r="K2281" s="33" t="s">
        <v>278</v>
      </c>
      <c r="L2281" s="132"/>
      <c r="M2281" s="33" t="s">
        <v>278</v>
      </c>
      <c r="N2281" s="132"/>
      <c r="O2281" s="33" t="s">
        <v>278</v>
      </c>
      <c r="P2281" s="132"/>
      <c r="Q2281" s="33" t="s">
        <v>587</v>
      </c>
      <c r="R2281" s="132"/>
      <c r="S2281" s="33" t="s">
        <v>278</v>
      </c>
      <c r="T2281" s="132"/>
      <c r="U2281" s="33" t="s">
        <v>278</v>
      </c>
      <c r="V2281" s="132"/>
      <c r="W2281" s="59" t="s">
        <v>548</v>
      </c>
      <c r="X2281" s="33" t="str">
        <f>+VLOOKUP(OtherClients[[#This Row],[Part]],PartControl!$A$2:$E$564,5,FALSE)</f>
        <v>infasco</v>
      </c>
      <c r="Y2281" s="108">
        <f>IF(OtherClients[[#This Row],[Re-certified or New]]&lt;&gt;"Re-certified",IF(OtherClients[[#This Row],[Client]]="infasco",VLOOKUP(OtherClients[[#This Row],[Part]],PartControl!$A$2:$E$564,2,FALSE),OtherClients[[#This Row],[Total Quantity]]*VLOOKUP(OtherClients[[#This Row],[Part]],PartControl!$A$2:$E$564,2,FALSE)),0)</f>
        <v>280.15999999999997</v>
      </c>
      <c r="Z2281" s="108">
        <f>IF(OtherClients[[#This Row],[Re-certified or New]]&lt;&gt;"Re-certified",IF(OtherClients[[#This Row],[Client]]="infasco",VLOOKUP(OtherClients[[#This Row],[Part]],PartControl!$A$2:$E$564,2,FALSE),OtherClients[[#This Row],[Total Quantity]]*VLOOKUP(OtherClients[[#This Row],[Part]],PartControl!$A$2:$E$564,2,FALSE)),0)</f>
        <v>280.15999999999997</v>
      </c>
    </row>
    <row r="2282" spans="1:26" ht="25.15" hidden="1" customHeight="1" x14ac:dyDescent="0.25">
      <c r="A2282" s="112">
        <v>46266</v>
      </c>
      <c r="B2282" s="5" t="s">
        <v>343</v>
      </c>
      <c r="C2282" s="5" t="s">
        <v>843</v>
      </c>
      <c r="D2282" s="5">
        <v>717166</v>
      </c>
      <c r="E2282" s="33">
        <f>37-25</f>
        <v>12</v>
      </c>
      <c r="F2282" s="60">
        <v>220</v>
      </c>
      <c r="G2282" s="60">
        <f>+OtherClients[[#This Row],[Boxes / Pieces]]*OtherClients[[#This Row],[Unit Quantity]]</f>
        <v>2640</v>
      </c>
      <c r="H2282" s="60" t="s">
        <v>899</v>
      </c>
      <c r="I2282" s="130" t="s">
        <v>278</v>
      </c>
      <c r="J2282" s="131"/>
      <c r="K2282" s="33" t="s">
        <v>278</v>
      </c>
      <c r="L2282" s="132"/>
      <c r="M2282" s="33" t="s">
        <v>278</v>
      </c>
      <c r="N2282" s="132"/>
      <c r="O2282" s="33" t="s">
        <v>278</v>
      </c>
      <c r="P2282" s="132"/>
      <c r="Q2282" s="33" t="s">
        <v>587</v>
      </c>
      <c r="R2282" s="132"/>
      <c r="S2282" s="33" t="s">
        <v>278</v>
      </c>
      <c r="T2282" s="132"/>
      <c r="U2282" s="33" t="s">
        <v>278</v>
      </c>
      <c r="V2282" s="132"/>
      <c r="W2282" s="59" t="s">
        <v>548</v>
      </c>
      <c r="X2282" s="33" t="str">
        <f>+VLOOKUP(OtherClients[[#This Row],[Part]],PartControl!$A$2:$E$564,5,FALSE)</f>
        <v>infasco</v>
      </c>
      <c r="Y2282" s="108">
        <f>IF(OtherClients[[#This Row],[Re-certified or New]]&lt;&gt;"Re-certified",IF(OtherClients[[#This Row],[Client]]="infasco",VLOOKUP(OtherClients[[#This Row],[Part]],PartControl!$A$2:$E$564,2,FALSE),OtherClients[[#This Row],[Total Quantity]]*VLOOKUP(OtherClients[[#This Row],[Part]],PartControl!$A$2:$E$564,2,FALSE)),0)</f>
        <v>106.94</v>
      </c>
      <c r="Z2282" s="108">
        <f>IF(OtherClients[[#This Row],[Re-certified or New]]&lt;&gt;"Re-certified",IF(OtherClients[[#This Row],[Client]]="infasco",VLOOKUP(OtherClients[[#This Row],[Part]],PartControl!$A$2:$E$564,2,FALSE),OtherClients[[#This Row],[Total Quantity]]*VLOOKUP(OtherClients[[#This Row],[Part]],PartControl!$A$2:$E$564,2,FALSE)),0)</f>
        <v>106.94</v>
      </c>
    </row>
    <row r="2283" spans="1:26" ht="25.15" hidden="1" customHeight="1" x14ac:dyDescent="0.25">
      <c r="A2283" s="112">
        <v>46266</v>
      </c>
      <c r="B2283" s="5" t="s">
        <v>343</v>
      </c>
      <c r="C2283" s="5">
        <v>40073474</v>
      </c>
      <c r="D2283" s="5">
        <v>717906</v>
      </c>
      <c r="E2283" s="33">
        <v>32</v>
      </c>
      <c r="F2283" s="60">
        <v>150</v>
      </c>
      <c r="G2283" s="60">
        <f>+OtherClients[[#This Row],[Boxes / Pieces]]*OtherClients[[#This Row],[Unit Quantity]]</f>
        <v>4800</v>
      </c>
      <c r="H2283" s="60" t="s">
        <v>899</v>
      </c>
      <c r="I2283" s="130" t="s">
        <v>278</v>
      </c>
      <c r="J2283" s="131"/>
      <c r="K2283" s="33" t="s">
        <v>278</v>
      </c>
      <c r="L2283" s="132"/>
      <c r="M2283" s="33" t="s">
        <v>278</v>
      </c>
      <c r="N2283" s="132"/>
      <c r="O2283" s="33" t="s">
        <v>278</v>
      </c>
      <c r="P2283" s="132"/>
      <c r="Q2283" s="33" t="s">
        <v>587</v>
      </c>
      <c r="R2283" s="132"/>
      <c r="S2283" s="33" t="s">
        <v>278</v>
      </c>
      <c r="T2283" s="132"/>
      <c r="U2283" s="33" t="s">
        <v>278</v>
      </c>
      <c r="V2283" s="132"/>
      <c r="W2283" s="59" t="s">
        <v>548</v>
      </c>
      <c r="X2283" s="33" t="str">
        <f>+VLOOKUP(OtherClients[[#This Row],[Part]],PartControl!$A$2:$E$564,5,FALSE)</f>
        <v>infasco</v>
      </c>
      <c r="Y2283" s="108">
        <f>IF(OtherClients[[#This Row],[Re-certified or New]]&lt;&gt;"Re-certified",IF(OtherClients[[#This Row],[Client]]="infasco",VLOOKUP(OtherClients[[#This Row],[Part]],PartControl!$A$2:$E$564,2,FALSE),OtherClients[[#This Row],[Total Quantity]]*VLOOKUP(OtherClients[[#This Row],[Part]],PartControl!$A$2:$E$564,2,FALSE)),0)</f>
        <v>106.94</v>
      </c>
      <c r="Z2283" s="108">
        <f>IF(OtherClients[[#This Row],[Re-certified or New]]&lt;&gt;"Re-certified",IF(OtherClients[[#This Row],[Client]]="infasco",VLOOKUP(OtherClients[[#This Row],[Part]],PartControl!$A$2:$E$564,2,FALSE),OtherClients[[#This Row],[Total Quantity]]*VLOOKUP(OtherClients[[#This Row],[Part]],PartControl!$A$2:$E$564,2,FALSE)),0)</f>
        <v>106.94</v>
      </c>
    </row>
    <row r="2284" spans="1:26" ht="25.15" hidden="1" customHeight="1" x14ac:dyDescent="0.25">
      <c r="A2284" s="112">
        <v>46266</v>
      </c>
      <c r="B2284" s="5" t="s">
        <v>343</v>
      </c>
      <c r="C2284" s="5" t="s">
        <v>843</v>
      </c>
      <c r="D2284" s="5">
        <v>716632</v>
      </c>
      <c r="E2284" s="33">
        <v>36</v>
      </c>
      <c r="F2284" s="60">
        <v>220</v>
      </c>
      <c r="G2284" s="60">
        <f>+OtherClients[[#This Row],[Boxes / Pieces]]*OtherClients[[#This Row],[Unit Quantity]]</f>
        <v>7920</v>
      </c>
      <c r="H2284" s="60" t="s">
        <v>899</v>
      </c>
      <c r="I2284" s="130" t="s">
        <v>278</v>
      </c>
      <c r="J2284" s="131"/>
      <c r="K2284" s="33" t="s">
        <v>278</v>
      </c>
      <c r="L2284" s="132"/>
      <c r="M2284" s="33" t="s">
        <v>278</v>
      </c>
      <c r="N2284" s="132"/>
      <c r="O2284" s="33" t="s">
        <v>278</v>
      </c>
      <c r="P2284" s="132"/>
      <c r="Q2284" s="33" t="s">
        <v>587</v>
      </c>
      <c r="R2284" s="132"/>
      <c r="S2284" s="33" t="s">
        <v>278</v>
      </c>
      <c r="T2284" s="132"/>
      <c r="U2284" s="33" t="s">
        <v>278</v>
      </c>
      <c r="V2284" s="132"/>
      <c r="W2284" s="59" t="s">
        <v>548</v>
      </c>
      <c r="X2284" s="33" t="str">
        <f>+VLOOKUP(OtherClients[[#This Row],[Part]],PartControl!$A$2:$E$564,5,FALSE)</f>
        <v>infasco</v>
      </c>
      <c r="Y2284" s="108">
        <f>IF(OtherClients[[#This Row],[Re-certified or New]]&lt;&gt;"Re-certified",IF(OtherClients[[#This Row],[Client]]="infasco",VLOOKUP(OtherClients[[#This Row],[Part]],PartControl!$A$2:$E$564,2,FALSE),OtherClients[[#This Row],[Total Quantity]]*VLOOKUP(OtherClients[[#This Row],[Part]],PartControl!$A$2:$E$564,2,FALSE)),0)</f>
        <v>106.94</v>
      </c>
      <c r="Z2284" s="108">
        <f>IF(OtherClients[[#This Row],[Re-certified or New]]&lt;&gt;"Re-certified",IF(OtherClients[[#This Row],[Client]]="infasco",VLOOKUP(OtherClients[[#This Row],[Part]],PartControl!$A$2:$E$564,2,FALSE),OtherClients[[#This Row],[Total Quantity]]*VLOOKUP(OtherClients[[#This Row],[Part]],PartControl!$A$2:$E$564,2,FALSE)),0)</f>
        <v>106.94</v>
      </c>
    </row>
    <row r="2285" spans="1:26" ht="25.15" hidden="1" customHeight="1" x14ac:dyDescent="0.25">
      <c r="A2285" s="112">
        <v>46266</v>
      </c>
      <c r="B2285" s="5" t="s">
        <v>343</v>
      </c>
      <c r="C2285" s="5">
        <v>11546465</v>
      </c>
      <c r="D2285" s="5">
        <v>715848</v>
      </c>
      <c r="E2285" s="33">
        <v>35</v>
      </c>
      <c r="F2285" s="60">
        <v>1100</v>
      </c>
      <c r="G2285" s="60">
        <f>+OtherClients[[#This Row],[Boxes / Pieces]]*OtherClients[[#This Row],[Unit Quantity]]</f>
        <v>38500</v>
      </c>
      <c r="H2285" s="60" t="s">
        <v>899</v>
      </c>
      <c r="I2285" s="130" t="s">
        <v>278</v>
      </c>
      <c r="J2285" s="131"/>
      <c r="K2285" s="33" t="s">
        <v>278</v>
      </c>
      <c r="L2285" s="132"/>
      <c r="M2285" s="33" t="s">
        <v>278</v>
      </c>
      <c r="N2285" s="132"/>
      <c r="O2285" s="33" t="s">
        <v>278</v>
      </c>
      <c r="P2285" s="132"/>
      <c r="Q2285" s="33" t="s">
        <v>587</v>
      </c>
      <c r="R2285" s="132"/>
      <c r="S2285" s="33" t="s">
        <v>278</v>
      </c>
      <c r="T2285" s="132"/>
      <c r="U2285" s="33" t="s">
        <v>278</v>
      </c>
      <c r="V2285" s="132"/>
      <c r="W2285" s="59" t="s">
        <v>548</v>
      </c>
      <c r="X2285" s="33" t="str">
        <f>+VLOOKUP(OtherClients[[#This Row],[Part]],PartControl!$A$2:$E$564,5,FALSE)</f>
        <v>infasco</v>
      </c>
      <c r="Y2285" s="108">
        <f>IF(OtherClients[[#This Row],[Re-certified or New]]&lt;&gt;"Re-certified",IF(OtherClients[[#This Row],[Client]]="infasco",VLOOKUP(OtherClients[[#This Row],[Part]],PartControl!$A$2:$E$564,2,FALSE),OtherClients[[#This Row],[Total Quantity]]*VLOOKUP(OtherClients[[#This Row],[Part]],PartControl!$A$2:$E$564,2,FALSE)),0)</f>
        <v>106.94</v>
      </c>
      <c r="Z2285" s="108">
        <f>IF(OtherClients[[#This Row],[Re-certified or New]]&lt;&gt;"Re-certified",IF(OtherClients[[#This Row],[Client]]="infasco",VLOOKUP(OtherClients[[#This Row],[Part]],PartControl!$A$2:$E$564,2,FALSE),OtherClients[[#This Row],[Total Quantity]]*VLOOKUP(OtherClients[[#This Row],[Part]],PartControl!$A$2:$E$564,2,FALSE)),0)</f>
        <v>106.94</v>
      </c>
    </row>
    <row r="2286" spans="1:26" ht="25.15" hidden="1" customHeight="1" x14ac:dyDescent="0.25">
      <c r="A2286" s="112">
        <v>46266</v>
      </c>
      <c r="B2286" s="5" t="s">
        <v>343</v>
      </c>
      <c r="C2286" s="5">
        <v>11546703</v>
      </c>
      <c r="D2286" s="5">
        <v>715809</v>
      </c>
      <c r="E2286" s="33">
        <v>36</v>
      </c>
      <c r="F2286" s="60">
        <v>4000</v>
      </c>
      <c r="G2286" s="60">
        <f>+OtherClients[[#This Row],[Boxes / Pieces]]*OtherClients[[#This Row],[Unit Quantity]]</f>
        <v>144000</v>
      </c>
      <c r="H2286" s="60" t="s">
        <v>899</v>
      </c>
      <c r="I2286" s="130" t="s">
        <v>278</v>
      </c>
      <c r="J2286" s="131"/>
      <c r="K2286" s="33" t="s">
        <v>278</v>
      </c>
      <c r="L2286" s="132"/>
      <c r="M2286" s="33" t="s">
        <v>278</v>
      </c>
      <c r="N2286" s="132"/>
      <c r="O2286" s="33" t="s">
        <v>278</v>
      </c>
      <c r="P2286" s="132"/>
      <c r="Q2286" s="33" t="s">
        <v>587</v>
      </c>
      <c r="R2286" s="132"/>
      <c r="S2286" s="33" t="s">
        <v>278</v>
      </c>
      <c r="T2286" s="132"/>
      <c r="U2286" s="33" t="s">
        <v>278</v>
      </c>
      <c r="V2286" s="132"/>
      <c r="W2286" s="59" t="s">
        <v>548</v>
      </c>
      <c r="X2286" s="33" t="str">
        <f>+VLOOKUP(OtherClients[[#This Row],[Part]],PartControl!$A$2:$E$564,5,FALSE)</f>
        <v>infasco</v>
      </c>
      <c r="Y2286" s="108">
        <f>IF(OtherClients[[#This Row],[Re-certified or New]]&lt;&gt;"Re-certified",IF(OtherClients[[#This Row],[Client]]="infasco",VLOOKUP(OtherClients[[#This Row],[Part]],PartControl!$A$2:$E$564,2,FALSE),OtherClients[[#This Row],[Total Quantity]]*VLOOKUP(OtherClients[[#This Row],[Part]],PartControl!$A$2:$E$564,2,FALSE)),0)</f>
        <v>135.07999999999998</v>
      </c>
      <c r="Z2286" s="108">
        <f>IF(OtherClients[[#This Row],[Re-certified or New]]&lt;&gt;"Re-certified",IF(OtherClients[[#This Row],[Client]]="infasco",VLOOKUP(OtherClients[[#This Row],[Part]],PartControl!$A$2:$E$564,2,FALSE),OtherClients[[#This Row],[Total Quantity]]*VLOOKUP(OtherClients[[#This Row],[Part]],PartControl!$A$2:$E$564,2,FALSE)),0)</f>
        <v>135.07999999999998</v>
      </c>
    </row>
    <row r="2287" spans="1:26" ht="25.15" hidden="1" customHeight="1" x14ac:dyDescent="0.25">
      <c r="A2287" s="112">
        <v>46266</v>
      </c>
      <c r="B2287" s="5" t="s">
        <v>343</v>
      </c>
      <c r="C2287" s="5">
        <v>11546703</v>
      </c>
      <c r="D2287" s="5">
        <v>715813</v>
      </c>
      <c r="E2287" s="33">
        <v>20</v>
      </c>
      <c r="F2287" s="60">
        <v>4000</v>
      </c>
      <c r="G2287" s="60">
        <f>+OtherClients[[#This Row],[Boxes / Pieces]]*OtherClients[[#This Row],[Unit Quantity]]</f>
        <v>80000</v>
      </c>
      <c r="H2287" s="60" t="s">
        <v>899</v>
      </c>
      <c r="I2287" s="130" t="s">
        <v>278</v>
      </c>
      <c r="J2287" s="131"/>
      <c r="K2287" s="33" t="s">
        <v>278</v>
      </c>
      <c r="L2287" s="132"/>
      <c r="M2287" s="33" t="s">
        <v>278</v>
      </c>
      <c r="N2287" s="132"/>
      <c r="O2287" s="33" t="s">
        <v>278</v>
      </c>
      <c r="P2287" s="132"/>
      <c r="Q2287" s="33" t="s">
        <v>587</v>
      </c>
      <c r="R2287" s="132"/>
      <c r="S2287" s="33" t="s">
        <v>278</v>
      </c>
      <c r="T2287" s="132"/>
      <c r="U2287" s="33" t="s">
        <v>278</v>
      </c>
      <c r="V2287" s="132"/>
      <c r="W2287" s="59" t="s">
        <v>548</v>
      </c>
      <c r="X2287" s="33" t="str">
        <f>+VLOOKUP(OtherClients[[#This Row],[Part]],PartControl!$A$2:$E$564,5,FALSE)</f>
        <v>infasco</v>
      </c>
      <c r="Y2287" s="108">
        <f>IF(OtherClients[[#This Row],[Re-certified or New]]&lt;&gt;"Re-certified",IF(OtherClients[[#This Row],[Client]]="infasco",VLOOKUP(OtherClients[[#This Row],[Part]],PartControl!$A$2:$E$564,2,FALSE),OtherClients[[#This Row],[Total Quantity]]*VLOOKUP(OtherClients[[#This Row],[Part]],PartControl!$A$2:$E$564,2,FALSE)),0)</f>
        <v>135.07999999999998</v>
      </c>
      <c r="Z2287" s="108">
        <f>IF(OtherClients[[#This Row],[Re-certified or New]]&lt;&gt;"Re-certified",IF(OtherClients[[#This Row],[Client]]="infasco",VLOOKUP(OtherClients[[#This Row],[Part]],PartControl!$A$2:$E$564,2,FALSE),OtherClients[[#This Row],[Total Quantity]]*VLOOKUP(OtherClients[[#This Row],[Part]],PartControl!$A$2:$E$564,2,FALSE)),0)</f>
        <v>135.07999999999998</v>
      </c>
    </row>
    <row r="2288" spans="1:26" ht="25.15" hidden="1" customHeight="1" x14ac:dyDescent="0.25">
      <c r="A2288" s="112">
        <v>46266</v>
      </c>
      <c r="B2288" s="5" t="s">
        <v>343</v>
      </c>
      <c r="C2288" s="5" t="s">
        <v>843</v>
      </c>
      <c r="D2288" s="5">
        <v>716625</v>
      </c>
      <c r="E2288" s="33">
        <v>36</v>
      </c>
      <c r="F2288" s="60">
        <v>220</v>
      </c>
      <c r="G2288" s="60">
        <f>+OtherClients[[#This Row],[Boxes / Pieces]]*OtherClients[[#This Row],[Unit Quantity]]</f>
        <v>7920</v>
      </c>
      <c r="H2288" s="60" t="s">
        <v>899</v>
      </c>
      <c r="I2288" s="130" t="s">
        <v>278</v>
      </c>
      <c r="J2288" s="131"/>
      <c r="K2288" s="33" t="s">
        <v>278</v>
      </c>
      <c r="L2288" s="132"/>
      <c r="M2288" s="33" t="s">
        <v>278</v>
      </c>
      <c r="N2288" s="132"/>
      <c r="O2288" s="33" t="s">
        <v>278</v>
      </c>
      <c r="P2288" s="132"/>
      <c r="Q2288" s="33" t="s">
        <v>587</v>
      </c>
      <c r="R2288" s="132"/>
      <c r="S2288" s="33" t="s">
        <v>278</v>
      </c>
      <c r="T2288" s="132"/>
      <c r="U2288" s="33" t="s">
        <v>278</v>
      </c>
      <c r="V2288" s="132"/>
      <c r="W2288" s="59" t="s">
        <v>548</v>
      </c>
      <c r="X2288" s="33" t="str">
        <f>+VLOOKUP(OtherClients[[#This Row],[Part]],PartControl!$A$2:$E$564,5,FALSE)</f>
        <v>infasco</v>
      </c>
      <c r="Y2288" s="108">
        <f>IF(OtherClients[[#This Row],[Re-certified or New]]&lt;&gt;"Re-certified",IF(OtherClients[[#This Row],[Client]]="infasco",VLOOKUP(OtherClients[[#This Row],[Part]],PartControl!$A$2:$E$564,2,FALSE),OtherClients[[#This Row],[Total Quantity]]*VLOOKUP(OtherClients[[#This Row],[Part]],PartControl!$A$2:$E$564,2,FALSE)),0)</f>
        <v>106.94</v>
      </c>
      <c r="Z2288" s="108">
        <f>IF(OtherClients[[#This Row],[Re-certified or New]]&lt;&gt;"Re-certified",IF(OtherClients[[#This Row],[Client]]="infasco",VLOOKUP(OtherClients[[#This Row],[Part]],PartControl!$A$2:$E$564,2,FALSE),OtherClients[[#This Row],[Total Quantity]]*VLOOKUP(OtherClients[[#This Row],[Part]],PartControl!$A$2:$E$564,2,FALSE)),0)</f>
        <v>106.94</v>
      </c>
    </row>
    <row r="2289" spans="1:26" ht="25.15" hidden="1" customHeight="1" x14ac:dyDescent="0.25">
      <c r="A2289" s="112">
        <v>46266</v>
      </c>
      <c r="B2289" s="5" t="s">
        <v>343</v>
      </c>
      <c r="C2289" s="5" t="s">
        <v>843</v>
      </c>
      <c r="D2289" s="5">
        <v>716636</v>
      </c>
      <c r="E2289" s="33">
        <v>36</v>
      </c>
      <c r="F2289" s="60">
        <v>220</v>
      </c>
      <c r="G2289" s="60">
        <f>+OtherClients[[#This Row],[Boxes / Pieces]]*OtherClients[[#This Row],[Unit Quantity]]</f>
        <v>7920</v>
      </c>
      <c r="H2289" s="60" t="s">
        <v>899</v>
      </c>
      <c r="I2289" s="130" t="s">
        <v>278</v>
      </c>
      <c r="J2289" s="131"/>
      <c r="K2289" s="33" t="s">
        <v>278</v>
      </c>
      <c r="L2289" s="132"/>
      <c r="M2289" s="33" t="s">
        <v>278</v>
      </c>
      <c r="N2289" s="132"/>
      <c r="O2289" s="33" t="s">
        <v>278</v>
      </c>
      <c r="P2289" s="132"/>
      <c r="Q2289" s="33" t="s">
        <v>587</v>
      </c>
      <c r="R2289" s="132"/>
      <c r="S2289" s="33" t="s">
        <v>278</v>
      </c>
      <c r="T2289" s="132"/>
      <c r="U2289" s="33" t="s">
        <v>278</v>
      </c>
      <c r="V2289" s="132"/>
      <c r="W2289" s="59" t="s">
        <v>548</v>
      </c>
      <c r="X2289" s="33" t="str">
        <f>+VLOOKUP(OtherClients[[#This Row],[Part]],PartControl!$A$2:$E$564,5,FALSE)</f>
        <v>infasco</v>
      </c>
      <c r="Y2289" s="108">
        <f>IF(OtherClients[[#This Row],[Re-certified or New]]&lt;&gt;"Re-certified",IF(OtherClients[[#This Row],[Client]]="infasco",VLOOKUP(OtherClients[[#This Row],[Part]],PartControl!$A$2:$E$564,2,FALSE),OtherClients[[#This Row],[Total Quantity]]*VLOOKUP(OtherClients[[#This Row],[Part]],PartControl!$A$2:$E$564,2,FALSE)),0)</f>
        <v>106.94</v>
      </c>
      <c r="Z2289" s="108">
        <f>IF(OtherClients[[#This Row],[Re-certified or New]]&lt;&gt;"Re-certified",IF(OtherClients[[#This Row],[Client]]="infasco",VLOOKUP(OtherClients[[#This Row],[Part]],PartControl!$A$2:$E$564,2,FALSE),OtherClients[[#This Row],[Total Quantity]]*VLOOKUP(OtherClients[[#This Row],[Part]],PartControl!$A$2:$E$564,2,FALSE)),0)</f>
        <v>106.94</v>
      </c>
    </row>
    <row r="2290" spans="1:26" ht="25.15" hidden="1" customHeight="1" x14ac:dyDescent="0.25">
      <c r="A2290" s="112">
        <v>46266</v>
      </c>
      <c r="B2290" s="5" t="s">
        <v>343</v>
      </c>
      <c r="C2290" s="5" t="s">
        <v>843</v>
      </c>
      <c r="D2290" s="5">
        <v>717168</v>
      </c>
      <c r="E2290" s="33">
        <v>20</v>
      </c>
      <c r="F2290" s="60">
        <v>220</v>
      </c>
      <c r="G2290" s="60">
        <f>+OtherClients[[#This Row],[Boxes / Pieces]]*OtherClients[[#This Row],[Unit Quantity]]</f>
        <v>4400</v>
      </c>
      <c r="H2290" s="60" t="s">
        <v>899</v>
      </c>
      <c r="I2290" s="130" t="s">
        <v>278</v>
      </c>
      <c r="J2290" s="131"/>
      <c r="K2290" s="33" t="s">
        <v>278</v>
      </c>
      <c r="L2290" s="132"/>
      <c r="M2290" s="33" t="s">
        <v>278</v>
      </c>
      <c r="N2290" s="132"/>
      <c r="O2290" s="33" t="s">
        <v>278</v>
      </c>
      <c r="P2290" s="132"/>
      <c r="Q2290" s="33" t="s">
        <v>587</v>
      </c>
      <c r="R2290" s="132"/>
      <c r="S2290" s="33" t="s">
        <v>278</v>
      </c>
      <c r="T2290" s="132"/>
      <c r="U2290" s="33" t="s">
        <v>278</v>
      </c>
      <c r="V2290" s="132"/>
      <c r="W2290" s="59" t="s">
        <v>633</v>
      </c>
      <c r="X2290" s="33" t="str">
        <f>+VLOOKUP(OtherClients[[#This Row],[Part]],PartControl!$A$2:$E$564,5,FALSE)</f>
        <v>infasco</v>
      </c>
      <c r="Y2290" s="108">
        <f>IF(OtherClients[[#This Row],[Re-certified or New]]&lt;&gt;"Re-certified",IF(OtherClients[[#This Row],[Client]]="infasco",VLOOKUP(OtherClients[[#This Row],[Part]],PartControl!$A$2:$E$564,2,FALSE),OtherClients[[#This Row],[Total Quantity]]*VLOOKUP(OtherClients[[#This Row],[Part]],PartControl!$A$2:$E$564,2,FALSE)),0)</f>
        <v>0</v>
      </c>
      <c r="Z2290" s="108">
        <f>IF(OtherClients[[#This Row],[Re-certified or New]]&lt;&gt;"Re-certified",IF(OtherClients[[#This Row],[Client]]="infasco",VLOOKUP(OtherClients[[#This Row],[Part]],PartControl!$A$2:$E$564,2,FALSE),OtherClients[[#This Row],[Total Quantity]]*VLOOKUP(OtherClients[[#This Row],[Part]],PartControl!$A$2:$E$564,2,FALSE)),0)</f>
        <v>0</v>
      </c>
    </row>
    <row r="2291" spans="1:26" ht="25.15" hidden="1" customHeight="1" x14ac:dyDescent="0.25">
      <c r="A2291" s="112">
        <v>46266</v>
      </c>
      <c r="B2291" s="5" t="s">
        <v>344</v>
      </c>
      <c r="C2291" s="5" t="s">
        <v>843</v>
      </c>
      <c r="D2291" s="5">
        <v>716628</v>
      </c>
      <c r="E2291" s="33">
        <v>36</v>
      </c>
      <c r="F2291" s="60">
        <v>220</v>
      </c>
      <c r="G2291" s="60">
        <f>+OtherClients[[#This Row],[Boxes / Pieces]]*OtherClients[[#This Row],[Unit Quantity]]</f>
        <v>7920</v>
      </c>
      <c r="H2291" s="60" t="s">
        <v>816</v>
      </c>
      <c r="I2291" s="130" t="s">
        <v>278</v>
      </c>
      <c r="J2291" s="131"/>
      <c r="K2291" s="33" t="s">
        <v>278</v>
      </c>
      <c r="L2291" s="132"/>
      <c r="M2291" s="33" t="s">
        <v>278</v>
      </c>
      <c r="N2291" s="132"/>
      <c r="O2291" s="33" t="s">
        <v>278</v>
      </c>
      <c r="P2291" s="132"/>
      <c r="Q2291" s="33" t="s">
        <v>587</v>
      </c>
      <c r="R2291" s="132"/>
      <c r="S2291" s="33" t="s">
        <v>278</v>
      </c>
      <c r="T2291" s="132"/>
      <c r="U2291" s="33" t="s">
        <v>278</v>
      </c>
      <c r="V2291" s="132"/>
      <c r="W2291" s="59" t="s">
        <v>548</v>
      </c>
      <c r="X2291" s="33" t="str">
        <f>+VLOOKUP(OtherClients[[#This Row],[Part]],PartControl!$A$2:$E$564,5,FALSE)</f>
        <v>infasco</v>
      </c>
      <c r="Y2291" s="108">
        <f>IF(OtherClients[[#This Row],[Re-certified or New]]&lt;&gt;"Re-certified",IF(OtherClients[[#This Row],[Client]]="infasco",VLOOKUP(OtherClients[[#This Row],[Part]],PartControl!$A$2:$E$564,2,FALSE),OtherClients[[#This Row],[Total Quantity]]*VLOOKUP(OtherClients[[#This Row],[Part]],PartControl!$A$2:$E$564,2,FALSE)),0)</f>
        <v>106.94</v>
      </c>
      <c r="Z2291" s="108">
        <f>IF(OtherClients[[#This Row],[Re-certified or New]]&lt;&gt;"Re-certified",IF(OtherClients[[#This Row],[Client]]="infasco",VLOOKUP(OtherClients[[#This Row],[Part]],PartControl!$A$2:$E$564,2,FALSE),OtherClients[[#This Row],[Total Quantity]]*VLOOKUP(OtherClients[[#This Row],[Part]],PartControl!$A$2:$E$564,2,FALSE)),0)</f>
        <v>106.94</v>
      </c>
    </row>
    <row r="2292" spans="1:26" ht="25.15" hidden="1" customHeight="1" x14ac:dyDescent="0.25">
      <c r="A2292" s="112">
        <v>46266</v>
      </c>
      <c r="B2292" s="5" t="s">
        <v>344</v>
      </c>
      <c r="C2292" s="5" t="s">
        <v>843</v>
      </c>
      <c r="D2292" s="5">
        <v>716626</v>
      </c>
      <c r="E2292" s="33">
        <v>36</v>
      </c>
      <c r="F2292" s="60">
        <v>220</v>
      </c>
      <c r="G2292" s="60">
        <f>+OtherClients[[#This Row],[Boxes / Pieces]]*OtherClients[[#This Row],[Unit Quantity]]</f>
        <v>7920</v>
      </c>
      <c r="H2292" s="60" t="s">
        <v>816</v>
      </c>
      <c r="I2292" s="130" t="s">
        <v>278</v>
      </c>
      <c r="J2292" s="131"/>
      <c r="K2292" s="33" t="s">
        <v>278</v>
      </c>
      <c r="L2292" s="132"/>
      <c r="M2292" s="33" t="s">
        <v>278</v>
      </c>
      <c r="N2292" s="132"/>
      <c r="O2292" s="33" t="s">
        <v>278</v>
      </c>
      <c r="P2292" s="132"/>
      <c r="Q2292" s="33" t="s">
        <v>587</v>
      </c>
      <c r="R2292" s="132"/>
      <c r="S2292" s="33" t="s">
        <v>278</v>
      </c>
      <c r="T2292" s="132"/>
      <c r="U2292" s="33" t="s">
        <v>278</v>
      </c>
      <c r="V2292" s="132"/>
      <c r="W2292" s="59" t="s">
        <v>548</v>
      </c>
      <c r="X2292" s="33" t="str">
        <f>+VLOOKUP(OtherClients[[#This Row],[Part]],PartControl!$A$2:$E$564,5,FALSE)</f>
        <v>infasco</v>
      </c>
      <c r="Y2292" s="108">
        <f>IF(OtherClients[[#This Row],[Re-certified or New]]&lt;&gt;"Re-certified",IF(OtherClients[[#This Row],[Client]]="infasco",VLOOKUP(OtherClients[[#This Row],[Part]],PartControl!$A$2:$E$564,2,FALSE),OtherClients[[#This Row],[Total Quantity]]*VLOOKUP(OtherClients[[#This Row],[Part]],PartControl!$A$2:$E$564,2,FALSE)),0)</f>
        <v>106.94</v>
      </c>
      <c r="Z2292" s="108">
        <f>IF(OtherClients[[#This Row],[Re-certified or New]]&lt;&gt;"Re-certified",IF(OtherClients[[#This Row],[Client]]="infasco",VLOOKUP(OtherClients[[#This Row],[Part]],PartControl!$A$2:$E$564,2,FALSE),OtherClients[[#This Row],[Total Quantity]]*VLOOKUP(OtherClients[[#This Row],[Part]],PartControl!$A$2:$E$564,2,FALSE)),0)</f>
        <v>106.94</v>
      </c>
    </row>
    <row r="2293" spans="1:26" ht="25.15" hidden="1" customHeight="1" x14ac:dyDescent="0.25">
      <c r="A2293" s="112">
        <v>46266</v>
      </c>
      <c r="B2293" s="5" t="s">
        <v>344</v>
      </c>
      <c r="C2293" s="5" t="s">
        <v>843</v>
      </c>
      <c r="D2293" s="5">
        <v>716633</v>
      </c>
      <c r="E2293" s="33">
        <v>36</v>
      </c>
      <c r="F2293" s="60">
        <v>220</v>
      </c>
      <c r="G2293" s="60">
        <f>+OtherClients[[#This Row],[Boxes / Pieces]]*OtherClients[[#This Row],[Unit Quantity]]</f>
        <v>7920</v>
      </c>
      <c r="H2293" s="60" t="s">
        <v>816</v>
      </c>
      <c r="I2293" s="130" t="s">
        <v>278</v>
      </c>
      <c r="J2293" s="131"/>
      <c r="K2293" s="33" t="s">
        <v>278</v>
      </c>
      <c r="L2293" s="132"/>
      <c r="M2293" s="33" t="s">
        <v>278</v>
      </c>
      <c r="N2293" s="132"/>
      <c r="O2293" s="33" t="s">
        <v>278</v>
      </c>
      <c r="P2293" s="132"/>
      <c r="Q2293" s="33" t="s">
        <v>587</v>
      </c>
      <c r="R2293" s="132"/>
      <c r="S2293" s="33" t="s">
        <v>278</v>
      </c>
      <c r="T2293" s="132"/>
      <c r="U2293" s="33" t="s">
        <v>278</v>
      </c>
      <c r="V2293" s="132"/>
      <c r="W2293" s="59" t="s">
        <v>548</v>
      </c>
      <c r="X2293" s="33" t="str">
        <f>+VLOOKUP(OtherClients[[#This Row],[Part]],PartControl!$A$2:$E$564,5,FALSE)</f>
        <v>infasco</v>
      </c>
      <c r="Y2293" s="108">
        <f>IF(OtherClients[[#This Row],[Re-certified or New]]&lt;&gt;"Re-certified",IF(OtherClients[[#This Row],[Client]]="infasco",VLOOKUP(OtherClients[[#This Row],[Part]],PartControl!$A$2:$E$564,2,FALSE),OtherClients[[#This Row],[Total Quantity]]*VLOOKUP(OtherClients[[#This Row],[Part]],PartControl!$A$2:$E$564,2,FALSE)),0)</f>
        <v>106.94</v>
      </c>
      <c r="Z2293" s="108">
        <f>IF(OtherClients[[#This Row],[Re-certified or New]]&lt;&gt;"Re-certified",IF(OtherClients[[#This Row],[Client]]="infasco",VLOOKUP(OtherClients[[#This Row],[Part]],PartControl!$A$2:$E$564,2,FALSE),OtherClients[[#This Row],[Total Quantity]]*VLOOKUP(OtherClients[[#This Row],[Part]],PartControl!$A$2:$E$564,2,FALSE)),0)</f>
        <v>106.94</v>
      </c>
    </row>
    <row r="2294" spans="1:26" ht="25.15" hidden="1" customHeight="1" x14ac:dyDescent="0.25">
      <c r="A2294" s="112">
        <v>46266</v>
      </c>
      <c r="B2294" s="5" t="s">
        <v>344</v>
      </c>
      <c r="C2294" s="5" t="s">
        <v>843</v>
      </c>
      <c r="D2294" s="5">
        <v>717165</v>
      </c>
      <c r="E2294" s="33">
        <v>36</v>
      </c>
      <c r="F2294" s="60">
        <v>220</v>
      </c>
      <c r="G2294" s="60">
        <f>+OtherClients[[#This Row],[Boxes / Pieces]]*OtherClients[[#This Row],[Unit Quantity]]</f>
        <v>7920</v>
      </c>
      <c r="H2294" s="60" t="s">
        <v>816</v>
      </c>
      <c r="I2294" s="130" t="s">
        <v>278</v>
      </c>
      <c r="J2294" s="131"/>
      <c r="K2294" s="33" t="s">
        <v>278</v>
      </c>
      <c r="L2294" s="132"/>
      <c r="M2294" s="33" t="s">
        <v>278</v>
      </c>
      <c r="N2294" s="132"/>
      <c r="O2294" s="33" t="s">
        <v>278</v>
      </c>
      <c r="P2294" s="132"/>
      <c r="Q2294" s="33" t="s">
        <v>587</v>
      </c>
      <c r="R2294" s="132"/>
      <c r="S2294" s="33" t="s">
        <v>278</v>
      </c>
      <c r="T2294" s="132"/>
      <c r="U2294" s="33" t="s">
        <v>278</v>
      </c>
      <c r="V2294" s="132"/>
      <c r="W2294" s="59" t="s">
        <v>548</v>
      </c>
      <c r="X2294" s="33" t="str">
        <f>+VLOOKUP(OtherClients[[#This Row],[Part]],PartControl!$A$2:$E$564,5,FALSE)</f>
        <v>infasco</v>
      </c>
      <c r="Y2294" s="108">
        <f>IF(OtherClients[[#This Row],[Re-certified or New]]&lt;&gt;"Re-certified",IF(OtherClients[[#This Row],[Client]]="infasco",VLOOKUP(OtherClients[[#This Row],[Part]],PartControl!$A$2:$E$564,2,FALSE),OtherClients[[#This Row],[Total Quantity]]*VLOOKUP(OtherClients[[#This Row],[Part]],PartControl!$A$2:$E$564,2,FALSE)),0)</f>
        <v>106.94</v>
      </c>
      <c r="Z2294" s="108">
        <f>IF(OtherClients[[#This Row],[Re-certified or New]]&lt;&gt;"Re-certified",IF(OtherClients[[#This Row],[Client]]="infasco",VLOOKUP(OtherClients[[#This Row],[Part]],PartControl!$A$2:$E$564,2,FALSE),OtherClients[[#This Row],[Total Quantity]]*VLOOKUP(OtherClients[[#This Row],[Part]],PartControl!$A$2:$E$564,2,FALSE)),0)</f>
        <v>106.94</v>
      </c>
    </row>
    <row r="2295" spans="1:26" ht="25.15" hidden="1" customHeight="1" x14ac:dyDescent="0.25">
      <c r="A2295" s="112">
        <v>46266</v>
      </c>
      <c r="B2295" s="5" t="s">
        <v>344</v>
      </c>
      <c r="C2295" s="5" t="s">
        <v>843</v>
      </c>
      <c r="D2295" s="5">
        <v>717167</v>
      </c>
      <c r="E2295" s="33">
        <v>9</v>
      </c>
      <c r="F2295" s="60">
        <v>220</v>
      </c>
      <c r="G2295" s="60">
        <f>+OtherClients[[#This Row],[Boxes / Pieces]]*OtherClients[[#This Row],[Unit Quantity]]</f>
        <v>1980</v>
      </c>
      <c r="H2295" s="60" t="s">
        <v>816</v>
      </c>
      <c r="I2295" s="130" t="s">
        <v>278</v>
      </c>
      <c r="J2295" s="131"/>
      <c r="K2295" s="33" t="s">
        <v>278</v>
      </c>
      <c r="L2295" s="132"/>
      <c r="M2295" s="33" t="s">
        <v>278</v>
      </c>
      <c r="N2295" s="132"/>
      <c r="O2295" s="33" t="s">
        <v>278</v>
      </c>
      <c r="P2295" s="132"/>
      <c r="Q2295" s="33" t="s">
        <v>587</v>
      </c>
      <c r="R2295" s="132"/>
      <c r="S2295" s="33" t="s">
        <v>278</v>
      </c>
      <c r="T2295" s="132"/>
      <c r="U2295" s="33" t="s">
        <v>278</v>
      </c>
      <c r="V2295" s="132"/>
      <c r="W2295" s="59" t="s">
        <v>633</v>
      </c>
      <c r="X2295" s="33" t="str">
        <f>+VLOOKUP(OtherClients[[#This Row],[Part]],PartControl!$A$2:$E$564,5,FALSE)</f>
        <v>infasco</v>
      </c>
      <c r="Y2295" s="108">
        <f>IF(OtherClients[[#This Row],[Re-certified or New]]&lt;&gt;"Re-certified",IF(OtherClients[[#This Row],[Client]]="infasco",VLOOKUP(OtherClients[[#This Row],[Part]],PartControl!$A$2:$E$564,2,FALSE),OtherClients[[#This Row],[Total Quantity]]*VLOOKUP(OtherClients[[#This Row],[Part]],PartControl!$A$2:$E$564,2,FALSE)),0)</f>
        <v>0</v>
      </c>
      <c r="Z2295" s="108">
        <f>IF(OtherClients[[#This Row],[Re-certified or New]]&lt;&gt;"Re-certified",IF(OtherClients[[#This Row],[Client]]="infasco",VLOOKUP(OtherClients[[#This Row],[Part]],PartControl!$A$2:$E$564,2,FALSE),OtherClients[[#This Row],[Total Quantity]]*VLOOKUP(OtherClients[[#This Row],[Part]],PartControl!$A$2:$E$564,2,FALSE)),0)</f>
        <v>0</v>
      </c>
    </row>
    <row r="2296" spans="1:26" ht="25.15" hidden="1" customHeight="1" x14ac:dyDescent="0.25">
      <c r="A2296" s="112">
        <v>46266</v>
      </c>
      <c r="B2296" s="5" t="s">
        <v>344</v>
      </c>
      <c r="C2296" s="5">
        <v>40073474</v>
      </c>
      <c r="D2296" s="5">
        <v>717905</v>
      </c>
      <c r="E2296" s="33">
        <v>36</v>
      </c>
      <c r="F2296" s="60">
        <v>150</v>
      </c>
      <c r="G2296" s="60">
        <f>+OtherClients[[#This Row],[Boxes / Pieces]]*OtherClients[[#This Row],[Unit Quantity]]</f>
        <v>5400</v>
      </c>
      <c r="H2296" s="60" t="s">
        <v>816</v>
      </c>
      <c r="I2296" s="130" t="s">
        <v>278</v>
      </c>
      <c r="J2296" s="131"/>
      <c r="K2296" s="33" t="s">
        <v>278</v>
      </c>
      <c r="L2296" s="132"/>
      <c r="M2296" s="33" t="s">
        <v>278</v>
      </c>
      <c r="N2296" s="132"/>
      <c r="O2296" s="33" t="s">
        <v>278</v>
      </c>
      <c r="P2296" s="132"/>
      <c r="Q2296" s="33" t="s">
        <v>587</v>
      </c>
      <c r="R2296" s="132"/>
      <c r="S2296" s="33" t="s">
        <v>278</v>
      </c>
      <c r="T2296" s="132"/>
      <c r="U2296" s="33" t="s">
        <v>278</v>
      </c>
      <c r="V2296" s="132"/>
      <c r="W2296" s="59" t="s">
        <v>548</v>
      </c>
      <c r="X2296" s="33" t="str">
        <f>+VLOOKUP(OtherClients[[#This Row],[Part]],PartControl!$A$2:$E$564,5,FALSE)</f>
        <v>infasco</v>
      </c>
      <c r="Y2296" s="108">
        <f>IF(OtherClients[[#This Row],[Re-certified or New]]&lt;&gt;"Re-certified",IF(OtherClients[[#This Row],[Client]]="infasco",VLOOKUP(OtherClients[[#This Row],[Part]],PartControl!$A$2:$E$564,2,FALSE),OtherClients[[#This Row],[Total Quantity]]*VLOOKUP(OtherClients[[#This Row],[Part]],PartControl!$A$2:$E$564,2,FALSE)),0)</f>
        <v>106.94</v>
      </c>
      <c r="Z2296" s="108">
        <f>IF(OtherClients[[#This Row],[Re-certified or New]]&lt;&gt;"Re-certified",IF(OtherClients[[#This Row],[Client]]="infasco",VLOOKUP(OtherClients[[#This Row],[Part]],PartControl!$A$2:$E$564,2,FALSE),OtherClients[[#This Row],[Total Quantity]]*VLOOKUP(OtherClients[[#This Row],[Part]],PartControl!$A$2:$E$564,2,FALSE)),0)</f>
        <v>106.94</v>
      </c>
    </row>
    <row r="2297" spans="1:26" ht="25.15" hidden="1" customHeight="1" x14ac:dyDescent="0.25">
      <c r="A2297" s="112">
        <v>46266</v>
      </c>
      <c r="B2297" s="5" t="s">
        <v>344</v>
      </c>
      <c r="C2297" s="5">
        <v>40073474</v>
      </c>
      <c r="D2297" s="5">
        <v>717904</v>
      </c>
      <c r="E2297" s="33">
        <v>25</v>
      </c>
      <c r="F2297" s="60">
        <v>150</v>
      </c>
      <c r="G2297" s="60">
        <f>+OtherClients[[#This Row],[Boxes / Pieces]]*OtherClients[[#This Row],[Unit Quantity]]</f>
        <v>3750</v>
      </c>
      <c r="H2297" s="60" t="s">
        <v>816</v>
      </c>
      <c r="I2297" s="130" t="s">
        <v>278</v>
      </c>
      <c r="J2297" s="131"/>
      <c r="K2297" s="33" t="s">
        <v>278</v>
      </c>
      <c r="L2297" s="132"/>
      <c r="M2297" s="33" t="s">
        <v>278</v>
      </c>
      <c r="N2297" s="132"/>
      <c r="O2297" s="33" t="s">
        <v>278</v>
      </c>
      <c r="P2297" s="132"/>
      <c r="Q2297" s="33" t="s">
        <v>587</v>
      </c>
      <c r="R2297" s="132"/>
      <c r="S2297" s="33" t="s">
        <v>278</v>
      </c>
      <c r="T2297" s="132"/>
      <c r="U2297" s="33" t="s">
        <v>278</v>
      </c>
      <c r="V2297" s="132"/>
      <c r="W2297" s="59" t="s">
        <v>548</v>
      </c>
      <c r="X2297" s="33" t="str">
        <f>+VLOOKUP(OtherClients[[#This Row],[Part]],PartControl!$A$2:$E$564,5,FALSE)</f>
        <v>infasco</v>
      </c>
      <c r="Y2297" s="108">
        <f>IF(OtherClients[[#This Row],[Re-certified or New]]&lt;&gt;"Re-certified",IF(OtherClients[[#This Row],[Client]]="infasco",VLOOKUP(OtherClients[[#This Row],[Part]],PartControl!$A$2:$E$564,2,FALSE),OtherClients[[#This Row],[Total Quantity]]*VLOOKUP(OtherClients[[#This Row],[Part]],PartControl!$A$2:$E$564,2,FALSE)),0)</f>
        <v>106.94</v>
      </c>
      <c r="Z2297" s="108">
        <f>IF(OtherClients[[#This Row],[Re-certified or New]]&lt;&gt;"Re-certified",IF(OtherClients[[#This Row],[Client]]="infasco",VLOOKUP(OtherClients[[#This Row],[Part]],PartControl!$A$2:$E$564,2,FALSE),OtherClients[[#This Row],[Total Quantity]]*VLOOKUP(OtherClients[[#This Row],[Part]],PartControl!$A$2:$E$564,2,FALSE)),0)</f>
        <v>106.94</v>
      </c>
    </row>
    <row r="2298" spans="1:26" ht="25.15" hidden="1" customHeight="1" x14ac:dyDescent="0.25">
      <c r="A2298" s="112">
        <v>46266</v>
      </c>
      <c r="B2298" s="5" t="s">
        <v>344</v>
      </c>
      <c r="C2298" s="5" t="s">
        <v>843</v>
      </c>
      <c r="D2298" s="5">
        <v>716630</v>
      </c>
      <c r="E2298" s="33">
        <v>36</v>
      </c>
      <c r="F2298" s="60">
        <v>220</v>
      </c>
      <c r="G2298" s="60">
        <f>+OtherClients[[#This Row],[Boxes / Pieces]]*OtherClients[[#This Row],[Unit Quantity]]</f>
        <v>7920</v>
      </c>
      <c r="H2298" s="60" t="s">
        <v>816</v>
      </c>
      <c r="I2298" s="130" t="s">
        <v>278</v>
      </c>
      <c r="J2298" s="131"/>
      <c r="K2298" s="33" t="s">
        <v>278</v>
      </c>
      <c r="L2298" s="132"/>
      <c r="M2298" s="33" t="s">
        <v>278</v>
      </c>
      <c r="N2298" s="132"/>
      <c r="O2298" s="33" t="s">
        <v>278</v>
      </c>
      <c r="P2298" s="132"/>
      <c r="Q2298" s="33" t="s">
        <v>587</v>
      </c>
      <c r="R2298" s="132"/>
      <c r="S2298" s="33" t="s">
        <v>278</v>
      </c>
      <c r="T2298" s="132"/>
      <c r="U2298" s="33" t="s">
        <v>278</v>
      </c>
      <c r="V2298" s="132"/>
      <c r="W2298" s="59" t="s">
        <v>548</v>
      </c>
      <c r="X2298" s="33" t="str">
        <f>+VLOOKUP(OtherClients[[#This Row],[Part]],PartControl!$A$2:$E$564,5,FALSE)</f>
        <v>infasco</v>
      </c>
      <c r="Y2298" s="108">
        <f>IF(OtherClients[[#This Row],[Re-certified or New]]&lt;&gt;"Re-certified",IF(OtherClients[[#This Row],[Client]]="infasco",VLOOKUP(OtherClients[[#This Row],[Part]],PartControl!$A$2:$E$564,2,FALSE),OtherClients[[#This Row],[Total Quantity]]*VLOOKUP(OtherClients[[#This Row],[Part]],PartControl!$A$2:$E$564,2,FALSE)),0)</f>
        <v>106.94</v>
      </c>
      <c r="Z2298" s="108">
        <f>IF(OtherClients[[#This Row],[Re-certified or New]]&lt;&gt;"Re-certified",IF(OtherClients[[#This Row],[Client]]="infasco",VLOOKUP(OtherClients[[#This Row],[Part]],PartControl!$A$2:$E$564,2,FALSE),OtherClients[[#This Row],[Total Quantity]]*VLOOKUP(OtherClients[[#This Row],[Part]],PartControl!$A$2:$E$564,2,FALSE)),0)</f>
        <v>106.94</v>
      </c>
    </row>
    <row r="2299" spans="1:26" ht="25.15" hidden="1" customHeight="1" x14ac:dyDescent="0.25">
      <c r="A2299" s="112">
        <v>46266</v>
      </c>
      <c r="B2299" s="5" t="s">
        <v>344</v>
      </c>
      <c r="C2299" s="5">
        <v>11546703</v>
      </c>
      <c r="D2299" s="5">
        <v>715808</v>
      </c>
      <c r="E2299" s="33">
        <v>36</v>
      </c>
      <c r="F2299" s="60">
        <v>4000</v>
      </c>
      <c r="G2299" s="60">
        <f>+OtherClients[[#This Row],[Boxes / Pieces]]*OtherClients[[#This Row],[Unit Quantity]]</f>
        <v>144000</v>
      </c>
      <c r="H2299" s="60" t="s">
        <v>816</v>
      </c>
      <c r="I2299" s="130" t="s">
        <v>278</v>
      </c>
      <c r="J2299" s="131"/>
      <c r="K2299" s="33" t="s">
        <v>278</v>
      </c>
      <c r="L2299" s="132"/>
      <c r="M2299" s="33" t="s">
        <v>278</v>
      </c>
      <c r="N2299" s="132"/>
      <c r="O2299" s="33" t="s">
        <v>278</v>
      </c>
      <c r="P2299" s="132"/>
      <c r="Q2299" s="33" t="s">
        <v>587</v>
      </c>
      <c r="R2299" s="132"/>
      <c r="S2299" s="33" t="s">
        <v>278</v>
      </c>
      <c r="T2299" s="132"/>
      <c r="U2299" s="33" t="s">
        <v>278</v>
      </c>
      <c r="V2299" s="132"/>
      <c r="W2299" s="59" t="s">
        <v>548</v>
      </c>
      <c r="X2299" s="33" t="str">
        <f>+VLOOKUP(OtherClients[[#This Row],[Part]],PartControl!$A$2:$E$564,5,FALSE)</f>
        <v>infasco</v>
      </c>
      <c r="Y2299" s="108">
        <f>IF(OtherClients[[#This Row],[Re-certified or New]]&lt;&gt;"Re-certified",IF(OtherClients[[#This Row],[Client]]="infasco",VLOOKUP(OtherClients[[#This Row],[Part]],PartControl!$A$2:$E$564,2,FALSE),OtherClients[[#This Row],[Total Quantity]]*VLOOKUP(OtherClients[[#This Row],[Part]],PartControl!$A$2:$E$564,2,FALSE)),0)</f>
        <v>135.07999999999998</v>
      </c>
      <c r="Z2299" s="108">
        <f>IF(OtherClients[[#This Row],[Re-certified or New]]&lt;&gt;"Re-certified",IF(OtherClients[[#This Row],[Client]]="infasco",VLOOKUP(OtherClients[[#This Row],[Part]],PartControl!$A$2:$E$564,2,FALSE),OtherClients[[#This Row],[Total Quantity]]*VLOOKUP(OtherClients[[#This Row],[Part]],PartControl!$A$2:$E$564,2,FALSE)),0)</f>
        <v>135.07999999999998</v>
      </c>
    </row>
    <row r="2300" spans="1:26" ht="25.15" hidden="1" customHeight="1" x14ac:dyDescent="0.25">
      <c r="A2300" s="112">
        <v>46266</v>
      </c>
      <c r="B2300" s="5" t="s">
        <v>344</v>
      </c>
      <c r="C2300" s="5">
        <v>11546703</v>
      </c>
      <c r="D2300" s="5">
        <v>715807</v>
      </c>
      <c r="E2300" s="33">
        <v>19</v>
      </c>
      <c r="F2300" s="60">
        <v>4000</v>
      </c>
      <c r="G2300" s="60">
        <f>+OtherClients[[#This Row],[Boxes / Pieces]]*OtherClients[[#This Row],[Unit Quantity]]</f>
        <v>76000</v>
      </c>
      <c r="H2300" s="60" t="s">
        <v>816</v>
      </c>
      <c r="I2300" s="130" t="s">
        <v>278</v>
      </c>
      <c r="J2300" s="131"/>
      <c r="K2300" s="33" t="s">
        <v>278</v>
      </c>
      <c r="L2300" s="132"/>
      <c r="M2300" s="33" t="s">
        <v>278</v>
      </c>
      <c r="N2300" s="132"/>
      <c r="O2300" s="33" t="s">
        <v>278</v>
      </c>
      <c r="P2300" s="132"/>
      <c r="Q2300" s="33" t="s">
        <v>587</v>
      </c>
      <c r="R2300" s="132"/>
      <c r="S2300" s="33" t="s">
        <v>278</v>
      </c>
      <c r="T2300" s="132"/>
      <c r="U2300" s="33" t="s">
        <v>278</v>
      </c>
      <c r="V2300" s="132"/>
      <c r="W2300" s="59" t="s">
        <v>548</v>
      </c>
      <c r="X2300" s="33" t="str">
        <f>+VLOOKUP(OtherClients[[#This Row],[Part]],PartControl!$A$2:$E$564,5,FALSE)</f>
        <v>infasco</v>
      </c>
      <c r="Y2300" s="108">
        <f>IF(OtherClients[[#This Row],[Re-certified or New]]&lt;&gt;"Re-certified",IF(OtherClients[[#This Row],[Client]]="infasco",VLOOKUP(OtherClients[[#This Row],[Part]],PartControl!$A$2:$E$564,2,FALSE),OtherClients[[#This Row],[Total Quantity]]*VLOOKUP(OtherClients[[#This Row],[Part]],PartControl!$A$2:$E$564,2,FALSE)),0)</f>
        <v>135.07999999999998</v>
      </c>
      <c r="Z2300" s="108">
        <f>IF(OtherClients[[#This Row],[Re-certified or New]]&lt;&gt;"Re-certified",IF(OtherClients[[#This Row],[Client]]="infasco",VLOOKUP(OtherClients[[#This Row],[Part]],PartControl!$A$2:$E$564,2,FALSE),OtherClients[[#This Row],[Total Quantity]]*VLOOKUP(OtherClients[[#This Row],[Part]],PartControl!$A$2:$E$564,2,FALSE)),0)</f>
        <v>135.07999999999998</v>
      </c>
    </row>
    <row r="2301" spans="1:26" ht="25.15" hidden="1" customHeight="1" x14ac:dyDescent="0.25">
      <c r="A2301" s="112">
        <v>46266</v>
      </c>
      <c r="B2301" s="5" t="s">
        <v>345</v>
      </c>
      <c r="C2301" s="5" t="s">
        <v>721</v>
      </c>
      <c r="D2301" s="5">
        <v>717639</v>
      </c>
      <c r="E2301" s="33">
        <f>36-14</f>
        <v>22</v>
      </c>
      <c r="F2301" s="60">
        <v>4500</v>
      </c>
      <c r="G2301" s="60">
        <f>+OtherClients[[#This Row],[Boxes / Pieces]]*OtherClients[[#This Row],[Unit Quantity]]</f>
        <v>99000</v>
      </c>
      <c r="H2301" s="60" t="s">
        <v>896</v>
      </c>
      <c r="I2301" s="130" t="s">
        <v>278</v>
      </c>
      <c r="J2301" s="131"/>
      <c r="K2301" s="33" t="s">
        <v>278</v>
      </c>
      <c r="L2301" s="132"/>
      <c r="M2301" s="33" t="s">
        <v>278</v>
      </c>
      <c r="N2301" s="132"/>
      <c r="O2301" s="33" t="s">
        <v>278</v>
      </c>
      <c r="P2301" s="132"/>
      <c r="Q2301" s="33" t="s">
        <v>587</v>
      </c>
      <c r="R2301" s="132"/>
      <c r="S2301" s="33" t="s">
        <v>278</v>
      </c>
      <c r="T2301" s="132"/>
      <c r="U2301" s="33" t="s">
        <v>278</v>
      </c>
      <c r="V2301" s="132"/>
      <c r="W2301" s="59" t="s">
        <v>548</v>
      </c>
      <c r="X2301" s="33" t="str">
        <f>+VLOOKUP(OtherClients[[#This Row],[Part]],PartControl!$A$2:$E$564,5,FALSE)</f>
        <v>Infasco</v>
      </c>
      <c r="Y2301" s="108">
        <f>IF(OtherClients[[#This Row],[Re-certified or New]]&lt;&gt;"Re-certified",IF(OtherClients[[#This Row],[Client]]="infasco",VLOOKUP(OtherClients[[#This Row],[Part]],PartControl!$A$2:$E$564,2,FALSE),OtherClients[[#This Row],[Total Quantity]]*VLOOKUP(OtherClients[[#This Row],[Part]],PartControl!$A$2:$E$564,2,FALSE)),0)</f>
        <v>106.94</v>
      </c>
      <c r="Z2301" s="108">
        <f>IF(OtherClients[[#This Row],[Re-certified or New]]&lt;&gt;"Re-certified",IF(OtherClients[[#This Row],[Client]]="infasco",VLOOKUP(OtherClients[[#This Row],[Part]],PartControl!$A$2:$E$564,2,FALSE),OtherClients[[#This Row],[Total Quantity]]*VLOOKUP(OtherClients[[#This Row],[Part]],PartControl!$A$2:$E$564,2,FALSE)),0)</f>
        <v>106.94</v>
      </c>
    </row>
    <row r="2302" spans="1:26" ht="25.15" hidden="1" customHeight="1" x14ac:dyDescent="0.25">
      <c r="A2302" s="112">
        <v>46266</v>
      </c>
      <c r="B2302" s="5" t="s">
        <v>345</v>
      </c>
      <c r="C2302" s="5" t="s">
        <v>721</v>
      </c>
      <c r="D2302" s="5">
        <v>717641</v>
      </c>
      <c r="E2302" s="33">
        <v>15</v>
      </c>
      <c r="F2302" s="60">
        <v>4500</v>
      </c>
      <c r="G2302" s="60">
        <f>+OtherClients[[#This Row],[Boxes / Pieces]]*OtherClients[[#This Row],[Unit Quantity]]</f>
        <v>67500</v>
      </c>
      <c r="H2302" s="60" t="s">
        <v>896</v>
      </c>
      <c r="I2302" s="130" t="s">
        <v>278</v>
      </c>
      <c r="J2302" s="131"/>
      <c r="K2302" s="33" t="s">
        <v>278</v>
      </c>
      <c r="L2302" s="132"/>
      <c r="M2302" s="33" t="s">
        <v>278</v>
      </c>
      <c r="N2302" s="132"/>
      <c r="O2302" s="33" t="s">
        <v>278</v>
      </c>
      <c r="P2302" s="132"/>
      <c r="Q2302" s="33" t="s">
        <v>587</v>
      </c>
      <c r="R2302" s="132"/>
      <c r="S2302" s="33" t="s">
        <v>278</v>
      </c>
      <c r="T2302" s="132"/>
      <c r="U2302" s="33" t="s">
        <v>278</v>
      </c>
      <c r="V2302" s="132"/>
      <c r="W2302" s="59" t="s">
        <v>548</v>
      </c>
      <c r="X2302" s="33" t="str">
        <f>+VLOOKUP(OtherClients[[#This Row],[Part]],PartControl!$A$2:$E$564,5,FALSE)</f>
        <v>Infasco</v>
      </c>
      <c r="Y2302" s="108">
        <f>IF(OtherClients[[#This Row],[Re-certified or New]]&lt;&gt;"Re-certified",IF(OtherClients[[#This Row],[Client]]="infasco",VLOOKUP(OtherClients[[#This Row],[Part]],PartControl!$A$2:$E$564,2,FALSE),OtherClients[[#This Row],[Total Quantity]]*VLOOKUP(OtherClients[[#This Row],[Part]],PartControl!$A$2:$E$564,2,FALSE)),0)</f>
        <v>106.94</v>
      </c>
      <c r="Z2302" s="108">
        <f>IF(OtherClients[[#This Row],[Re-certified or New]]&lt;&gt;"Re-certified",IF(OtherClients[[#This Row],[Client]]="infasco",VLOOKUP(OtherClients[[#This Row],[Part]],PartControl!$A$2:$E$564,2,FALSE),OtherClients[[#This Row],[Total Quantity]]*VLOOKUP(OtherClients[[#This Row],[Part]],PartControl!$A$2:$E$564,2,FALSE)),0)</f>
        <v>106.94</v>
      </c>
    </row>
    <row r="2303" spans="1:26" ht="25.15" hidden="1" customHeight="1" x14ac:dyDescent="0.25">
      <c r="A2303" s="112">
        <v>46266</v>
      </c>
      <c r="B2303" s="5" t="s">
        <v>345</v>
      </c>
      <c r="C2303" s="5" t="s">
        <v>901</v>
      </c>
      <c r="D2303" s="5">
        <v>716348</v>
      </c>
      <c r="E2303" s="33">
        <v>42</v>
      </c>
      <c r="F2303" s="60">
        <v>670</v>
      </c>
      <c r="G2303" s="60">
        <f>+OtherClients[[#This Row],[Boxes / Pieces]]*OtherClients[[#This Row],[Unit Quantity]]</f>
        <v>28140</v>
      </c>
      <c r="H2303" s="60" t="s">
        <v>896</v>
      </c>
      <c r="I2303" s="130" t="s">
        <v>278</v>
      </c>
      <c r="J2303" s="131"/>
      <c r="K2303" s="33" t="s">
        <v>278</v>
      </c>
      <c r="L2303" s="132"/>
      <c r="M2303" s="33" t="s">
        <v>278</v>
      </c>
      <c r="N2303" s="132"/>
      <c r="O2303" s="33" t="s">
        <v>278</v>
      </c>
      <c r="P2303" s="132"/>
      <c r="Q2303" s="33" t="s">
        <v>587</v>
      </c>
      <c r="R2303" s="132"/>
      <c r="S2303" s="33" t="s">
        <v>278</v>
      </c>
      <c r="T2303" s="132"/>
      <c r="U2303" s="33" t="s">
        <v>278</v>
      </c>
      <c r="V2303" s="132"/>
      <c r="W2303" s="59" t="s">
        <v>548</v>
      </c>
      <c r="X2303" s="33" t="str">
        <f>+VLOOKUP(OtherClients[[#This Row],[Part]],PartControl!$A$2:$E$564,5,FALSE)</f>
        <v>infasco</v>
      </c>
      <c r="Y2303" s="108">
        <f>IF(OtherClients[[#This Row],[Re-certified or New]]&lt;&gt;"Re-certified",IF(OtherClients[[#This Row],[Client]]="infasco",VLOOKUP(OtherClients[[#This Row],[Part]],PartControl!$A$2:$E$564,2,FALSE),OtherClients[[#This Row],[Total Quantity]]*VLOOKUP(OtherClients[[#This Row],[Part]],PartControl!$A$2:$E$564,2,FALSE)),0)</f>
        <v>135.08000000000001</v>
      </c>
      <c r="Z2303" s="108">
        <f>IF(OtherClients[[#This Row],[Re-certified or New]]&lt;&gt;"Re-certified",IF(OtherClients[[#This Row],[Client]]="infasco",VLOOKUP(OtherClients[[#This Row],[Part]],PartControl!$A$2:$E$564,2,FALSE),OtherClients[[#This Row],[Total Quantity]]*VLOOKUP(OtherClients[[#This Row],[Part]],PartControl!$A$2:$E$564,2,FALSE)),0)</f>
        <v>135.08000000000001</v>
      </c>
    </row>
    <row r="2304" spans="1:26" ht="25.15" hidden="1" customHeight="1" x14ac:dyDescent="0.25">
      <c r="A2304" s="112">
        <v>46266</v>
      </c>
      <c r="B2304" s="5" t="s">
        <v>345</v>
      </c>
      <c r="C2304" s="5">
        <v>11546465</v>
      </c>
      <c r="D2304" s="5">
        <v>715849</v>
      </c>
      <c r="E2304" s="33">
        <v>34</v>
      </c>
      <c r="F2304" s="60">
        <v>1100</v>
      </c>
      <c r="G2304" s="60">
        <f>+OtherClients[[#This Row],[Boxes / Pieces]]*OtherClients[[#This Row],[Unit Quantity]]</f>
        <v>37400</v>
      </c>
      <c r="H2304" s="60" t="s">
        <v>896</v>
      </c>
      <c r="I2304" s="130" t="s">
        <v>278</v>
      </c>
      <c r="J2304" s="131"/>
      <c r="K2304" s="33" t="s">
        <v>278</v>
      </c>
      <c r="L2304" s="132"/>
      <c r="M2304" s="33" t="s">
        <v>278</v>
      </c>
      <c r="N2304" s="132"/>
      <c r="O2304" s="33" t="s">
        <v>278</v>
      </c>
      <c r="P2304" s="132"/>
      <c r="Q2304" s="33" t="s">
        <v>587</v>
      </c>
      <c r="R2304" s="132"/>
      <c r="S2304" s="33" t="s">
        <v>278</v>
      </c>
      <c r="T2304" s="132"/>
      <c r="U2304" s="33" t="s">
        <v>278</v>
      </c>
      <c r="V2304" s="132"/>
      <c r="W2304" s="59" t="s">
        <v>548</v>
      </c>
      <c r="X2304" s="33" t="str">
        <f>+VLOOKUP(OtherClients[[#This Row],[Part]],PartControl!$A$2:$E$564,5,FALSE)</f>
        <v>infasco</v>
      </c>
      <c r="Y2304" s="108">
        <f>IF(OtherClients[[#This Row],[Re-certified or New]]&lt;&gt;"Re-certified",IF(OtherClients[[#This Row],[Client]]="infasco",VLOOKUP(OtherClients[[#This Row],[Part]],PartControl!$A$2:$E$564,2,FALSE),OtherClients[[#This Row],[Total Quantity]]*VLOOKUP(OtherClients[[#This Row],[Part]],PartControl!$A$2:$E$564,2,FALSE)),0)</f>
        <v>106.94</v>
      </c>
      <c r="Z2304" s="108">
        <f>IF(OtherClients[[#This Row],[Re-certified or New]]&lt;&gt;"Re-certified",IF(OtherClients[[#This Row],[Client]]="infasco",VLOOKUP(OtherClients[[#This Row],[Part]],PartControl!$A$2:$E$564,2,FALSE),OtherClients[[#This Row],[Total Quantity]]*VLOOKUP(OtherClients[[#This Row],[Part]],PartControl!$A$2:$E$564,2,FALSE)),0)</f>
        <v>106.94</v>
      </c>
    </row>
    <row r="2305" spans="1:26" ht="25.15" hidden="1" customHeight="1" x14ac:dyDescent="0.25">
      <c r="A2305" s="112">
        <v>46266</v>
      </c>
      <c r="B2305" s="5" t="s">
        <v>345</v>
      </c>
      <c r="C2305" s="5" t="s">
        <v>843</v>
      </c>
      <c r="D2305" s="5">
        <v>716631</v>
      </c>
      <c r="E2305" s="33">
        <v>37</v>
      </c>
      <c r="F2305" s="60">
        <v>220</v>
      </c>
      <c r="G2305" s="60">
        <f>+OtherClients[[#This Row],[Boxes / Pieces]]*OtherClients[[#This Row],[Unit Quantity]]</f>
        <v>8140</v>
      </c>
      <c r="H2305" s="60" t="s">
        <v>896</v>
      </c>
      <c r="I2305" s="130" t="s">
        <v>278</v>
      </c>
      <c r="J2305" s="131"/>
      <c r="K2305" s="33" t="s">
        <v>278</v>
      </c>
      <c r="L2305" s="132"/>
      <c r="M2305" s="33" t="s">
        <v>278</v>
      </c>
      <c r="N2305" s="132"/>
      <c r="O2305" s="33" t="s">
        <v>278</v>
      </c>
      <c r="P2305" s="132"/>
      <c r="Q2305" s="33" t="s">
        <v>587</v>
      </c>
      <c r="R2305" s="132"/>
      <c r="S2305" s="33" t="s">
        <v>278</v>
      </c>
      <c r="T2305" s="132"/>
      <c r="U2305" s="33" t="s">
        <v>278</v>
      </c>
      <c r="V2305" s="132"/>
      <c r="W2305" s="59" t="s">
        <v>548</v>
      </c>
      <c r="X2305" s="33" t="str">
        <f>+VLOOKUP(OtherClients[[#This Row],[Part]],PartControl!$A$2:$E$564,5,FALSE)</f>
        <v>infasco</v>
      </c>
      <c r="Y2305" s="108">
        <f>IF(OtherClients[[#This Row],[Re-certified or New]]&lt;&gt;"Re-certified",IF(OtherClients[[#This Row],[Client]]="infasco",VLOOKUP(OtherClients[[#This Row],[Part]],PartControl!$A$2:$E$564,2,FALSE),OtherClients[[#This Row],[Total Quantity]]*VLOOKUP(OtherClients[[#This Row],[Part]],PartControl!$A$2:$E$564,2,FALSE)),0)</f>
        <v>106.94</v>
      </c>
      <c r="Z2305" s="108">
        <f>IF(OtherClients[[#This Row],[Re-certified or New]]&lt;&gt;"Re-certified",IF(OtherClients[[#This Row],[Client]]="infasco",VLOOKUP(OtherClients[[#This Row],[Part]],PartControl!$A$2:$E$564,2,FALSE),OtherClients[[#This Row],[Total Quantity]]*VLOOKUP(OtherClients[[#This Row],[Part]],PartControl!$A$2:$E$564,2,FALSE)),0)</f>
        <v>106.94</v>
      </c>
    </row>
    <row r="2306" spans="1:26" ht="25.15" hidden="1" customHeight="1" x14ac:dyDescent="0.25">
      <c r="A2306" s="112">
        <v>46266</v>
      </c>
      <c r="B2306" s="5" t="s">
        <v>345</v>
      </c>
      <c r="C2306" s="5" t="s">
        <v>843</v>
      </c>
      <c r="D2306" s="5">
        <v>716629</v>
      </c>
      <c r="E2306" s="33">
        <v>37</v>
      </c>
      <c r="F2306" s="60">
        <v>220</v>
      </c>
      <c r="G2306" s="60">
        <f>+OtherClients[[#This Row],[Boxes / Pieces]]*OtherClients[[#This Row],[Unit Quantity]]</f>
        <v>8140</v>
      </c>
      <c r="H2306" s="60" t="s">
        <v>896</v>
      </c>
      <c r="I2306" s="130" t="s">
        <v>278</v>
      </c>
      <c r="J2306" s="131"/>
      <c r="K2306" s="33" t="s">
        <v>278</v>
      </c>
      <c r="L2306" s="132"/>
      <c r="M2306" s="33" t="s">
        <v>278</v>
      </c>
      <c r="N2306" s="132"/>
      <c r="O2306" s="33" t="s">
        <v>278</v>
      </c>
      <c r="P2306" s="132"/>
      <c r="Q2306" s="33" t="s">
        <v>587</v>
      </c>
      <c r="R2306" s="132"/>
      <c r="S2306" s="33" t="s">
        <v>278</v>
      </c>
      <c r="T2306" s="132"/>
      <c r="U2306" s="33" t="s">
        <v>278</v>
      </c>
      <c r="V2306" s="132"/>
      <c r="W2306" s="59" t="s">
        <v>548</v>
      </c>
      <c r="X2306" s="33" t="str">
        <f>+VLOOKUP(OtherClients[[#This Row],[Part]],PartControl!$A$2:$E$564,5,FALSE)</f>
        <v>infasco</v>
      </c>
      <c r="Y2306" s="108">
        <f>IF(OtherClients[[#This Row],[Re-certified or New]]&lt;&gt;"Re-certified",IF(OtherClients[[#This Row],[Client]]="infasco",VLOOKUP(OtherClients[[#This Row],[Part]],PartControl!$A$2:$E$564,2,FALSE),OtherClients[[#This Row],[Total Quantity]]*VLOOKUP(OtherClients[[#This Row],[Part]],PartControl!$A$2:$E$564,2,FALSE)),0)</f>
        <v>106.94</v>
      </c>
      <c r="Z2306" s="108">
        <f>IF(OtherClients[[#This Row],[Re-certified or New]]&lt;&gt;"Re-certified",IF(OtherClients[[#This Row],[Client]]="infasco",VLOOKUP(OtherClients[[#This Row],[Part]],PartControl!$A$2:$E$564,2,FALSE),OtherClients[[#This Row],[Total Quantity]]*VLOOKUP(OtherClients[[#This Row],[Part]],PartControl!$A$2:$E$564,2,FALSE)),0)</f>
        <v>106.94</v>
      </c>
    </row>
    <row r="2307" spans="1:26" ht="25.15" hidden="1" customHeight="1" x14ac:dyDescent="0.25">
      <c r="A2307" s="112">
        <v>46266</v>
      </c>
      <c r="B2307" s="5" t="s">
        <v>345</v>
      </c>
      <c r="C2307" s="5" t="s">
        <v>843</v>
      </c>
      <c r="D2307" s="5">
        <v>716624</v>
      </c>
      <c r="E2307" s="33">
        <v>36</v>
      </c>
      <c r="F2307" s="60">
        <v>220</v>
      </c>
      <c r="G2307" s="60">
        <f>+OtherClients[[#This Row],[Boxes / Pieces]]*OtherClients[[#This Row],[Unit Quantity]]</f>
        <v>7920</v>
      </c>
      <c r="H2307" s="60" t="s">
        <v>896</v>
      </c>
      <c r="I2307" s="130" t="s">
        <v>278</v>
      </c>
      <c r="J2307" s="131"/>
      <c r="K2307" s="33" t="s">
        <v>278</v>
      </c>
      <c r="L2307" s="132"/>
      <c r="M2307" s="33" t="s">
        <v>278</v>
      </c>
      <c r="N2307" s="132"/>
      <c r="O2307" s="33" t="s">
        <v>278</v>
      </c>
      <c r="P2307" s="132"/>
      <c r="Q2307" s="33" t="s">
        <v>587</v>
      </c>
      <c r="R2307" s="132"/>
      <c r="S2307" s="33" t="s">
        <v>278</v>
      </c>
      <c r="T2307" s="132"/>
      <c r="U2307" s="33" t="s">
        <v>278</v>
      </c>
      <c r="V2307" s="132"/>
      <c r="W2307" s="59" t="s">
        <v>548</v>
      </c>
      <c r="X2307" s="33" t="str">
        <f>+VLOOKUP(OtherClients[[#This Row],[Part]],PartControl!$A$2:$E$564,5,FALSE)</f>
        <v>infasco</v>
      </c>
      <c r="Y2307" s="108">
        <f>IF(OtherClients[[#This Row],[Re-certified or New]]&lt;&gt;"Re-certified",IF(OtherClients[[#This Row],[Client]]="infasco",VLOOKUP(OtherClients[[#This Row],[Part]],PartControl!$A$2:$E$564,2,FALSE),OtherClients[[#This Row],[Total Quantity]]*VLOOKUP(OtherClients[[#This Row],[Part]],PartControl!$A$2:$E$564,2,FALSE)),0)</f>
        <v>106.94</v>
      </c>
      <c r="Z2307" s="108">
        <f>IF(OtherClients[[#This Row],[Re-certified or New]]&lt;&gt;"Re-certified",IF(OtherClients[[#This Row],[Client]]="infasco",VLOOKUP(OtherClients[[#This Row],[Part]],PartControl!$A$2:$E$564,2,FALSE),OtherClients[[#This Row],[Total Quantity]]*VLOOKUP(OtherClients[[#This Row],[Part]],PartControl!$A$2:$E$564,2,FALSE)),0)</f>
        <v>106.94</v>
      </c>
    </row>
    <row r="2308" spans="1:26" ht="25.15" hidden="1" customHeight="1" x14ac:dyDescent="0.25">
      <c r="A2308" s="112">
        <v>46266</v>
      </c>
      <c r="B2308" s="5" t="s">
        <v>345</v>
      </c>
      <c r="C2308" s="5" t="s">
        <v>843</v>
      </c>
      <c r="D2308" s="5">
        <v>717169</v>
      </c>
      <c r="E2308" s="33">
        <v>36</v>
      </c>
      <c r="F2308" s="60">
        <v>220</v>
      </c>
      <c r="G2308" s="60">
        <f>+OtherClients[[#This Row],[Boxes / Pieces]]*OtherClients[[#This Row],[Unit Quantity]]</f>
        <v>7920</v>
      </c>
      <c r="H2308" s="60" t="s">
        <v>896</v>
      </c>
      <c r="I2308" s="130" t="s">
        <v>278</v>
      </c>
      <c r="J2308" s="131"/>
      <c r="K2308" s="33" t="s">
        <v>278</v>
      </c>
      <c r="L2308" s="132"/>
      <c r="M2308" s="33" t="s">
        <v>278</v>
      </c>
      <c r="N2308" s="132"/>
      <c r="O2308" s="33" t="s">
        <v>278</v>
      </c>
      <c r="P2308" s="132"/>
      <c r="Q2308" s="33" t="s">
        <v>587</v>
      </c>
      <c r="R2308" s="132"/>
      <c r="S2308" s="33" t="s">
        <v>278</v>
      </c>
      <c r="T2308" s="132"/>
      <c r="U2308" s="33" t="s">
        <v>278</v>
      </c>
      <c r="V2308" s="132"/>
      <c r="W2308" s="59" t="s">
        <v>548</v>
      </c>
      <c r="X2308" s="33" t="str">
        <f>+VLOOKUP(OtherClients[[#This Row],[Part]],PartControl!$A$2:$E$564,5,FALSE)</f>
        <v>infasco</v>
      </c>
      <c r="Y2308" s="108">
        <f>IF(OtherClients[[#This Row],[Re-certified or New]]&lt;&gt;"Re-certified",IF(OtherClients[[#This Row],[Client]]="infasco",VLOOKUP(OtherClients[[#This Row],[Part]],PartControl!$A$2:$E$564,2,FALSE),OtherClients[[#This Row],[Total Quantity]]*VLOOKUP(OtherClients[[#This Row],[Part]],PartControl!$A$2:$E$564,2,FALSE)),0)</f>
        <v>106.94</v>
      </c>
      <c r="Z2308" s="108">
        <f>IF(OtherClients[[#This Row],[Re-certified or New]]&lt;&gt;"Re-certified",IF(OtherClients[[#This Row],[Client]]="infasco",VLOOKUP(OtherClients[[#This Row],[Part]],PartControl!$A$2:$E$564,2,FALSE),OtherClients[[#This Row],[Total Quantity]]*VLOOKUP(OtherClients[[#This Row],[Part]],PartControl!$A$2:$E$564,2,FALSE)),0)</f>
        <v>106.94</v>
      </c>
    </row>
    <row r="2309" spans="1:26" ht="25.15" hidden="1" customHeight="1" x14ac:dyDescent="0.25">
      <c r="A2309" s="112">
        <v>46266</v>
      </c>
      <c r="B2309" s="5" t="s">
        <v>345</v>
      </c>
      <c r="C2309" s="5" t="s">
        <v>843</v>
      </c>
      <c r="D2309" s="5">
        <v>716623</v>
      </c>
      <c r="E2309" s="33">
        <v>27</v>
      </c>
      <c r="F2309" s="60">
        <v>220</v>
      </c>
      <c r="G2309" s="60">
        <f>+OtherClients[[#This Row],[Boxes / Pieces]]*OtherClients[[#This Row],[Unit Quantity]]</f>
        <v>5940</v>
      </c>
      <c r="H2309" s="60" t="s">
        <v>896</v>
      </c>
      <c r="I2309" s="130" t="s">
        <v>278</v>
      </c>
      <c r="J2309" s="131"/>
      <c r="K2309" s="33" t="s">
        <v>278</v>
      </c>
      <c r="L2309" s="132"/>
      <c r="M2309" s="33" t="s">
        <v>278</v>
      </c>
      <c r="N2309" s="132"/>
      <c r="O2309" s="33" t="s">
        <v>278</v>
      </c>
      <c r="P2309" s="132"/>
      <c r="Q2309" s="33" t="s">
        <v>587</v>
      </c>
      <c r="R2309" s="132"/>
      <c r="S2309" s="33" t="s">
        <v>278</v>
      </c>
      <c r="T2309" s="132"/>
      <c r="U2309" s="33" t="s">
        <v>278</v>
      </c>
      <c r="V2309" s="132"/>
      <c r="W2309" s="59" t="s">
        <v>548</v>
      </c>
      <c r="X2309" s="33" t="str">
        <f>+VLOOKUP(OtherClients[[#This Row],[Part]],PartControl!$A$2:$E$564,5,FALSE)</f>
        <v>infasco</v>
      </c>
      <c r="Y2309" s="108">
        <f>IF(OtherClients[[#This Row],[Re-certified or New]]&lt;&gt;"Re-certified",IF(OtherClients[[#This Row],[Client]]="infasco",VLOOKUP(OtherClients[[#This Row],[Part]],PartControl!$A$2:$E$564,2,FALSE),OtherClients[[#This Row],[Total Quantity]]*VLOOKUP(OtherClients[[#This Row],[Part]],PartControl!$A$2:$E$564,2,FALSE)),0)</f>
        <v>106.94</v>
      </c>
      <c r="Z2309" s="108">
        <f>IF(OtherClients[[#This Row],[Re-certified or New]]&lt;&gt;"Re-certified",IF(OtherClients[[#This Row],[Client]]="infasco",VLOOKUP(OtherClients[[#This Row],[Part]],PartControl!$A$2:$E$564,2,FALSE),OtherClients[[#This Row],[Total Quantity]]*VLOOKUP(OtherClients[[#This Row],[Part]],PartControl!$A$2:$E$564,2,FALSE)),0)</f>
        <v>106.94</v>
      </c>
    </row>
    <row r="2310" spans="1:26" ht="25.15" hidden="1" customHeight="1" x14ac:dyDescent="0.25">
      <c r="A2310" s="112">
        <v>46266</v>
      </c>
      <c r="B2310" s="5" t="s">
        <v>345</v>
      </c>
      <c r="C2310" s="5">
        <v>11602031</v>
      </c>
      <c r="D2310" s="5">
        <v>717901</v>
      </c>
      <c r="E2310" s="33">
        <v>18</v>
      </c>
      <c r="F2310" s="60">
        <v>145</v>
      </c>
      <c r="G2310" s="60">
        <f>+OtherClients[[#This Row],[Boxes / Pieces]]*OtherClients[[#This Row],[Unit Quantity]]</f>
        <v>2610</v>
      </c>
      <c r="H2310" s="60" t="s">
        <v>896</v>
      </c>
      <c r="I2310" s="130" t="s">
        <v>278</v>
      </c>
      <c r="J2310" s="131"/>
      <c r="K2310" s="33" t="s">
        <v>278</v>
      </c>
      <c r="L2310" s="132"/>
      <c r="M2310" s="33" t="s">
        <v>278</v>
      </c>
      <c r="N2310" s="132"/>
      <c r="O2310" s="33" t="s">
        <v>278</v>
      </c>
      <c r="P2310" s="132"/>
      <c r="Q2310" s="33" t="s">
        <v>587</v>
      </c>
      <c r="R2310" s="132"/>
      <c r="S2310" s="33" t="s">
        <v>278</v>
      </c>
      <c r="T2310" s="132"/>
      <c r="U2310" s="33" t="s">
        <v>278</v>
      </c>
      <c r="V2310" s="132"/>
      <c r="W2310" s="59" t="s">
        <v>633</v>
      </c>
      <c r="X2310" s="33" t="str">
        <f>+VLOOKUP(OtherClients[[#This Row],[Part]],PartControl!$A$2:$E$564,5,FALSE)</f>
        <v>INFASCO</v>
      </c>
      <c r="Y2310" s="108">
        <f>IF(OtherClients[[#This Row],[Re-certified or New]]&lt;&gt;"Re-certified",IF(OtherClients[[#This Row],[Client]]="infasco",VLOOKUP(OtherClients[[#This Row],[Part]],PartControl!$A$2:$E$564,2,FALSE),OtherClients[[#This Row],[Total Quantity]]*VLOOKUP(OtherClients[[#This Row],[Part]],PartControl!$A$2:$E$564,2,FALSE)),0)</f>
        <v>0</v>
      </c>
      <c r="Z2310" s="108">
        <f>IF(OtherClients[[#This Row],[Re-certified or New]]&lt;&gt;"Re-certified",IF(OtherClients[[#This Row],[Client]]="infasco",VLOOKUP(OtherClients[[#This Row],[Part]],PartControl!$A$2:$E$564,2,FALSE),OtherClients[[#This Row],[Total Quantity]]*VLOOKUP(OtherClients[[#This Row],[Part]],PartControl!$A$2:$E$564,2,FALSE)),0)</f>
        <v>0</v>
      </c>
    </row>
    <row r="2311" spans="1:26" ht="25.15" hidden="1" customHeight="1" x14ac:dyDescent="0.25">
      <c r="A2311" s="112">
        <v>46266</v>
      </c>
      <c r="B2311" s="5" t="s">
        <v>346</v>
      </c>
      <c r="C2311" s="5" t="s">
        <v>794</v>
      </c>
      <c r="D2311" s="5">
        <v>716404</v>
      </c>
      <c r="E2311" s="33">
        <v>2</v>
      </c>
      <c r="F2311" s="60">
        <v>195</v>
      </c>
      <c r="G2311" s="60">
        <f>+OtherClients[[#This Row],[Boxes / Pieces]]*OtherClients[[#This Row],[Unit Quantity]]</f>
        <v>390</v>
      </c>
      <c r="H2311" s="60" t="s">
        <v>902</v>
      </c>
      <c r="I2311" s="130" t="s">
        <v>278</v>
      </c>
      <c r="J2311" s="131"/>
      <c r="K2311" s="33" t="s">
        <v>278</v>
      </c>
      <c r="L2311" s="132"/>
      <c r="M2311" s="33" t="s">
        <v>278</v>
      </c>
      <c r="N2311" s="132"/>
      <c r="O2311" s="33" t="s">
        <v>278</v>
      </c>
      <c r="P2311" s="132"/>
      <c r="Q2311" s="33" t="s">
        <v>587</v>
      </c>
      <c r="R2311" s="132"/>
      <c r="S2311" s="33" t="s">
        <v>278</v>
      </c>
      <c r="T2311" s="132"/>
      <c r="U2311" s="33" t="s">
        <v>278</v>
      </c>
      <c r="V2311" s="132"/>
      <c r="W2311" s="59" t="s">
        <v>548</v>
      </c>
      <c r="X2311" s="33" t="str">
        <f>+VLOOKUP(OtherClients[[#This Row],[Part]],PartControl!$A$2:$E$564,5,FALSE)</f>
        <v>infasco</v>
      </c>
      <c r="Y2311" s="108">
        <f>IF(OtherClients[[#This Row],[Re-certified or New]]&lt;&gt;"Re-certified",IF(OtherClients[[#This Row],[Client]]="infasco",VLOOKUP(OtherClients[[#This Row],[Part]],PartControl!$A$2:$E$564,2,FALSE),OtherClients[[#This Row],[Total Quantity]]*VLOOKUP(OtherClients[[#This Row],[Part]],PartControl!$A$2:$E$564,2,FALSE)),0)</f>
        <v>51.78</v>
      </c>
      <c r="Z2311" s="108">
        <f>IF(OtherClients[[#This Row],[Re-certified or New]]&lt;&gt;"Re-certified",IF(OtherClients[[#This Row],[Client]]="infasco",VLOOKUP(OtherClients[[#This Row],[Part]],PartControl!$A$2:$E$564,2,FALSE),OtherClients[[#This Row],[Total Quantity]]*VLOOKUP(OtherClients[[#This Row],[Part]],PartControl!$A$2:$E$564,2,FALSE)),0)</f>
        <v>51.78</v>
      </c>
    </row>
    <row r="2312" spans="1:26" ht="25.15" hidden="1" customHeight="1" x14ac:dyDescent="0.25">
      <c r="A2312" s="112">
        <v>46266</v>
      </c>
      <c r="B2312" s="5" t="s">
        <v>346</v>
      </c>
      <c r="C2312" s="5" t="s">
        <v>794</v>
      </c>
      <c r="D2312" s="5">
        <v>716412</v>
      </c>
      <c r="E2312" s="33">
        <v>12</v>
      </c>
      <c r="F2312" s="60">
        <v>195</v>
      </c>
      <c r="G2312" s="60">
        <f>+OtherClients[[#This Row],[Boxes / Pieces]]*OtherClients[[#This Row],[Unit Quantity]]</f>
        <v>2340</v>
      </c>
      <c r="H2312" s="60" t="s">
        <v>902</v>
      </c>
      <c r="I2312" s="130" t="s">
        <v>278</v>
      </c>
      <c r="J2312" s="131"/>
      <c r="K2312" s="33" t="s">
        <v>278</v>
      </c>
      <c r="L2312" s="132"/>
      <c r="M2312" s="33" t="s">
        <v>278</v>
      </c>
      <c r="N2312" s="132"/>
      <c r="O2312" s="33" t="s">
        <v>278</v>
      </c>
      <c r="P2312" s="132"/>
      <c r="Q2312" s="33" t="s">
        <v>587</v>
      </c>
      <c r="R2312" s="132"/>
      <c r="S2312" s="33" t="s">
        <v>278</v>
      </c>
      <c r="T2312" s="132"/>
      <c r="U2312" s="33" t="s">
        <v>278</v>
      </c>
      <c r="V2312" s="132"/>
      <c r="W2312" s="59" t="s">
        <v>548</v>
      </c>
      <c r="X2312" s="33" t="str">
        <f>+VLOOKUP(OtherClients[[#This Row],[Part]],PartControl!$A$2:$E$564,5,FALSE)</f>
        <v>infasco</v>
      </c>
      <c r="Y2312" s="108">
        <f>IF(OtherClients[[#This Row],[Re-certified or New]]&lt;&gt;"Re-certified",IF(OtherClients[[#This Row],[Client]]="infasco",VLOOKUP(OtherClients[[#This Row],[Part]],PartControl!$A$2:$E$564,2,FALSE),OtherClients[[#This Row],[Total Quantity]]*VLOOKUP(OtherClients[[#This Row],[Part]],PartControl!$A$2:$E$564,2,FALSE)),0)</f>
        <v>51.78</v>
      </c>
      <c r="Z2312" s="108">
        <f>IF(OtherClients[[#This Row],[Re-certified or New]]&lt;&gt;"Re-certified",IF(OtherClients[[#This Row],[Client]]="infasco",VLOOKUP(OtherClients[[#This Row],[Part]],PartControl!$A$2:$E$564,2,FALSE),OtherClients[[#This Row],[Total Quantity]]*VLOOKUP(OtherClients[[#This Row],[Part]],PartControl!$A$2:$E$564,2,FALSE)),0)</f>
        <v>51.78</v>
      </c>
    </row>
    <row r="2313" spans="1:26" ht="25.15" hidden="1" customHeight="1" x14ac:dyDescent="0.25">
      <c r="A2313" s="112">
        <v>46266</v>
      </c>
      <c r="B2313" s="5" t="s">
        <v>347</v>
      </c>
      <c r="C2313" s="5" t="s">
        <v>730</v>
      </c>
      <c r="D2313" s="5">
        <v>713721</v>
      </c>
      <c r="E2313" s="33">
        <f>10-6</f>
        <v>4</v>
      </c>
      <c r="F2313" s="60">
        <v>3500</v>
      </c>
      <c r="G2313" s="60">
        <f>+OtherClients[[#This Row],[Boxes / Pieces]]*OtherClients[[#This Row],[Unit Quantity]]</f>
        <v>14000</v>
      </c>
      <c r="H2313" s="60">
        <v>285</v>
      </c>
      <c r="I2313" s="130" t="s">
        <v>278</v>
      </c>
      <c r="J2313" s="131"/>
      <c r="K2313" s="33" t="s">
        <v>278</v>
      </c>
      <c r="L2313" s="132"/>
      <c r="M2313" s="33" t="s">
        <v>278</v>
      </c>
      <c r="N2313" s="132"/>
      <c r="O2313" s="33" t="s">
        <v>278</v>
      </c>
      <c r="P2313" s="132"/>
      <c r="Q2313" s="33" t="s">
        <v>587</v>
      </c>
      <c r="R2313" s="132"/>
      <c r="S2313" s="33" t="s">
        <v>278</v>
      </c>
      <c r="T2313" s="132"/>
      <c r="U2313" s="33" t="s">
        <v>278</v>
      </c>
      <c r="V2313" s="132"/>
      <c r="W2313" s="59" t="s">
        <v>548</v>
      </c>
      <c r="X2313" s="33" t="str">
        <f>+VLOOKUP(OtherClients[[#This Row],[Part]],PartControl!$A$2:$E$564,5,FALSE)</f>
        <v>infasco</v>
      </c>
      <c r="Y2313" s="108">
        <f>IF(OtherClients[[#This Row],[Re-certified or New]]&lt;&gt;"Re-certified",IF(OtherClients[[#This Row],[Client]]="infasco",VLOOKUP(OtherClients[[#This Row],[Part]],PartControl!$A$2:$E$564,2,FALSE),OtherClients[[#This Row],[Total Quantity]]*VLOOKUP(OtherClients[[#This Row],[Part]],PartControl!$A$2:$E$564,2,FALSE)),0)</f>
        <v>106.94</v>
      </c>
      <c r="Z2313" s="108">
        <f>IF(OtherClients[[#This Row],[Re-certified or New]]&lt;&gt;"Re-certified",IF(OtherClients[[#This Row],[Client]]="infasco",VLOOKUP(OtherClients[[#This Row],[Part]],PartControl!$A$2:$E$564,2,FALSE),OtherClients[[#This Row],[Total Quantity]]*VLOOKUP(OtherClients[[#This Row],[Part]],PartControl!$A$2:$E$564,2,FALSE)),0)</f>
        <v>106.94</v>
      </c>
    </row>
    <row r="2314" spans="1:26" ht="25.15" hidden="1" customHeight="1" x14ac:dyDescent="0.25">
      <c r="A2314" s="112">
        <v>46267.707094907404</v>
      </c>
      <c r="B2314" s="5" t="s">
        <v>252</v>
      </c>
      <c r="C2314" s="5" t="s">
        <v>721</v>
      </c>
      <c r="D2314" s="5">
        <v>717644</v>
      </c>
      <c r="E2314" s="33">
        <v>23</v>
      </c>
      <c r="F2314" s="60">
        <v>4500</v>
      </c>
      <c r="G2314" s="60">
        <v>103500</v>
      </c>
      <c r="H2314" s="60">
        <v>275</v>
      </c>
      <c r="I2314" s="130" t="s">
        <v>278</v>
      </c>
      <c r="J2314" s="131"/>
      <c r="K2314" s="33" t="s">
        <v>278</v>
      </c>
      <c r="L2314" s="132"/>
      <c r="M2314" s="33" t="s">
        <v>278</v>
      </c>
      <c r="N2314" s="132"/>
      <c r="O2314" s="33" t="s">
        <v>278</v>
      </c>
      <c r="P2314" s="132"/>
      <c r="Q2314" s="33" t="s">
        <v>587</v>
      </c>
      <c r="R2314" s="132"/>
      <c r="S2314" s="33" t="s">
        <v>278</v>
      </c>
      <c r="T2314" s="132"/>
      <c r="U2314" s="33" t="s">
        <v>278</v>
      </c>
      <c r="V2314" s="132"/>
      <c r="W2314" s="133" t="s">
        <v>548</v>
      </c>
      <c r="X2314" s="33" t="str">
        <f>+VLOOKUP(OtherClients[[#This Row],[Part]],PartControl!$A$2:$E$564,5,FALSE)</f>
        <v>Infasco</v>
      </c>
      <c r="Y2314" s="108">
        <f>IF(OtherClients[[#This Row],[Re-certified or New]]&lt;&gt;"Re-certified",IF(OtherClients[[#This Row],[Client]]="infasco",VLOOKUP(OtherClients[[#This Row],[Part]],PartControl!$A$2:$E$564,2,FALSE),OtherClients[[#This Row],[Total Quantity]]*VLOOKUP(OtherClients[[#This Row],[Part]],PartControl!$A$2:$E$564,2,FALSE)),0)</f>
        <v>106.94</v>
      </c>
      <c r="Z2314" s="108">
        <f>IF(OtherClients[[#This Row],[Re-certified or New]]&lt;&gt;"Re-certified",IF(OtherClients[[#This Row],[Client]]="infasco",VLOOKUP(OtherClients[[#This Row],[Part]],PartControl!$A$2:$E$564,2,FALSE),OtherClients[[#This Row],[Total Quantity]]*VLOOKUP(OtherClients[[#This Row],[Part]],PartControl!$A$2:$E$564,2,FALSE)),0)</f>
        <v>106.94</v>
      </c>
    </row>
    <row r="2315" spans="1:26" ht="25.15" hidden="1" customHeight="1" x14ac:dyDescent="0.25">
      <c r="A2315" s="112">
        <v>46267.707094907404</v>
      </c>
      <c r="B2315" s="5" t="s">
        <v>252</v>
      </c>
      <c r="C2315" s="5" t="s">
        <v>721</v>
      </c>
      <c r="D2315" s="5">
        <v>717643</v>
      </c>
      <c r="E2315" s="33">
        <v>16</v>
      </c>
      <c r="F2315" s="60">
        <v>4500</v>
      </c>
      <c r="G2315" s="60">
        <f>+OtherClients[[#This Row],[Boxes / Pieces]]*OtherClients[[#This Row],[Unit Quantity]]</f>
        <v>72000</v>
      </c>
      <c r="H2315" s="60">
        <v>275</v>
      </c>
      <c r="I2315" s="130" t="s">
        <v>278</v>
      </c>
      <c r="J2315" s="131"/>
      <c r="K2315" s="33" t="s">
        <v>278</v>
      </c>
      <c r="L2315" s="132"/>
      <c r="M2315" s="33" t="s">
        <v>278</v>
      </c>
      <c r="N2315" s="132"/>
      <c r="O2315" s="33" t="s">
        <v>278</v>
      </c>
      <c r="P2315" s="132"/>
      <c r="Q2315" s="33" t="s">
        <v>587</v>
      </c>
      <c r="R2315" s="132"/>
      <c r="S2315" s="33" t="s">
        <v>278</v>
      </c>
      <c r="T2315" s="132"/>
      <c r="U2315" s="33" t="s">
        <v>278</v>
      </c>
      <c r="V2315" s="132"/>
      <c r="W2315" s="59" t="s">
        <v>633</v>
      </c>
      <c r="X2315" s="33" t="str">
        <f>+VLOOKUP(OtherClients[[#This Row],[Part]],PartControl!$A$2:$E$564,5,FALSE)</f>
        <v>Infasco</v>
      </c>
      <c r="Y2315" s="108">
        <f>IF(OtherClients[[#This Row],[Re-certified or New]]&lt;&gt;"Re-certified",IF(OtherClients[[#This Row],[Client]]="infasco",VLOOKUP(OtherClients[[#This Row],[Part]],PartControl!$A$2:$E$564,2,FALSE),OtherClients[[#This Row],[Total Quantity]]*VLOOKUP(OtherClients[[#This Row],[Part]],PartControl!$A$2:$E$564,2,FALSE)),0)</f>
        <v>0</v>
      </c>
      <c r="Z2315" s="108">
        <f>IF(OtherClients[[#This Row],[Re-certified or New]]&lt;&gt;"Re-certified",IF(OtherClients[[#This Row],[Client]]="infasco",VLOOKUP(OtherClients[[#This Row],[Part]],PartControl!$A$2:$E$564,2,FALSE),OtherClients[[#This Row],[Total Quantity]]*VLOOKUP(OtherClients[[#This Row],[Part]],PartControl!$A$2:$E$564,2,FALSE)),0)</f>
        <v>0</v>
      </c>
    </row>
    <row r="2316" spans="1:26" ht="25.15" hidden="1" customHeight="1" x14ac:dyDescent="0.25">
      <c r="A2316" s="112">
        <v>46267.707094907404</v>
      </c>
      <c r="B2316" s="5" t="s">
        <v>232</v>
      </c>
      <c r="C2316" s="5">
        <v>11546449</v>
      </c>
      <c r="D2316" s="5">
        <v>717690</v>
      </c>
      <c r="E2316" s="33">
        <f>32-27</f>
        <v>5</v>
      </c>
      <c r="F2316" s="60">
        <v>2500</v>
      </c>
      <c r="G2316" s="60">
        <f>+OtherClients[[#This Row],[Boxes / Pieces]]*OtherClients[[#This Row],[Unit Quantity]]</f>
        <v>12500</v>
      </c>
      <c r="H2316" s="60">
        <v>275</v>
      </c>
      <c r="I2316" s="130" t="s">
        <v>278</v>
      </c>
      <c r="J2316" s="131"/>
      <c r="K2316" s="33" t="s">
        <v>278</v>
      </c>
      <c r="L2316" s="132"/>
      <c r="M2316" s="33" t="s">
        <v>278</v>
      </c>
      <c r="N2316" s="132"/>
      <c r="O2316" s="33" t="s">
        <v>278</v>
      </c>
      <c r="P2316" s="132"/>
      <c r="Q2316" s="33" t="s">
        <v>587</v>
      </c>
      <c r="R2316" s="132"/>
      <c r="S2316" s="33" t="s">
        <v>278</v>
      </c>
      <c r="T2316" s="132"/>
      <c r="U2316" s="33" t="s">
        <v>278</v>
      </c>
      <c r="V2316" s="132"/>
      <c r="W2316" s="59" t="s">
        <v>548</v>
      </c>
      <c r="X2316" s="33" t="str">
        <f>+VLOOKUP(OtherClients[[#This Row],[Part]],PartControl!$A$2:$E$564,5,FALSE)</f>
        <v>INFASCO</v>
      </c>
      <c r="Y2316" s="108">
        <f>IF(OtherClients[[#This Row],[Re-certified or New]]&lt;&gt;"Re-certified",IF(OtherClients[[#This Row],[Client]]="infasco",VLOOKUP(OtherClients[[#This Row],[Part]],PartControl!$A$2:$E$564,2,FALSE),OtherClients[[#This Row],[Total Quantity]]*VLOOKUP(OtherClients[[#This Row],[Part]],PartControl!$A$2:$E$564,2,FALSE)),0)</f>
        <v>106.94</v>
      </c>
      <c r="Z2316" s="108">
        <f>IF(OtherClients[[#This Row],[Re-certified or New]]&lt;&gt;"Re-certified",IF(OtherClients[[#This Row],[Client]]="infasco",VLOOKUP(OtherClients[[#This Row],[Part]],PartControl!$A$2:$E$564,2,FALSE),OtherClients[[#This Row],[Total Quantity]]*VLOOKUP(OtherClients[[#This Row],[Part]],PartControl!$A$2:$E$564,2,FALSE)),0)</f>
        <v>106.94</v>
      </c>
    </row>
    <row r="2317" spans="1:26" ht="25.15" hidden="1" customHeight="1" x14ac:dyDescent="0.25">
      <c r="A2317" s="112">
        <v>46267.707094907404</v>
      </c>
      <c r="B2317" s="5" t="s">
        <v>232</v>
      </c>
      <c r="C2317" s="5" t="s">
        <v>721</v>
      </c>
      <c r="D2317" s="5">
        <v>717648</v>
      </c>
      <c r="E2317" s="33">
        <v>12</v>
      </c>
      <c r="F2317" s="60">
        <v>4500</v>
      </c>
      <c r="G2317" s="60">
        <f>+OtherClients[[#This Row],[Boxes / Pieces]]*OtherClients[[#This Row],[Unit Quantity]]</f>
        <v>54000</v>
      </c>
      <c r="H2317" s="60">
        <v>275</v>
      </c>
      <c r="I2317" s="130" t="s">
        <v>278</v>
      </c>
      <c r="J2317" s="131"/>
      <c r="K2317" s="33" t="s">
        <v>278</v>
      </c>
      <c r="L2317" s="132"/>
      <c r="M2317" s="33" t="s">
        <v>278</v>
      </c>
      <c r="N2317" s="132"/>
      <c r="O2317" s="33" t="s">
        <v>278</v>
      </c>
      <c r="P2317" s="132"/>
      <c r="Q2317" s="33" t="s">
        <v>587</v>
      </c>
      <c r="R2317" s="132"/>
      <c r="S2317" s="33" t="s">
        <v>278</v>
      </c>
      <c r="T2317" s="132"/>
      <c r="U2317" s="33" t="s">
        <v>278</v>
      </c>
      <c r="V2317" s="132"/>
      <c r="W2317" s="59" t="s">
        <v>548</v>
      </c>
      <c r="X2317" s="33" t="str">
        <f>+VLOOKUP(OtherClients[[#This Row],[Part]],PartControl!$A$2:$E$564,5,FALSE)</f>
        <v>Infasco</v>
      </c>
      <c r="Y2317" s="108">
        <f>IF(OtherClients[[#This Row],[Re-certified or New]]&lt;&gt;"Re-certified",IF(OtherClients[[#This Row],[Client]]="infasco",VLOOKUP(OtherClients[[#This Row],[Part]],PartControl!$A$2:$E$564,2,FALSE),OtherClients[[#This Row],[Total Quantity]]*VLOOKUP(OtherClients[[#This Row],[Part]],PartControl!$A$2:$E$564,2,FALSE)),0)</f>
        <v>106.94</v>
      </c>
      <c r="Z2317" s="108">
        <f>IF(OtherClients[[#This Row],[Re-certified or New]]&lt;&gt;"Re-certified",IF(OtherClients[[#This Row],[Client]]="infasco",VLOOKUP(OtherClients[[#This Row],[Part]],PartControl!$A$2:$E$564,2,FALSE),OtherClients[[#This Row],[Total Quantity]]*VLOOKUP(OtherClients[[#This Row],[Part]],PartControl!$A$2:$E$564,2,FALSE)),0)</f>
        <v>106.94</v>
      </c>
    </row>
    <row r="2318" spans="1:26" ht="25.15" hidden="1" customHeight="1" x14ac:dyDescent="0.25">
      <c r="A2318" s="112">
        <v>46267.707094907404</v>
      </c>
      <c r="B2318" s="5" t="s">
        <v>232</v>
      </c>
      <c r="C2318" s="5" t="s">
        <v>721</v>
      </c>
      <c r="D2318" s="5">
        <v>717647</v>
      </c>
      <c r="E2318" s="33">
        <v>7</v>
      </c>
      <c r="F2318" s="60">
        <v>4500</v>
      </c>
      <c r="G2318" s="60">
        <f>+OtherClients[[#This Row],[Boxes / Pieces]]*OtherClients[[#This Row],[Unit Quantity]]</f>
        <v>31500</v>
      </c>
      <c r="H2318" s="60">
        <v>275</v>
      </c>
      <c r="I2318" s="130" t="s">
        <v>278</v>
      </c>
      <c r="J2318" s="131"/>
      <c r="K2318" s="33" t="s">
        <v>278</v>
      </c>
      <c r="L2318" s="132"/>
      <c r="M2318" s="33" t="s">
        <v>278</v>
      </c>
      <c r="N2318" s="132"/>
      <c r="O2318" s="33" t="s">
        <v>278</v>
      </c>
      <c r="P2318" s="132"/>
      <c r="Q2318" s="33" t="s">
        <v>587</v>
      </c>
      <c r="R2318" s="132"/>
      <c r="S2318" s="33" t="s">
        <v>278</v>
      </c>
      <c r="T2318" s="132"/>
      <c r="U2318" s="33" t="s">
        <v>278</v>
      </c>
      <c r="V2318" s="132"/>
      <c r="W2318" s="59" t="s">
        <v>633</v>
      </c>
      <c r="X2318" s="33" t="str">
        <f>+VLOOKUP(OtherClients[[#This Row],[Part]],PartControl!$A$2:$E$564,5,FALSE)</f>
        <v>Infasco</v>
      </c>
      <c r="Y2318" s="108">
        <f>IF(OtherClients[[#This Row],[Re-certified or New]]&lt;&gt;"Re-certified",IF(OtherClients[[#This Row],[Client]]="infasco",VLOOKUP(OtherClients[[#This Row],[Part]],PartControl!$A$2:$E$564,2,FALSE),OtherClients[[#This Row],[Total Quantity]]*VLOOKUP(OtherClients[[#This Row],[Part]],PartControl!$A$2:$E$564,2,FALSE)),0)</f>
        <v>0</v>
      </c>
      <c r="Z2318" s="108">
        <f>IF(OtherClients[[#This Row],[Re-certified or New]]&lt;&gt;"Re-certified",IF(OtherClients[[#This Row],[Client]]="infasco",VLOOKUP(OtherClients[[#This Row],[Part]],PartControl!$A$2:$E$564,2,FALSE),OtherClients[[#This Row],[Total Quantity]]*VLOOKUP(OtherClients[[#This Row],[Part]],PartControl!$A$2:$E$564,2,FALSE)),0)</f>
        <v>0</v>
      </c>
    </row>
    <row r="2319" spans="1:26" ht="25.15" hidden="1" customHeight="1" x14ac:dyDescent="0.25">
      <c r="A2319" s="112">
        <v>46267.707094907404</v>
      </c>
      <c r="B2319" s="5" t="s">
        <v>242</v>
      </c>
      <c r="C2319" s="5" t="s">
        <v>645</v>
      </c>
      <c r="D2319" s="5">
        <v>717405</v>
      </c>
      <c r="E2319" s="33">
        <f>36-16</f>
        <v>20</v>
      </c>
      <c r="F2319" s="60">
        <v>1000</v>
      </c>
      <c r="G2319" s="60">
        <f>+OtherClients[[#This Row],[Boxes / Pieces]]*OtherClients[[#This Row],[Unit Quantity]]</f>
        <v>20000</v>
      </c>
      <c r="H2319" s="60">
        <v>275</v>
      </c>
      <c r="I2319" s="130" t="s">
        <v>278</v>
      </c>
      <c r="J2319" s="131"/>
      <c r="K2319" s="33" t="s">
        <v>278</v>
      </c>
      <c r="L2319" s="132"/>
      <c r="M2319" s="33" t="s">
        <v>278</v>
      </c>
      <c r="N2319" s="132"/>
      <c r="O2319" s="33" t="s">
        <v>278</v>
      </c>
      <c r="P2319" s="132"/>
      <c r="Q2319" s="33" t="s">
        <v>587</v>
      </c>
      <c r="R2319" s="132"/>
      <c r="S2319" s="33" t="s">
        <v>278</v>
      </c>
      <c r="T2319" s="132"/>
      <c r="U2319" s="33" t="s">
        <v>278</v>
      </c>
      <c r="V2319" s="132"/>
      <c r="W2319" s="59" t="s">
        <v>548</v>
      </c>
      <c r="X2319" s="33" t="str">
        <f>+VLOOKUP(OtherClients[[#This Row],[Part]],PartControl!$A$2:$E$564,5,FALSE)</f>
        <v>infasco</v>
      </c>
      <c r="Y2319" s="108">
        <f>IF(OtherClients[[#This Row],[Re-certified or New]]&lt;&gt;"Re-certified",IF(OtherClients[[#This Row],[Client]]="infasco",VLOOKUP(OtherClients[[#This Row],[Part]],PartControl!$A$2:$E$564,2,FALSE),OtherClients[[#This Row],[Total Quantity]]*VLOOKUP(OtherClients[[#This Row],[Part]],PartControl!$A$2:$E$564,2,FALSE)),0)</f>
        <v>106.94</v>
      </c>
      <c r="Z2319" s="108">
        <f>IF(OtherClients[[#This Row],[Re-certified or New]]&lt;&gt;"Re-certified",IF(OtherClients[[#This Row],[Client]]="infasco",VLOOKUP(OtherClients[[#This Row],[Part]],PartControl!$A$2:$E$564,2,FALSE),OtherClients[[#This Row],[Total Quantity]]*VLOOKUP(OtherClients[[#This Row],[Part]],PartControl!$A$2:$E$564,2,FALSE)),0)</f>
        <v>106.94</v>
      </c>
    </row>
    <row r="2320" spans="1:26" ht="25.15" hidden="1" customHeight="1" x14ac:dyDescent="0.25">
      <c r="A2320" s="112">
        <v>46267.707094907404</v>
      </c>
      <c r="B2320" s="5" t="s">
        <v>242</v>
      </c>
      <c r="C2320" s="5" t="s">
        <v>645</v>
      </c>
      <c r="D2320" s="5">
        <v>717406</v>
      </c>
      <c r="E2320" s="33">
        <v>36</v>
      </c>
      <c r="F2320" s="60">
        <v>1000</v>
      </c>
      <c r="G2320" s="60">
        <f>+OtherClients[[#This Row],[Boxes / Pieces]]*OtherClients[[#This Row],[Unit Quantity]]</f>
        <v>36000</v>
      </c>
      <c r="H2320" s="60">
        <v>275</v>
      </c>
      <c r="I2320" s="130" t="s">
        <v>278</v>
      </c>
      <c r="J2320" s="131"/>
      <c r="K2320" s="33" t="s">
        <v>278</v>
      </c>
      <c r="L2320" s="132"/>
      <c r="M2320" s="33" t="s">
        <v>278</v>
      </c>
      <c r="N2320" s="132"/>
      <c r="O2320" s="33" t="s">
        <v>278</v>
      </c>
      <c r="P2320" s="132"/>
      <c r="Q2320" s="33" t="s">
        <v>587</v>
      </c>
      <c r="R2320" s="132"/>
      <c r="S2320" s="33" t="s">
        <v>278</v>
      </c>
      <c r="T2320" s="132"/>
      <c r="U2320" s="33" t="s">
        <v>278</v>
      </c>
      <c r="V2320" s="132"/>
      <c r="W2320" s="59" t="s">
        <v>548</v>
      </c>
      <c r="X2320" s="33" t="str">
        <f>+VLOOKUP(OtherClients[[#This Row],[Part]],PartControl!$A$2:$E$564,5,FALSE)</f>
        <v>infasco</v>
      </c>
      <c r="Y2320" s="108">
        <f>IF(OtherClients[[#This Row],[Re-certified or New]]&lt;&gt;"Re-certified",IF(OtherClients[[#This Row],[Client]]="infasco",VLOOKUP(OtherClients[[#This Row],[Part]],PartControl!$A$2:$E$564,2,FALSE),OtherClients[[#This Row],[Total Quantity]]*VLOOKUP(OtherClients[[#This Row],[Part]],PartControl!$A$2:$E$564,2,FALSE)),0)</f>
        <v>106.94</v>
      </c>
      <c r="Z2320" s="108">
        <f>IF(OtherClients[[#This Row],[Re-certified or New]]&lt;&gt;"Re-certified",IF(OtherClients[[#This Row],[Client]]="infasco",VLOOKUP(OtherClients[[#This Row],[Part]],PartControl!$A$2:$E$564,2,FALSE),OtherClients[[#This Row],[Total Quantity]]*VLOOKUP(OtherClients[[#This Row],[Part]],PartControl!$A$2:$E$564,2,FALSE)),0)</f>
        <v>106.94</v>
      </c>
    </row>
    <row r="2321" spans="1:26" ht="25.15" hidden="1" customHeight="1" x14ac:dyDescent="0.25">
      <c r="A2321" s="112">
        <v>46267.707094907404</v>
      </c>
      <c r="B2321" s="5" t="s">
        <v>242</v>
      </c>
      <c r="C2321" s="5" t="s">
        <v>645</v>
      </c>
      <c r="D2321" s="5">
        <v>717407</v>
      </c>
      <c r="E2321" s="33">
        <v>20</v>
      </c>
      <c r="F2321" s="60">
        <v>1000</v>
      </c>
      <c r="G2321" s="60">
        <f>+OtherClients[[#This Row],[Boxes / Pieces]]*OtherClients[[#This Row],[Unit Quantity]]</f>
        <v>20000</v>
      </c>
      <c r="H2321" s="60">
        <v>275</v>
      </c>
      <c r="I2321" s="130" t="s">
        <v>278</v>
      </c>
      <c r="J2321" s="131"/>
      <c r="K2321" s="33" t="s">
        <v>278</v>
      </c>
      <c r="L2321" s="132"/>
      <c r="M2321" s="33" t="s">
        <v>278</v>
      </c>
      <c r="N2321" s="132"/>
      <c r="O2321" s="33" t="s">
        <v>278</v>
      </c>
      <c r="P2321" s="132"/>
      <c r="Q2321" s="33" t="s">
        <v>587</v>
      </c>
      <c r="R2321" s="132"/>
      <c r="S2321" s="33" t="s">
        <v>278</v>
      </c>
      <c r="T2321" s="132"/>
      <c r="U2321" s="33" t="s">
        <v>278</v>
      </c>
      <c r="V2321" s="132"/>
      <c r="W2321" s="59" t="s">
        <v>633</v>
      </c>
      <c r="X2321" s="33" t="str">
        <f>+VLOOKUP(OtherClients[[#This Row],[Part]],PartControl!$A$2:$E$564,5,FALSE)</f>
        <v>infasco</v>
      </c>
      <c r="Y2321" s="108">
        <f>IF(OtherClients[[#This Row],[Re-certified or New]]&lt;&gt;"Re-certified",IF(OtherClients[[#This Row],[Client]]="infasco",VLOOKUP(OtherClients[[#This Row],[Part]],PartControl!$A$2:$E$564,2,FALSE),OtherClients[[#This Row],[Total Quantity]]*VLOOKUP(OtherClients[[#This Row],[Part]],PartControl!$A$2:$E$564,2,FALSE)),0)</f>
        <v>0</v>
      </c>
      <c r="Z2321" s="108">
        <f>IF(OtherClients[[#This Row],[Re-certified or New]]&lt;&gt;"Re-certified",IF(OtherClients[[#This Row],[Client]]="infasco",VLOOKUP(OtherClients[[#This Row],[Part]],PartControl!$A$2:$E$564,2,FALSE),OtherClients[[#This Row],[Total Quantity]]*VLOOKUP(OtherClients[[#This Row],[Part]],PartControl!$A$2:$E$564,2,FALSE)),0)</f>
        <v>0</v>
      </c>
    </row>
    <row r="2322" spans="1:26" ht="25.15" hidden="1" customHeight="1" x14ac:dyDescent="0.25">
      <c r="A2322" s="112">
        <v>46267.707094907404</v>
      </c>
      <c r="B2322" s="5" t="s">
        <v>234</v>
      </c>
      <c r="C2322" s="5">
        <v>11546449</v>
      </c>
      <c r="D2322" s="5">
        <v>717692</v>
      </c>
      <c r="E2322" s="33">
        <f>36-23</f>
        <v>13</v>
      </c>
      <c r="F2322" s="60">
        <v>2500</v>
      </c>
      <c r="G2322" s="60">
        <f>+OtherClients[[#This Row],[Boxes / Pieces]]*OtherClients[[#This Row],[Unit Quantity]]</f>
        <v>32500</v>
      </c>
      <c r="H2322" s="60">
        <v>275</v>
      </c>
      <c r="I2322" s="130" t="s">
        <v>278</v>
      </c>
      <c r="J2322" s="131"/>
      <c r="K2322" s="33" t="s">
        <v>278</v>
      </c>
      <c r="L2322" s="132"/>
      <c r="M2322" s="33" t="s">
        <v>278</v>
      </c>
      <c r="N2322" s="132"/>
      <c r="O2322" s="33" t="s">
        <v>278</v>
      </c>
      <c r="P2322" s="132"/>
      <c r="Q2322" s="33" t="s">
        <v>587</v>
      </c>
      <c r="R2322" s="132"/>
      <c r="S2322" s="33" t="s">
        <v>278</v>
      </c>
      <c r="T2322" s="132"/>
      <c r="U2322" s="33" t="s">
        <v>278</v>
      </c>
      <c r="V2322" s="132"/>
      <c r="W2322" s="59" t="s">
        <v>548</v>
      </c>
      <c r="X2322" s="33" t="str">
        <f>+VLOOKUP(OtherClients[[#This Row],[Part]],PartControl!$A$2:$E$564,5,FALSE)</f>
        <v>INFASCO</v>
      </c>
      <c r="Y2322" s="108">
        <f>IF(OtherClients[[#This Row],[Re-certified or New]]&lt;&gt;"Re-certified",IF(OtherClients[[#This Row],[Client]]="infasco",VLOOKUP(OtherClients[[#This Row],[Part]],PartControl!$A$2:$E$564,2,FALSE),OtherClients[[#This Row],[Total Quantity]]*VLOOKUP(OtherClients[[#This Row],[Part]],PartControl!$A$2:$E$564,2,FALSE)),0)</f>
        <v>106.94</v>
      </c>
      <c r="Z2322" s="108">
        <f>IF(OtherClients[[#This Row],[Re-certified or New]]&lt;&gt;"Re-certified",IF(OtherClients[[#This Row],[Client]]="infasco",VLOOKUP(OtherClients[[#This Row],[Part]],PartControl!$A$2:$E$564,2,FALSE),OtherClients[[#This Row],[Total Quantity]]*VLOOKUP(OtherClients[[#This Row],[Part]],PartControl!$A$2:$E$564,2,FALSE)),0)</f>
        <v>106.94</v>
      </c>
    </row>
    <row r="2323" spans="1:26" ht="25.15" hidden="1" customHeight="1" x14ac:dyDescent="0.25">
      <c r="A2323" s="112">
        <v>46267.707094907404</v>
      </c>
      <c r="B2323" s="5" t="s">
        <v>234</v>
      </c>
      <c r="C2323" s="5">
        <v>11546377</v>
      </c>
      <c r="D2323" s="5">
        <v>718132</v>
      </c>
      <c r="E2323" s="33">
        <v>9</v>
      </c>
      <c r="F2323" s="60">
        <v>2150</v>
      </c>
      <c r="G2323" s="60">
        <f>+OtherClients[[#This Row],[Boxes / Pieces]]*OtherClients[[#This Row],[Unit Quantity]]</f>
        <v>19350</v>
      </c>
      <c r="H2323" s="60">
        <v>275</v>
      </c>
      <c r="I2323" s="130" t="s">
        <v>278</v>
      </c>
      <c r="J2323" s="131"/>
      <c r="K2323" s="33" t="s">
        <v>278</v>
      </c>
      <c r="L2323" s="132"/>
      <c r="M2323" s="33" t="s">
        <v>278</v>
      </c>
      <c r="N2323" s="132"/>
      <c r="O2323" s="33" t="s">
        <v>278</v>
      </c>
      <c r="P2323" s="132"/>
      <c r="Q2323" s="33" t="s">
        <v>587</v>
      </c>
      <c r="R2323" s="132"/>
      <c r="S2323" s="33" t="s">
        <v>278</v>
      </c>
      <c r="T2323" s="132"/>
      <c r="U2323" s="33" t="s">
        <v>278</v>
      </c>
      <c r="V2323" s="132"/>
      <c r="W2323" s="59" t="s">
        <v>633</v>
      </c>
      <c r="X2323" s="33" t="str">
        <f>+VLOOKUP(OtherClients[[#This Row],[Part]],PartControl!$A$2:$E$564,5,FALSE)</f>
        <v>INFASCO</v>
      </c>
      <c r="Y2323" s="108">
        <f>IF(OtherClients[[#This Row],[Re-certified or New]]&lt;&gt;"Re-certified",IF(OtherClients[[#This Row],[Client]]="infasco",VLOOKUP(OtherClients[[#This Row],[Part]],PartControl!$A$2:$E$564,2,FALSE),OtherClients[[#This Row],[Total Quantity]]*VLOOKUP(OtherClients[[#This Row],[Part]],PartControl!$A$2:$E$564,2,FALSE)),0)</f>
        <v>0</v>
      </c>
      <c r="Z2323" s="108">
        <f>IF(OtherClients[[#This Row],[Re-certified or New]]&lt;&gt;"Re-certified",IF(OtherClients[[#This Row],[Client]]="infasco",VLOOKUP(OtherClients[[#This Row],[Part]],PartControl!$A$2:$E$564,2,FALSE),OtherClients[[#This Row],[Total Quantity]]*VLOOKUP(OtherClients[[#This Row],[Part]],PartControl!$A$2:$E$564,2,FALSE)),0)</f>
        <v>0</v>
      </c>
    </row>
    <row r="2324" spans="1:26" ht="25.15" hidden="1" customHeight="1" x14ac:dyDescent="0.25">
      <c r="A2324" s="112">
        <v>46267.707094907404</v>
      </c>
      <c r="B2324" s="5" t="s">
        <v>233</v>
      </c>
      <c r="C2324" s="5" t="s">
        <v>814</v>
      </c>
      <c r="D2324" s="5">
        <v>717180</v>
      </c>
      <c r="E2324" s="33">
        <f>36-5</f>
        <v>31</v>
      </c>
      <c r="F2324" s="60">
        <v>2500</v>
      </c>
      <c r="G2324" s="60">
        <f>+OtherClients[[#This Row],[Boxes / Pieces]]*OtherClients[[#This Row],[Unit Quantity]]</f>
        <v>77500</v>
      </c>
      <c r="H2324" s="60">
        <v>275</v>
      </c>
      <c r="I2324" s="130" t="s">
        <v>278</v>
      </c>
      <c r="J2324" s="131"/>
      <c r="K2324" s="33" t="s">
        <v>278</v>
      </c>
      <c r="L2324" s="132"/>
      <c r="M2324" s="33" t="s">
        <v>278</v>
      </c>
      <c r="N2324" s="132"/>
      <c r="O2324" s="33" t="s">
        <v>278</v>
      </c>
      <c r="P2324" s="132"/>
      <c r="Q2324" s="33" t="s">
        <v>587</v>
      </c>
      <c r="R2324" s="132"/>
      <c r="S2324" s="33" t="s">
        <v>278</v>
      </c>
      <c r="T2324" s="132"/>
      <c r="U2324" s="33" t="s">
        <v>278</v>
      </c>
      <c r="V2324" s="132"/>
      <c r="W2324" s="59" t="s">
        <v>548</v>
      </c>
      <c r="X2324" s="33" t="str">
        <f>+VLOOKUP(OtherClients[[#This Row],[Part]],PartControl!$A$2:$E$564,5,FALSE)</f>
        <v>Infasco</v>
      </c>
      <c r="Y2324" s="108">
        <f>IF(OtherClients[[#This Row],[Re-certified or New]]&lt;&gt;"Re-certified",IF(OtherClients[[#This Row],[Client]]="infasco",VLOOKUP(OtherClients[[#This Row],[Part]],PartControl!$A$2:$E$564,2,FALSE),OtherClients[[#This Row],[Total Quantity]]*VLOOKUP(OtherClients[[#This Row],[Part]],PartControl!$A$2:$E$564,2,FALSE)),0)</f>
        <v>106.94</v>
      </c>
      <c r="Z2324" s="108">
        <f>IF(OtherClients[[#This Row],[Re-certified or New]]&lt;&gt;"Re-certified",IF(OtherClients[[#This Row],[Client]]="infasco",VLOOKUP(OtherClients[[#This Row],[Part]],PartControl!$A$2:$E$564,2,FALSE),OtherClients[[#This Row],[Total Quantity]]*VLOOKUP(OtherClients[[#This Row],[Part]],PartControl!$A$2:$E$564,2,FALSE)),0)</f>
        <v>106.94</v>
      </c>
    </row>
    <row r="2325" spans="1:26" ht="25.15" hidden="1" customHeight="1" x14ac:dyDescent="0.25">
      <c r="A2325" s="112">
        <v>46267.707094907404</v>
      </c>
      <c r="B2325" s="5" t="s">
        <v>233</v>
      </c>
      <c r="C2325" s="5" t="s">
        <v>814</v>
      </c>
      <c r="D2325" s="5">
        <v>717289</v>
      </c>
      <c r="E2325" s="33">
        <v>20</v>
      </c>
      <c r="F2325" s="60">
        <v>2500</v>
      </c>
      <c r="G2325" s="60">
        <f>+OtherClients[[#This Row],[Boxes / Pieces]]*OtherClients[[#This Row],[Unit Quantity]]</f>
        <v>50000</v>
      </c>
      <c r="H2325" s="60">
        <v>275</v>
      </c>
      <c r="I2325" s="130" t="s">
        <v>278</v>
      </c>
      <c r="J2325" s="131"/>
      <c r="K2325" s="33" t="s">
        <v>278</v>
      </c>
      <c r="L2325" s="132"/>
      <c r="M2325" s="33" t="s">
        <v>278</v>
      </c>
      <c r="N2325" s="132"/>
      <c r="O2325" s="33" t="s">
        <v>278</v>
      </c>
      <c r="P2325" s="132"/>
      <c r="Q2325" s="33" t="s">
        <v>587</v>
      </c>
      <c r="R2325" s="132"/>
      <c r="S2325" s="33" t="s">
        <v>278</v>
      </c>
      <c r="T2325" s="132"/>
      <c r="U2325" s="33" t="s">
        <v>278</v>
      </c>
      <c r="V2325" s="132"/>
      <c r="W2325" s="59" t="s">
        <v>633</v>
      </c>
      <c r="X2325" s="33" t="str">
        <f>+VLOOKUP(OtherClients[[#This Row],[Part]],PartControl!$A$2:$E$564,5,FALSE)</f>
        <v>Infasco</v>
      </c>
      <c r="Y2325" s="108">
        <f>IF(OtherClients[[#This Row],[Re-certified or New]]&lt;&gt;"Re-certified",IF(OtherClients[[#This Row],[Client]]="infasco",VLOOKUP(OtherClients[[#This Row],[Part]],PartControl!$A$2:$E$564,2,FALSE),OtherClients[[#This Row],[Total Quantity]]*VLOOKUP(OtherClients[[#This Row],[Part]],PartControl!$A$2:$E$564,2,FALSE)),0)</f>
        <v>0</v>
      </c>
      <c r="Z2325" s="108">
        <f>IF(OtherClients[[#This Row],[Re-certified or New]]&lt;&gt;"Re-certified",IF(OtherClients[[#This Row],[Client]]="infasco",VLOOKUP(OtherClients[[#This Row],[Part]],PartControl!$A$2:$E$564,2,FALSE),OtherClients[[#This Row],[Total Quantity]]*VLOOKUP(OtherClients[[#This Row],[Part]],PartControl!$A$2:$E$564,2,FALSE)),0)</f>
        <v>0</v>
      </c>
    </row>
    <row r="2326" spans="1:26" ht="25.15" hidden="1" customHeight="1" x14ac:dyDescent="0.25">
      <c r="A2326" s="112">
        <v>46267.707094907404</v>
      </c>
      <c r="B2326" s="5" t="s">
        <v>238</v>
      </c>
      <c r="C2326" s="5" t="s">
        <v>833</v>
      </c>
      <c r="D2326" s="5">
        <v>717259</v>
      </c>
      <c r="E2326" s="33">
        <f>36-5</f>
        <v>31</v>
      </c>
      <c r="F2326" s="60">
        <v>1500</v>
      </c>
      <c r="G2326" s="60">
        <f>+OtherClients[[#This Row],[Boxes / Pieces]]*OtherClients[[#This Row],[Unit Quantity]]</f>
        <v>46500</v>
      </c>
      <c r="H2326" s="60">
        <v>275</v>
      </c>
      <c r="I2326" s="130" t="s">
        <v>278</v>
      </c>
      <c r="J2326" s="131"/>
      <c r="K2326" s="33" t="s">
        <v>278</v>
      </c>
      <c r="L2326" s="132"/>
      <c r="M2326" s="33" t="s">
        <v>278</v>
      </c>
      <c r="N2326" s="132"/>
      <c r="O2326" s="33" t="s">
        <v>278</v>
      </c>
      <c r="P2326" s="132"/>
      <c r="Q2326" s="33" t="s">
        <v>587</v>
      </c>
      <c r="R2326" s="132"/>
      <c r="S2326" s="33" t="s">
        <v>278</v>
      </c>
      <c r="T2326" s="132"/>
      <c r="U2326" s="33" t="s">
        <v>278</v>
      </c>
      <c r="V2326" s="132"/>
      <c r="W2326" s="59" t="s">
        <v>548</v>
      </c>
      <c r="X2326" s="33" t="str">
        <f>+VLOOKUP(OtherClients[[#This Row],[Part]],PartControl!$A$2:$E$564,5,FALSE)</f>
        <v>infasco</v>
      </c>
      <c r="Y2326" s="108">
        <f>IF(OtherClients[[#This Row],[Re-certified or New]]&lt;&gt;"Re-certified",IF(OtherClients[[#This Row],[Client]]="infasco",VLOOKUP(OtherClients[[#This Row],[Part]],PartControl!$A$2:$E$564,2,FALSE),OtherClients[[#This Row],[Total Quantity]]*VLOOKUP(OtherClients[[#This Row],[Part]],PartControl!$A$2:$E$564,2,FALSE)),0)</f>
        <v>106.94</v>
      </c>
      <c r="Z2326" s="108">
        <f>IF(OtherClients[[#This Row],[Re-certified or New]]&lt;&gt;"Re-certified",IF(OtherClients[[#This Row],[Client]]="infasco",VLOOKUP(OtherClients[[#This Row],[Part]],PartControl!$A$2:$E$564,2,FALSE),OtherClients[[#This Row],[Total Quantity]]*VLOOKUP(OtherClients[[#This Row],[Part]],PartControl!$A$2:$E$564,2,FALSE)),0)</f>
        <v>106.94</v>
      </c>
    </row>
    <row r="2327" spans="1:26" ht="25.15" hidden="1" customHeight="1" x14ac:dyDescent="0.25">
      <c r="A2327" s="112">
        <v>46267.707094907404</v>
      </c>
      <c r="B2327" s="5" t="s">
        <v>238</v>
      </c>
      <c r="C2327" s="5" t="s">
        <v>833</v>
      </c>
      <c r="D2327" s="5">
        <v>717260</v>
      </c>
      <c r="E2327" s="33">
        <v>36</v>
      </c>
      <c r="F2327" s="60">
        <v>1500</v>
      </c>
      <c r="G2327" s="60">
        <f>+OtherClients[[#This Row],[Boxes / Pieces]]*OtherClients[[#This Row],[Unit Quantity]]</f>
        <v>54000</v>
      </c>
      <c r="H2327" s="60">
        <v>275</v>
      </c>
      <c r="I2327" s="130" t="s">
        <v>278</v>
      </c>
      <c r="J2327" s="131"/>
      <c r="K2327" s="33" t="s">
        <v>278</v>
      </c>
      <c r="L2327" s="132"/>
      <c r="M2327" s="33" t="s">
        <v>278</v>
      </c>
      <c r="N2327" s="132"/>
      <c r="O2327" s="33" t="s">
        <v>278</v>
      </c>
      <c r="P2327" s="132"/>
      <c r="Q2327" s="33" t="s">
        <v>587</v>
      </c>
      <c r="R2327" s="132"/>
      <c r="S2327" s="33" t="s">
        <v>278</v>
      </c>
      <c r="T2327" s="132"/>
      <c r="U2327" s="33" t="s">
        <v>278</v>
      </c>
      <c r="V2327" s="132"/>
      <c r="W2327" s="59" t="s">
        <v>548</v>
      </c>
      <c r="X2327" s="33" t="str">
        <f>+VLOOKUP(OtherClients[[#This Row],[Part]],PartControl!$A$2:$E$564,5,FALSE)</f>
        <v>infasco</v>
      </c>
      <c r="Y2327" s="108">
        <f>IF(OtherClients[[#This Row],[Re-certified or New]]&lt;&gt;"Re-certified",IF(OtherClients[[#This Row],[Client]]="infasco",VLOOKUP(OtherClients[[#This Row],[Part]],PartControl!$A$2:$E$564,2,FALSE),OtherClients[[#This Row],[Total Quantity]]*VLOOKUP(OtherClients[[#This Row],[Part]],PartControl!$A$2:$E$564,2,FALSE)),0)</f>
        <v>106.94</v>
      </c>
      <c r="Z2327" s="108">
        <f>IF(OtherClients[[#This Row],[Re-certified or New]]&lt;&gt;"Re-certified",IF(OtherClients[[#This Row],[Client]]="infasco",VLOOKUP(OtherClients[[#This Row],[Part]],PartControl!$A$2:$E$564,2,FALSE),OtherClients[[#This Row],[Total Quantity]]*VLOOKUP(OtherClients[[#This Row],[Part]],PartControl!$A$2:$E$564,2,FALSE)),0)</f>
        <v>106.94</v>
      </c>
    </row>
    <row r="2328" spans="1:26" ht="25.15" hidden="1" customHeight="1" x14ac:dyDescent="0.25">
      <c r="A2328" s="112">
        <v>46267.707094907404</v>
      </c>
      <c r="B2328" s="5" t="s">
        <v>624</v>
      </c>
      <c r="C2328" s="5" t="s">
        <v>705</v>
      </c>
      <c r="D2328" s="5">
        <v>716355</v>
      </c>
      <c r="E2328" s="33">
        <v>36</v>
      </c>
      <c r="F2328" s="60">
        <v>450</v>
      </c>
      <c r="G2328" s="60">
        <f>+OtherClients[[#This Row],[Boxes / Pieces]]*OtherClients[[#This Row],[Unit Quantity]]</f>
        <v>16200</v>
      </c>
      <c r="H2328" s="60">
        <v>292</v>
      </c>
      <c r="I2328" s="130" t="s">
        <v>278</v>
      </c>
      <c r="J2328" s="131"/>
      <c r="K2328" s="33" t="s">
        <v>278</v>
      </c>
      <c r="L2328" s="132"/>
      <c r="M2328" s="33" t="s">
        <v>278</v>
      </c>
      <c r="N2328" s="132"/>
      <c r="O2328" s="33" t="s">
        <v>278</v>
      </c>
      <c r="P2328" s="132"/>
      <c r="Q2328" s="33" t="s">
        <v>587</v>
      </c>
      <c r="R2328" s="132"/>
      <c r="S2328" s="33" t="s">
        <v>278</v>
      </c>
      <c r="T2328" s="132"/>
      <c r="U2328" s="33" t="s">
        <v>278</v>
      </c>
      <c r="V2328" s="132"/>
      <c r="W2328" s="59" t="s">
        <v>548</v>
      </c>
      <c r="X2328" s="33" t="str">
        <f>+VLOOKUP(OtherClients[[#This Row],[Part]],PartControl!$A$2:$E$564,5,FALSE)</f>
        <v>infasco</v>
      </c>
      <c r="Y2328" s="108">
        <f>IF(OtherClients[[#This Row],[Re-certified or New]]&lt;&gt;"Re-certified",IF(OtherClients[[#This Row],[Client]]="infasco",VLOOKUP(OtherClients[[#This Row],[Part]],PartControl!$A$2:$E$564,2,FALSE),OtherClients[[#This Row],[Total Quantity]]*VLOOKUP(OtherClients[[#This Row],[Part]],PartControl!$A$2:$E$564,2,FALSE)),0)</f>
        <v>106.94</v>
      </c>
      <c r="Z2328" s="108">
        <f>IF(OtherClients[[#This Row],[Re-certified or New]]&lt;&gt;"Re-certified",IF(OtherClients[[#This Row],[Client]]="infasco",VLOOKUP(OtherClients[[#This Row],[Part]],PartControl!$A$2:$E$564,2,FALSE),OtherClients[[#This Row],[Total Quantity]]*VLOOKUP(OtherClients[[#This Row],[Part]],PartControl!$A$2:$E$564,2,FALSE)),0)</f>
        <v>106.94</v>
      </c>
    </row>
    <row r="2329" spans="1:26" ht="25.15" hidden="1" customHeight="1" x14ac:dyDescent="0.25">
      <c r="A2329" s="112">
        <v>46267.707094907404</v>
      </c>
      <c r="B2329" s="5" t="s">
        <v>624</v>
      </c>
      <c r="C2329" s="5" t="s">
        <v>705</v>
      </c>
      <c r="D2329" s="5">
        <v>716354</v>
      </c>
      <c r="E2329" s="33">
        <v>36</v>
      </c>
      <c r="F2329" s="60">
        <v>450</v>
      </c>
      <c r="G2329" s="60">
        <f>+OtherClients[[#This Row],[Boxes / Pieces]]*OtherClients[[#This Row],[Unit Quantity]]</f>
        <v>16200</v>
      </c>
      <c r="H2329" s="60">
        <v>292</v>
      </c>
      <c r="I2329" s="130" t="s">
        <v>278</v>
      </c>
      <c r="J2329" s="131"/>
      <c r="K2329" s="33" t="s">
        <v>278</v>
      </c>
      <c r="L2329" s="132"/>
      <c r="M2329" s="33" t="s">
        <v>278</v>
      </c>
      <c r="N2329" s="132"/>
      <c r="O2329" s="33" t="s">
        <v>278</v>
      </c>
      <c r="P2329" s="132"/>
      <c r="Q2329" s="33" t="s">
        <v>587</v>
      </c>
      <c r="R2329" s="132"/>
      <c r="S2329" s="33" t="s">
        <v>278</v>
      </c>
      <c r="T2329" s="132"/>
      <c r="U2329" s="33" t="s">
        <v>278</v>
      </c>
      <c r="V2329" s="132"/>
      <c r="W2329" s="59" t="s">
        <v>548</v>
      </c>
      <c r="X2329" s="33" t="str">
        <f>+VLOOKUP(OtherClients[[#This Row],[Part]],PartControl!$A$2:$E$564,5,FALSE)</f>
        <v>infasco</v>
      </c>
      <c r="Y2329" s="108">
        <f>IF(OtherClients[[#This Row],[Re-certified or New]]&lt;&gt;"Re-certified",IF(OtherClients[[#This Row],[Client]]="infasco",VLOOKUP(OtherClients[[#This Row],[Part]],PartControl!$A$2:$E$564,2,FALSE),OtherClients[[#This Row],[Total Quantity]]*VLOOKUP(OtherClients[[#This Row],[Part]],PartControl!$A$2:$E$564,2,FALSE)),0)</f>
        <v>106.94</v>
      </c>
      <c r="Z2329" s="108">
        <f>IF(OtherClients[[#This Row],[Re-certified or New]]&lt;&gt;"Re-certified",IF(OtherClients[[#This Row],[Client]]="infasco",VLOOKUP(OtherClients[[#This Row],[Part]],PartControl!$A$2:$E$564,2,FALSE),OtherClients[[#This Row],[Total Quantity]]*VLOOKUP(OtherClients[[#This Row],[Part]],PartControl!$A$2:$E$564,2,FALSE)),0)</f>
        <v>106.94</v>
      </c>
    </row>
    <row r="2330" spans="1:26" ht="25.15" hidden="1" customHeight="1" x14ac:dyDescent="0.25">
      <c r="A2330" s="112">
        <v>46267.707094907404</v>
      </c>
      <c r="B2330" s="5" t="s">
        <v>624</v>
      </c>
      <c r="C2330" s="5" t="s">
        <v>705</v>
      </c>
      <c r="D2330" s="5">
        <v>716362</v>
      </c>
      <c r="E2330" s="33">
        <v>20</v>
      </c>
      <c r="F2330" s="60">
        <v>450</v>
      </c>
      <c r="G2330" s="60">
        <f>+OtherClients[[#This Row],[Boxes / Pieces]]*OtherClients[[#This Row],[Unit Quantity]]</f>
        <v>9000</v>
      </c>
      <c r="H2330" s="60">
        <v>292</v>
      </c>
      <c r="I2330" s="130" t="s">
        <v>278</v>
      </c>
      <c r="J2330" s="131"/>
      <c r="K2330" s="33" t="s">
        <v>278</v>
      </c>
      <c r="L2330" s="132"/>
      <c r="M2330" s="33" t="s">
        <v>278</v>
      </c>
      <c r="N2330" s="132"/>
      <c r="O2330" s="33" t="s">
        <v>278</v>
      </c>
      <c r="P2330" s="132"/>
      <c r="Q2330" s="33" t="s">
        <v>587</v>
      </c>
      <c r="R2330" s="132"/>
      <c r="S2330" s="33" t="s">
        <v>278</v>
      </c>
      <c r="T2330" s="132"/>
      <c r="U2330" s="33" t="s">
        <v>278</v>
      </c>
      <c r="V2330" s="132"/>
      <c r="W2330" s="59" t="s">
        <v>633</v>
      </c>
      <c r="X2330" s="33" t="str">
        <f>+VLOOKUP(OtherClients[[#This Row],[Part]],PartControl!$A$2:$E$564,5,FALSE)</f>
        <v>infasco</v>
      </c>
      <c r="Y2330" s="108">
        <f>IF(OtherClients[[#This Row],[Re-certified or New]]&lt;&gt;"Re-certified",IF(OtherClients[[#This Row],[Client]]="infasco",VLOOKUP(OtherClients[[#This Row],[Part]],PartControl!$A$2:$E$564,2,FALSE),OtherClients[[#This Row],[Total Quantity]]*VLOOKUP(OtherClients[[#This Row],[Part]],PartControl!$A$2:$E$564,2,FALSE)),0)</f>
        <v>0</v>
      </c>
      <c r="Z2330" s="108">
        <f>IF(OtherClients[[#This Row],[Re-certified or New]]&lt;&gt;"Re-certified",IF(OtherClients[[#This Row],[Client]]="infasco",VLOOKUP(OtherClients[[#This Row],[Part]],PartControl!$A$2:$E$564,2,FALSE),OtherClients[[#This Row],[Total Quantity]]*VLOOKUP(OtherClients[[#This Row],[Part]],PartControl!$A$2:$E$564,2,FALSE)),0)</f>
        <v>0</v>
      </c>
    </row>
    <row r="2331" spans="1:26" ht="25.15" hidden="1" customHeight="1" x14ac:dyDescent="0.25">
      <c r="A2331" s="112">
        <v>46267.707094907404</v>
      </c>
      <c r="B2331" s="5" t="s">
        <v>244</v>
      </c>
      <c r="C2331" s="5" t="s">
        <v>706</v>
      </c>
      <c r="D2331" s="5">
        <v>716818</v>
      </c>
      <c r="E2331" s="33">
        <f>27-16</f>
        <v>11</v>
      </c>
      <c r="F2331" s="60">
        <v>1900</v>
      </c>
      <c r="G2331" s="60">
        <f>+OtherClients[[#This Row],[Boxes / Pieces]]*OtherClients[[#This Row],[Unit Quantity]]</f>
        <v>20900</v>
      </c>
      <c r="H2331" s="60">
        <v>292</v>
      </c>
      <c r="I2331" s="130" t="s">
        <v>278</v>
      </c>
      <c r="J2331" s="131"/>
      <c r="K2331" s="33" t="s">
        <v>278</v>
      </c>
      <c r="L2331" s="132"/>
      <c r="M2331" s="33" t="s">
        <v>278</v>
      </c>
      <c r="N2331" s="132"/>
      <c r="O2331" s="33" t="s">
        <v>278</v>
      </c>
      <c r="P2331" s="132"/>
      <c r="Q2331" s="33" t="s">
        <v>587</v>
      </c>
      <c r="R2331" s="132"/>
      <c r="S2331" s="33" t="s">
        <v>278</v>
      </c>
      <c r="T2331" s="132"/>
      <c r="U2331" s="33" t="s">
        <v>278</v>
      </c>
      <c r="V2331" s="132"/>
      <c r="W2331" s="59" t="s">
        <v>548</v>
      </c>
      <c r="X2331" s="33" t="str">
        <f>+VLOOKUP(OtherClients[[#This Row],[Part]],PartControl!$A$2:$E$564,5,FALSE)</f>
        <v>infasco</v>
      </c>
      <c r="Y2331" s="108">
        <f>IF(OtherClients[[#This Row],[Re-certified or New]]&lt;&gt;"Re-certified",IF(OtherClients[[#This Row],[Client]]="infasco",VLOOKUP(OtherClients[[#This Row],[Part]],PartControl!$A$2:$E$564,2,FALSE),OtherClients[[#This Row],[Total Quantity]]*VLOOKUP(OtherClients[[#This Row],[Part]],PartControl!$A$2:$E$564,2,FALSE)),0)</f>
        <v>106.94</v>
      </c>
      <c r="Z2331" s="108">
        <f>IF(OtherClients[[#This Row],[Re-certified or New]]&lt;&gt;"Re-certified",IF(OtherClients[[#This Row],[Client]]="infasco",VLOOKUP(OtherClients[[#This Row],[Part]],PartControl!$A$2:$E$564,2,FALSE),OtherClients[[#This Row],[Total Quantity]]*VLOOKUP(OtherClients[[#This Row],[Part]],PartControl!$A$2:$E$564,2,FALSE)),0)</f>
        <v>106.94</v>
      </c>
    </row>
    <row r="2332" spans="1:26" ht="25.15" hidden="1" customHeight="1" x14ac:dyDescent="0.25">
      <c r="A2332" s="112">
        <v>46267.707094907404</v>
      </c>
      <c r="B2332" s="5" t="s">
        <v>244</v>
      </c>
      <c r="C2332" s="5">
        <v>11546377</v>
      </c>
      <c r="D2332" s="5">
        <v>718131</v>
      </c>
      <c r="E2332" s="33">
        <v>10</v>
      </c>
      <c r="F2332" s="60">
        <v>2150</v>
      </c>
      <c r="G2332" s="60">
        <f>+OtherClients[[#This Row],[Boxes / Pieces]]*OtherClients[[#This Row],[Unit Quantity]]</f>
        <v>21500</v>
      </c>
      <c r="H2332" s="60">
        <v>292</v>
      </c>
      <c r="I2332" s="130" t="s">
        <v>278</v>
      </c>
      <c r="J2332" s="131"/>
      <c r="K2332" s="33" t="s">
        <v>278</v>
      </c>
      <c r="L2332" s="132"/>
      <c r="M2332" s="33" t="s">
        <v>278</v>
      </c>
      <c r="N2332" s="132"/>
      <c r="O2332" s="33" t="s">
        <v>278</v>
      </c>
      <c r="P2332" s="132"/>
      <c r="Q2332" s="33" t="s">
        <v>587</v>
      </c>
      <c r="R2332" s="132"/>
      <c r="S2332" s="33" t="s">
        <v>278</v>
      </c>
      <c r="T2332" s="132"/>
      <c r="U2332" s="33" t="s">
        <v>278</v>
      </c>
      <c r="V2332" s="132"/>
      <c r="W2332" s="59" t="s">
        <v>633</v>
      </c>
      <c r="X2332" s="33" t="str">
        <f>+VLOOKUP(OtherClients[[#This Row],[Part]],PartControl!$A$2:$E$564,5,FALSE)</f>
        <v>INFASCO</v>
      </c>
      <c r="Y2332" s="108">
        <f>IF(OtherClients[[#This Row],[Re-certified or New]]&lt;&gt;"Re-certified",IF(OtherClients[[#This Row],[Client]]="infasco",VLOOKUP(OtherClients[[#This Row],[Part]],PartControl!$A$2:$E$564,2,FALSE),OtherClients[[#This Row],[Total Quantity]]*VLOOKUP(OtherClients[[#This Row],[Part]],PartControl!$A$2:$E$564,2,FALSE)),0)</f>
        <v>0</v>
      </c>
      <c r="Z2332" s="108">
        <f>IF(OtherClients[[#This Row],[Re-certified or New]]&lt;&gt;"Re-certified",IF(OtherClients[[#This Row],[Client]]="infasco",VLOOKUP(OtherClients[[#This Row],[Part]],PartControl!$A$2:$E$564,2,FALSE),OtherClients[[#This Row],[Total Quantity]]*VLOOKUP(OtherClients[[#This Row],[Part]],PartControl!$A$2:$E$564,2,FALSE)),0)</f>
        <v>0</v>
      </c>
    </row>
    <row r="2333" spans="1:26" ht="25.15" hidden="1" customHeight="1" x14ac:dyDescent="0.25">
      <c r="A2333" s="112">
        <v>46267.707094907404</v>
      </c>
      <c r="B2333" s="5" t="s">
        <v>246</v>
      </c>
      <c r="C2333" s="5" t="s">
        <v>860</v>
      </c>
      <c r="D2333" s="5">
        <v>717178</v>
      </c>
      <c r="E2333" s="33">
        <f>36-9</f>
        <v>27</v>
      </c>
      <c r="F2333" s="60">
        <v>1250</v>
      </c>
      <c r="G2333" s="60">
        <f>+OtherClients[[#This Row],[Boxes / Pieces]]*OtherClients[[#This Row],[Unit Quantity]]</f>
        <v>33750</v>
      </c>
      <c r="H2333" s="60">
        <v>292</v>
      </c>
      <c r="I2333" s="130" t="s">
        <v>278</v>
      </c>
      <c r="J2333" s="131"/>
      <c r="K2333" s="33" t="s">
        <v>278</v>
      </c>
      <c r="L2333" s="132"/>
      <c r="M2333" s="33" t="s">
        <v>278</v>
      </c>
      <c r="N2333" s="132"/>
      <c r="O2333" s="33" t="s">
        <v>278</v>
      </c>
      <c r="P2333" s="132"/>
      <c r="Q2333" s="33" t="s">
        <v>587</v>
      </c>
      <c r="R2333" s="132"/>
      <c r="S2333" s="33" t="s">
        <v>278</v>
      </c>
      <c r="T2333" s="132"/>
      <c r="U2333" s="33" t="s">
        <v>278</v>
      </c>
      <c r="V2333" s="132"/>
      <c r="W2333" s="59" t="s">
        <v>548</v>
      </c>
      <c r="X2333" s="33" t="str">
        <f>+VLOOKUP(OtherClients[[#This Row],[Part]],PartControl!$A$2:$E$564,5,FALSE)</f>
        <v>infasco</v>
      </c>
      <c r="Y2333" s="108">
        <f>IF(OtherClients[[#This Row],[Re-certified or New]]&lt;&gt;"Re-certified",IF(OtherClients[[#This Row],[Client]]="infasco",VLOOKUP(OtherClients[[#This Row],[Part]],PartControl!$A$2:$E$564,2,FALSE),OtherClients[[#This Row],[Total Quantity]]*VLOOKUP(OtherClients[[#This Row],[Part]],PartControl!$A$2:$E$564,2,FALSE)),0)</f>
        <v>106.94</v>
      </c>
      <c r="Z2333" s="108">
        <f>IF(OtherClients[[#This Row],[Re-certified or New]]&lt;&gt;"Re-certified",IF(OtherClients[[#This Row],[Client]]="infasco",VLOOKUP(OtherClients[[#This Row],[Part]],PartControl!$A$2:$E$564,2,FALSE),OtherClients[[#This Row],[Total Quantity]]*VLOOKUP(OtherClients[[#This Row],[Part]],PartControl!$A$2:$E$564,2,FALSE)),0)</f>
        <v>106.94</v>
      </c>
    </row>
    <row r="2334" spans="1:26" ht="25.15" hidden="1" customHeight="1" x14ac:dyDescent="0.25">
      <c r="A2334" s="112">
        <v>46267.707094907404</v>
      </c>
      <c r="B2334" s="5" t="s">
        <v>246</v>
      </c>
      <c r="C2334" s="5" t="s">
        <v>860</v>
      </c>
      <c r="D2334" s="5">
        <v>717175</v>
      </c>
      <c r="E2334" s="33">
        <v>36</v>
      </c>
      <c r="F2334" s="60">
        <v>1250</v>
      </c>
      <c r="G2334" s="60">
        <f>+OtherClients[[#This Row],[Boxes / Pieces]]*OtherClients[[#This Row],[Unit Quantity]]</f>
        <v>45000</v>
      </c>
      <c r="H2334" s="60">
        <v>292</v>
      </c>
      <c r="I2334" s="130" t="s">
        <v>278</v>
      </c>
      <c r="J2334" s="131"/>
      <c r="K2334" s="33" t="s">
        <v>278</v>
      </c>
      <c r="L2334" s="132"/>
      <c r="M2334" s="33" t="s">
        <v>278</v>
      </c>
      <c r="N2334" s="132"/>
      <c r="O2334" s="33" t="s">
        <v>278</v>
      </c>
      <c r="P2334" s="132"/>
      <c r="Q2334" s="33" t="s">
        <v>587</v>
      </c>
      <c r="R2334" s="132"/>
      <c r="S2334" s="33" t="s">
        <v>278</v>
      </c>
      <c r="T2334" s="132"/>
      <c r="U2334" s="33" t="s">
        <v>278</v>
      </c>
      <c r="V2334" s="132"/>
      <c r="W2334" s="59" t="s">
        <v>548</v>
      </c>
      <c r="X2334" s="33" t="str">
        <f>+VLOOKUP(OtherClients[[#This Row],[Part]],PartControl!$A$2:$E$564,5,FALSE)</f>
        <v>infasco</v>
      </c>
      <c r="Y2334" s="108">
        <f>IF(OtherClients[[#This Row],[Re-certified or New]]&lt;&gt;"Re-certified",IF(OtherClients[[#This Row],[Client]]="infasco",VLOOKUP(OtherClients[[#This Row],[Part]],PartControl!$A$2:$E$564,2,FALSE),OtherClients[[#This Row],[Total Quantity]]*VLOOKUP(OtherClients[[#This Row],[Part]],PartControl!$A$2:$E$564,2,FALSE)),0)</f>
        <v>106.94</v>
      </c>
      <c r="Z2334" s="108">
        <f>IF(OtherClients[[#This Row],[Re-certified or New]]&lt;&gt;"Re-certified",IF(OtherClients[[#This Row],[Client]]="infasco",VLOOKUP(OtherClients[[#This Row],[Part]],PartControl!$A$2:$E$564,2,FALSE),OtherClients[[#This Row],[Total Quantity]]*VLOOKUP(OtherClients[[#This Row],[Part]],PartControl!$A$2:$E$564,2,FALSE)),0)</f>
        <v>106.94</v>
      </c>
    </row>
    <row r="2335" spans="1:26" ht="25.15" hidden="1" customHeight="1" x14ac:dyDescent="0.25">
      <c r="A2335" s="112">
        <v>46267.707094907404</v>
      </c>
      <c r="B2335" s="5" t="s">
        <v>246</v>
      </c>
      <c r="C2335" s="5" t="s">
        <v>860</v>
      </c>
      <c r="D2335" s="5">
        <v>717177</v>
      </c>
      <c r="E2335" s="33">
        <v>10</v>
      </c>
      <c r="F2335" s="60">
        <v>1250</v>
      </c>
      <c r="G2335" s="60">
        <f>+OtherClients[[#This Row],[Boxes / Pieces]]*OtherClients[[#This Row],[Unit Quantity]]</f>
        <v>12500</v>
      </c>
      <c r="H2335" s="60">
        <v>292</v>
      </c>
      <c r="I2335" s="130" t="s">
        <v>278</v>
      </c>
      <c r="J2335" s="131"/>
      <c r="K2335" s="33" t="s">
        <v>278</v>
      </c>
      <c r="L2335" s="132"/>
      <c r="M2335" s="33" t="s">
        <v>278</v>
      </c>
      <c r="N2335" s="132"/>
      <c r="O2335" s="33" t="s">
        <v>278</v>
      </c>
      <c r="P2335" s="132"/>
      <c r="Q2335" s="33" t="s">
        <v>587</v>
      </c>
      <c r="R2335" s="132"/>
      <c r="S2335" s="33" t="s">
        <v>278</v>
      </c>
      <c r="T2335" s="132"/>
      <c r="U2335" s="33" t="s">
        <v>278</v>
      </c>
      <c r="V2335" s="132"/>
      <c r="W2335" s="59" t="s">
        <v>633</v>
      </c>
      <c r="X2335" s="33" t="str">
        <f>+VLOOKUP(OtherClients[[#This Row],[Part]],PartControl!$A$2:$E$564,5,FALSE)</f>
        <v>infasco</v>
      </c>
      <c r="Y2335" s="108">
        <f>IF(OtherClients[[#This Row],[Re-certified or New]]&lt;&gt;"Re-certified",IF(OtherClients[[#This Row],[Client]]="infasco",VLOOKUP(OtherClients[[#This Row],[Part]],PartControl!$A$2:$E$564,2,FALSE),OtherClients[[#This Row],[Total Quantity]]*VLOOKUP(OtherClients[[#This Row],[Part]],PartControl!$A$2:$E$564,2,FALSE)),0)</f>
        <v>0</v>
      </c>
      <c r="Z2335" s="108">
        <f>IF(OtherClients[[#This Row],[Re-certified or New]]&lt;&gt;"Re-certified",IF(OtherClients[[#This Row],[Client]]="infasco",VLOOKUP(OtherClients[[#This Row],[Part]],PartControl!$A$2:$E$564,2,FALSE),OtherClients[[#This Row],[Total Quantity]]*VLOOKUP(OtherClients[[#This Row],[Part]],PartControl!$A$2:$E$564,2,FALSE)),0)</f>
        <v>0</v>
      </c>
    </row>
    <row r="2336" spans="1:26" ht="25.15" hidden="1" customHeight="1" x14ac:dyDescent="0.25">
      <c r="A2336" s="112">
        <v>46267.707094907404</v>
      </c>
      <c r="B2336" s="5" t="s">
        <v>245</v>
      </c>
      <c r="C2336" s="5">
        <v>11546545</v>
      </c>
      <c r="D2336" s="5">
        <v>717324</v>
      </c>
      <c r="E2336" s="33">
        <v>10</v>
      </c>
      <c r="F2336" s="60">
        <v>2500</v>
      </c>
      <c r="G2336" s="60">
        <f>+OtherClients[[#This Row],[Boxes / Pieces]]*OtherClients[[#This Row],[Unit Quantity]]</f>
        <v>25000</v>
      </c>
      <c r="H2336" s="60">
        <v>292</v>
      </c>
      <c r="I2336" s="130" t="s">
        <v>278</v>
      </c>
      <c r="J2336" s="131"/>
      <c r="K2336" s="33" t="s">
        <v>278</v>
      </c>
      <c r="L2336" s="132"/>
      <c r="M2336" s="33" t="s">
        <v>278</v>
      </c>
      <c r="N2336" s="132"/>
      <c r="O2336" s="33" t="s">
        <v>278</v>
      </c>
      <c r="P2336" s="132"/>
      <c r="Q2336" s="33" t="s">
        <v>587</v>
      </c>
      <c r="R2336" s="132"/>
      <c r="S2336" s="33" t="s">
        <v>278</v>
      </c>
      <c r="T2336" s="132"/>
      <c r="U2336" s="33" t="s">
        <v>278</v>
      </c>
      <c r="V2336" s="132"/>
      <c r="W2336" s="59" t="s">
        <v>633</v>
      </c>
      <c r="X2336" s="33" t="str">
        <f>+VLOOKUP(OtherClients[[#This Row],[Part]],PartControl!$A$2:$E$564,5,FALSE)</f>
        <v>infasco</v>
      </c>
      <c r="Y2336" s="108">
        <f>IF(OtherClients[[#This Row],[Re-certified or New]]&lt;&gt;"Re-certified",IF(OtherClients[[#This Row],[Client]]="infasco",VLOOKUP(OtherClients[[#This Row],[Part]],PartControl!$A$2:$E$564,2,FALSE),OtherClients[[#This Row],[Total Quantity]]*VLOOKUP(OtherClients[[#This Row],[Part]],PartControl!$A$2:$E$564,2,FALSE)),0)</f>
        <v>0</v>
      </c>
      <c r="Z2336" s="108">
        <f>IF(OtherClients[[#This Row],[Re-certified or New]]&lt;&gt;"Re-certified",IF(OtherClients[[#This Row],[Client]]="infasco",VLOOKUP(OtherClients[[#This Row],[Part]],PartControl!$A$2:$E$564,2,FALSE),OtherClients[[#This Row],[Total Quantity]]*VLOOKUP(OtherClients[[#This Row],[Part]],PartControl!$A$2:$E$564,2,FALSE)),0)</f>
        <v>0</v>
      </c>
    </row>
    <row r="2337" spans="1:26" ht="25.15" hidden="1" customHeight="1" x14ac:dyDescent="0.25">
      <c r="A2337" s="112">
        <v>46267.707094907404</v>
      </c>
      <c r="B2337" s="5" t="s">
        <v>251</v>
      </c>
      <c r="C2337" s="5">
        <v>11549168</v>
      </c>
      <c r="D2337" s="5">
        <v>716915</v>
      </c>
      <c r="E2337" s="33">
        <v>1</v>
      </c>
      <c r="F2337" s="60">
        <v>1000</v>
      </c>
      <c r="G2337" s="60">
        <f>+OtherClients[[#This Row],[Boxes / Pieces]]*OtherClients[[#This Row],[Unit Quantity]]</f>
        <v>1000</v>
      </c>
      <c r="H2337" s="60">
        <v>292</v>
      </c>
      <c r="I2337" s="130" t="s">
        <v>278</v>
      </c>
      <c r="J2337" s="131"/>
      <c r="K2337" s="33" t="s">
        <v>278</v>
      </c>
      <c r="L2337" s="132"/>
      <c r="M2337" s="33" t="s">
        <v>278</v>
      </c>
      <c r="N2337" s="132"/>
      <c r="O2337" s="33" t="s">
        <v>278</v>
      </c>
      <c r="P2337" s="132"/>
      <c r="Q2337" s="33" t="s">
        <v>587</v>
      </c>
      <c r="R2337" s="132"/>
      <c r="S2337" s="33" t="s">
        <v>278</v>
      </c>
      <c r="T2337" s="132"/>
      <c r="U2337" s="33" t="s">
        <v>278</v>
      </c>
      <c r="V2337" s="132"/>
      <c r="W2337" s="59" t="s">
        <v>548</v>
      </c>
      <c r="X2337" s="33" t="str">
        <f>+VLOOKUP(OtherClients[[#This Row],[Part]],PartControl!$A$2:$E$564,5,FALSE)</f>
        <v>INFASCO</v>
      </c>
      <c r="Y2337" s="108">
        <f>IF(OtherClients[[#This Row],[Re-certified or New]]&lt;&gt;"Re-certified",IF(OtherClients[[#This Row],[Client]]="infasco",VLOOKUP(OtherClients[[#This Row],[Part]],PartControl!$A$2:$E$564,2,FALSE),OtherClients[[#This Row],[Total Quantity]]*VLOOKUP(OtherClients[[#This Row],[Part]],PartControl!$A$2:$E$564,2,FALSE)),0)</f>
        <v>106.94</v>
      </c>
      <c r="Z2337" s="108">
        <f>IF(OtherClients[[#This Row],[Re-certified or New]]&lt;&gt;"Re-certified",IF(OtherClients[[#This Row],[Client]]="infasco",VLOOKUP(OtherClients[[#This Row],[Part]],PartControl!$A$2:$E$564,2,FALSE),OtherClients[[#This Row],[Total Quantity]]*VLOOKUP(OtherClients[[#This Row],[Part]],PartControl!$A$2:$E$564,2,FALSE)),0)</f>
        <v>106.94</v>
      </c>
    </row>
    <row r="2338" spans="1:26" ht="25.15" hidden="1" customHeight="1" x14ac:dyDescent="0.25">
      <c r="A2338" s="112">
        <v>46267.707094907404</v>
      </c>
      <c r="B2338" s="5" t="s">
        <v>251</v>
      </c>
      <c r="C2338" s="5" t="s">
        <v>645</v>
      </c>
      <c r="D2338" s="5">
        <v>717402</v>
      </c>
      <c r="E2338" s="33">
        <v>36</v>
      </c>
      <c r="F2338" s="60">
        <v>1000</v>
      </c>
      <c r="G2338" s="60">
        <f>+OtherClients[[#This Row],[Boxes / Pieces]]*OtherClients[[#This Row],[Unit Quantity]]</f>
        <v>36000</v>
      </c>
      <c r="H2338" s="60">
        <v>292</v>
      </c>
      <c r="I2338" s="130" t="s">
        <v>278</v>
      </c>
      <c r="J2338" s="131"/>
      <c r="K2338" s="33" t="s">
        <v>278</v>
      </c>
      <c r="L2338" s="132"/>
      <c r="M2338" s="33" t="s">
        <v>278</v>
      </c>
      <c r="N2338" s="132"/>
      <c r="O2338" s="33" t="s">
        <v>278</v>
      </c>
      <c r="P2338" s="132"/>
      <c r="Q2338" s="33" t="s">
        <v>587</v>
      </c>
      <c r="R2338" s="132"/>
      <c r="S2338" s="33" t="s">
        <v>278</v>
      </c>
      <c r="T2338" s="132"/>
      <c r="U2338" s="33" t="s">
        <v>278</v>
      </c>
      <c r="V2338" s="132"/>
      <c r="W2338" s="59" t="s">
        <v>633</v>
      </c>
      <c r="X2338" s="33" t="str">
        <f>+VLOOKUP(OtherClients[[#This Row],[Part]],PartControl!$A$2:$E$564,5,FALSE)</f>
        <v>infasco</v>
      </c>
      <c r="Y2338" s="108">
        <f>IF(OtherClients[[#This Row],[Re-certified or New]]&lt;&gt;"Re-certified",IF(OtherClients[[#This Row],[Client]]="infasco",VLOOKUP(OtherClients[[#This Row],[Part]],PartControl!$A$2:$E$564,2,FALSE),OtherClients[[#This Row],[Total Quantity]]*VLOOKUP(OtherClients[[#This Row],[Part]],PartControl!$A$2:$E$564,2,FALSE)),0)</f>
        <v>0</v>
      </c>
      <c r="Z2338" s="108">
        <f>IF(OtherClients[[#This Row],[Re-certified or New]]&lt;&gt;"Re-certified",IF(OtherClients[[#This Row],[Client]]="infasco",VLOOKUP(OtherClients[[#This Row],[Part]],PartControl!$A$2:$E$564,2,FALSE),OtherClients[[#This Row],[Total Quantity]]*VLOOKUP(OtherClients[[#This Row],[Part]],PartControl!$A$2:$E$564,2,FALSE)),0)</f>
        <v>0</v>
      </c>
    </row>
    <row r="2339" spans="1:26" ht="25.15" hidden="1" customHeight="1" x14ac:dyDescent="0.25">
      <c r="A2339" s="112">
        <v>46267.707094907404</v>
      </c>
      <c r="B2339" s="5" t="s">
        <v>243</v>
      </c>
      <c r="C2339" s="5" t="s">
        <v>721</v>
      </c>
      <c r="D2339" s="5">
        <v>717645</v>
      </c>
      <c r="E2339" s="33">
        <f>28-5</f>
        <v>23</v>
      </c>
      <c r="F2339" s="60">
        <v>4500</v>
      </c>
      <c r="G2339" s="60">
        <f>+OtherClients[[#This Row],[Boxes / Pieces]]*OtherClients[[#This Row],[Unit Quantity]]</f>
        <v>103500</v>
      </c>
      <c r="H2339" s="60">
        <v>292</v>
      </c>
      <c r="I2339" s="130" t="s">
        <v>278</v>
      </c>
      <c r="J2339" s="131"/>
      <c r="K2339" s="33" t="s">
        <v>278</v>
      </c>
      <c r="L2339" s="132"/>
      <c r="M2339" s="33" t="s">
        <v>278</v>
      </c>
      <c r="N2339" s="132"/>
      <c r="O2339" s="33" t="s">
        <v>278</v>
      </c>
      <c r="P2339" s="132"/>
      <c r="Q2339" s="33" t="s">
        <v>587</v>
      </c>
      <c r="R2339" s="132"/>
      <c r="S2339" s="33" t="s">
        <v>278</v>
      </c>
      <c r="T2339" s="132"/>
      <c r="U2339" s="33" t="s">
        <v>278</v>
      </c>
      <c r="V2339" s="132"/>
      <c r="W2339" s="59" t="s">
        <v>633</v>
      </c>
      <c r="X2339" s="33" t="str">
        <f>+VLOOKUP(OtherClients[[#This Row],[Part]],PartControl!$A$2:$E$564,5,FALSE)</f>
        <v>Infasco</v>
      </c>
      <c r="Y2339" s="108">
        <f>IF(OtherClients[[#This Row],[Re-certified or New]]&lt;&gt;"Re-certified",IF(OtherClients[[#This Row],[Client]]="infasco",VLOOKUP(OtherClients[[#This Row],[Part]],PartControl!$A$2:$E$564,2,FALSE),OtherClients[[#This Row],[Total Quantity]]*VLOOKUP(OtherClients[[#This Row],[Part]],PartControl!$A$2:$E$564,2,FALSE)),0)</f>
        <v>0</v>
      </c>
      <c r="Z2339" s="108">
        <f>IF(OtherClients[[#This Row],[Re-certified or New]]&lt;&gt;"Re-certified",IF(OtherClients[[#This Row],[Client]]="infasco",VLOOKUP(OtherClients[[#This Row],[Part]],PartControl!$A$2:$E$564,2,FALSE),OtherClients[[#This Row],[Total Quantity]]*VLOOKUP(OtherClients[[#This Row],[Part]],PartControl!$A$2:$E$564,2,FALSE)),0)</f>
        <v>0</v>
      </c>
    </row>
    <row r="2340" spans="1:26" ht="25.15" hidden="1" customHeight="1" x14ac:dyDescent="0.25">
      <c r="A2340" s="112">
        <v>46267.707094907404</v>
      </c>
      <c r="B2340" s="5" t="s">
        <v>623</v>
      </c>
      <c r="C2340" s="5">
        <v>11549170</v>
      </c>
      <c r="D2340" s="5">
        <v>716573</v>
      </c>
      <c r="E2340" s="33">
        <f>36+5-15</f>
        <v>26</v>
      </c>
      <c r="F2340" s="60">
        <v>400</v>
      </c>
      <c r="G2340" s="60">
        <f>+OtherClients[[#This Row],[Boxes / Pieces]]*OtherClients[[#This Row],[Unit Quantity]]</f>
        <v>10400</v>
      </c>
      <c r="H2340" s="60">
        <v>292</v>
      </c>
      <c r="I2340" s="130" t="s">
        <v>278</v>
      </c>
      <c r="J2340" s="131"/>
      <c r="K2340" s="33" t="s">
        <v>278</v>
      </c>
      <c r="L2340" s="132"/>
      <c r="M2340" s="33" t="s">
        <v>278</v>
      </c>
      <c r="N2340" s="132"/>
      <c r="O2340" s="33" t="s">
        <v>278</v>
      </c>
      <c r="P2340" s="132"/>
      <c r="Q2340" s="33" t="s">
        <v>587</v>
      </c>
      <c r="R2340" s="132"/>
      <c r="S2340" s="33" t="s">
        <v>278</v>
      </c>
      <c r="T2340" s="132"/>
      <c r="U2340" s="33" t="s">
        <v>278</v>
      </c>
      <c r="V2340" s="132"/>
      <c r="W2340" s="59" t="s">
        <v>548</v>
      </c>
      <c r="X2340" s="33" t="str">
        <f>+VLOOKUP(OtherClients[[#This Row],[Part]],PartControl!$A$2:$E$564,5,FALSE)</f>
        <v>INFASCO</v>
      </c>
      <c r="Y2340" s="108">
        <f>IF(OtherClients[[#This Row],[Re-certified or New]]&lt;&gt;"Re-certified",IF(OtherClients[[#This Row],[Client]]="infasco",VLOOKUP(OtherClients[[#This Row],[Part]],PartControl!$A$2:$E$564,2,FALSE),OtherClients[[#This Row],[Total Quantity]]*VLOOKUP(OtherClients[[#This Row],[Part]],PartControl!$A$2:$E$564,2,FALSE)),0)</f>
        <v>106.94</v>
      </c>
      <c r="Z2340" s="108">
        <f>IF(OtherClients[[#This Row],[Re-certified or New]]&lt;&gt;"Re-certified",IF(OtherClients[[#This Row],[Client]]="infasco",VLOOKUP(OtherClients[[#This Row],[Part]],PartControl!$A$2:$E$564,2,FALSE),OtherClients[[#This Row],[Total Quantity]]*VLOOKUP(OtherClients[[#This Row],[Part]],PartControl!$A$2:$E$564,2,FALSE)),0)</f>
        <v>106.94</v>
      </c>
    </row>
    <row r="2341" spans="1:26" ht="25.15" hidden="1" customHeight="1" x14ac:dyDescent="0.25">
      <c r="A2341" s="112">
        <v>46267.707094907404</v>
      </c>
      <c r="B2341" s="5" t="s">
        <v>623</v>
      </c>
      <c r="C2341" s="5" t="s">
        <v>814</v>
      </c>
      <c r="D2341" s="5">
        <v>717563</v>
      </c>
      <c r="E2341" s="33">
        <v>30</v>
      </c>
      <c r="F2341" s="60">
        <v>2500</v>
      </c>
      <c r="G2341" s="60">
        <f>+OtherClients[[#This Row],[Boxes / Pieces]]*OtherClients[[#This Row],[Unit Quantity]]</f>
        <v>75000</v>
      </c>
      <c r="H2341" s="60">
        <v>292</v>
      </c>
      <c r="I2341" s="130" t="s">
        <v>278</v>
      </c>
      <c r="J2341" s="131"/>
      <c r="K2341" s="33" t="s">
        <v>278</v>
      </c>
      <c r="L2341" s="132"/>
      <c r="M2341" s="33" t="s">
        <v>278</v>
      </c>
      <c r="N2341" s="132"/>
      <c r="O2341" s="33" t="s">
        <v>278</v>
      </c>
      <c r="P2341" s="132"/>
      <c r="Q2341" s="33" t="s">
        <v>587</v>
      </c>
      <c r="R2341" s="132"/>
      <c r="S2341" s="33" t="s">
        <v>278</v>
      </c>
      <c r="T2341" s="132"/>
      <c r="U2341" s="33" t="s">
        <v>278</v>
      </c>
      <c r="V2341" s="132"/>
      <c r="W2341" s="59" t="s">
        <v>548</v>
      </c>
      <c r="X2341" s="33" t="str">
        <f>+VLOOKUP(OtherClients[[#This Row],[Part]],PartControl!$A$2:$E$564,5,FALSE)</f>
        <v>Infasco</v>
      </c>
      <c r="Y2341" s="108">
        <f>IF(OtherClients[[#This Row],[Re-certified or New]]&lt;&gt;"Re-certified",IF(OtherClients[[#This Row],[Client]]="infasco",VLOOKUP(OtherClients[[#This Row],[Part]],PartControl!$A$2:$E$564,2,FALSE),OtherClients[[#This Row],[Total Quantity]]*VLOOKUP(OtherClients[[#This Row],[Part]],PartControl!$A$2:$E$564,2,FALSE)),0)</f>
        <v>106.94</v>
      </c>
      <c r="Z2341" s="108">
        <f>IF(OtherClients[[#This Row],[Re-certified or New]]&lt;&gt;"Re-certified",IF(OtherClients[[#This Row],[Client]]="infasco",VLOOKUP(OtherClients[[#This Row],[Part]],PartControl!$A$2:$E$564,2,FALSE),OtherClients[[#This Row],[Total Quantity]]*VLOOKUP(OtherClients[[#This Row],[Part]],PartControl!$A$2:$E$564,2,FALSE)),0)</f>
        <v>106.94</v>
      </c>
    </row>
    <row r="2342" spans="1:26" ht="25.15" hidden="1" customHeight="1" x14ac:dyDescent="0.25">
      <c r="A2342" s="112">
        <v>46267.707094907404</v>
      </c>
      <c r="B2342" s="5" t="s">
        <v>236</v>
      </c>
      <c r="C2342" s="5">
        <v>11546389</v>
      </c>
      <c r="D2342" s="5">
        <v>717702</v>
      </c>
      <c r="E2342" s="33">
        <v>19</v>
      </c>
      <c r="F2342" s="60">
        <v>4500</v>
      </c>
      <c r="G2342" s="60">
        <f>+OtherClients[[#This Row],[Boxes / Pieces]]*OtherClients[[#This Row],[Unit Quantity]]</f>
        <v>85500</v>
      </c>
      <c r="H2342" s="60">
        <v>290</v>
      </c>
      <c r="I2342" s="130" t="s">
        <v>278</v>
      </c>
      <c r="J2342" s="131"/>
      <c r="K2342" s="33" t="s">
        <v>278</v>
      </c>
      <c r="L2342" s="132"/>
      <c r="M2342" s="33" t="s">
        <v>278</v>
      </c>
      <c r="N2342" s="132"/>
      <c r="O2342" s="33" t="s">
        <v>278</v>
      </c>
      <c r="P2342" s="132"/>
      <c r="Q2342" s="33" t="s">
        <v>587</v>
      </c>
      <c r="R2342" s="132"/>
      <c r="S2342" s="33" t="s">
        <v>278</v>
      </c>
      <c r="T2342" s="132"/>
      <c r="U2342" s="33" t="s">
        <v>278</v>
      </c>
      <c r="V2342" s="132"/>
      <c r="W2342" s="59" t="s">
        <v>633</v>
      </c>
      <c r="X2342" s="33" t="str">
        <f>+VLOOKUP(OtherClients[[#This Row],[Part]],PartControl!$A$2:$E$564,5,FALSE)</f>
        <v>INFASCO</v>
      </c>
      <c r="Y2342" s="108">
        <f>IF(OtherClients[[#This Row],[Re-certified or New]]&lt;&gt;"Re-certified",IF(OtherClients[[#This Row],[Client]]="infasco",VLOOKUP(OtherClients[[#This Row],[Part]],PartControl!$A$2:$E$564,2,FALSE),OtherClients[[#This Row],[Total Quantity]]*VLOOKUP(OtherClients[[#This Row],[Part]],PartControl!$A$2:$E$564,2,FALSE)),0)</f>
        <v>0</v>
      </c>
      <c r="Z2342" s="108">
        <f>IF(OtherClients[[#This Row],[Re-certified or New]]&lt;&gt;"Re-certified",IF(OtherClients[[#This Row],[Client]]="infasco",VLOOKUP(OtherClients[[#This Row],[Part]],PartControl!$A$2:$E$564,2,FALSE),OtherClients[[#This Row],[Total Quantity]]*VLOOKUP(OtherClients[[#This Row],[Part]],PartControl!$A$2:$E$564,2,FALSE)),0)</f>
        <v>0</v>
      </c>
    </row>
    <row r="2343" spans="1:26" ht="25.15" hidden="1" customHeight="1" x14ac:dyDescent="0.25">
      <c r="A2343" s="112">
        <v>46267.707094907404</v>
      </c>
      <c r="B2343" s="5" t="s">
        <v>239</v>
      </c>
      <c r="C2343" s="5" t="s">
        <v>687</v>
      </c>
      <c r="D2343" s="5">
        <v>717210</v>
      </c>
      <c r="E2343" s="33">
        <f>36-12</f>
        <v>24</v>
      </c>
      <c r="F2343" s="60">
        <v>280</v>
      </c>
      <c r="G2343" s="60">
        <f>+OtherClients[[#This Row],[Boxes / Pieces]]*OtherClients[[#This Row],[Unit Quantity]]</f>
        <v>6720</v>
      </c>
      <c r="H2343" s="60">
        <v>290</v>
      </c>
      <c r="I2343" s="130" t="s">
        <v>278</v>
      </c>
      <c r="J2343" s="131"/>
      <c r="K2343" s="33" t="s">
        <v>278</v>
      </c>
      <c r="L2343" s="132"/>
      <c r="M2343" s="33" t="s">
        <v>278</v>
      </c>
      <c r="N2343" s="132"/>
      <c r="O2343" s="33" t="s">
        <v>278</v>
      </c>
      <c r="P2343" s="132"/>
      <c r="Q2343" s="33" t="s">
        <v>587</v>
      </c>
      <c r="R2343" s="132"/>
      <c r="S2343" s="33" t="s">
        <v>278</v>
      </c>
      <c r="T2343" s="132"/>
      <c r="U2343" s="33" t="s">
        <v>278</v>
      </c>
      <c r="V2343" s="132"/>
      <c r="W2343" s="59" t="s">
        <v>548</v>
      </c>
      <c r="X2343" s="33" t="str">
        <f>+VLOOKUP(OtherClients[[#This Row],[Part]],PartControl!$A$2:$E$564,5,FALSE)</f>
        <v>infasco</v>
      </c>
      <c r="Y2343" s="108">
        <f>IF(OtherClients[[#This Row],[Re-certified or New]]&lt;&gt;"Re-certified",IF(OtherClients[[#This Row],[Client]]="infasco",VLOOKUP(OtherClients[[#This Row],[Part]],PartControl!$A$2:$E$564,2,FALSE),OtherClients[[#This Row],[Total Quantity]]*VLOOKUP(OtherClients[[#This Row],[Part]],PartControl!$A$2:$E$564,2,FALSE)),0)</f>
        <v>106.94</v>
      </c>
      <c r="Z2343" s="108">
        <f>IF(OtherClients[[#This Row],[Re-certified or New]]&lt;&gt;"Re-certified",IF(OtherClients[[#This Row],[Client]]="infasco",VLOOKUP(OtherClients[[#This Row],[Part]],PartControl!$A$2:$E$564,2,FALSE),OtherClients[[#This Row],[Total Quantity]]*VLOOKUP(OtherClients[[#This Row],[Part]],PartControl!$A$2:$E$564,2,FALSE)),0)</f>
        <v>106.94</v>
      </c>
    </row>
    <row r="2344" spans="1:26" ht="25.15" hidden="1" customHeight="1" x14ac:dyDescent="0.25">
      <c r="A2344" s="112">
        <v>46267.707094907404</v>
      </c>
      <c r="B2344" s="5" t="s">
        <v>239</v>
      </c>
      <c r="C2344" s="5" t="s">
        <v>687</v>
      </c>
      <c r="D2344" s="5">
        <v>717216</v>
      </c>
      <c r="E2344" s="33">
        <v>22</v>
      </c>
      <c r="F2344" s="60">
        <v>280</v>
      </c>
      <c r="G2344" s="60">
        <f>+OtherClients[[#This Row],[Boxes / Pieces]]*OtherClients[[#This Row],[Unit Quantity]]</f>
        <v>6160</v>
      </c>
      <c r="H2344" s="60">
        <v>290</v>
      </c>
      <c r="I2344" s="130" t="s">
        <v>278</v>
      </c>
      <c r="J2344" s="131"/>
      <c r="K2344" s="33" t="s">
        <v>278</v>
      </c>
      <c r="L2344" s="132"/>
      <c r="M2344" s="33" t="s">
        <v>278</v>
      </c>
      <c r="N2344" s="132"/>
      <c r="O2344" s="33" t="s">
        <v>278</v>
      </c>
      <c r="P2344" s="132"/>
      <c r="Q2344" s="33" t="s">
        <v>587</v>
      </c>
      <c r="R2344" s="132"/>
      <c r="S2344" s="33" t="s">
        <v>278</v>
      </c>
      <c r="T2344" s="132"/>
      <c r="U2344" s="33" t="s">
        <v>278</v>
      </c>
      <c r="V2344" s="132"/>
      <c r="W2344" s="59" t="s">
        <v>548</v>
      </c>
      <c r="X2344" s="33" t="str">
        <f>+VLOOKUP(OtherClients[[#This Row],[Part]],PartControl!$A$2:$E$564,5,FALSE)</f>
        <v>infasco</v>
      </c>
      <c r="Y2344" s="108">
        <f>IF(OtherClients[[#This Row],[Re-certified or New]]&lt;&gt;"Re-certified",IF(OtherClients[[#This Row],[Client]]="infasco",VLOOKUP(OtherClients[[#This Row],[Part]],PartControl!$A$2:$E$564,2,FALSE),OtherClients[[#This Row],[Total Quantity]]*VLOOKUP(OtherClients[[#This Row],[Part]],PartControl!$A$2:$E$564,2,FALSE)),0)</f>
        <v>106.94</v>
      </c>
      <c r="Z2344" s="108">
        <f>IF(OtherClients[[#This Row],[Re-certified or New]]&lt;&gt;"Re-certified",IF(OtherClients[[#This Row],[Client]]="infasco",VLOOKUP(OtherClients[[#This Row],[Part]],PartControl!$A$2:$E$564,2,FALSE),OtherClients[[#This Row],[Total Quantity]]*VLOOKUP(OtherClients[[#This Row],[Part]],PartControl!$A$2:$E$564,2,FALSE)),0)</f>
        <v>106.94</v>
      </c>
    </row>
    <row r="2345" spans="1:26" ht="25.15" hidden="1" customHeight="1" x14ac:dyDescent="0.25">
      <c r="A2345" s="112">
        <v>46267.707094907404</v>
      </c>
      <c r="B2345" s="5" t="s">
        <v>239</v>
      </c>
      <c r="C2345" s="5" t="s">
        <v>687</v>
      </c>
      <c r="D2345" s="5">
        <v>717209</v>
      </c>
      <c r="E2345" s="33">
        <v>37</v>
      </c>
      <c r="F2345" s="60">
        <v>280</v>
      </c>
      <c r="G2345" s="60">
        <f>+OtherClients[[#This Row],[Boxes / Pieces]]*OtherClients[[#This Row],[Unit Quantity]]</f>
        <v>10360</v>
      </c>
      <c r="H2345" s="60">
        <v>290</v>
      </c>
      <c r="I2345" s="130" t="s">
        <v>278</v>
      </c>
      <c r="J2345" s="131"/>
      <c r="K2345" s="33" t="s">
        <v>278</v>
      </c>
      <c r="L2345" s="132"/>
      <c r="M2345" s="33" t="s">
        <v>278</v>
      </c>
      <c r="N2345" s="132"/>
      <c r="O2345" s="33" t="s">
        <v>278</v>
      </c>
      <c r="P2345" s="132"/>
      <c r="Q2345" s="33" t="s">
        <v>587</v>
      </c>
      <c r="R2345" s="132"/>
      <c r="S2345" s="33" t="s">
        <v>278</v>
      </c>
      <c r="T2345" s="132"/>
      <c r="U2345" s="33" t="s">
        <v>278</v>
      </c>
      <c r="V2345" s="132"/>
      <c r="W2345" s="59" t="s">
        <v>548</v>
      </c>
      <c r="X2345" s="33" t="str">
        <f>+VLOOKUP(OtherClients[[#This Row],[Part]],PartControl!$A$2:$E$564,5,FALSE)</f>
        <v>infasco</v>
      </c>
      <c r="Y2345" s="108">
        <f>IF(OtherClients[[#This Row],[Re-certified or New]]&lt;&gt;"Re-certified",IF(OtherClients[[#This Row],[Client]]="infasco",VLOOKUP(OtherClients[[#This Row],[Part]],PartControl!$A$2:$E$564,2,FALSE),OtherClients[[#This Row],[Total Quantity]]*VLOOKUP(OtherClients[[#This Row],[Part]],PartControl!$A$2:$E$564,2,FALSE)),0)</f>
        <v>106.94</v>
      </c>
      <c r="Z2345" s="108">
        <f>IF(OtherClients[[#This Row],[Re-certified or New]]&lt;&gt;"Re-certified",IF(OtherClients[[#This Row],[Client]]="infasco",VLOOKUP(OtherClients[[#This Row],[Part]],PartControl!$A$2:$E$564,2,FALSE),OtherClients[[#This Row],[Total Quantity]]*VLOOKUP(OtherClients[[#This Row],[Part]],PartControl!$A$2:$E$564,2,FALSE)),0)</f>
        <v>106.94</v>
      </c>
    </row>
    <row r="2346" spans="1:26" ht="25.15" hidden="1" customHeight="1" x14ac:dyDescent="0.25">
      <c r="A2346" s="112">
        <v>46267.707094907404</v>
      </c>
      <c r="B2346" s="5" t="s">
        <v>235</v>
      </c>
      <c r="C2346" s="5">
        <v>11546571</v>
      </c>
      <c r="D2346" s="5">
        <v>717161</v>
      </c>
      <c r="E2346" s="33">
        <v>5</v>
      </c>
      <c r="F2346" s="60">
        <v>1550</v>
      </c>
      <c r="G2346" s="60">
        <f>+OtherClients[[#This Row],[Boxes / Pieces]]*OtherClients[[#This Row],[Unit Quantity]]</f>
        <v>7750</v>
      </c>
      <c r="H2346" s="60">
        <v>290</v>
      </c>
      <c r="I2346" s="130" t="s">
        <v>278</v>
      </c>
      <c r="J2346" s="131"/>
      <c r="K2346" s="33" t="s">
        <v>278</v>
      </c>
      <c r="L2346" s="132"/>
      <c r="M2346" s="33" t="s">
        <v>278</v>
      </c>
      <c r="N2346" s="132"/>
      <c r="O2346" s="33" t="s">
        <v>278</v>
      </c>
      <c r="P2346" s="132"/>
      <c r="Q2346" s="33" t="s">
        <v>587</v>
      </c>
      <c r="R2346" s="132"/>
      <c r="S2346" s="33" t="s">
        <v>278</v>
      </c>
      <c r="T2346" s="132"/>
      <c r="U2346" s="33" t="s">
        <v>278</v>
      </c>
      <c r="V2346" s="132"/>
      <c r="W2346" s="59" t="s">
        <v>633</v>
      </c>
      <c r="X2346" s="33" t="str">
        <f>+VLOOKUP(OtherClients[[#This Row],[Part]],PartControl!$A$2:$E$564,5,FALSE)</f>
        <v>infasco</v>
      </c>
      <c r="Y2346" s="108">
        <f>IF(OtherClients[[#This Row],[Re-certified or New]]&lt;&gt;"Re-certified",IF(OtherClients[[#This Row],[Client]]="infasco",VLOOKUP(OtherClients[[#This Row],[Part]],PartControl!$A$2:$E$564,2,FALSE),OtherClients[[#This Row],[Total Quantity]]*VLOOKUP(OtherClients[[#This Row],[Part]],PartControl!$A$2:$E$564,2,FALSE)),0)</f>
        <v>0</v>
      </c>
      <c r="Z2346" s="108">
        <f>IF(OtherClients[[#This Row],[Re-certified or New]]&lt;&gt;"Re-certified",IF(OtherClients[[#This Row],[Client]]="infasco",VLOOKUP(OtherClients[[#This Row],[Part]],PartControl!$A$2:$E$564,2,FALSE),OtherClients[[#This Row],[Total Quantity]]*VLOOKUP(OtherClients[[#This Row],[Part]],PartControl!$A$2:$E$564,2,FALSE)),0)</f>
        <v>0</v>
      </c>
    </row>
    <row r="2347" spans="1:26" ht="25.15" hidden="1" customHeight="1" x14ac:dyDescent="0.25">
      <c r="A2347" s="112">
        <v>46267.707094907404</v>
      </c>
      <c r="B2347" s="5" t="s">
        <v>240</v>
      </c>
      <c r="C2347" s="5" t="s">
        <v>565</v>
      </c>
      <c r="D2347" s="5">
        <v>716489</v>
      </c>
      <c r="E2347" s="33">
        <v>1</v>
      </c>
      <c r="F2347" s="60">
        <v>20000</v>
      </c>
      <c r="G2347" s="60">
        <f>+OtherClients[[#This Row],[Boxes / Pieces]]*OtherClients[[#This Row],[Unit Quantity]]</f>
        <v>20000</v>
      </c>
      <c r="H2347" s="60">
        <v>290</v>
      </c>
      <c r="I2347" s="130" t="s">
        <v>278</v>
      </c>
      <c r="J2347" s="131"/>
      <c r="K2347" s="33" t="s">
        <v>278</v>
      </c>
      <c r="L2347" s="132"/>
      <c r="M2347" s="33" t="s">
        <v>278</v>
      </c>
      <c r="N2347" s="132"/>
      <c r="O2347" s="33" t="s">
        <v>278</v>
      </c>
      <c r="P2347" s="132"/>
      <c r="Q2347" s="33" t="s">
        <v>587</v>
      </c>
      <c r="R2347" s="132"/>
      <c r="S2347" s="33" t="s">
        <v>278</v>
      </c>
      <c r="T2347" s="132"/>
      <c r="U2347" s="33" t="s">
        <v>278</v>
      </c>
      <c r="V2347" s="132"/>
      <c r="W2347" s="59" t="s">
        <v>548</v>
      </c>
      <c r="X2347" s="33" t="str">
        <f>+VLOOKUP(OtherClients[[#This Row],[Part]],PartControl!$A$2:$E$564,5,FALSE)</f>
        <v>Infasco</v>
      </c>
      <c r="Y2347" s="108">
        <f>IF(OtherClients[[#This Row],[Re-certified or New]]&lt;&gt;"Re-certified",IF(OtherClients[[#This Row],[Client]]="infasco",VLOOKUP(OtherClients[[#This Row],[Part]],PartControl!$A$2:$E$564,2,FALSE),OtherClients[[#This Row],[Total Quantity]]*VLOOKUP(OtherClients[[#This Row],[Part]],PartControl!$A$2:$E$564,2,FALSE)),0)</f>
        <v>106.94</v>
      </c>
      <c r="Z2347" s="108">
        <f>IF(OtherClients[[#This Row],[Re-certified or New]]&lt;&gt;"Re-certified",IF(OtherClients[[#This Row],[Client]]="infasco",VLOOKUP(OtherClients[[#This Row],[Part]],PartControl!$A$2:$E$564,2,FALSE),OtherClients[[#This Row],[Total Quantity]]*VLOOKUP(OtherClients[[#This Row],[Part]],PartControl!$A$2:$E$564,2,FALSE)),0)</f>
        <v>106.94</v>
      </c>
    </row>
    <row r="2348" spans="1:26" ht="25.15" hidden="1" customHeight="1" x14ac:dyDescent="0.25">
      <c r="A2348" s="112">
        <v>46267.707094907404</v>
      </c>
      <c r="B2348" s="5" t="s">
        <v>240</v>
      </c>
      <c r="C2348" s="5" t="s">
        <v>645</v>
      </c>
      <c r="D2348" s="5">
        <v>717396</v>
      </c>
      <c r="E2348" s="33">
        <v>36</v>
      </c>
      <c r="F2348" s="60">
        <v>1000</v>
      </c>
      <c r="G2348" s="60">
        <f>+OtherClients[[#This Row],[Boxes / Pieces]]*OtherClients[[#This Row],[Unit Quantity]]</f>
        <v>36000</v>
      </c>
      <c r="H2348" s="60">
        <v>290</v>
      </c>
      <c r="I2348" s="130" t="s">
        <v>278</v>
      </c>
      <c r="J2348" s="131"/>
      <c r="K2348" s="33" t="s">
        <v>278</v>
      </c>
      <c r="L2348" s="132"/>
      <c r="M2348" s="33" t="s">
        <v>278</v>
      </c>
      <c r="N2348" s="132"/>
      <c r="O2348" s="33" t="s">
        <v>278</v>
      </c>
      <c r="P2348" s="132"/>
      <c r="Q2348" s="33" t="s">
        <v>587</v>
      </c>
      <c r="R2348" s="132"/>
      <c r="S2348" s="33" t="s">
        <v>278</v>
      </c>
      <c r="T2348" s="132"/>
      <c r="U2348" s="33" t="s">
        <v>278</v>
      </c>
      <c r="V2348" s="132"/>
      <c r="W2348" s="59" t="s">
        <v>548</v>
      </c>
      <c r="X2348" s="33" t="str">
        <f>+VLOOKUP(OtherClients[[#This Row],[Part]],PartControl!$A$2:$E$564,5,FALSE)</f>
        <v>infasco</v>
      </c>
      <c r="Y2348" s="108">
        <f>IF(OtherClients[[#This Row],[Re-certified or New]]&lt;&gt;"Re-certified",IF(OtherClients[[#This Row],[Client]]="infasco",VLOOKUP(OtherClients[[#This Row],[Part]],PartControl!$A$2:$E$564,2,FALSE),OtherClients[[#This Row],[Total Quantity]]*VLOOKUP(OtherClients[[#This Row],[Part]],PartControl!$A$2:$E$564,2,FALSE)),0)</f>
        <v>106.94</v>
      </c>
      <c r="Z2348" s="108">
        <f>IF(OtherClients[[#This Row],[Re-certified or New]]&lt;&gt;"Re-certified",IF(OtherClients[[#This Row],[Client]]="infasco",VLOOKUP(OtherClients[[#This Row],[Part]],PartControl!$A$2:$E$564,2,FALSE),OtherClients[[#This Row],[Total Quantity]]*VLOOKUP(OtherClients[[#This Row],[Part]],PartControl!$A$2:$E$564,2,FALSE)),0)</f>
        <v>106.94</v>
      </c>
    </row>
    <row r="2349" spans="1:26" ht="25.15" hidden="1" customHeight="1" x14ac:dyDescent="0.25">
      <c r="A2349" s="112">
        <v>46267.707094907404</v>
      </c>
      <c r="B2349" s="5" t="s">
        <v>240</v>
      </c>
      <c r="C2349" s="5" t="s">
        <v>645</v>
      </c>
      <c r="D2349" s="5">
        <v>717914</v>
      </c>
      <c r="E2349" s="33">
        <v>18</v>
      </c>
      <c r="F2349" s="60">
        <v>1000</v>
      </c>
      <c r="G2349" s="60">
        <f>+OtherClients[[#This Row],[Boxes / Pieces]]*OtherClients[[#This Row],[Unit Quantity]]</f>
        <v>18000</v>
      </c>
      <c r="H2349" s="60">
        <v>290</v>
      </c>
      <c r="I2349" s="130" t="s">
        <v>278</v>
      </c>
      <c r="J2349" s="131"/>
      <c r="K2349" s="33" t="s">
        <v>278</v>
      </c>
      <c r="L2349" s="132"/>
      <c r="M2349" s="33" t="s">
        <v>278</v>
      </c>
      <c r="N2349" s="132"/>
      <c r="O2349" s="33" t="s">
        <v>278</v>
      </c>
      <c r="P2349" s="132"/>
      <c r="Q2349" s="33" t="s">
        <v>587</v>
      </c>
      <c r="R2349" s="132"/>
      <c r="S2349" s="33" t="s">
        <v>278</v>
      </c>
      <c r="T2349" s="132"/>
      <c r="U2349" s="33" t="s">
        <v>278</v>
      </c>
      <c r="V2349" s="132"/>
      <c r="W2349" s="59" t="s">
        <v>633</v>
      </c>
      <c r="X2349" s="33" t="str">
        <f>+VLOOKUP(OtherClients[[#This Row],[Part]],PartControl!$A$2:$E$564,5,FALSE)</f>
        <v>infasco</v>
      </c>
      <c r="Y2349" s="108">
        <f>IF(OtherClients[[#This Row],[Re-certified or New]]&lt;&gt;"Re-certified",IF(OtherClients[[#This Row],[Client]]="infasco",VLOOKUP(OtherClients[[#This Row],[Part]],PartControl!$A$2:$E$564,2,FALSE),OtherClients[[#This Row],[Total Quantity]]*VLOOKUP(OtherClients[[#This Row],[Part]],PartControl!$A$2:$E$564,2,FALSE)),0)</f>
        <v>0</v>
      </c>
      <c r="Z2349" s="108">
        <f>IF(OtherClients[[#This Row],[Re-certified or New]]&lt;&gt;"Re-certified",IF(OtherClients[[#This Row],[Client]]="infasco",VLOOKUP(OtherClients[[#This Row],[Part]],PartControl!$A$2:$E$564,2,FALSE),OtherClients[[#This Row],[Total Quantity]]*VLOOKUP(OtherClients[[#This Row],[Part]],PartControl!$A$2:$E$564,2,FALSE)),0)</f>
        <v>0</v>
      </c>
    </row>
    <row r="2350" spans="1:26" ht="25.15" hidden="1" customHeight="1" x14ac:dyDescent="0.25">
      <c r="A2350" s="112">
        <v>46267.707094907404</v>
      </c>
      <c r="B2350" s="5" t="s">
        <v>237</v>
      </c>
      <c r="C2350" s="5" t="s">
        <v>703</v>
      </c>
      <c r="D2350" s="5">
        <v>717029</v>
      </c>
      <c r="E2350" s="33">
        <f>36-23</f>
        <v>13</v>
      </c>
      <c r="F2350" s="60">
        <v>700</v>
      </c>
      <c r="G2350" s="60">
        <f>+OtherClients[[#This Row],[Boxes / Pieces]]*OtherClients[[#This Row],[Unit Quantity]]</f>
        <v>9100</v>
      </c>
      <c r="H2350" s="60">
        <v>290</v>
      </c>
      <c r="I2350" s="130" t="s">
        <v>278</v>
      </c>
      <c r="J2350" s="131"/>
      <c r="K2350" s="33" t="s">
        <v>278</v>
      </c>
      <c r="L2350" s="132"/>
      <c r="M2350" s="33" t="s">
        <v>278</v>
      </c>
      <c r="N2350" s="132"/>
      <c r="O2350" s="33" t="s">
        <v>278</v>
      </c>
      <c r="P2350" s="132"/>
      <c r="Q2350" s="33" t="s">
        <v>587</v>
      </c>
      <c r="R2350" s="132"/>
      <c r="S2350" s="33" t="s">
        <v>278</v>
      </c>
      <c r="T2350" s="132"/>
      <c r="U2350" s="33" t="s">
        <v>278</v>
      </c>
      <c r="V2350" s="132"/>
      <c r="W2350" s="59" t="s">
        <v>548</v>
      </c>
      <c r="X2350" s="33" t="str">
        <f>+VLOOKUP(OtherClients[[#This Row],[Part]],PartControl!$A$2:$E$564,5,FALSE)</f>
        <v>infasco</v>
      </c>
      <c r="Y2350" s="108">
        <f>IF(OtherClients[[#This Row],[Re-certified or New]]&lt;&gt;"Re-certified",IF(OtherClients[[#This Row],[Client]]="infasco",VLOOKUP(OtherClients[[#This Row],[Part]],PartControl!$A$2:$E$564,2,FALSE),OtherClients[[#This Row],[Total Quantity]]*VLOOKUP(OtherClients[[#This Row],[Part]],PartControl!$A$2:$E$564,2,FALSE)),0)</f>
        <v>106.94</v>
      </c>
      <c r="Z2350" s="108">
        <f>IF(OtherClients[[#This Row],[Re-certified or New]]&lt;&gt;"Re-certified",IF(OtherClients[[#This Row],[Client]]="infasco",VLOOKUP(OtherClients[[#This Row],[Part]],PartControl!$A$2:$E$564,2,FALSE),OtherClients[[#This Row],[Total Quantity]]*VLOOKUP(OtherClients[[#This Row],[Part]],PartControl!$A$2:$E$564,2,FALSE)),0)</f>
        <v>106.94</v>
      </c>
    </row>
    <row r="2351" spans="1:26" ht="25.15" hidden="1" customHeight="1" x14ac:dyDescent="0.25">
      <c r="A2351" s="112">
        <v>46267.707094907404</v>
      </c>
      <c r="B2351" s="5" t="s">
        <v>237</v>
      </c>
      <c r="C2351" s="5" t="s">
        <v>703</v>
      </c>
      <c r="D2351" s="5">
        <v>717497</v>
      </c>
      <c r="E2351" s="33">
        <v>36</v>
      </c>
      <c r="F2351" s="60">
        <v>700</v>
      </c>
      <c r="G2351" s="60">
        <f>+OtherClients[[#This Row],[Boxes / Pieces]]*OtherClients[[#This Row],[Unit Quantity]]</f>
        <v>25200</v>
      </c>
      <c r="H2351" s="60">
        <v>290</v>
      </c>
      <c r="I2351" s="130" t="s">
        <v>278</v>
      </c>
      <c r="J2351" s="131"/>
      <c r="K2351" s="33" t="s">
        <v>278</v>
      </c>
      <c r="L2351" s="132"/>
      <c r="M2351" s="33" t="s">
        <v>278</v>
      </c>
      <c r="N2351" s="132"/>
      <c r="O2351" s="33" t="s">
        <v>278</v>
      </c>
      <c r="P2351" s="132"/>
      <c r="Q2351" s="33" t="s">
        <v>587</v>
      </c>
      <c r="R2351" s="132"/>
      <c r="S2351" s="33" t="s">
        <v>278</v>
      </c>
      <c r="T2351" s="132"/>
      <c r="U2351" s="33" t="s">
        <v>278</v>
      </c>
      <c r="V2351" s="132"/>
      <c r="W2351" s="59" t="s">
        <v>548</v>
      </c>
      <c r="X2351" s="33" t="str">
        <f>+VLOOKUP(OtherClients[[#This Row],[Part]],PartControl!$A$2:$E$564,5,FALSE)</f>
        <v>infasco</v>
      </c>
      <c r="Y2351" s="108">
        <f>IF(OtherClients[[#This Row],[Re-certified or New]]&lt;&gt;"Re-certified",IF(OtherClients[[#This Row],[Client]]="infasco",VLOOKUP(OtherClients[[#This Row],[Part]],PartControl!$A$2:$E$564,2,FALSE),OtherClients[[#This Row],[Total Quantity]]*VLOOKUP(OtherClients[[#This Row],[Part]],PartControl!$A$2:$E$564,2,FALSE)),0)</f>
        <v>106.94</v>
      </c>
      <c r="Z2351" s="108">
        <f>IF(OtherClients[[#This Row],[Re-certified or New]]&lt;&gt;"Re-certified",IF(OtherClients[[#This Row],[Client]]="infasco",VLOOKUP(OtherClients[[#This Row],[Part]],PartControl!$A$2:$E$564,2,FALSE),OtherClients[[#This Row],[Total Quantity]]*VLOOKUP(OtherClients[[#This Row],[Part]],PartControl!$A$2:$E$564,2,FALSE)),0)</f>
        <v>106.94</v>
      </c>
    </row>
    <row r="2352" spans="1:26" ht="25.15" hidden="1" customHeight="1" x14ac:dyDescent="0.25">
      <c r="A2352" s="112">
        <v>46267.707094907404</v>
      </c>
      <c r="B2352" s="5" t="s">
        <v>237</v>
      </c>
      <c r="C2352" s="5" t="s">
        <v>703</v>
      </c>
      <c r="D2352" s="5">
        <v>717030</v>
      </c>
      <c r="E2352" s="33">
        <v>32</v>
      </c>
      <c r="F2352" s="60">
        <v>700</v>
      </c>
      <c r="G2352" s="60">
        <f>+OtherClients[[#This Row],[Boxes / Pieces]]*OtherClients[[#This Row],[Unit Quantity]]</f>
        <v>22400</v>
      </c>
      <c r="H2352" s="60">
        <v>290</v>
      </c>
      <c r="I2352" s="130" t="s">
        <v>278</v>
      </c>
      <c r="J2352" s="131"/>
      <c r="K2352" s="33" t="s">
        <v>278</v>
      </c>
      <c r="L2352" s="132"/>
      <c r="M2352" s="33" t="s">
        <v>278</v>
      </c>
      <c r="N2352" s="132"/>
      <c r="O2352" s="33" t="s">
        <v>278</v>
      </c>
      <c r="P2352" s="132"/>
      <c r="Q2352" s="33" t="s">
        <v>587</v>
      </c>
      <c r="R2352" s="132"/>
      <c r="S2352" s="33" t="s">
        <v>278</v>
      </c>
      <c r="T2352" s="132"/>
      <c r="U2352" s="33" t="s">
        <v>278</v>
      </c>
      <c r="V2352" s="132"/>
      <c r="W2352" s="59" t="s">
        <v>548</v>
      </c>
      <c r="X2352" s="33" t="str">
        <f>+VLOOKUP(OtherClients[[#This Row],[Part]],PartControl!$A$2:$E$564,5,FALSE)</f>
        <v>infasco</v>
      </c>
      <c r="Y2352" s="108">
        <f>IF(OtherClients[[#This Row],[Re-certified or New]]&lt;&gt;"Re-certified",IF(OtherClients[[#This Row],[Client]]="infasco",VLOOKUP(OtherClients[[#This Row],[Part]],PartControl!$A$2:$E$564,2,FALSE),OtherClients[[#This Row],[Total Quantity]]*VLOOKUP(OtherClients[[#This Row],[Part]],PartControl!$A$2:$E$564,2,FALSE)),0)</f>
        <v>106.94</v>
      </c>
      <c r="Z2352" s="108">
        <f>IF(OtherClients[[#This Row],[Re-certified or New]]&lt;&gt;"Re-certified",IF(OtherClients[[#This Row],[Client]]="infasco",VLOOKUP(OtherClients[[#This Row],[Part]],PartControl!$A$2:$E$564,2,FALSE),OtherClients[[#This Row],[Total Quantity]]*VLOOKUP(OtherClients[[#This Row],[Part]],PartControl!$A$2:$E$564,2,FALSE)),0)</f>
        <v>106.94</v>
      </c>
    </row>
    <row r="2353" spans="1:26" ht="25.15" hidden="1" customHeight="1" x14ac:dyDescent="0.25">
      <c r="A2353" s="112">
        <v>46267.707094907404</v>
      </c>
      <c r="B2353" s="5" t="s">
        <v>237</v>
      </c>
      <c r="C2353" s="5" t="s">
        <v>652</v>
      </c>
      <c r="D2353" s="5">
        <v>717854</v>
      </c>
      <c r="E2353" s="33">
        <v>15</v>
      </c>
      <c r="F2353" s="60">
        <v>1750</v>
      </c>
      <c r="G2353" s="60">
        <f>+OtherClients[[#This Row],[Boxes / Pieces]]*OtherClients[[#This Row],[Unit Quantity]]</f>
        <v>26250</v>
      </c>
      <c r="H2353" s="60">
        <v>290</v>
      </c>
      <c r="I2353" s="130" t="s">
        <v>278</v>
      </c>
      <c r="J2353" s="131"/>
      <c r="K2353" s="33" t="s">
        <v>278</v>
      </c>
      <c r="L2353" s="132"/>
      <c r="M2353" s="33" t="s">
        <v>278</v>
      </c>
      <c r="N2353" s="132"/>
      <c r="O2353" s="33" t="s">
        <v>278</v>
      </c>
      <c r="P2353" s="132"/>
      <c r="Q2353" s="33" t="s">
        <v>587</v>
      </c>
      <c r="R2353" s="132"/>
      <c r="S2353" s="33" t="s">
        <v>278</v>
      </c>
      <c r="T2353" s="132"/>
      <c r="U2353" s="33" t="s">
        <v>278</v>
      </c>
      <c r="V2353" s="132"/>
      <c r="W2353" s="59" t="s">
        <v>633</v>
      </c>
      <c r="X2353" s="33" t="str">
        <f>+VLOOKUP(OtherClients[[#This Row],[Part]],PartControl!$A$2:$E$564,5,FALSE)</f>
        <v>infasco</v>
      </c>
      <c r="Y2353" s="108">
        <f>IF(OtherClients[[#This Row],[Re-certified or New]]&lt;&gt;"Re-certified",IF(OtherClients[[#This Row],[Client]]="infasco",VLOOKUP(OtherClients[[#This Row],[Part]],PartControl!$A$2:$E$564,2,FALSE),OtherClients[[#This Row],[Total Quantity]]*VLOOKUP(OtherClients[[#This Row],[Part]],PartControl!$A$2:$E$564,2,FALSE)),0)</f>
        <v>0</v>
      </c>
      <c r="Z2353" s="108">
        <f>IF(OtherClients[[#This Row],[Re-certified or New]]&lt;&gt;"Re-certified",IF(OtherClients[[#This Row],[Client]]="infasco",VLOOKUP(OtherClients[[#This Row],[Part]],PartControl!$A$2:$E$564,2,FALSE),OtherClients[[#This Row],[Total Quantity]]*VLOOKUP(OtherClients[[#This Row],[Part]],PartControl!$A$2:$E$564,2,FALSE)),0)</f>
        <v>0</v>
      </c>
    </row>
    <row r="2354" spans="1:26" ht="25.15" hidden="1" customHeight="1" x14ac:dyDescent="0.25">
      <c r="A2354" s="112">
        <v>46267.707094907404</v>
      </c>
      <c r="B2354" s="5" t="s">
        <v>250</v>
      </c>
      <c r="C2354" s="5">
        <v>11549170</v>
      </c>
      <c r="D2354" s="5">
        <v>716923</v>
      </c>
      <c r="E2354" s="33">
        <f>36-28</f>
        <v>8</v>
      </c>
      <c r="F2354" s="60">
        <v>400</v>
      </c>
      <c r="G2354" s="60">
        <f>+OtherClients[[#This Row],[Boxes / Pieces]]*OtherClients[[#This Row],[Unit Quantity]]</f>
        <v>3200</v>
      </c>
      <c r="H2354" s="60">
        <v>290</v>
      </c>
      <c r="I2354" s="130" t="s">
        <v>278</v>
      </c>
      <c r="J2354" s="131"/>
      <c r="K2354" s="33" t="s">
        <v>278</v>
      </c>
      <c r="L2354" s="132"/>
      <c r="M2354" s="33" t="s">
        <v>278</v>
      </c>
      <c r="N2354" s="132"/>
      <c r="O2354" s="33" t="s">
        <v>278</v>
      </c>
      <c r="P2354" s="132"/>
      <c r="Q2354" s="33" t="s">
        <v>587</v>
      </c>
      <c r="R2354" s="132"/>
      <c r="S2354" s="33" t="s">
        <v>278</v>
      </c>
      <c r="T2354" s="132"/>
      <c r="U2354" s="33" t="s">
        <v>278</v>
      </c>
      <c r="V2354" s="132"/>
      <c r="W2354" s="59" t="s">
        <v>548</v>
      </c>
      <c r="X2354" s="33" t="str">
        <f>+VLOOKUP(OtherClients[[#This Row],[Part]],PartControl!$A$2:$E$564,5,FALSE)</f>
        <v>INFASCO</v>
      </c>
      <c r="Y2354" s="108">
        <f>IF(OtherClients[[#This Row],[Re-certified or New]]&lt;&gt;"Re-certified",IF(OtherClients[[#This Row],[Client]]="infasco",VLOOKUP(OtherClients[[#This Row],[Part]],PartControl!$A$2:$E$564,2,FALSE),OtherClients[[#This Row],[Total Quantity]]*VLOOKUP(OtherClients[[#This Row],[Part]],PartControl!$A$2:$E$564,2,FALSE)),0)</f>
        <v>106.94</v>
      </c>
      <c r="Z2354" s="108">
        <f>IF(OtherClients[[#This Row],[Re-certified or New]]&lt;&gt;"Re-certified",IF(OtherClients[[#This Row],[Client]]="infasco",VLOOKUP(OtherClients[[#This Row],[Part]],PartControl!$A$2:$E$564,2,FALSE),OtherClients[[#This Row],[Total Quantity]]*VLOOKUP(OtherClients[[#This Row],[Part]],PartControl!$A$2:$E$564,2,FALSE)),0)</f>
        <v>106.94</v>
      </c>
    </row>
    <row r="2355" spans="1:26" ht="25.15" hidden="1" customHeight="1" x14ac:dyDescent="0.25">
      <c r="A2355" s="112">
        <v>46267.707094907404</v>
      </c>
      <c r="B2355" s="5" t="s">
        <v>250</v>
      </c>
      <c r="C2355" s="5">
        <v>11549170</v>
      </c>
      <c r="D2355" s="5">
        <v>716918</v>
      </c>
      <c r="E2355" s="33">
        <f>36+14</f>
        <v>50</v>
      </c>
      <c r="F2355" s="60">
        <v>400</v>
      </c>
      <c r="G2355" s="60">
        <f>+OtherClients[[#This Row],[Boxes / Pieces]]*OtherClients[[#This Row],[Unit Quantity]]</f>
        <v>20000</v>
      </c>
      <c r="H2355" s="60">
        <v>290</v>
      </c>
      <c r="I2355" s="130" t="s">
        <v>278</v>
      </c>
      <c r="J2355" s="131"/>
      <c r="K2355" s="33" t="s">
        <v>278</v>
      </c>
      <c r="L2355" s="132"/>
      <c r="M2355" s="33" t="s">
        <v>278</v>
      </c>
      <c r="N2355" s="132"/>
      <c r="O2355" s="33" t="s">
        <v>278</v>
      </c>
      <c r="P2355" s="132"/>
      <c r="Q2355" s="33" t="s">
        <v>587</v>
      </c>
      <c r="R2355" s="132"/>
      <c r="S2355" s="33" t="s">
        <v>278</v>
      </c>
      <c r="T2355" s="132"/>
      <c r="U2355" s="33" t="s">
        <v>278</v>
      </c>
      <c r="V2355" s="132"/>
      <c r="W2355" s="59" t="s">
        <v>548</v>
      </c>
      <c r="X2355" s="33" t="str">
        <f>+VLOOKUP(OtherClients[[#This Row],[Part]],PartControl!$A$2:$E$564,5,FALSE)</f>
        <v>INFASCO</v>
      </c>
      <c r="Y2355" s="108">
        <f>IF(OtherClients[[#This Row],[Re-certified or New]]&lt;&gt;"Re-certified",IF(OtherClients[[#This Row],[Client]]="infasco",VLOOKUP(OtherClients[[#This Row],[Part]],PartControl!$A$2:$E$564,2,FALSE),OtherClients[[#This Row],[Total Quantity]]*VLOOKUP(OtherClients[[#This Row],[Part]],PartControl!$A$2:$E$564,2,FALSE)),0)</f>
        <v>106.94</v>
      </c>
      <c r="Z2355" s="108">
        <f>IF(OtherClients[[#This Row],[Re-certified or New]]&lt;&gt;"Re-certified",IF(OtherClients[[#This Row],[Client]]="infasco",VLOOKUP(OtherClients[[#This Row],[Part]],PartControl!$A$2:$E$564,2,FALSE),OtherClients[[#This Row],[Total Quantity]]*VLOOKUP(OtherClients[[#This Row],[Part]],PartControl!$A$2:$E$564,2,FALSE)),0)</f>
        <v>106.94</v>
      </c>
    </row>
    <row r="2356" spans="1:26" ht="25.15" hidden="1" customHeight="1" x14ac:dyDescent="0.25">
      <c r="A2356" s="112">
        <v>46267.707094907404</v>
      </c>
      <c r="B2356" s="5" t="s">
        <v>250</v>
      </c>
      <c r="C2356" s="5">
        <v>11549170</v>
      </c>
      <c r="D2356" s="5">
        <v>716919</v>
      </c>
      <c r="E2356" s="33">
        <v>28</v>
      </c>
      <c r="F2356" s="60">
        <v>400</v>
      </c>
      <c r="G2356" s="60">
        <f>+OtherClients[[#This Row],[Boxes / Pieces]]*OtherClients[[#This Row],[Unit Quantity]]</f>
        <v>11200</v>
      </c>
      <c r="H2356" s="60">
        <v>290</v>
      </c>
      <c r="I2356" s="130" t="s">
        <v>278</v>
      </c>
      <c r="J2356" s="131"/>
      <c r="K2356" s="33" t="s">
        <v>278</v>
      </c>
      <c r="L2356" s="132"/>
      <c r="M2356" s="33" t="s">
        <v>278</v>
      </c>
      <c r="N2356" s="132"/>
      <c r="O2356" s="33" t="s">
        <v>278</v>
      </c>
      <c r="P2356" s="132"/>
      <c r="Q2356" s="33" t="s">
        <v>587</v>
      </c>
      <c r="R2356" s="132"/>
      <c r="S2356" s="33" t="s">
        <v>278</v>
      </c>
      <c r="T2356" s="132"/>
      <c r="U2356" s="33" t="s">
        <v>278</v>
      </c>
      <c r="V2356" s="132"/>
      <c r="W2356" s="59" t="s">
        <v>633</v>
      </c>
      <c r="X2356" s="33" t="str">
        <f>+VLOOKUP(OtherClients[[#This Row],[Part]],PartControl!$A$2:$E$564,5,FALSE)</f>
        <v>INFASCO</v>
      </c>
      <c r="Y2356" s="108">
        <f>IF(OtherClients[[#This Row],[Re-certified or New]]&lt;&gt;"Re-certified",IF(OtherClients[[#This Row],[Client]]="infasco",VLOOKUP(OtherClients[[#This Row],[Part]],PartControl!$A$2:$E$564,2,FALSE),OtherClients[[#This Row],[Total Quantity]]*VLOOKUP(OtherClients[[#This Row],[Part]],PartControl!$A$2:$E$564,2,FALSE)),0)</f>
        <v>0</v>
      </c>
      <c r="Z2356" s="108">
        <f>IF(OtherClients[[#This Row],[Re-certified or New]]&lt;&gt;"Re-certified",IF(OtherClients[[#This Row],[Client]]="infasco",VLOOKUP(OtherClients[[#This Row],[Part]],PartControl!$A$2:$E$564,2,FALSE),OtherClients[[#This Row],[Total Quantity]]*VLOOKUP(OtherClients[[#This Row],[Part]],PartControl!$A$2:$E$564,2,FALSE)),0)</f>
        <v>0</v>
      </c>
    </row>
    <row r="2357" spans="1:26" ht="25.15" hidden="1" customHeight="1" x14ac:dyDescent="0.25">
      <c r="A2357" s="112">
        <v>46267.707094907404</v>
      </c>
      <c r="B2357" s="5" t="s">
        <v>249</v>
      </c>
      <c r="C2357" s="5">
        <v>11612078</v>
      </c>
      <c r="D2357" s="5">
        <v>703121</v>
      </c>
      <c r="E2357" s="33">
        <v>16</v>
      </c>
      <c r="F2357" s="60">
        <v>1850</v>
      </c>
      <c r="G2357" s="60">
        <f>+OtherClients[[#This Row],[Boxes / Pieces]]*OtherClients[[#This Row],[Unit Quantity]]</f>
        <v>29600</v>
      </c>
      <c r="H2357" s="60">
        <v>4</v>
      </c>
      <c r="I2357" s="130" t="s">
        <v>278</v>
      </c>
      <c r="J2357" s="131"/>
      <c r="K2357" s="33" t="s">
        <v>278</v>
      </c>
      <c r="L2357" s="132"/>
      <c r="M2357" s="33" t="s">
        <v>278</v>
      </c>
      <c r="N2357" s="132"/>
      <c r="O2357" s="33" t="s">
        <v>278</v>
      </c>
      <c r="P2357" s="132"/>
      <c r="Q2357" s="33" t="s">
        <v>587</v>
      </c>
      <c r="R2357" s="132"/>
      <c r="S2357" s="33" t="s">
        <v>278</v>
      </c>
      <c r="T2357" s="132"/>
      <c r="U2357" s="33" t="s">
        <v>278</v>
      </c>
      <c r="V2357" s="132"/>
      <c r="W2357" s="59" t="s">
        <v>548</v>
      </c>
      <c r="X2357" s="33" t="str">
        <f>+VLOOKUP(OtherClients[[#This Row],[Part]],PartControl!$A$2:$E$564,5,FALSE)</f>
        <v>infasco</v>
      </c>
      <c r="Y2357" s="108">
        <f>IF(OtherClients[[#This Row],[Re-certified or New]]&lt;&gt;"Re-certified",IF(OtherClients[[#This Row],[Client]]="infasco",VLOOKUP(OtherClients[[#This Row],[Part]],PartControl!$A$2:$E$564,2,FALSE),OtherClients[[#This Row],[Total Quantity]]*VLOOKUP(OtherClients[[#This Row],[Part]],PartControl!$A$2:$E$564,2,FALSE)),0)</f>
        <v>247.64</v>
      </c>
      <c r="Z2357" s="108">
        <f>IF(OtherClients[[#This Row],[Re-certified or New]]&lt;&gt;"Re-certified",IF(OtherClients[[#This Row],[Client]]="infasco",VLOOKUP(OtherClients[[#This Row],[Part]],PartControl!$A$2:$E$564,2,FALSE),OtherClients[[#This Row],[Total Quantity]]*VLOOKUP(OtherClients[[#This Row],[Part]],PartControl!$A$2:$E$564,2,FALSE)),0)</f>
        <v>247.64</v>
      </c>
    </row>
    <row r="2358" spans="1:26" ht="25.15" hidden="1" customHeight="1" x14ac:dyDescent="0.25">
      <c r="A2358" s="112">
        <v>46267.707094907404</v>
      </c>
      <c r="B2358" s="5" t="s">
        <v>249</v>
      </c>
      <c r="C2358" s="5">
        <v>11612078</v>
      </c>
      <c r="D2358" s="5">
        <v>710174</v>
      </c>
      <c r="E2358" s="33">
        <v>1</v>
      </c>
      <c r="F2358" s="60">
        <v>1850</v>
      </c>
      <c r="G2358" s="60">
        <f>+OtherClients[[#This Row],[Boxes / Pieces]]*OtherClients[[#This Row],[Unit Quantity]]</f>
        <v>1850</v>
      </c>
      <c r="H2358" s="60">
        <v>4</v>
      </c>
      <c r="I2358" s="130" t="s">
        <v>278</v>
      </c>
      <c r="J2358" s="131"/>
      <c r="K2358" s="33" t="s">
        <v>278</v>
      </c>
      <c r="L2358" s="132"/>
      <c r="M2358" s="33" t="s">
        <v>278</v>
      </c>
      <c r="N2358" s="132"/>
      <c r="O2358" s="33" t="s">
        <v>278</v>
      </c>
      <c r="P2358" s="132"/>
      <c r="Q2358" s="33" t="s">
        <v>587</v>
      </c>
      <c r="R2358" s="132"/>
      <c r="S2358" s="33" t="s">
        <v>278</v>
      </c>
      <c r="T2358" s="132"/>
      <c r="U2358" s="33" t="s">
        <v>278</v>
      </c>
      <c r="V2358" s="132"/>
      <c r="W2358" s="59" t="s">
        <v>633</v>
      </c>
      <c r="X2358" s="33" t="str">
        <f>+VLOOKUP(OtherClients[[#This Row],[Part]],PartControl!$A$2:$E$564,5,FALSE)</f>
        <v>infasco</v>
      </c>
      <c r="Y2358" s="108">
        <f>IF(OtherClients[[#This Row],[Re-certified or New]]&lt;&gt;"Re-certified",IF(OtherClients[[#This Row],[Client]]="infasco",VLOOKUP(OtherClients[[#This Row],[Part]],PartControl!$A$2:$E$564,2,FALSE),OtherClients[[#This Row],[Total Quantity]]*VLOOKUP(OtherClients[[#This Row],[Part]],PartControl!$A$2:$E$564,2,FALSE)),0)</f>
        <v>0</v>
      </c>
      <c r="Z2358" s="108">
        <f>IF(OtherClients[[#This Row],[Re-certified or New]]&lt;&gt;"Re-certified",IF(OtherClients[[#This Row],[Client]]="infasco",VLOOKUP(OtherClients[[#This Row],[Part]],PartControl!$A$2:$E$564,2,FALSE),OtherClients[[#This Row],[Total Quantity]]*VLOOKUP(OtherClients[[#This Row],[Part]],PartControl!$A$2:$E$564,2,FALSE)),0)</f>
        <v>0</v>
      </c>
    </row>
    <row r="2359" spans="1:26" ht="25.15" hidden="1" customHeight="1" x14ac:dyDescent="0.25">
      <c r="A2359" s="112">
        <v>46267.707094907404</v>
      </c>
      <c r="B2359" s="5" t="s">
        <v>834</v>
      </c>
      <c r="C2359" s="5" t="s">
        <v>814</v>
      </c>
      <c r="D2359" s="5">
        <v>717288</v>
      </c>
      <c r="E2359" s="33">
        <f>29-8</f>
        <v>21</v>
      </c>
      <c r="F2359" s="60">
        <v>2500</v>
      </c>
      <c r="G2359" s="60">
        <f>+OtherClients[[#This Row],[Boxes / Pieces]]*OtherClients[[#This Row],[Unit Quantity]]</f>
        <v>52500</v>
      </c>
      <c r="H2359" s="60">
        <v>280</v>
      </c>
      <c r="I2359" s="130" t="s">
        <v>278</v>
      </c>
      <c r="J2359" s="131"/>
      <c r="K2359" s="33" t="s">
        <v>278</v>
      </c>
      <c r="L2359" s="132"/>
      <c r="M2359" s="33" t="s">
        <v>278</v>
      </c>
      <c r="N2359" s="132"/>
      <c r="O2359" s="33" t="s">
        <v>278</v>
      </c>
      <c r="P2359" s="132"/>
      <c r="Q2359" s="33" t="s">
        <v>587</v>
      </c>
      <c r="R2359" s="132"/>
      <c r="S2359" s="33" t="s">
        <v>278</v>
      </c>
      <c r="T2359" s="132"/>
      <c r="U2359" s="33" t="s">
        <v>278</v>
      </c>
      <c r="V2359" s="132"/>
      <c r="W2359" s="59" t="s">
        <v>548</v>
      </c>
      <c r="X2359" s="33" t="str">
        <f>+VLOOKUP(OtherClients[[#This Row],[Part]],PartControl!$A$2:$E$564,5,FALSE)</f>
        <v>Infasco</v>
      </c>
      <c r="Y2359" s="108">
        <f>IF(OtherClients[[#This Row],[Re-certified or New]]&lt;&gt;"Re-certified",IF(OtherClients[[#This Row],[Client]]="infasco",VLOOKUP(OtherClients[[#This Row],[Part]],PartControl!$A$2:$E$564,2,FALSE),OtherClients[[#This Row],[Total Quantity]]*VLOOKUP(OtherClients[[#This Row],[Part]],PartControl!$A$2:$E$564,2,FALSE)),0)</f>
        <v>106.94</v>
      </c>
      <c r="Z2359" s="108">
        <f>IF(OtherClients[[#This Row],[Re-certified or New]]&lt;&gt;"Re-certified",IF(OtherClients[[#This Row],[Client]]="infasco",VLOOKUP(OtherClients[[#This Row],[Part]],PartControl!$A$2:$E$564,2,FALSE),OtherClients[[#This Row],[Total Quantity]]*VLOOKUP(OtherClients[[#This Row],[Part]],PartControl!$A$2:$E$564,2,FALSE)),0)</f>
        <v>106.94</v>
      </c>
    </row>
    <row r="2360" spans="1:26" ht="25.15" hidden="1" customHeight="1" x14ac:dyDescent="0.25">
      <c r="A2360" s="112">
        <v>46267.707094907404</v>
      </c>
      <c r="B2360" s="5" t="s">
        <v>834</v>
      </c>
      <c r="C2360" s="5" t="s">
        <v>814</v>
      </c>
      <c r="D2360" s="5">
        <v>717291</v>
      </c>
      <c r="E2360" s="33">
        <v>30</v>
      </c>
      <c r="F2360" s="60">
        <v>2500</v>
      </c>
      <c r="G2360" s="60">
        <f>+OtherClients[[#This Row],[Boxes / Pieces]]*OtherClients[[#This Row],[Unit Quantity]]</f>
        <v>75000</v>
      </c>
      <c r="H2360" s="60">
        <v>280</v>
      </c>
      <c r="I2360" s="130" t="s">
        <v>278</v>
      </c>
      <c r="J2360" s="131"/>
      <c r="K2360" s="33" t="s">
        <v>278</v>
      </c>
      <c r="L2360" s="132"/>
      <c r="M2360" s="33" t="s">
        <v>278</v>
      </c>
      <c r="N2360" s="132"/>
      <c r="O2360" s="33" t="s">
        <v>278</v>
      </c>
      <c r="P2360" s="132"/>
      <c r="Q2360" s="33" t="s">
        <v>587</v>
      </c>
      <c r="R2360" s="132"/>
      <c r="S2360" s="33" t="s">
        <v>278</v>
      </c>
      <c r="T2360" s="132"/>
      <c r="U2360" s="33" t="s">
        <v>278</v>
      </c>
      <c r="V2360" s="132"/>
      <c r="W2360" s="59" t="s">
        <v>548</v>
      </c>
      <c r="X2360" s="33" t="str">
        <f>+VLOOKUP(OtherClients[[#This Row],[Part]],PartControl!$A$2:$E$564,5,FALSE)</f>
        <v>Infasco</v>
      </c>
      <c r="Y2360" s="108">
        <f>IF(OtherClients[[#This Row],[Re-certified or New]]&lt;&gt;"Re-certified",IF(OtherClients[[#This Row],[Client]]="infasco",VLOOKUP(OtherClients[[#This Row],[Part]],PartControl!$A$2:$E$564,2,FALSE),OtherClients[[#This Row],[Total Quantity]]*VLOOKUP(OtherClients[[#This Row],[Part]],PartControl!$A$2:$E$564,2,FALSE)),0)</f>
        <v>106.94</v>
      </c>
      <c r="Z2360" s="108">
        <f>IF(OtherClients[[#This Row],[Re-certified or New]]&lt;&gt;"Re-certified",IF(OtherClients[[#This Row],[Client]]="infasco",VLOOKUP(OtherClients[[#This Row],[Part]],PartControl!$A$2:$E$564,2,FALSE),OtherClients[[#This Row],[Total Quantity]]*VLOOKUP(OtherClients[[#This Row],[Part]],PartControl!$A$2:$E$564,2,FALSE)),0)</f>
        <v>106.94</v>
      </c>
    </row>
    <row r="2361" spans="1:26" ht="25.15" hidden="1" customHeight="1" x14ac:dyDescent="0.25">
      <c r="A2361" s="112">
        <v>46267.707094907404</v>
      </c>
      <c r="B2361" s="5" t="s">
        <v>834</v>
      </c>
      <c r="C2361" s="5" t="s">
        <v>814</v>
      </c>
      <c r="D2361" s="5">
        <v>717287</v>
      </c>
      <c r="E2361" s="33">
        <v>22</v>
      </c>
      <c r="F2361" s="60">
        <v>2500</v>
      </c>
      <c r="G2361" s="60">
        <f>+OtherClients[[#This Row],[Boxes / Pieces]]*OtherClients[[#This Row],[Unit Quantity]]</f>
        <v>55000</v>
      </c>
      <c r="H2361" s="60">
        <v>280</v>
      </c>
      <c r="I2361" s="130" t="s">
        <v>278</v>
      </c>
      <c r="J2361" s="131"/>
      <c r="K2361" s="33" t="s">
        <v>278</v>
      </c>
      <c r="L2361" s="132"/>
      <c r="M2361" s="33" t="s">
        <v>278</v>
      </c>
      <c r="N2361" s="132"/>
      <c r="O2361" s="33" t="s">
        <v>278</v>
      </c>
      <c r="P2361" s="132"/>
      <c r="Q2361" s="33" t="s">
        <v>587</v>
      </c>
      <c r="R2361" s="132"/>
      <c r="S2361" s="33" t="s">
        <v>278</v>
      </c>
      <c r="T2361" s="132"/>
      <c r="U2361" s="33" t="s">
        <v>278</v>
      </c>
      <c r="V2361" s="132"/>
      <c r="W2361" s="59" t="s">
        <v>633</v>
      </c>
      <c r="X2361" s="33" t="str">
        <f>+VLOOKUP(OtherClients[[#This Row],[Part]],PartControl!$A$2:$E$564,5,FALSE)</f>
        <v>Infasco</v>
      </c>
      <c r="Y2361" s="108">
        <f>IF(OtherClients[[#This Row],[Re-certified or New]]&lt;&gt;"Re-certified",IF(OtherClients[[#This Row],[Client]]="infasco",VLOOKUP(OtherClients[[#This Row],[Part]],PartControl!$A$2:$E$564,2,FALSE),OtherClients[[#This Row],[Total Quantity]]*VLOOKUP(OtherClients[[#This Row],[Part]],PartControl!$A$2:$E$564,2,FALSE)),0)</f>
        <v>0</v>
      </c>
      <c r="Z2361" s="108">
        <f>IF(OtherClients[[#This Row],[Re-certified or New]]&lt;&gt;"Re-certified",IF(OtherClients[[#This Row],[Client]]="infasco",VLOOKUP(OtherClients[[#This Row],[Part]],PartControl!$A$2:$E$564,2,FALSE),OtherClients[[#This Row],[Total Quantity]]*VLOOKUP(OtherClients[[#This Row],[Part]],PartControl!$A$2:$E$564,2,FALSE)),0)</f>
        <v>0</v>
      </c>
    </row>
    <row r="2362" spans="1:26" ht="25.15" hidden="1" customHeight="1" x14ac:dyDescent="0.25">
      <c r="A2362" s="112">
        <v>46267.707094907404</v>
      </c>
      <c r="B2362" s="5" t="s">
        <v>634</v>
      </c>
      <c r="C2362" s="5" t="s">
        <v>721</v>
      </c>
      <c r="D2362" s="5">
        <v>717650</v>
      </c>
      <c r="E2362" s="33">
        <f>18-2</f>
        <v>16</v>
      </c>
      <c r="F2362" s="60">
        <v>4500</v>
      </c>
      <c r="G2362" s="60">
        <f>+OtherClients[[#This Row],[Boxes / Pieces]]*OtherClients[[#This Row],[Unit Quantity]]</f>
        <v>72000</v>
      </c>
      <c r="H2362" s="60">
        <v>280</v>
      </c>
      <c r="I2362" s="130" t="s">
        <v>278</v>
      </c>
      <c r="J2362" s="131"/>
      <c r="K2362" s="33" t="s">
        <v>278</v>
      </c>
      <c r="L2362" s="132"/>
      <c r="M2362" s="33" t="s">
        <v>278</v>
      </c>
      <c r="N2362" s="132"/>
      <c r="O2362" s="33" t="s">
        <v>278</v>
      </c>
      <c r="P2362" s="132"/>
      <c r="Q2362" s="33" t="s">
        <v>587</v>
      </c>
      <c r="R2362" s="132"/>
      <c r="S2362" s="33" t="s">
        <v>278</v>
      </c>
      <c r="T2362" s="132"/>
      <c r="U2362" s="33" t="s">
        <v>278</v>
      </c>
      <c r="V2362" s="132"/>
      <c r="W2362" s="59" t="s">
        <v>633</v>
      </c>
      <c r="X2362" s="33" t="str">
        <f>+VLOOKUP(OtherClients[[#This Row],[Part]],PartControl!$A$2:$E$564,5,FALSE)</f>
        <v>Infasco</v>
      </c>
      <c r="Y2362" s="108">
        <f>IF(OtherClients[[#This Row],[Re-certified or New]]&lt;&gt;"Re-certified",IF(OtherClients[[#This Row],[Client]]="infasco",VLOOKUP(OtherClients[[#This Row],[Part]],PartControl!$A$2:$E$564,2,FALSE),OtherClients[[#This Row],[Total Quantity]]*VLOOKUP(OtherClients[[#This Row],[Part]],PartControl!$A$2:$E$564,2,FALSE)),0)</f>
        <v>0</v>
      </c>
      <c r="Z2362" s="108">
        <f>IF(OtherClients[[#This Row],[Re-certified or New]]&lt;&gt;"Re-certified",IF(OtherClients[[#This Row],[Client]]="infasco",VLOOKUP(OtherClients[[#This Row],[Part]],PartControl!$A$2:$E$564,2,FALSE),OtherClients[[#This Row],[Total Quantity]]*VLOOKUP(OtherClients[[#This Row],[Part]],PartControl!$A$2:$E$564,2,FALSE)),0)</f>
        <v>0</v>
      </c>
    </row>
    <row r="2363" spans="1:26" ht="25.15" hidden="1" customHeight="1" x14ac:dyDescent="0.25">
      <c r="A2363" s="112">
        <v>46267.707094907404</v>
      </c>
      <c r="B2363" s="5" t="s">
        <v>636</v>
      </c>
      <c r="C2363" s="5" t="s">
        <v>703</v>
      </c>
      <c r="D2363" s="5">
        <v>717507</v>
      </c>
      <c r="E2363" s="33">
        <f>36-24</f>
        <v>12</v>
      </c>
      <c r="F2363" s="60">
        <v>700</v>
      </c>
      <c r="G2363" s="60">
        <f>+OtherClients[[#This Row],[Boxes / Pieces]]*OtherClients[[#This Row],[Unit Quantity]]</f>
        <v>8400</v>
      </c>
      <c r="H2363" s="60">
        <v>280</v>
      </c>
      <c r="I2363" s="130" t="s">
        <v>278</v>
      </c>
      <c r="J2363" s="131"/>
      <c r="K2363" s="33" t="s">
        <v>278</v>
      </c>
      <c r="L2363" s="132"/>
      <c r="M2363" s="33" t="s">
        <v>278</v>
      </c>
      <c r="N2363" s="132"/>
      <c r="O2363" s="33" t="s">
        <v>278</v>
      </c>
      <c r="P2363" s="132"/>
      <c r="Q2363" s="33" t="s">
        <v>587</v>
      </c>
      <c r="R2363" s="132"/>
      <c r="S2363" s="33" t="s">
        <v>278</v>
      </c>
      <c r="T2363" s="132"/>
      <c r="U2363" s="33" t="s">
        <v>278</v>
      </c>
      <c r="V2363" s="132"/>
      <c r="W2363" s="59" t="s">
        <v>548</v>
      </c>
      <c r="X2363" s="33" t="str">
        <f>+VLOOKUP(OtherClients[[#This Row],[Part]],PartControl!$A$2:$E$564,5,FALSE)</f>
        <v>infasco</v>
      </c>
      <c r="Y2363" s="108">
        <f>IF(OtherClients[[#This Row],[Re-certified or New]]&lt;&gt;"Re-certified",IF(OtherClients[[#This Row],[Client]]="infasco",VLOOKUP(OtherClients[[#This Row],[Part]],PartControl!$A$2:$E$564,2,FALSE),OtherClients[[#This Row],[Total Quantity]]*VLOOKUP(OtherClients[[#This Row],[Part]],PartControl!$A$2:$E$564,2,FALSE)),0)</f>
        <v>106.94</v>
      </c>
      <c r="Z2363" s="108">
        <f>IF(OtherClients[[#This Row],[Re-certified or New]]&lt;&gt;"Re-certified",IF(OtherClients[[#This Row],[Client]]="infasco",VLOOKUP(OtherClients[[#This Row],[Part]],PartControl!$A$2:$E$564,2,FALSE),OtherClients[[#This Row],[Total Quantity]]*VLOOKUP(OtherClients[[#This Row],[Part]],PartControl!$A$2:$E$564,2,FALSE)),0)</f>
        <v>106.94</v>
      </c>
    </row>
    <row r="2364" spans="1:26" ht="25.15" hidden="1" customHeight="1" x14ac:dyDescent="0.25">
      <c r="A2364" s="112">
        <v>46267.707094907404</v>
      </c>
      <c r="B2364" s="5" t="s">
        <v>636</v>
      </c>
      <c r="C2364" s="5" t="s">
        <v>703</v>
      </c>
      <c r="D2364" s="5">
        <v>717508</v>
      </c>
      <c r="E2364" s="33">
        <v>32</v>
      </c>
      <c r="F2364" s="60">
        <v>700</v>
      </c>
      <c r="G2364" s="60">
        <f>+OtherClients[[#This Row],[Boxes / Pieces]]*OtherClients[[#This Row],[Unit Quantity]]</f>
        <v>22400</v>
      </c>
      <c r="H2364" s="60">
        <v>280</v>
      </c>
      <c r="I2364" s="130" t="s">
        <v>278</v>
      </c>
      <c r="J2364" s="131"/>
      <c r="K2364" s="33" t="s">
        <v>278</v>
      </c>
      <c r="L2364" s="132"/>
      <c r="M2364" s="33" t="s">
        <v>278</v>
      </c>
      <c r="N2364" s="132"/>
      <c r="O2364" s="33" t="s">
        <v>278</v>
      </c>
      <c r="P2364" s="132"/>
      <c r="Q2364" s="33" t="s">
        <v>587</v>
      </c>
      <c r="R2364" s="132"/>
      <c r="S2364" s="33" t="s">
        <v>278</v>
      </c>
      <c r="T2364" s="132"/>
      <c r="U2364" s="33" t="s">
        <v>278</v>
      </c>
      <c r="V2364" s="132"/>
      <c r="W2364" s="59" t="s">
        <v>548</v>
      </c>
      <c r="X2364" s="33" t="str">
        <f>+VLOOKUP(OtherClients[[#This Row],[Part]],PartControl!$A$2:$E$564,5,FALSE)</f>
        <v>infasco</v>
      </c>
      <c r="Y2364" s="108">
        <f>IF(OtherClients[[#This Row],[Re-certified or New]]&lt;&gt;"Re-certified",IF(OtherClients[[#This Row],[Client]]="infasco",VLOOKUP(OtherClients[[#This Row],[Part]],PartControl!$A$2:$E$564,2,FALSE),OtherClients[[#This Row],[Total Quantity]]*VLOOKUP(OtherClients[[#This Row],[Part]],PartControl!$A$2:$E$564,2,FALSE)),0)</f>
        <v>106.94</v>
      </c>
      <c r="Z2364" s="108">
        <f>IF(OtherClients[[#This Row],[Re-certified or New]]&lt;&gt;"Re-certified",IF(OtherClients[[#This Row],[Client]]="infasco",VLOOKUP(OtherClients[[#This Row],[Part]],PartControl!$A$2:$E$564,2,FALSE),OtherClients[[#This Row],[Total Quantity]]*VLOOKUP(OtherClients[[#This Row],[Part]],PartControl!$A$2:$E$564,2,FALSE)),0)</f>
        <v>106.94</v>
      </c>
    </row>
    <row r="2365" spans="1:26" ht="25.15" hidden="1" customHeight="1" x14ac:dyDescent="0.25">
      <c r="A2365" s="112">
        <v>46267.707094907404</v>
      </c>
      <c r="B2365" s="5" t="s">
        <v>636</v>
      </c>
      <c r="C2365" s="5" t="s">
        <v>703</v>
      </c>
      <c r="D2365" s="5">
        <v>717489</v>
      </c>
      <c r="E2365" s="33">
        <v>12</v>
      </c>
      <c r="F2365" s="60">
        <v>700</v>
      </c>
      <c r="G2365" s="60">
        <f>+OtherClients[[#This Row],[Boxes / Pieces]]*OtherClients[[#This Row],[Unit Quantity]]</f>
        <v>8400</v>
      </c>
      <c r="H2365" s="60">
        <v>280</v>
      </c>
      <c r="I2365" s="130" t="s">
        <v>278</v>
      </c>
      <c r="J2365" s="131"/>
      <c r="K2365" s="33" t="s">
        <v>278</v>
      </c>
      <c r="L2365" s="132"/>
      <c r="M2365" s="33" t="s">
        <v>278</v>
      </c>
      <c r="N2365" s="132"/>
      <c r="O2365" s="33" t="s">
        <v>278</v>
      </c>
      <c r="P2365" s="132"/>
      <c r="Q2365" s="33" t="s">
        <v>587</v>
      </c>
      <c r="R2365" s="132"/>
      <c r="S2365" s="33" t="s">
        <v>278</v>
      </c>
      <c r="T2365" s="132"/>
      <c r="U2365" s="33" t="s">
        <v>278</v>
      </c>
      <c r="V2365" s="132"/>
      <c r="W2365" s="59" t="s">
        <v>633</v>
      </c>
      <c r="X2365" s="33" t="str">
        <f>+VLOOKUP(OtherClients[[#This Row],[Part]],PartControl!$A$2:$E$564,5,FALSE)</f>
        <v>infasco</v>
      </c>
      <c r="Y2365" s="108">
        <f>IF(OtherClients[[#This Row],[Re-certified or New]]&lt;&gt;"Re-certified",IF(OtherClients[[#This Row],[Client]]="infasco",VLOOKUP(OtherClients[[#This Row],[Part]],PartControl!$A$2:$E$564,2,FALSE),OtherClients[[#This Row],[Total Quantity]]*VLOOKUP(OtherClients[[#This Row],[Part]],PartControl!$A$2:$E$564,2,FALSE)),0)</f>
        <v>0</v>
      </c>
      <c r="Z2365" s="108">
        <f>IF(OtherClients[[#This Row],[Re-certified or New]]&lt;&gt;"Re-certified",IF(OtherClients[[#This Row],[Client]]="infasco",VLOOKUP(OtherClients[[#This Row],[Part]],PartControl!$A$2:$E$564,2,FALSE),OtherClients[[#This Row],[Total Quantity]]*VLOOKUP(OtherClients[[#This Row],[Part]],PartControl!$A$2:$E$564,2,FALSE)),0)</f>
        <v>0</v>
      </c>
    </row>
    <row r="2366" spans="1:26" ht="25.15" hidden="1" customHeight="1" x14ac:dyDescent="0.25">
      <c r="A2366" s="112">
        <v>46267.707094907404</v>
      </c>
      <c r="B2366" s="5" t="s">
        <v>637</v>
      </c>
      <c r="C2366" s="5" t="s">
        <v>721</v>
      </c>
      <c r="D2366" s="5">
        <v>717649</v>
      </c>
      <c r="E2366" s="33">
        <f>32-10</f>
        <v>22</v>
      </c>
      <c r="F2366" s="60">
        <v>4500</v>
      </c>
      <c r="G2366" s="60">
        <f>+OtherClients[[#This Row],[Boxes / Pieces]]*OtherClients[[#This Row],[Unit Quantity]]</f>
        <v>99000</v>
      </c>
      <c r="H2366" s="60">
        <v>280</v>
      </c>
      <c r="I2366" s="130" t="s">
        <v>278</v>
      </c>
      <c r="J2366" s="131"/>
      <c r="K2366" s="33" t="s">
        <v>278</v>
      </c>
      <c r="L2366" s="132"/>
      <c r="M2366" s="33" t="s">
        <v>278</v>
      </c>
      <c r="N2366" s="132"/>
      <c r="O2366" s="33" t="s">
        <v>278</v>
      </c>
      <c r="P2366" s="132"/>
      <c r="Q2366" s="33" t="s">
        <v>587</v>
      </c>
      <c r="R2366" s="132"/>
      <c r="S2366" s="33" t="s">
        <v>278</v>
      </c>
      <c r="T2366" s="132"/>
      <c r="U2366" s="33" t="s">
        <v>278</v>
      </c>
      <c r="V2366" s="132"/>
      <c r="W2366" s="59" t="s">
        <v>548</v>
      </c>
      <c r="X2366" s="33" t="str">
        <f>+VLOOKUP(OtherClients[[#This Row],[Part]],PartControl!$A$2:$E$564,5,FALSE)</f>
        <v>Infasco</v>
      </c>
      <c r="Y2366" s="108">
        <f>IF(OtherClients[[#This Row],[Re-certified or New]]&lt;&gt;"Re-certified",IF(OtherClients[[#This Row],[Client]]="infasco",VLOOKUP(OtherClients[[#This Row],[Part]],PartControl!$A$2:$E$564,2,FALSE),OtherClients[[#This Row],[Total Quantity]]*VLOOKUP(OtherClients[[#This Row],[Part]],PartControl!$A$2:$E$564,2,FALSE)),0)</f>
        <v>106.94</v>
      </c>
      <c r="Z2366" s="108">
        <f>IF(OtherClients[[#This Row],[Re-certified or New]]&lt;&gt;"Re-certified",IF(OtherClients[[#This Row],[Client]]="infasco",VLOOKUP(OtherClients[[#This Row],[Part]],PartControl!$A$2:$E$564,2,FALSE),OtherClients[[#This Row],[Total Quantity]]*VLOOKUP(OtherClients[[#This Row],[Part]],PartControl!$A$2:$E$564,2,FALSE)),0)</f>
        <v>106.94</v>
      </c>
    </row>
    <row r="2367" spans="1:26" ht="25.15" hidden="1" customHeight="1" x14ac:dyDescent="0.25">
      <c r="A2367" s="112">
        <v>46267.707094907404</v>
      </c>
      <c r="B2367" s="5" t="s">
        <v>637</v>
      </c>
      <c r="C2367" s="5" t="s">
        <v>721</v>
      </c>
      <c r="D2367" s="5">
        <v>717646</v>
      </c>
      <c r="E2367" s="33">
        <v>25</v>
      </c>
      <c r="F2367" s="60">
        <v>4500</v>
      </c>
      <c r="G2367" s="60">
        <f>+OtherClients[[#This Row],[Boxes / Pieces]]*OtherClients[[#This Row],[Unit Quantity]]</f>
        <v>112500</v>
      </c>
      <c r="H2367" s="60">
        <v>280</v>
      </c>
      <c r="I2367" s="130" t="s">
        <v>278</v>
      </c>
      <c r="J2367" s="131"/>
      <c r="K2367" s="33" t="s">
        <v>278</v>
      </c>
      <c r="L2367" s="132"/>
      <c r="M2367" s="33" t="s">
        <v>278</v>
      </c>
      <c r="N2367" s="132"/>
      <c r="O2367" s="33" t="s">
        <v>278</v>
      </c>
      <c r="P2367" s="132"/>
      <c r="Q2367" s="33" t="s">
        <v>587</v>
      </c>
      <c r="R2367" s="132"/>
      <c r="S2367" s="33" t="s">
        <v>278</v>
      </c>
      <c r="T2367" s="132"/>
      <c r="U2367" s="33" t="s">
        <v>278</v>
      </c>
      <c r="V2367" s="132"/>
      <c r="W2367" s="59" t="s">
        <v>633</v>
      </c>
      <c r="X2367" s="33" t="str">
        <f>+VLOOKUP(OtherClients[[#This Row],[Part]],PartControl!$A$2:$E$564,5,FALSE)</f>
        <v>Infasco</v>
      </c>
      <c r="Y2367" s="108">
        <f>IF(OtherClients[[#This Row],[Re-certified or New]]&lt;&gt;"Re-certified",IF(OtherClients[[#This Row],[Client]]="infasco",VLOOKUP(OtherClients[[#This Row],[Part]],PartControl!$A$2:$E$564,2,FALSE),OtherClients[[#This Row],[Total Quantity]]*VLOOKUP(OtherClients[[#This Row],[Part]],PartControl!$A$2:$E$564,2,FALSE)),0)</f>
        <v>0</v>
      </c>
      <c r="Z2367" s="108">
        <f>IF(OtherClients[[#This Row],[Re-certified or New]]&lt;&gt;"Re-certified",IF(OtherClients[[#This Row],[Client]]="infasco",VLOOKUP(OtherClients[[#This Row],[Part]],PartControl!$A$2:$E$564,2,FALSE),OtherClients[[#This Row],[Total Quantity]]*VLOOKUP(OtherClients[[#This Row],[Part]],PartControl!$A$2:$E$564,2,FALSE)),0)</f>
        <v>0</v>
      </c>
    </row>
    <row r="2368" spans="1:26" ht="25.15" hidden="1" customHeight="1" x14ac:dyDescent="0.25">
      <c r="A2368" s="112">
        <v>46267.707094907404</v>
      </c>
      <c r="B2368" s="5" t="s">
        <v>635</v>
      </c>
      <c r="C2368" s="5" t="s">
        <v>20</v>
      </c>
      <c r="D2368" s="5">
        <v>717535</v>
      </c>
      <c r="E2368" s="33">
        <v>20</v>
      </c>
      <c r="F2368" s="60">
        <v>3500</v>
      </c>
      <c r="G2368" s="60">
        <f>+OtherClients[[#This Row],[Boxes / Pieces]]*OtherClients[[#This Row],[Unit Quantity]]</f>
        <v>70000</v>
      </c>
      <c r="H2368" s="60">
        <v>280</v>
      </c>
      <c r="I2368" s="130" t="s">
        <v>278</v>
      </c>
      <c r="J2368" s="131"/>
      <c r="K2368" s="33" t="s">
        <v>278</v>
      </c>
      <c r="L2368" s="132"/>
      <c r="M2368" s="33" t="s">
        <v>278</v>
      </c>
      <c r="N2368" s="132"/>
      <c r="O2368" s="33" t="s">
        <v>278</v>
      </c>
      <c r="P2368" s="132"/>
      <c r="Q2368" s="33" t="s">
        <v>587</v>
      </c>
      <c r="R2368" s="132"/>
      <c r="S2368" s="33" t="s">
        <v>278</v>
      </c>
      <c r="T2368" s="132"/>
      <c r="U2368" s="33" t="s">
        <v>278</v>
      </c>
      <c r="V2368" s="132"/>
      <c r="W2368" s="59" t="s">
        <v>633</v>
      </c>
      <c r="X2368" s="33" t="str">
        <f>+VLOOKUP(OtherClients[[#This Row],[Part]],PartControl!$A$2:$E$564,5,FALSE)</f>
        <v>infasco</v>
      </c>
      <c r="Y2368" s="108">
        <f>IF(OtherClients[[#This Row],[Re-certified or New]]&lt;&gt;"Re-certified",IF(OtherClients[[#This Row],[Client]]="infasco",VLOOKUP(OtherClients[[#This Row],[Part]],PartControl!$A$2:$E$564,2,FALSE),OtherClients[[#This Row],[Total Quantity]]*VLOOKUP(OtherClients[[#This Row],[Part]],PartControl!$A$2:$E$564,2,FALSE)),0)</f>
        <v>0</v>
      </c>
      <c r="Z2368" s="108">
        <f>IF(OtherClients[[#This Row],[Re-certified or New]]&lt;&gt;"Re-certified",IF(OtherClients[[#This Row],[Client]]="infasco",VLOOKUP(OtherClients[[#This Row],[Part]],PartControl!$A$2:$E$564,2,FALSE),OtherClients[[#This Row],[Total Quantity]]*VLOOKUP(OtherClients[[#This Row],[Part]],PartControl!$A$2:$E$564,2,FALSE)),0)</f>
        <v>0</v>
      </c>
    </row>
    <row r="2369" spans="1:26" ht="25.15" hidden="1" customHeight="1" x14ac:dyDescent="0.25">
      <c r="A2369" s="112">
        <v>46267.707094907404</v>
      </c>
      <c r="B2369" s="5" t="s">
        <v>342</v>
      </c>
      <c r="C2369" s="5" t="s">
        <v>662</v>
      </c>
      <c r="D2369" s="5">
        <v>717979</v>
      </c>
      <c r="E2369" s="33">
        <v>33</v>
      </c>
      <c r="F2369" s="60">
        <v>580</v>
      </c>
      <c r="G2369" s="60">
        <f>+OtherClients[[#This Row],[Boxes / Pieces]]*OtherClients[[#This Row],[Unit Quantity]]</f>
        <v>19140</v>
      </c>
      <c r="H2369" s="60" t="s">
        <v>893</v>
      </c>
      <c r="I2369" s="130" t="s">
        <v>278</v>
      </c>
      <c r="J2369" s="131"/>
      <c r="K2369" s="33" t="s">
        <v>278</v>
      </c>
      <c r="L2369" s="132"/>
      <c r="M2369" s="33" t="s">
        <v>278</v>
      </c>
      <c r="N2369" s="132"/>
      <c r="O2369" s="33" t="s">
        <v>278</v>
      </c>
      <c r="P2369" s="132"/>
      <c r="Q2369" s="33" t="s">
        <v>587</v>
      </c>
      <c r="R2369" s="132"/>
      <c r="S2369" s="33" t="s">
        <v>278</v>
      </c>
      <c r="T2369" s="132"/>
      <c r="U2369" s="33" t="s">
        <v>278</v>
      </c>
      <c r="V2369" s="132"/>
      <c r="W2369" s="59" t="s">
        <v>548</v>
      </c>
      <c r="X2369" s="33" t="str">
        <f>+VLOOKUP(OtherClients[[#This Row],[Part]],PartControl!$A$2:$E$564,5,FALSE)</f>
        <v>infasco</v>
      </c>
      <c r="Y2369" s="108">
        <f>IF(OtherClients[[#This Row],[Re-certified or New]]&lt;&gt;"Re-certified",IF(OtherClients[[#This Row],[Client]]="infasco",VLOOKUP(OtherClients[[#This Row],[Part]],PartControl!$A$2:$E$564,2,FALSE),OtherClients[[#This Row],[Total Quantity]]*VLOOKUP(OtherClients[[#This Row],[Part]],PartControl!$A$2:$E$564,2,FALSE)),0)</f>
        <v>280.15999999999997</v>
      </c>
      <c r="Z2369" s="108">
        <f>IF(OtherClients[[#This Row],[Re-certified or New]]&lt;&gt;"Re-certified",IF(OtherClients[[#This Row],[Client]]="infasco",VLOOKUP(OtherClients[[#This Row],[Part]],PartControl!$A$2:$E$564,2,FALSE),OtherClients[[#This Row],[Total Quantity]]*VLOOKUP(OtherClients[[#This Row],[Part]],PartControl!$A$2:$E$564,2,FALSE)),0)</f>
        <v>280.15999999999997</v>
      </c>
    </row>
    <row r="2370" spans="1:26" ht="25.15" hidden="1" customHeight="1" x14ac:dyDescent="0.25">
      <c r="A2370" s="112">
        <v>46267.707094907404</v>
      </c>
      <c r="B2370" s="5" t="s">
        <v>342</v>
      </c>
      <c r="C2370" s="5" t="s">
        <v>792</v>
      </c>
      <c r="D2370" s="5">
        <v>716285</v>
      </c>
      <c r="E2370" s="33">
        <v>36</v>
      </c>
      <c r="F2370" s="60">
        <v>450</v>
      </c>
      <c r="G2370" s="60">
        <f>+OtherClients[[#This Row],[Boxes / Pieces]]*OtherClients[[#This Row],[Unit Quantity]]</f>
        <v>16200</v>
      </c>
      <c r="H2370" s="60" t="s">
        <v>893</v>
      </c>
      <c r="I2370" s="130" t="s">
        <v>278</v>
      </c>
      <c r="J2370" s="131"/>
      <c r="K2370" s="33" t="s">
        <v>278</v>
      </c>
      <c r="L2370" s="132"/>
      <c r="M2370" s="33" t="s">
        <v>278</v>
      </c>
      <c r="N2370" s="132"/>
      <c r="O2370" s="33" t="s">
        <v>278</v>
      </c>
      <c r="P2370" s="132"/>
      <c r="Q2370" s="33" t="s">
        <v>587</v>
      </c>
      <c r="R2370" s="132"/>
      <c r="S2370" s="33" t="s">
        <v>278</v>
      </c>
      <c r="T2370" s="132"/>
      <c r="U2370" s="33" t="s">
        <v>278</v>
      </c>
      <c r="V2370" s="132"/>
      <c r="W2370" s="59" t="s">
        <v>548</v>
      </c>
      <c r="X2370" s="33" t="str">
        <f>+VLOOKUP(OtherClients[[#This Row],[Part]],PartControl!$A$2:$E$564,5,FALSE)</f>
        <v>infasco</v>
      </c>
      <c r="Y2370" s="108">
        <f>IF(OtherClients[[#This Row],[Re-certified or New]]&lt;&gt;"Re-certified",IF(OtherClients[[#This Row],[Client]]="infasco",VLOOKUP(OtherClients[[#This Row],[Part]],PartControl!$A$2:$E$564,2,FALSE),OtherClients[[#This Row],[Total Quantity]]*VLOOKUP(OtherClients[[#This Row],[Part]],PartControl!$A$2:$E$564,2,FALSE)),0)</f>
        <v>106.94</v>
      </c>
      <c r="Z2370" s="108">
        <f>IF(OtherClients[[#This Row],[Re-certified or New]]&lt;&gt;"Re-certified",IF(OtherClients[[#This Row],[Client]]="infasco",VLOOKUP(OtherClients[[#This Row],[Part]],PartControl!$A$2:$E$564,2,FALSE),OtherClients[[#This Row],[Total Quantity]]*VLOOKUP(OtherClients[[#This Row],[Part]],PartControl!$A$2:$E$564,2,FALSE)),0)</f>
        <v>106.94</v>
      </c>
    </row>
    <row r="2371" spans="1:26" ht="25.15" hidden="1" customHeight="1" x14ac:dyDescent="0.25">
      <c r="A2371" s="112">
        <v>46267.707094907404</v>
      </c>
      <c r="B2371" s="5" t="s">
        <v>342</v>
      </c>
      <c r="C2371" s="5" t="s">
        <v>792</v>
      </c>
      <c r="D2371" s="5">
        <v>716175</v>
      </c>
      <c r="E2371" s="33">
        <v>22</v>
      </c>
      <c r="F2371" s="60">
        <v>450</v>
      </c>
      <c r="G2371" s="60">
        <f>+OtherClients[[#This Row],[Boxes / Pieces]]*OtherClients[[#This Row],[Unit Quantity]]</f>
        <v>9900</v>
      </c>
      <c r="H2371" s="60" t="s">
        <v>893</v>
      </c>
      <c r="I2371" s="130" t="s">
        <v>278</v>
      </c>
      <c r="J2371" s="131"/>
      <c r="K2371" s="33" t="s">
        <v>278</v>
      </c>
      <c r="L2371" s="132"/>
      <c r="M2371" s="33" t="s">
        <v>278</v>
      </c>
      <c r="N2371" s="132"/>
      <c r="O2371" s="33" t="s">
        <v>278</v>
      </c>
      <c r="P2371" s="132"/>
      <c r="Q2371" s="33" t="s">
        <v>587</v>
      </c>
      <c r="R2371" s="132"/>
      <c r="S2371" s="33" t="s">
        <v>278</v>
      </c>
      <c r="T2371" s="132"/>
      <c r="U2371" s="33" t="s">
        <v>278</v>
      </c>
      <c r="V2371" s="132"/>
      <c r="W2371" s="59" t="s">
        <v>548</v>
      </c>
      <c r="X2371" s="33" t="str">
        <f>+VLOOKUP(OtherClients[[#This Row],[Part]],PartControl!$A$2:$E$564,5,FALSE)</f>
        <v>infasco</v>
      </c>
      <c r="Y2371" s="108">
        <f>IF(OtherClients[[#This Row],[Re-certified or New]]&lt;&gt;"Re-certified",IF(OtherClients[[#This Row],[Client]]="infasco",VLOOKUP(OtherClients[[#This Row],[Part]],PartControl!$A$2:$E$564,2,FALSE),OtherClients[[#This Row],[Total Quantity]]*VLOOKUP(OtherClients[[#This Row],[Part]],PartControl!$A$2:$E$564,2,FALSE)),0)</f>
        <v>106.94</v>
      </c>
      <c r="Z2371" s="108">
        <f>IF(OtherClients[[#This Row],[Re-certified or New]]&lt;&gt;"Re-certified",IF(OtherClients[[#This Row],[Client]]="infasco",VLOOKUP(OtherClients[[#This Row],[Part]],PartControl!$A$2:$E$564,2,FALSE),OtherClients[[#This Row],[Total Quantity]]*VLOOKUP(OtherClients[[#This Row],[Part]],PartControl!$A$2:$E$564,2,FALSE)),0)</f>
        <v>106.94</v>
      </c>
    </row>
    <row r="2372" spans="1:26" ht="25.15" hidden="1" customHeight="1" x14ac:dyDescent="0.25">
      <c r="A2372" s="112">
        <v>46267.707094907404</v>
      </c>
      <c r="B2372" s="5" t="s">
        <v>342</v>
      </c>
      <c r="C2372" s="5">
        <v>11548535</v>
      </c>
      <c r="D2372" s="5">
        <v>716969</v>
      </c>
      <c r="E2372" s="33">
        <v>36</v>
      </c>
      <c r="F2372" s="60">
        <v>150</v>
      </c>
      <c r="G2372" s="60">
        <f>+OtherClients[[#This Row],[Boxes / Pieces]]*OtherClients[[#This Row],[Unit Quantity]]</f>
        <v>5400</v>
      </c>
      <c r="H2372" s="60" t="s">
        <v>893</v>
      </c>
      <c r="I2372" s="130" t="s">
        <v>278</v>
      </c>
      <c r="J2372" s="131"/>
      <c r="K2372" s="33" t="s">
        <v>278</v>
      </c>
      <c r="L2372" s="132"/>
      <c r="M2372" s="33" t="s">
        <v>278</v>
      </c>
      <c r="N2372" s="132"/>
      <c r="O2372" s="33" t="s">
        <v>278</v>
      </c>
      <c r="P2372" s="132"/>
      <c r="Q2372" s="33" t="s">
        <v>587</v>
      </c>
      <c r="R2372" s="132"/>
      <c r="S2372" s="33" t="s">
        <v>278</v>
      </c>
      <c r="T2372" s="132"/>
      <c r="U2372" s="33" t="s">
        <v>278</v>
      </c>
      <c r="V2372" s="132"/>
      <c r="W2372" s="59" t="s">
        <v>548</v>
      </c>
      <c r="X2372" s="33" t="str">
        <f>+VLOOKUP(OtherClients[[#This Row],[Part]],PartControl!$A$2:$E$564,5,FALSE)</f>
        <v>infasco</v>
      </c>
      <c r="Y2372" s="108">
        <f>IF(OtherClients[[#This Row],[Re-certified or New]]&lt;&gt;"Re-certified",IF(OtherClients[[#This Row],[Client]]="infasco",VLOOKUP(OtherClients[[#This Row],[Part]],PartControl!$A$2:$E$564,2,FALSE),OtherClients[[#This Row],[Total Quantity]]*VLOOKUP(OtherClients[[#This Row],[Part]],PartControl!$A$2:$E$564,2,FALSE)),0)</f>
        <v>106.94</v>
      </c>
      <c r="Z2372" s="108">
        <f>IF(OtherClients[[#This Row],[Re-certified or New]]&lt;&gt;"Re-certified",IF(OtherClients[[#This Row],[Client]]="infasco",VLOOKUP(OtherClients[[#This Row],[Part]],PartControl!$A$2:$E$564,2,FALSE),OtherClients[[#This Row],[Total Quantity]]*VLOOKUP(OtherClients[[#This Row],[Part]],PartControl!$A$2:$E$564,2,FALSE)),0)</f>
        <v>106.94</v>
      </c>
    </row>
    <row r="2373" spans="1:26" ht="25.15" hidden="1" customHeight="1" x14ac:dyDescent="0.25">
      <c r="A2373" s="112">
        <v>46267.707094907404</v>
      </c>
      <c r="B2373" s="5" t="s">
        <v>342</v>
      </c>
      <c r="C2373" s="5" t="s">
        <v>657</v>
      </c>
      <c r="D2373" s="5">
        <v>718098</v>
      </c>
      <c r="E2373" s="33">
        <v>1</v>
      </c>
      <c r="F2373" s="60">
        <v>74919</v>
      </c>
      <c r="G2373" s="60">
        <f>+OtherClients[[#This Row],[Boxes / Pieces]]*OtherClients[[#This Row],[Unit Quantity]]</f>
        <v>74919</v>
      </c>
      <c r="H2373" s="60" t="s">
        <v>893</v>
      </c>
      <c r="I2373" s="130" t="s">
        <v>278</v>
      </c>
      <c r="J2373" s="131"/>
      <c r="K2373" s="33" t="s">
        <v>278</v>
      </c>
      <c r="L2373" s="132"/>
      <c r="M2373" s="33" t="s">
        <v>278</v>
      </c>
      <c r="N2373" s="132"/>
      <c r="O2373" s="33" t="s">
        <v>278</v>
      </c>
      <c r="P2373" s="132"/>
      <c r="Q2373" s="33" t="s">
        <v>587</v>
      </c>
      <c r="R2373" s="132"/>
      <c r="S2373" s="33" t="s">
        <v>278</v>
      </c>
      <c r="T2373" s="132"/>
      <c r="U2373" s="33" t="s">
        <v>278</v>
      </c>
      <c r="V2373" s="132"/>
      <c r="W2373" s="59" t="s">
        <v>548</v>
      </c>
      <c r="X2373" s="33" t="str">
        <f>+VLOOKUP(OtherClients[[#This Row],[Part]],PartControl!$A$2:$E$564,5,FALSE)</f>
        <v>infasco</v>
      </c>
      <c r="Y2373" s="108">
        <f>IF(OtherClients[[#This Row],[Re-certified or New]]&lt;&gt;"Re-certified",IF(OtherClients[[#This Row],[Client]]="infasco",VLOOKUP(OtherClients[[#This Row],[Part]],PartControl!$A$2:$E$564,2,FALSE),OtherClients[[#This Row],[Total Quantity]]*VLOOKUP(OtherClients[[#This Row],[Part]],PartControl!$A$2:$E$564,2,FALSE)),0)</f>
        <v>129.44999999999999</v>
      </c>
      <c r="Z2373" s="108">
        <f>IF(OtherClients[[#This Row],[Re-certified or New]]&lt;&gt;"Re-certified",IF(OtherClients[[#This Row],[Client]]="infasco",VLOOKUP(OtherClients[[#This Row],[Part]],PartControl!$A$2:$E$564,2,FALSE),OtherClients[[#This Row],[Total Quantity]]*VLOOKUP(OtherClients[[#This Row],[Part]],PartControl!$A$2:$E$564,2,FALSE)),0)</f>
        <v>129.44999999999999</v>
      </c>
    </row>
    <row r="2374" spans="1:26" ht="25.15" hidden="1" customHeight="1" x14ac:dyDescent="0.25">
      <c r="A2374" s="112">
        <v>46267.707094907404</v>
      </c>
      <c r="B2374" s="5" t="s">
        <v>342</v>
      </c>
      <c r="C2374" s="5">
        <v>11602031</v>
      </c>
      <c r="D2374" s="5">
        <v>717900</v>
      </c>
      <c r="E2374" s="33">
        <v>31</v>
      </c>
      <c r="F2374" s="60">
        <v>145</v>
      </c>
      <c r="G2374" s="60">
        <f>+OtherClients[[#This Row],[Boxes / Pieces]]*OtherClients[[#This Row],[Unit Quantity]]</f>
        <v>4495</v>
      </c>
      <c r="H2374" s="60" t="s">
        <v>893</v>
      </c>
      <c r="I2374" s="130" t="s">
        <v>278</v>
      </c>
      <c r="J2374" s="131"/>
      <c r="K2374" s="33" t="s">
        <v>278</v>
      </c>
      <c r="L2374" s="132"/>
      <c r="M2374" s="33" t="s">
        <v>278</v>
      </c>
      <c r="N2374" s="132"/>
      <c r="O2374" s="33" t="s">
        <v>278</v>
      </c>
      <c r="P2374" s="132"/>
      <c r="Q2374" s="33" t="s">
        <v>587</v>
      </c>
      <c r="R2374" s="132"/>
      <c r="S2374" s="33" t="s">
        <v>278</v>
      </c>
      <c r="T2374" s="132"/>
      <c r="U2374" s="33" t="s">
        <v>278</v>
      </c>
      <c r="V2374" s="132"/>
      <c r="W2374" s="59" t="s">
        <v>548</v>
      </c>
      <c r="X2374" s="33" t="str">
        <f>+VLOOKUP(OtherClients[[#This Row],[Part]],PartControl!$A$2:$E$564,5,FALSE)</f>
        <v>INFASCO</v>
      </c>
      <c r="Y2374" s="108">
        <f>IF(OtherClients[[#This Row],[Re-certified or New]]&lt;&gt;"Re-certified",IF(OtherClients[[#This Row],[Client]]="infasco",VLOOKUP(OtherClients[[#This Row],[Part]],PartControl!$A$2:$E$564,2,FALSE),OtherClients[[#This Row],[Total Quantity]]*VLOOKUP(OtherClients[[#This Row],[Part]],PartControl!$A$2:$E$564,2,FALSE)),0)</f>
        <v>135.07999999999998</v>
      </c>
      <c r="Z2374" s="108">
        <f>IF(OtherClients[[#This Row],[Re-certified or New]]&lt;&gt;"Re-certified",IF(OtherClients[[#This Row],[Client]]="infasco",VLOOKUP(OtherClients[[#This Row],[Part]],PartControl!$A$2:$E$564,2,FALSE),OtherClients[[#This Row],[Total Quantity]]*VLOOKUP(OtherClients[[#This Row],[Part]],PartControl!$A$2:$E$564,2,FALSE)),0)</f>
        <v>135.07999999999998</v>
      </c>
    </row>
    <row r="2375" spans="1:26" ht="25.15" hidden="1" customHeight="1" x14ac:dyDescent="0.25">
      <c r="A2375" s="112">
        <v>46267.707094907404</v>
      </c>
      <c r="B2375" s="5" t="s">
        <v>342</v>
      </c>
      <c r="C2375" s="5">
        <v>11546377</v>
      </c>
      <c r="D2375" s="5">
        <v>718135</v>
      </c>
      <c r="E2375" s="33">
        <v>27</v>
      </c>
      <c r="F2375" s="60">
        <v>2150</v>
      </c>
      <c r="G2375" s="60">
        <f>+OtherClients[[#This Row],[Boxes / Pieces]]*OtherClients[[#This Row],[Unit Quantity]]</f>
        <v>58050</v>
      </c>
      <c r="H2375" s="60" t="s">
        <v>893</v>
      </c>
      <c r="I2375" s="130" t="s">
        <v>278</v>
      </c>
      <c r="J2375" s="131"/>
      <c r="K2375" s="33" t="s">
        <v>278</v>
      </c>
      <c r="L2375" s="132"/>
      <c r="M2375" s="33" t="s">
        <v>278</v>
      </c>
      <c r="N2375" s="132"/>
      <c r="O2375" s="33" t="s">
        <v>278</v>
      </c>
      <c r="P2375" s="132"/>
      <c r="Q2375" s="33" t="s">
        <v>587</v>
      </c>
      <c r="R2375" s="132"/>
      <c r="S2375" s="33" t="s">
        <v>278</v>
      </c>
      <c r="T2375" s="132"/>
      <c r="U2375" s="33" t="s">
        <v>278</v>
      </c>
      <c r="V2375" s="132"/>
      <c r="W2375" s="59" t="s">
        <v>548</v>
      </c>
      <c r="X2375" s="33" t="str">
        <f>+VLOOKUP(OtherClients[[#This Row],[Part]],PartControl!$A$2:$E$564,5,FALSE)</f>
        <v>INFASCO</v>
      </c>
      <c r="Y2375" s="108">
        <f>IF(OtherClients[[#This Row],[Re-certified or New]]&lt;&gt;"Re-certified",IF(OtherClients[[#This Row],[Client]]="infasco",VLOOKUP(OtherClients[[#This Row],[Part]],PartControl!$A$2:$E$564,2,FALSE),OtherClients[[#This Row],[Total Quantity]]*VLOOKUP(OtherClients[[#This Row],[Part]],PartControl!$A$2:$E$564,2,FALSE)),0)</f>
        <v>106.94</v>
      </c>
      <c r="Z2375" s="108">
        <f>IF(OtherClients[[#This Row],[Re-certified or New]]&lt;&gt;"Re-certified",IF(OtherClients[[#This Row],[Client]]="infasco",VLOOKUP(OtherClients[[#This Row],[Part]],PartControl!$A$2:$E$564,2,FALSE),OtherClients[[#This Row],[Total Quantity]]*VLOOKUP(OtherClients[[#This Row],[Part]],PartControl!$A$2:$E$564,2,FALSE)),0)</f>
        <v>106.94</v>
      </c>
    </row>
    <row r="2376" spans="1:26" ht="25.15" hidden="1" customHeight="1" x14ac:dyDescent="0.25">
      <c r="A2376" s="112">
        <v>46267.707094907404</v>
      </c>
      <c r="B2376" s="5" t="s">
        <v>342</v>
      </c>
      <c r="C2376" s="5">
        <v>11546377</v>
      </c>
      <c r="D2376" s="5">
        <v>718141</v>
      </c>
      <c r="E2376" s="33">
        <v>12</v>
      </c>
      <c r="F2376" s="60">
        <v>2150</v>
      </c>
      <c r="G2376" s="60">
        <f>+OtherClients[[#This Row],[Boxes / Pieces]]*OtherClients[[#This Row],[Unit Quantity]]</f>
        <v>25800</v>
      </c>
      <c r="H2376" s="60" t="s">
        <v>893</v>
      </c>
      <c r="I2376" s="130" t="s">
        <v>278</v>
      </c>
      <c r="J2376" s="131"/>
      <c r="K2376" s="33" t="s">
        <v>278</v>
      </c>
      <c r="L2376" s="132"/>
      <c r="M2376" s="33" t="s">
        <v>278</v>
      </c>
      <c r="N2376" s="132"/>
      <c r="O2376" s="33" t="s">
        <v>278</v>
      </c>
      <c r="P2376" s="132"/>
      <c r="Q2376" s="33" t="s">
        <v>587</v>
      </c>
      <c r="R2376" s="132"/>
      <c r="S2376" s="33" t="s">
        <v>278</v>
      </c>
      <c r="T2376" s="132"/>
      <c r="U2376" s="33" t="s">
        <v>278</v>
      </c>
      <c r="V2376" s="132"/>
      <c r="W2376" s="59" t="s">
        <v>633</v>
      </c>
      <c r="X2376" s="33" t="str">
        <f>+VLOOKUP(OtherClients[[#This Row],[Part]],PartControl!$A$2:$E$564,5,FALSE)</f>
        <v>INFASCO</v>
      </c>
      <c r="Y2376" s="108">
        <f>IF(OtherClients[[#This Row],[Re-certified or New]]&lt;&gt;"Re-certified",IF(OtherClients[[#This Row],[Client]]="infasco",VLOOKUP(OtherClients[[#This Row],[Part]],PartControl!$A$2:$E$564,2,FALSE),OtherClients[[#This Row],[Total Quantity]]*VLOOKUP(OtherClients[[#This Row],[Part]],PartControl!$A$2:$E$564,2,FALSE)),0)</f>
        <v>0</v>
      </c>
      <c r="Z2376" s="108">
        <f>IF(OtherClients[[#This Row],[Re-certified or New]]&lt;&gt;"Re-certified",IF(OtherClients[[#This Row],[Client]]="infasco",VLOOKUP(OtherClients[[#This Row],[Part]],PartControl!$A$2:$E$564,2,FALSE),OtherClients[[#This Row],[Total Quantity]]*VLOOKUP(OtherClients[[#This Row],[Part]],PartControl!$A$2:$E$564,2,FALSE)),0)</f>
        <v>0</v>
      </c>
    </row>
    <row r="2377" spans="1:26" ht="25.15" hidden="1" customHeight="1" x14ac:dyDescent="0.25">
      <c r="A2377" s="112">
        <v>46267.707094907404</v>
      </c>
      <c r="B2377" s="5" t="s">
        <v>343</v>
      </c>
      <c r="C2377" s="5" t="s">
        <v>843</v>
      </c>
      <c r="D2377" s="5">
        <v>717168</v>
      </c>
      <c r="E2377" s="33">
        <f>34-20</f>
        <v>14</v>
      </c>
      <c r="F2377" s="60">
        <v>220</v>
      </c>
      <c r="G2377" s="60">
        <f>+OtherClients[[#This Row],[Boxes / Pieces]]*OtherClients[[#This Row],[Unit Quantity]]</f>
        <v>3080</v>
      </c>
      <c r="H2377" s="60" t="s">
        <v>899</v>
      </c>
      <c r="I2377" s="130" t="s">
        <v>278</v>
      </c>
      <c r="J2377" s="131"/>
      <c r="K2377" s="33" t="s">
        <v>278</v>
      </c>
      <c r="L2377" s="132"/>
      <c r="M2377" s="33" t="s">
        <v>278</v>
      </c>
      <c r="N2377" s="132"/>
      <c r="O2377" s="33" t="s">
        <v>278</v>
      </c>
      <c r="P2377" s="132"/>
      <c r="Q2377" s="33" t="s">
        <v>587</v>
      </c>
      <c r="R2377" s="132"/>
      <c r="S2377" s="33" t="s">
        <v>278</v>
      </c>
      <c r="T2377" s="132"/>
      <c r="U2377" s="33" t="s">
        <v>278</v>
      </c>
      <c r="V2377" s="132"/>
      <c r="W2377" s="59" t="s">
        <v>548</v>
      </c>
      <c r="X2377" s="33" t="str">
        <f>+VLOOKUP(OtherClients[[#This Row],[Part]],PartControl!$A$2:$E$564,5,FALSE)</f>
        <v>infasco</v>
      </c>
      <c r="Y2377" s="108">
        <f>IF(OtherClients[[#This Row],[Re-certified or New]]&lt;&gt;"Re-certified",IF(OtherClients[[#This Row],[Client]]="infasco",VLOOKUP(OtherClients[[#This Row],[Part]],PartControl!$A$2:$E$564,2,FALSE),OtherClients[[#This Row],[Total Quantity]]*VLOOKUP(OtherClients[[#This Row],[Part]],PartControl!$A$2:$E$564,2,FALSE)),0)</f>
        <v>106.94</v>
      </c>
      <c r="Z2377" s="108">
        <f>IF(OtherClients[[#This Row],[Re-certified or New]]&lt;&gt;"Re-certified",IF(OtherClients[[#This Row],[Client]]="infasco",VLOOKUP(OtherClients[[#This Row],[Part]],PartControl!$A$2:$E$564,2,FALSE),OtherClients[[#This Row],[Total Quantity]]*VLOOKUP(OtherClients[[#This Row],[Part]],PartControl!$A$2:$E$564,2,FALSE)),0)</f>
        <v>106.94</v>
      </c>
    </row>
    <row r="2378" spans="1:26" ht="25.15" hidden="1" customHeight="1" x14ac:dyDescent="0.25">
      <c r="A2378" s="112">
        <v>46267.707094907404</v>
      </c>
      <c r="B2378" s="5" t="s">
        <v>343</v>
      </c>
      <c r="C2378" s="5">
        <v>11604820</v>
      </c>
      <c r="D2378" s="5">
        <v>716429</v>
      </c>
      <c r="E2378" s="33">
        <v>14</v>
      </c>
      <c r="F2378" s="60">
        <v>330</v>
      </c>
      <c r="G2378" s="60">
        <f>+OtherClients[[#This Row],[Boxes / Pieces]]*OtherClients[[#This Row],[Unit Quantity]]</f>
        <v>4620</v>
      </c>
      <c r="H2378" s="60" t="s">
        <v>899</v>
      </c>
      <c r="I2378" s="130" t="s">
        <v>278</v>
      </c>
      <c r="J2378" s="131"/>
      <c r="K2378" s="33" t="s">
        <v>278</v>
      </c>
      <c r="L2378" s="132"/>
      <c r="M2378" s="33" t="s">
        <v>278</v>
      </c>
      <c r="N2378" s="132"/>
      <c r="O2378" s="33" t="s">
        <v>278</v>
      </c>
      <c r="P2378" s="132"/>
      <c r="Q2378" s="33" t="s">
        <v>587</v>
      </c>
      <c r="R2378" s="132"/>
      <c r="S2378" s="33" t="s">
        <v>278</v>
      </c>
      <c r="T2378" s="132"/>
      <c r="U2378" s="33" t="s">
        <v>278</v>
      </c>
      <c r="V2378" s="132"/>
      <c r="W2378" s="59" t="s">
        <v>548</v>
      </c>
      <c r="X2378" s="33" t="str">
        <f>+VLOOKUP(OtherClients[[#This Row],[Part]],PartControl!$A$2:$E$564,5,FALSE)</f>
        <v>infasco</v>
      </c>
      <c r="Y2378" s="108">
        <f>IF(OtherClients[[#This Row],[Re-certified or New]]&lt;&gt;"Re-certified",IF(OtherClients[[#This Row],[Client]]="infasco",VLOOKUP(OtherClients[[#This Row],[Part]],PartControl!$A$2:$E$564,2,FALSE),OtherClients[[#This Row],[Total Quantity]]*VLOOKUP(OtherClients[[#This Row],[Part]],PartControl!$A$2:$E$564,2,FALSE)),0)</f>
        <v>135.08000000000001</v>
      </c>
      <c r="Z2378" s="108">
        <f>IF(OtherClients[[#This Row],[Re-certified or New]]&lt;&gt;"Re-certified",IF(OtherClients[[#This Row],[Client]]="infasco",VLOOKUP(OtherClients[[#This Row],[Part]],PartControl!$A$2:$E$564,2,FALSE),OtherClients[[#This Row],[Total Quantity]]*VLOOKUP(OtherClients[[#This Row],[Part]],PartControl!$A$2:$E$564,2,FALSE)),0)</f>
        <v>135.08000000000001</v>
      </c>
    </row>
    <row r="2379" spans="1:26" ht="25.15" hidden="1" customHeight="1" x14ac:dyDescent="0.25">
      <c r="A2379" s="112">
        <v>46267.707094907404</v>
      </c>
      <c r="B2379" s="5" t="s">
        <v>343</v>
      </c>
      <c r="C2379" s="5" t="s">
        <v>792</v>
      </c>
      <c r="D2379" s="5">
        <v>716165</v>
      </c>
      <c r="E2379" s="33">
        <v>20</v>
      </c>
      <c r="F2379" s="60">
        <v>450</v>
      </c>
      <c r="G2379" s="60">
        <f>+OtherClients[[#This Row],[Boxes / Pieces]]*OtherClients[[#This Row],[Unit Quantity]]</f>
        <v>9000</v>
      </c>
      <c r="H2379" s="60" t="s">
        <v>899</v>
      </c>
      <c r="I2379" s="130" t="s">
        <v>278</v>
      </c>
      <c r="J2379" s="131"/>
      <c r="K2379" s="33" t="s">
        <v>278</v>
      </c>
      <c r="L2379" s="132"/>
      <c r="M2379" s="33" t="s">
        <v>278</v>
      </c>
      <c r="N2379" s="132"/>
      <c r="O2379" s="33" t="s">
        <v>278</v>
      </c>
      <c r="P2379" s="132"/>
      <c r="Q2379" s="33" t="s">
        <v>587</v>
      </c>
      <c r="R2379" s="132"/>
      <c r="S2379" s="33" t="s">
        <v>278</v>
      </c>
      <c r="T2379" s="132"/>
      <c r="U2379" s="33" t="s">
        <v>278</v>
      </c>
      <c r="V2379" s="132"/>
      <c r="W2379" s="59" t="s">
        <v>548</v>
      </c>
      <c r="X2379" s="33" t="str">
        <f>+VLOOKUP(OtherClients[[#This Row],[Part]],PartControl!$A$2:$E$564,5,FALSE)</f>
        <v>infasco</v>
      </c>
      <c r="Y2379" s="108">
        <f>IF(OtherClients[[#This Row],[Re-certified or New]]&lt;&gt;"Re-certified",IF(OtherClients[[#This Row],[Client]]="infasco",VLOOKUP(OtherClients[[#This Row],[Part]],PartControl!$A$2:$E$564,2,FALSE),OtherClients[[#This Row],[Total Quantity]]*VLOOKUP(OtherClients[[#This Row],[Part]],PartControl!$A$2:$E$564,2,FALSE)),0)</f>
        <v>106.94</v>
      </c>
      <c r="Z2379" s="108">
        <f>IF(OtherClients[[#This Row],[Re-certified or New]]&lt;&gt;"Re-certified",IF(OtherClients[[#This Row],[Client]]="infasco",VLOOKUP(OtherClients[[#This Row],[Part]],PartControl!$A$2:$E$564,2,FALSE),OtherClients[[#This Row],[Total Quantity]]*VLOOKUP(OtherClients[[#This Row],[Part]],PartControl!$A$2:$E$564,2,FALSE)),0)</f>
        <v>106.94</v>
      </c>
    </row>
    <row r="2380" spans="1:26" ht="25.15" hidden="1" customHeight="1" x14ac:dyDescent="0.25">
      <c r="A2380" s="112">
        <v>46267.707094907404</v>
      </c>
      <c r="B2380" s="5" t="s">
        <v>343</v>
      </c>
      <c r="C2380" s="5" t="s">
        <v>792</v>
      </c>
      <c r="D2380" s="5">
        <v>716286</v>
      </c>
      <c r="E2380" s="33">
        <v>19</v>
      </c>
      <c r="F2380" s="60">
        <v>450</v>
      </c>
      <c r="G2380" s="60">
        <f>+OtherClients[[#This Row],[Boxes / Pieces]]*OtherClients[[#This Row],[Unit Quantity]]</f>
        <v>8550</v>
      </c>
      <c r="H2380" s="60" t="s">
        <v>899</v>
      </c>
      <c r="I2380" s="130" t="s">
        <v>278</v>
      </c>
      <c r="J2380" s="131"/>
      <c r="K2380" s="33" t="s">
        <v>278</v>
      </c>
      <c r="L2380" s="132"/>
      <c r="M2380" s="33" t="s">
        <v>278</v>
      </c>
      <c r="N2380" s="132"/>
      <c r="O2380" s="33" t="s">
        <v>278</v>
      </c>
      <c r="P2380" s="132"/>
      <c r="Q2380" s="33" t="s">
        <v>587</v>
      </c>
      <c r="R2380" s="132"/>
      <c r="S2380" s="33" t="s">
        <v>278</v>
      </c>
      <c r="T2380" s="132"/>
      <c r="U2380" s="33" t="s">
        <v>278</v>
      </c>
      <c r="V2380" s="132"/>
      <c r="W2380" s="59" t="s">
        <v>548</v>
      </c>
      <c r="X2380" s="33" t="str">
        <f>+VLOOKUP(OtherClients[[#This Row],[Part]],PartControl!$A$2:$E$564,5,FALSE)</f>
        <v>infasco</v>
      </c>
      <c r="Y2380" s="108">
        <f>IF(OtherClients[[#This Row],[Re-certified or New]]&lt;&gt;"Re-certified",IF(OtherClients[[#This Row],[Client]]="infasco",VLOOKUP(OtherClients[[#This Row],[Part]],PartControl!$A$2:$E$564,2,FALSE),OtherClients[[#This Row],[Total Quantity]]*VLOOKUP(OtherClients[[#This Row],[Part]],PartControl!$A$2:$E$564,2,FALSE)),0)</f>
        <v>106.94</v>
      </c>
      <c r="Z2380" s="108">
        <f>IF(OtherClients[[#This Row],[Re-certified or New]]&lt;&gt;"Re-certified",IF(OtherClients[[#This Row],[Client]]="infasco",VLOOKUP(OtherClients[[#This Row],[Part]],PartControl!$A$2:$E$564,2,FALSE),OtherClients[[#This Row],[Total Quantity]]*VLOOKUP(OtherClients[[#This Row],[Part]],PartControl!$A$2:$E$564,2,FALSE)),0)</f>
        <v>106.94</v>
      </c>
    </row>
    <row r="2381" spans="1:26" ht="25.15" hidden="1" customHeight="1" x14ac:dyDescent="0.25">
      <c r="A2381" s="112">
        <v>46267.707094907404</v>
      </c>
      <c r="B2381" s="5" t="s">
        <v>343</v>
      </c>
      <c r="C2381" s="5">
        <v>11549170</v>
      </c>
      <c r="D2381" s="5">
        <v>716575</v>
      </c>
      <c r="E2381" s="33">
        <v>33</v>
      </c>
      <c r="F2381" s="60">
        <v>400</v>
      </c>
      <c r="G2381" s="60">
        <f>+OtherClients[[#This Row],[Boxes / Pieces]]*OtherClients[[#This Row],[Unit Quantity]]</f>
        <v>13200</v>
      </c>
      <c r="H2381" s="60" t="s">
        <v>899</v>
      </c>
      <c r="I2381" s="130" t="s">
        <v>278</v>
      </c>
      <c r="J2381" s="131"/>
      <c r="K2381" s="33" t="s">
        <v>278</v>
      </c>
      <c r="L2381" s="132"/>
      <c r="M2381" s="33" t="s">
        <v>278</v>
      </c>
      <c r="N2381" s="132"/>
      <c r="O2381" s="33" t="s">
        <v>278</v>
      </c>
      <c r="P2381" s="132"/>
      <c r="Q2381" s="33" t="s">
        <v>587</v>
      </c>
      <c r="R2381" s="132"/>
      <c r="S2381" s="33" t="s">
        <v>278</v>
      </c>
      <c r="T2381" s="132"/>
      <c r="U2381" s="33" t="s">
        <v>278</v>
      </c>
      <c r="V2381" s="132"/>
      <c r="W2381" s="59" t="s">
        <v>548</v>
      </c>
      <c r="X2381" s="33" t="str">
        <f>+VLOOKUP(OtherClients[[#This Row],[Part]],PartControl!$A$2:$E$564,5,FALSE)</f>
        <v>INFASCO</v>
      </c>
      <c r="Y2381" s="108">
        <f>IF(OtherClients[[#This Row],[Re-certified or New]]&lt;&gt;"Re-certified",IF(OtherClients[[#This Row],[Client]]="infasco",VLOOKUP(OtherClients[[#This Row],[Part]],PartControl!$A$2:$E$564,2,FALSE),OtherClients[[#This Row],[Total Quantity]]*VLOOKUP(OtherClients[[#This Row],[Part]],PartControl!$A$2:$E$564,2,FALSE)),0)</f>
        <v>106.94</v>
      </c>
      <c r="Z2381" s="108">
        <f>IF(OtherClients[[#This Row],[Re-certified or New]]&lt;&gt;"Re-certified",IF(OtherClients[[#This Row],[Client]]="infasco",VLOOKUP(OtherClients[[#This Row],[Part]],PartControl!$A$2:$E$564,2,FALSE),OtherClients[[#This Row],[Total Quantity]]*VLOOKUP(OtherClients[[#This Row],[Part]],PartControl!$A$2:$E$564,2,FALSE)),0)</f>
        <v>106.94</v>
      </c>
    </row>
    <row r="2382" spans="1:26" ht="25.15" hidden="1" customHeight="1" x14ac:dyDescent="0.25">
      <c r="A2382" s="112">
        <v>46267.707094907404</v>
      </c>
      <c r="B2382" s="5" t="s">
        <v>343</v>
      </c>
      <c r="C2382" s="5" t="s">
        <v>750</v>
      </c>
      <c r="D2382" s="5">
        <v>717543</v>
      </c>
      <c r="E2382" s="33">
        <v>38</v>
      </c>
      <c r="F2382" s="60">
        <v>1300</v>
      </c>
      <c r="G2382" s="60">
        <f>+OtherClients[[#This Row],[Boxes / Pieces]]*OtherClients[[#This Row],[Unit Quantity]]</f>
        <v>49400</v>
      </c>
      <c r="H2382" s="60" t="s">
        <v>899</v>
      </c>
      <c r="I2382" s="130" t="s">
        <v>278</v>
      </c>
      <c r="J2382" s="131"/>
      <c r="K2382" s="33" t="s">
        <v>278</v>
      </c>
      <c r="L2382" s="132"/>
      <c r="M2382" s="33" t="s">
        <v>278</v>
      </c>
      <c r="N2382" s="132"/>
      <c r="O2382" s="33" t="s">
        <v>278</v>
      </c>
      <c r="P2382" s="132"/>
      <c r="Q2382" s="33" t="s">
        <v>587</v>
      </c>
      <c r="R2382" s="132"/>
      <c r="S2382" s="33" t="s">
        <v>278</v>
      </c>
      <c r="T2382" s="132"/>
      <c r="U2382" s="33" t="s">
        <v>278</v>
      </c>
      <c r="V2382" s="132"/>
      <c r="W2382" s="59" t="s">
        <v>548</v>
      </c>
      <c r="X2382" s="33" t="str">
        <f>+VLOOKUP(OtherClients[[#This Row],[Part]],PartControl!$A$2:$E$564,5,FALSE)</f>
        <v>infasco</v>
      </c>
      <c r="Y2382" s="108">
        <f>IF(OtherClients[[#This Row],[Re-certified or New]]&lt;&gt;"Re-certified",IF(OtherClients[[#This Row],[Client]]="infasco",VLOOKUP(OtherClients[[#This Row],[Part]],PartControl!$A$2:$E$564,2,FALSE),OtherClients[[#This Row],[Total Quantity]]*VLOOKUP(OtherClients[[#This Row],[Part]],PartControl!$A$2:$E$564,2,FALSE)),0)</f>
        <v>129.44999999999999</v>
      </c>
      <c r="Z2382" s="108">
        <f>IF(OtherClients[[#This Row],[Re-certified or New]]&lt;&gt;"Re-certified",IF(OtherClients[[#This Row],[Client]]="infasco",VLOOKUP(OtherClients[[#This Row],[Part]],PartControl!$A$2:$E$564,2,FALSE),OtherClients[[#This Row],[Total Quantity]]*VLOOKUP(OtherClients[[#This Row],[Part]],PartControl!$A$2:$E$564,2,FALSE)),0)</f>
        <v>129.44999999999999</v>
      </c>
    </row>
    <row r="2383" spans="1:26" ht="25.15" hidden="1" customHeight="1" x14ac:dyDescent="0.25">
      <c r="A2383" s="112">
        <v>46267.707094907404</v>
      </c>
      <c r="B2383" s="5" t="s">
        <v>343</v>
      </c>
      <c r="C2383" s="5">
        <v>11602031</v>
      </c>
      <c r="D2383" s="5">
        <v>717898</v>
      </c>
      <c r="E2383" s="33">
        <v>32</v>
      </c>
      <c r="F2383" s="60">
        <v>145</v>
      </c>
      <c r="G2383" s="60">
        <f>+OtherClients[[#This Row],[Boxes / Pieces]]*OtherClients[[#This Row],[Unit Quantity]]</f>
        <v>4640</v>
      </c>
      <c r="H2383" s="60" t="s">
        <v>899</v>
      </c>
      <c r="I2383" s="130" t="s">
        <v>278</v>
      </c>
      <c r="J2383" s="131"/>
      <c r="K2383" s="33" t="s">
        <v>278</v>
      </c>
      <c r="L2383" s="132"/>
      <c r="M2383" s="33" t="s">
        <v>278</v>
      </c>
      <c r="N2383" s="132"/>
      <c r="O2383" s="33" t="s">
        <v>278</v>
      </c>
      <c r="P2383" s="132"/>
      <c r="Q2383" s="33" t="s">
        <v>587</v>
      </c>
      <c r="R2383" s="132"/>
      <c r="S2383" s="33" t="s">
        <v>278</v>
      </c>
      <c r="T2383" s="132"/>
      <c r="U2383" s="33" t="s">
        <v>278</v>
      </c>
      <c r="V2383" s="132"/>
      <c r="W2383" s="59" t="s">
        <v>548</v>
      </c>
      <c r="X2383" s="33" t="str">
        <f>+VLOOKUP(OtherClients[[#This Row],[Part]],PartControl!$A$2:$E$564,5,FALSE)</f>
        <v>INFASCO</v>
      </c>
      <c r="Y2383" s="108">
        <f>IF(OtherClients[[#This Row],[Re-certified or New]]&lt;&gt;"Re-certified",IF(OtherClients[[#This Row],[Client]]="infasco",VLOOKUP(OtherClients[[#This Row],[Part]],PartControl!$A$2:$E$564,2,FALSE),OtherClients[[#This Row],[Total Quantity]]*VLOOKUP(OtherClients[[#This Row],[Part]],PartControl!$A$2:$E$564,2,FALSE)),0)</f>
        <v>135.07999999999998</v>
      </c>
      <c r="Z2383" s="108">
        <f>IF(OtherClients[[#This Row],[Re-certified or New]]&lt;&gt;"Re-certified",IF(OtherClients[[#This Row],[Client]]="infasco",VLOOKUP(OtherClients[[#This Row],[Part]],PartControl!$A$2:$E$564,2,FALSE),OtherClients[[#This Row],[Total Quantity]]*VLOOKUP(OtherClients[[#This Row],[Part]],PartControl!$A$2:$E$564,2,FALSE)),0)</f>
        <v>135.07999999999998</v>
      </c>
    </row>
    <row r="2384" spans="1:26" ht="25.15" hidden="1" customHeight="1" x14ac:dyDescent="0.25">
      <c r="A2384" s="112">
        <v>46267.707094907404</v>
      </c>
      <c r="B2384" s="5" t="s">
        <v>343</v>
      </c>
      <c r="C2384" s="5">
        <v>11546377</v>
      </c>
      <c r="D2384" s="5">
        <v>718133</v>
      </c>
      <c r="E2384" s="33">
        <v>28</v>
      </c>
      <c r="F2384" s="60">
        <v>2150</v>
      </c>
      <c r="G2384" s="60">
        <f>+OtherClients[[#This Row],[Boxes / Pieces]]*OtherClients[[#This Row],[Unit Quantity]]</f>
        <v>60200</v>
      </c>
      <c r="H2384" s="60" t="s">
        <v>899</v>
      </c>
      <c r="I2384" s="130" t="s">
        <v>278</v>
      </c>
      <c r="J2384" s="131"/>
      <c r="K2384" s="33" t="s">
        <v>278</v>
      </c>
      <c r="L2384" s="132"/>
      <c r="M2384" s="33" t="s">
        <v>278</v>
      </c>
      <c r="N2384" s="132"/>
      <c r="O2384" s="33" t="s">
        <v>278</v>
      </c>
      <c r="P2384" s="132"/>
      <c r="Q2384" s="33" t="s">
        <v>587</v>
      </c>
      <c r="R2384" s="132"/>
      <c r="S2384" s="33" t="s">
        <v>278</v>
      </c>
      <c r="T2384" s="132"/>
      <c r="U2384" s="33" t="s">
        <v>278</v>
      </c>
      <c r="V2384" s="132"/>
      <c r="W2384" s="59" t="s">
        <v>633</v>
      </c>
      <c r="X2384" s="33" t="str">
        <f>+VLOOKUP(OtherClients[[#This Row],[Part]],PartControl!$A$2:$E$564,5,FALSE)</f>
        <v>INFASCO</v>
      </c>
      <c r="Y2384" s="108">
        <f>IF(OtherClients[[#This Row],[Re-certified or New]]&lt;&gt;"Re-certified",IF(OtherClients[[#This Row],[Client]]="infasco",VLOOKUP(OtherClients[[#This Row],[Part]],PartControl!$A$2:$E$564,2,FALSE),OtherClients[[#This Row],[Total Quantity]]*VLOOKUP(OtherClients[[#This Row],[Part]],PartControl!$A$2:$E$564,2,FALSE)),0)</f>
        <v>0</v>
      </c>
      <c r="Z2384" s="108">
        <f>IF(OtherClients[[#This Row],[Re-certified or New]]&lt;&gt;"Re-certified",IF(OtherClients[[#This Row],[Client]]="infasco",VLOOKUP(OtherClients[[#This Row],[Part]],PartControl!$A$2:$E$564,2,FALSE),OtherClients[[#This Row],[Total Quantity]]*VLOOKUP(OtherClients[[#This Row],[Part]],PartControl!$A$2:$E$564,2,FALSE)),0)</f>
        <v>0</v>
      </c>
    </row>
    <row r="2385" spans="1:26" ht="25.15" hidden="1" customHeight="1" x14ac:dyDescent="0.25">
      <c r="A2385" s="112">
        <v>46267.707094907404</v>
      </c>
      <c r="B2385" s="5" t="s">
        <v>344</v>
      </c>
      <c r="C2385" s="5" t="s">
        <v>662</v>
      </c>
      <c r="D2385" s="5">
        <v>717977</v>
      </c>
      <c r="E2385" s="33">
        <v>22</v>
      </c>
      <c r="F2385" s="60">
        <v>580</v>
      </c>
      <c r="G2385" s="60">
        <f>+OtherClients[[#This Row],[Boxes / Pieces]]*OtherClients[[#This Row],[Unit Quantity]]</f>
        <v>12760</v>
      </c>
      <c r="H2385" s="60" t="s">
        <v>816</v>
      </c>
      <c r="I2385" s="130" t="s">
        <v>278</v>
      </c>
      <c r="J2385" s="131"/>
      <c r="K2385" s="33" t="s">
        <v>278</v>
      </c>
      <c r="L2385" s="132"/>
      <c r="M2385" s="33" t="s">
        <v>278</v>
      </c>
      <c r="N2385" s="132"/>
      <c r="O2385" s="33" t="s">
        <v>278</v>
      </c>
      <c r="P2385" s="132"/>
      <c r="Q2385" s="33" t="s">
        <v>587</v>
      </c>
      <c r="R2385" s="132"/>
      <c r="S2385" s="33" t="s">
        <v>278</v>
      </c>
      <c r="T2385" s="132"/>
      <c r="U2385" s="33" t="s">
        <v>278</v>
      </c>
      <c r="V2385" s="132"/>
      <c r="W2385" s="59" t="s">
        <v>548</v>
      </c>
      <c r="X2385" s="33" t="str">
        <f>+VLOOKUP(OtherClients[[#This Row],[Part]],PartControl!$A$2:$E$564,5,FALSE)</f>
        <v>infasco</v>
      </c>
      <c r="Y2385" s="108">
        <f>IF(OtherClients[[#This Row],[Re-certified or New]]&lt;&gt;"Re-certified",IF(OtherClients[[#This Row],[Client]]="infasco",VLOOKUP(OtherClients[[#This Row],[Part]],PartControl!$A$2:$E$564,2,FALSE),OtherClients[[#This Row],[Total Quantity]]*VLOOKUP(OtherClients[[#This Row],[Part]],PartControl!$A$2:$E$564,2,FALSE)),0)</f>
        <v>280.15999999999997</v>
      </c>
      <c r="Z2385" s="108">
        <f>IF(OtherClients[[#This Row],[Re-certified or New]]&lt;&gt;"Re-certified",IF(OtherClients[[#This Row],[Client]]="infasco",VLOOKUP(OtherClients[[#This Row],[Part]],PartControl!$A$2:$E$564,2,FALSE),OtherClients[[#This Row],[Total Quantity]]*VLOOKUP(OtherClients[[#This Row],[Part]],PartControl!$A$2:$E$564,2,FALSE)),0)</f>
        <v>280.15999999999997</v>
      </c>
    </row>
    <row r="2386" spans="1:26" ht="25.15" hidden="1" customHeight="1" x14ac:dyDescent="0.25">
      <c r="A2386" s="112">
        <v>46267.707094907404</v>
      </c>
      <c r="B2386" s="5" t="s">
        <v>344</v>
      </c>
      <c r="C2386" s="5">
        <v>11546703</v>
      </c>
      <c r="D2386" s="5">
        <v>715806</v>
      </c>
      <c r="E2386" s="33">
        <v>31</v>
      </c>
      <c r="F2386" s="60">
        <v>4000</v>
      </c>
      <c r="G2386" s="60">
        <f>+OtherClients[[#This Row],[Boxes / Pieces]]*OtherClients[[#This Row],[Unit Quantity]]</f>
        <v>124000</v>
      </c>
      <c r="H2386" s="60" t="s">
        <v>816</v>
      </c>
      <c r="I2386" s="130" t="s">
        <v>278</v>
      </c>
      <c r="J2386" s="131"/>
      <c r="K2386" s="33" t="s">
        <v>278</v>
      </c>
      <c r="L2386" s="132"/>
      <c r="M2386" s="33" t="s">
        <v>278</v>
      </c>
      <c r="N2386" s="132"/>
      <c r="O2386" s="33" t="s">
        <v>278</v>
      </c>
      <c r="P2386" s="132"/>
      <c r="Q2386" s="33" t="s">
        <v>587</v>
      </c>
      <c r="R2386" s="132"/>
      <c r="S2386" s="33" t="s">
        <v>278</v>
      </c>
      <c r="T2386" s="132"/>
      <c r="U2386" s="33" t="s">
        <v>278</v>
      </c>
      <c r="V2386" s="132"/>
      <c r="W2386" s="59" t="s">
        <v>548</v>
      </c>
      <c r="X2386" s="33" t="str">
        <f>+VLOOKUP(OtherClients[[#This Row],[Part]],PartControl!$A$2:$E$564,5,FALSE)</f>
        <v>infasco</v>
      </c>
      <c r="Y2386" s="108">
        <f>IF(OtherClients[[#This Row],[Re-certified or New]]&lt;&gt;"Re-certified",IF(OtherClients[[#This Row],[Client]]="infasco",VLOOKUP(OtherClients[[#This Row],[Part]],PartControl!$A$2:$E$564,2,FALSE),OtherClients[[#This Row],[Total Quantity]]*VLOOKUP(OtherClients[[#This Row],[Part]],PartControl!$A$2:$E$564,2,FALSE)),0)</f>
        <v>135.07999999999998</v>
      </c>
      <c r="Z2386" s="108">
        <f>IF(OtherClients[[#This Row],[Re-certified or New]]&lt;&gt;"Re-certified",IF(OtherClients[[#This Row],[Client]]="infasco",VLOOKUP(OtherClients[[#This Row],[Part]],PartControl!$A$2:$E$564,2,FALSE),OtherClients[[#This Row],[Total Quantity]]*VLOOKUP(OtherClients[[#This Row],[Part]],PartControl!$A$2:$E$564,2,FALSE)),0)</f>
        <v>135.07999999999998</v>
      </c>
    </row>
    <row r="2387" spans="1:26" ht="25.15" hidden="1" customHeight="1" x14ac:dyDescent="0.25">
      <c r="A2387" s="112">
        <v>46267.707094907404</v>
      </c>
      <c r="B2387" s="5" t="s">
        <v>344</v>
      </c>
      <c r="C2387" s="5">
        <v>11546703</v>
      </c>
      <c r="D2387" s="5">
        <v>715812</v>
      </c>
      <c r="E2387" s="33">
        <v>34</v>
      </c>
      <c r="F2387" s="60">
        <v>4000</v>
      </c>
      <c r="G2387" s="60">
        <f>+OtherClients[[#This Row],[Boxes / Pieces]]*OtherClients[[#This Row],[Unit Quantity]]</f>
        <v>136000</v>
      </c>
      <c r="H2387" s="60" t="s">
        <v>816</v>
      </c>
      <c r="I2387" s="130" t="s">
        <v>278</v>
      </c>
      <c r="J2387" s="131"/>
      <c r="K2387" s="33" t="s">
        <v>278</v>
      </c>
      <c r="L2387" s="132"/>
      <c r="M2387" s="33" t="s">
        <v>278</v>
      </c>
      <c r="N2387" s="132"/>
      <c r="O2387" s="33" t="s">
        <v>278</v>
      </c>
      <c r="P2387" s="132"/>
      <c r="Q2387" s="33" t="s">
        <v>587</v>
      </c>
      <c r="R2387" s="132"/>
      <c r="S2387" s="33" t="s">
        <v>278</v>
      </c>
      <c r="T2387" s="132"/>
      <c r="U2387" s="33" t="s">
        <v>278</v>
      </c>
      <c r="V2387" s="132"/>
      <c r="W2387" s="59" t="s">
        <v>548</v>
      </c>
      <c r="X2387" s="33" t="str">
        <f>+VLOOKUP(OtherClients[[#This Row],[Part]],PartControl!$A$2:$E$564,5,FALSE)</f>
        <v>infasco</v>
      </c>
      <c r="Y2387" s="108">
        <f>IF(OtherClients[[#This Row],[Re-certified or New]]&lt;&gt;"Re-certified",IF(OtherClients[[#This Row],[Client]]="infasco",VLOOKUP(OtherClients[[#This Row],[Part]],PartControl!$A$2:$E$564,2,FALSE),OtherClients[[#This Row],[Total Quantity]]*VLOOKUP(OtherClients[[#This Row],[Part]],PartControl!$A$2:$E$564,2,FALSE)),0)</f>
        <v>135.07999999999998</v>
      </c>
      <c r="Z2387" s="108">
        <f>IF(OtherClients[[#This Row],[Re-certified or New]]&lt;&gt;"Re-certified",IF(OtherClients[[#This Row],[Client]]="infasco",VLOOKUP(OtherClients[[#This Row],[Part]],PartControl!$A$2:$E$564,2,FALSE),OtherClients[[#This Row],[Total Quantity]]*VLOOKUP(OtherClients[[#This Row],[Part]],PartControl!$A$2:$E$564,2,FALSE)),0)</f>
        <v>135.07999999999998</v>
      </c>
    </row>
    <row r="2388" spans="1:26" ht="25.15" hidden="1" customHeight="1" x14ac:dyDescent="0.25">
      <c r="A2388" s="112">
        <v>46267.707094907404</v>
      </c>
      <c r="B2388" s="5" t="s">
        <v>344</v>
      </c>
      <c r="C2388" s="5" t="s">
        <v>903</v>
      </c>
      <c r="D2388" s="5">
        <v>717567</v>
      </c>
      <c r="E2388" s="33">
        <v>27</v>
      </c>
      <c r="F2388" s="60">
        <v>1100</v>
      </c>
      <c r="G2388" s="60">
        <f>+OtherClients[[#This Row],[Boxes / Pieces]]*OtherClients[[#This Row],[Unit Quantity]]</f>
        <v>29700</v>
      </c>
      <c r="H2388" s="60" t="s">
        <v>816</v>
      </c>
      <c r="I2388" s="130" t="s">
        <v>278</v>
      </c>
      <c r="J2388" s="131"/>
      <c r="K2388" s="33" t="s">
        <v>278</v>
      </c>
      <c r="L2388" s="132"/>
      <c r="M2388" s="33" t="s">
        <v>278</v>
      </c>
      <c r="N2388" s="132"/>
      <c r="O2388" s="33" t="s">
        <v>278</v>
      </c>
      <c r="P2388" s="132"/>
      <c r="Q2388" s="33" t="s">
        <v>587</v>
      </c>
      <c r="R2388" s="132"/>
      <c r="S2388" s="33" t="s">
        <v>278</v>
      </c>
      <c r="T2388" s="132"/>
      <c r="U2388" s="33" t="s">
        <v>278</v>
      </c>
      <c r="V2388" s="132"/>
      <c r="W2388" s="59" t="s">
        <v>548</v>
      </c>
      <c r="X2388" s="33" t="str">
        <f>+VLOOKUP(OtherClients[[#This Row],[Part]],PartControl!$A$2:$E$564,5,FALSE)</f>
        <v>infasco</v>
      </c>
      <c r="Y2388" s="108">
        <f>IF(OtherClients[[#This Row],[Re-certified or New]]&lt;&gt;"Re-certified",IF(OtherClients[[#This Row],[Client]]="infasco",VLOOKUP(OtherClients[[#This Row],[Part]],PartControl!$A$2:$E$564,2,FALSE),OtherClients[[#This Row],[Total Quantity]]*VLOOKUP(OtherClients[[#This Row],[Part]],PartControl!$A$2:$E$564,2,FALSE)),0)</f>
        <v>135.08000000000001</v>
      </c>
      <c r="Z2388" s="108">
        <f>IF(OtherClients[[#This Row],[Re-certified or New]]&lt;&gt;"Re-certified",IF(OtherClients[[#This Row],[Client]]="infasco",VLOOKUP(OtherClients[[#This Row],[Part]],PartControl!$A$2:$E$564,2,FALSE),OtherClients[[#This Row],[Total Quantity]]*VLOOKUP(OtherClients[[#This Row],[Part]],PartControl!$A$2:$E$564,2,FALSE)),0)</f>
        <v>135.08000000000001</v>
      </c>
    </row>
    <row r="2389" spans="1:26" ht="25.15" hidden="1" customHeight="1" x14ac:dyDescent="0.25">
      <c r="A2389" s="112">
        <v>46267.707094907404</v>
      </c>
      <c r="B2389" s="5" t="s">
        <v>344</v>
      </c>
      <c r="C2389" s="5" t="s">
        <v>657</v>
      </c>
      <c r="D2389" s="5">
        <v>718102</v>
      </c>
      <c r="E2389" s="33">
        <v>1</v>
      </c>
      <c r="F2389" s="60">
        <v>70450</v>
      </c>
      <c r="G2389" s="60">
        <f>+OtherClients[[#This Row],[Boxes / Pieces]]*OtherClients[[#This Row],[Unit Quantity]]</f>
        <v>70450</v>
      </c>
      <c r="H2389" s="60" t="s">
        <v>816</v>
      </c>
      <c r="I2389" s="130" t="s">
        <v>278</v>
      </c>
      <c r="J2389" s="131"/>
      <c r="K2389" s="33" t="s">
        <v>278</v>
      </c>
      <c r="L2389" s="132"/>
      <c r="M2389" s="33" t="s">
        <v>278</v>
      </c>
      <c r="N2389" s="132"/>
      <c r="O2389" s="33" t="s">
        <v>278</v>
      </c>
      <c r="P2389" s="132"/>
      <c r="Q2389" s="33" t="s">
        <v>587</v>
      </c>
      <c r="R2389" s="132"/>
      <c r="S2389" s="33" t="s">
        <v>278</v>
      </c>
      <c r="T2389" s="132"/>
      <c r="U2389" s="33" t="s">
        <v>278</v>
      </c>
      <c r="V2389" s="132"/>
      <c r="W2389" s="59" t="s">
        <v>548</v>
      </c>
      <c r="X2389" s="33" t="str">
        <f>+VLOOKUP(OtherClients[[#This Row],[Part]],PartControl!$A$2:$E$564,5,FALSE)</f>
        <v>infasco</v>
      </c>
      <c r="Y2389" s="108">
        <f>IF(OtherClients[[#This Row],[Re-certified or New]]&lt;&gt;"Re-certified",IF(OtherClients[[#This Row],[Client]]="infasco",VLOOKUP(OtherClients[[#This Row],[Part]],PartControl!$A$2:$E$564,2,FALSE),OtherClients[[#This Row],[Total Quantity]]*VLOOKUP(OtherClients[[#This Row],[Part]],PartControl!$A$2:$E$564,2,FALSE)),0)</f>
        <v>129.44999999999999</v>
      </c>
      <c r="Z2389" s="108">
        <f>IF(OtherClients[[#This Row],[Re-certified or New]]&lt;&gt;"Re-certified",IF(OtherClients[[#This Row],[Client]]="infasco",VLOOKUP(OtherClients[[#This Row],[Part]],PartControl!$A$2:$E$564,2,FALSE),OtherClients[[#This Row],[Total Quantity]]*VLOOKUP(OtherClients[[#This Row],[Part]],PartControl!$A$2:$E$564,2,FALSE)),0)</f>
        <v>129.44999999999999</v>
      </c>
    </row>
    <row r="2390" spans="1:26" ht="25.15" hidden="1" customHeight="1" x14ac:dyDescent="0.25">
      <c r="A2390" s="112">
        <v>46267.707094907404</v>
      </c>
      <c r="B2390" s="5" t="s">
        <v>344</v>
      </c>
      <c r="C2390" s="5" t="s">
        <v>657</v>
      </c>
      <c r="D2390" s="5">
        <v>718097</v>
      </c>
      <c r="E2390" s="33">
        <v>1</v>
      </c>
      <c r="F2390" s="60">
        <v>74100</v>
      </c>
      <c r="G2390" s="60">
        <f>+OtherClients[[#This Row],[Boxes / Pieces]]*OtherClients[[#This Row],[Unit Quantity]]</f>
        <v>74100</v>
      </c>
      <c r="H2390" s="60" t="s">
        <v>816</v>
      </c>
      <c r="I2390" s="130" t="s">
        <v>278</v>
      </c>
      <c r="J2390" s="131"/>
      <c r="K2390" s="33" t="s">
        <v>278</v>
      </c>
      <c r="L2390" s="132"/>
      <c r="M2390" s="33" t="s">
        <v>278</v>
      </c>
      <c r="N2390" s="132"/>
      <c r="O2390" s="33" t="s">
        <v>278</v>
      </c>
      <c r="P2390" s="132"/>
      <c r="Q2390" s="33" t="s">
        <v>587</v>
      </c>
      <c r="R2390" s="132"/>
      <c r="S2390" s="33" t="s">
        <v>278</v>
      </c>
      <c r="T2390" s="132"/>
      <c r="U2390" s="33" t="s">
        <v>278</v>
      </c>
      <c r="V2390" s="132"/>
      <c r="W2390" s="59" t="s">
        <v>548</v>
      </c>
      <c r="X2390" s="33" t="str">
        <f>+VLOOKUP(OtherClients[[#This Row],[Part]],PartControl!$A$2:$E$564,5,FALSE)</f>
        <v>infasco</v>
      </c>
      <c r="Y2390" s="108">
        <f>IF(OtherClients[[#This Row],[Re-certified or New]]&lt;&gt;"Re-certified",IF(OtherClients[[#This Row],[Client]]="infasco",VLOOKUP(OtherClients[[#This Row],[Part]],PartControl!$A$2:$E$564,2,FALSE),OtherClients[[#This Row],[Total Quantity]]*VLOOKUP(OtherClients[[#This Row],[Part]],PartControl!$A$2:$E$564,2,FALSE)),0)</f>
        <v>129.44999999999999</v>
      </c>
      <c r="Z2390" s="108">
        <f>IF(OtherClients[[#This Row],[Re-certified or New]]&lt;&gt;"Re-certified",IF(OtherClients[[#This Row],[Client]]="infasco",VLOOKUP(OtherClients[[#This Row],[Part]],PartControl!$A$2:$E$564,2,FALSE),OtherClients[[#This Row],[Total Quantity]]*VLOOKUP(OtherClients[[#This Row],[Part]],PartControl!$A$2:$E$564,2,FALSE)),0)</f>
        <v>129.44999999999999</v>
      </c>
    </row>
    <row r="2391" spans="1:26" ht="25.15" hidden="1" customHeight="1" x14ac:dyDescent="0.25">
      <c r="A2391" s="112">
        <v>46267.707094907404</v>
      </c>
      <c r="B2391" s="5" t="s">
        <v>344</v>
      </c>
      <c r="C2391" s="5" t="s">
        <v>705</v>
      </c>
      <c r="D2391" s="5">
        <v>716353</v>
      </c>
      <c r="E2391" s="33">
        <v>36</v>
      </c>
      <c r="F2391" s="60">
        <v>450</v>
      </c>
      <c r="G2391" s="60">
        <f>+OtherClients[[#This Row],[Boxes / Pieces]]*OtherClients[[#This Row],[Unit Quantity]]</f>
        <v>16200</v>
      </c>
      <c r="H2391" s="60" t="s">
        <v>816</v>
      </c>
      <c r="I2391" s="130" t="s">
        <v>278</v>
      </c>
      <c r="J2391" s="131"/>
      <c r="K2391" s="33" t="s">
        <v>278</v>
      </c>
      <c r="L2391" s="132"/>
      <c r="M2391" s="33" t="s">
        <v>278</v>
      </c>
      <c r="N2391" s="132"/>
      <c r="O2391" s="33" t="s">
        <v>278</v>
      </c>
      <c r="P2391" s="132"/>
      <c r="Q2391" s="33" t="s">
        <v>587</v>
      </c>
      <c r="R2391" s="132"/>
      <c r="S2391" s="33" t="s">
        <v>278</v>
      </c>
      <c r="T2391" s="132"/>
      <c r="U2391" s="33" t="s">
        <v>278</v>
      </c>
      <c r="V2391" s="132"/>
      <c r="W2391" s="59" t="s">
        <v>548</v>
      </c>
      <c r="X2391" s="33" t="str">
        <f>+VLOOKUP(OtherClients[[#This Row],[Part]],PartControl!$A$2:$E$564,5,FALSE)</f>
        <v>infasco</v>
      </c>
      <c r="Y2391" s="108">
        <f>IF(OtherClients[[#This Row],[Re-certified or New]]&lt;&gt;"Re-certified",IF(OtherClients[[#This Row],[Client]]="infasco",VLOOKUP(OtherClients[[#This Row],[Part]],PartControl!$A$2:$E$564,2,FALSE),OtherClients[[#This Row],[Total Quantity]]*VLOOKUP(OtherClients[[#This Row],[Part]],PartControl!$A$2:$E$564,2,FALSE)),0)</f>
        <v>106.94</v>
      </c>
      <c r="Z2391" s="108">
        <f>IF(OtherClients[[#This Row],[Re-certified or New]]&lt;&gt;"Re-certified",IF(OtherClients[[#This Row],[Client]]="infasco",VLOOKUP(OtherClients[[#This Row],[Part]],PartControl!$A$2:$E$564,2,FALSE),OtherClients[[#This Row],[Total Quantity]]*VLOOKUP(OtherClients[[#This Row],[Part]],PartControl!$A$2:$E$564,2,FALSE)),0)</f>
        <v>106.94</v>
      </c>
    </row>
    <row r="2392" spans="1:26" ht="25.15" hidden="1" customHeight="1" x14ac:dyDescent="0.25">
      <c r="A2392" s="112">
        <v>46267.707094907404</v>
      </c>
      <c r="B2392" s="5" t="s">
        <v>344</v>
      </c>
      <c r="C2392" s="5" t="s">
        <v>705</v>
      </c>
      <c r="D2392" s="5">
        <v>716356</v>
      </c>
      <c r="E2392" s="33">
        <v>32</v>
      </c>
      <c r="F2392" s="60">
        <v>450</v>
      </c>
      <c r="G2392" s="60">
        <f>+OtherClients[[#This Row],[Boxes / Pieces]]*OtherClients[[#This Row],[Unit Quantity]]</f>
        <v>14400</v>
      </c>
      <c r="H2392" s="60" t="s">
        <v>816</v>
      </c>
      <c r="I2392" s="130" t="s">
        <v>278</v>
      </c>
      <c r="J2392" s="131"/>
      <c r="K2392" s="33" t="s">
        <v>278</v>
      </c>
      <c r="L2392" s="132"/>
      <c r="M2392" s="33" t="s">
        <v>278</v>
      </c>
      <c r="N2392" s="132"/>
      <c r="O2392" s="33" t="s">
        <v>278</v>
      </c>
      <c r="P2392" s="132"/>
      <c r="Q2392" s="33" t="s">
        <v>587</v>
      </c>
      <c r="R2392" s="132"/>
      <c r="S2392" s="33" t="s">
        <v>278</v>
      </c>
      <c r="T2392" s="132"/>
      <c r="U2392" s="33" t="s">
        <v>278</v>
      </c>
      <c r="V2392" s="132"/>
      <c r="W2392" s="59" t="s">
        <v>548</v>
      </c>
      <c r="X2392" s="33" t="str">
        <f>+VLOOKUP(OtherClients[[#This Row],[Part]],PartControl!$A$2:$E$564,5,FALSE)</f>
        <v>infasco</v>
      </c>
      <c r="Y2392" s="108">
        <f>IF(OtherClients[[#This Row],[Re-certified or New]]&lt;&gt;"Re-certified",IF(OtherClients[[#This Row],[Client]]="infasco",VLOOKUP(OtherClients[[#This Row],[Part]],PartControl!$A$2:$E$564,2,FALSE),OtherClients[[#This Row],[Total Quantity]]*VLOOKUP(OtherClients[[#This Row],[Part]],PartControl!$A$2:$E$564,2,FALSE)),0)</f>
        <v>106.94</v>
      </c>
      <c r="Z2392" s="108">
        <f>IF(OtherClients[[#This Row],[Re-certified or New]]&lt;&gt;"Re-certified",IF(OtherClients[[#This Row],[Client]]="infasco",VLOOKUP(OtherClients[[#This Row],[Part]],PartControl!$A$2:$E$564,2,FALSE),OtherClients[[#This Row],[Total Quantity]]*VLOOKUP(OtherClients[[#This Row],[Part]],PartControl!$A$2:$E$564,2,FALSE)),0)</f>
        <v>106.94</v>
      </c>
    </row>
    <row r="2393" spans="1:26" ht="25.15" hidden="1" customHeight="1" x14ac:dyDescent="0.25">
      <c r="A2393" s="112">
        <v>46267.707094907404</v>
      </c>
      <c r="B2393" s="5" t="s">
        <v>344</v>
      </c>
      <c r="C2393" s="5">
        <v>11546377</v>
      </c>
      <c r="D2393" s="5">
        <v>718134</v>
      </c>
      <c r="E2393" s="33">
        <v>18</v>
      </c>
      <c r="F2393" s="60">
        <v>2150</v>
      </c>
      <c r="G2393" s="60">
        <f>+OtherClients[[#This Row],[Boxes / Pieces]]*OtherClients[[#This Row],[Unit Quantity]]</f>
        <v>38700</v>
      </c>
      <c r="H2393" s="60" t="s">
        <v>816</v>
      </c>
      <c r="I2393" s="130" t="s">
        <v>278</v>
      </c>
      <c r="J2393" s="131"/>
      <c r="K2393" s="33" t="s">
        <v>278</v>
      </c>
      <c r="L2393" s="132"/>
      <c r="M2393" s="33" t="s">
        <v>278</v>
      </c>
      <c r="N2393" s="132"/>
      <c r="O2393" s="33" t="s">
        <v>278</v>
      </c>
      <c r="P2393" s="132"/>
      <c r="Q2393" s="33" t="s">
        <v>587</v>
      </c>
      <c r="R2393" s="132"/>
      <c r="S2393" s="33" t="s">
        <v>278</v>
      </c>
      <c r="T2393" s="132"/>
      <c r="U2393" s="33" t="s">
        <v>278</v>
      </c>
      <c r="V2393" s="132"/>
      <c r="W2393" s="59" t="s">
        <v>633</v>
      </c>
      <c r="X2393" s="33" t="str">
        <f>+VLOOKUP(OtherClients[[#This Row],[Part]],PartControl!$A$2:$E$564,5,FALSE)</f>
        <v>INFASCO</v>
      </c>
      <c r="Y2393" s="108">
        <f>IF(OtherClients[[#This Row],[Re-certified or New]]&lt;&gt;"Re-certified",IF(OtherClients[[#This Row],[Client]]="infasco",VLOOKUP(OtherClients[[#This Row],[Part]],PartControl!$A$2:$E$564,2,FALSE),OtherClients[[#This Row],[Total Quantity]]*VLOOKUP(OtherClients[[#This Row],[Part]],PartControl!$A$2:$E$564,2,FALSE)),0)</f>
        <v>0</v>
      </c>
      <c r="Z2393" s="108">
        <f>IF(OtherClients[[#This Row],[Re-certified or New]]&lt;&gt;"Re-certified",IF(OtherClients[[#This Row],[Client]]="infasco",VLOOKUP(OtherClients[[#This Row],[Part]],PartControl!$A$2:$E$564,2,FALSE),OtherClients[[#This Row],[Total Quantity]]*VLOOKUP(OtherClients[[#This Row],[Part]],PartControl!$A$2:$E$564,2,FALSE)),0)</f>
        <v>0</v>
      </c>
    </row>
    <row r="2394" spans="1:26" ht="25.15" hidden="1" customHeight="1" x14ac:dyDescent="0.25">
      <c r="A2394" s="112">
        <v>46267.707094907404</v>
      </c>
      <c r="B2394" s="5" t="s">
        <v>345</v>
      </c>
      <c r="C2394" s="5" t="s">
        <v>787</v>
      </c>
      <c r="D2394" s="5">
        <v>716955</v>
      </c>
      <c r="E2394" s="33">
        <v>16</v>
      </c>
      <c r="F2394" s="60">
        <v>1300</v>
      </c>
      <c r="G2394" s="60">
        <f>+OtherClients[[#This Row],[Boxes / Pieces]]*OtherClients[[#This Row],[Unit Quantity]]</f>
        <v>20800</v>
      </c>
      <c r="H2394" s="60" t="s">
        <v>896</v>
      </c>
      <c r="I2394" s="130" t="s">
        <v>278</v>
      </c>
      <c r="J2394" s="131"/>
      <c r="K2394" s="33" t="s">
        <v>278</v>
      </c>
      <c r="L2394" s="132"/>
      <c r="M2394" s="33" t="s">
        <v>278</v>
      </c>
      <c r="N2394" s="132"/>
      <c r="O2394" s="33" t="s">
        <v>278</v>
      </c>
      <c r="P2394" s="132"/>
      <c r="Q2394" s="33" t="s">
        <v>587</v>
      </c>
      <c r="R2394" s="132"/>
      <c r="S2394" s="33" t="s">
        <v>278</v>
      </c>
      <c r="T2394" s="132"/>
      <c r="U2394" s="33" t="s">
        <v>278</v>
      </c>
      <c r="V2394" s="132"/>
      <c r="W2394" s="59" t="s">
        <v>548</v>
      </c>
      <c r="X2394" s="33" t="str">
        <f>+VLOOKUP(OtherClients[[#This Row],[Part]],PartControl!$A$2:$E$564,5,FALSE)</f>
        <v>infasco</v>
      </c>
      <c r="Y2394" s="108">
        <f>IF(OtherClients[[#This Row],[Re-certified or New]]&lt;&gt;"Re-certified",IF(OtherClients[[#This Row],[Client]]="infasco",VLOOKUP(OtherClients[[#This Row],[Part]],PartControl!$A$2:$E$564,2,FALSE),OtherClients[[#This Row],[Total Quantity]]*VLOOKUP(OtherClients[[#This Row],[Part]],PartControl!$A$2:$E$564,2,FALSE)),0)</f>
        <v>124.18</v>
      </c>
      <c r="Z2394" s="108">
        <f>IF(OtherClients[[#This Row],[Re-certified or New]]&lt;&gt;"Re-certified",IF(OtherClients[[#This Row],[Client]]="infasco",VLOOKUP(OtherClients[[#This Row],[Part]],PartControl!$A$2:$E$564,2,FALSE),OtherClients[[#This Row],[Total Quantity]]*VLOOKUP(OtherClients[[#This Row],[Part]],PartControl!$A$2:$E$564,2,FALSE)),0)</f>
        <v>124.18</v>
      </c>
    </row>
    <row r="2395" spans="1:26" ht="25.15" hidden="1" customHeight="1" x14ac:dyDescent="0.25">
      <c r="A2395" s="112">
        <v>46267.707094907404</v>
      </c>
      <c r="B2395" s="5" t="s">
        <v>345</v>
      </c>
      <c r="C2395" s="5" t="s">
        <v>657</v>
      </c>
      <c r="D2395" s="5">
        <v>718099</v>
      </c>
      <c r="E2395" s="33">
        <v>1</v>
      </c>
      <c r="F2395" s="60">
        <v>75000</v>
      </c>
      <c r="G2395" s="60">
        <f>+OtherClients[[#This Row],[Boxes / Pieces]]*OtherClients[[#This Row],[Unit Quantity]]</f>
        <v>75000</v>
      </c>
      <c r="H2395" s="60" t="s">
        <v>896</v>
      </c>
      <c r="I2395" s="130" t="s">
        <v>278</v>
      </c>
      <c r="J2395" s="131"/>
      <c r="K2395" s="33" t="s">
        <v>278</v>
      </c>
      <c r="L2395" s="132"/>
      <c r="M2395" s="33" t="s">
        <v>278</v>
      </c>
      <c r="N2395" s="132"/>
      <c r="O2395" s="33" t="s">
        <v>278</v>
      </c>
      <c r="P2395" s="132"/>
      <c r="Q2395" s="33" t="s">
        <v>587</v>
      </c>
      <c r="R2395" s="132"/>
      <c r="S2395" s="33" t="s">
        <v>278</v>
      </c>
      <c r="T2395" s="132"/>
      <c r="U2395" s="33" t="s">
        <v>278</v>
      </c>
      <c r="V2395" s="132"/>
      <c r="W2395" s="59" t="s">
        <v>548</v>
      </c>
      <c r="X2395" s="33" t="str">
        <f>+VLOOKUP(OtherClients[[#This Row],[Part]],PartControl!$A$2:$E$564,5,FALSE)</f>
        <v>infasco</v>
      </c>
      <c r="Y2395" s="108">
        <f>IF(OtherClients[[#This Row],[Re-certified or New]]&lt;&gt;"Re-certified",IF(OtherClients[[#This Row],[Client]]="infasco",VLOOKUP(OtherClients[[#This Row],[Part]],PartControl!$A$2:$E$564,2,FALSE),OtherClients[[#This Row],[Total Quantity]]*VLOOKUP(OtherClients[[#This Row],[Part]],PartControl!$A$2:$E$564,2,FALSE)),0)</f>
        <v>129.44999999999999</v>
      </c>
      <c r="Z2395" s="108">
        <f>IF(OtherClients[[#This Row],[Re-certified or New]]&lt;&gt;"Re-certified",IF(OtherClients[[#This Row],[Client]]="infasco",VLOOKUP(OtherClients[[#This Row],[Part]],PartControl!$A$2:$E$564,2,FALSE),OtherClients[[#This Row],[Total Quantity]]*VLOOKUP(OtherClients[[#This Row],[Part]],PartControl!$A$2:$E$564,2,FALSE)),0)</f>
        <v>129.44999999999999</v>
      </c>
    </row>
    <row r="2396" spans="1:26" ht="25.15" hidden="1" customHeight="1" x14ac:dyDescent="0.25">
      <c r="A2396" s="112">
        <v>46267.707094907404</v>
      </c>
      <c r="B2396" s="5" t="s">
        <v>345</v>
      </c>
      <c r="C2396" s="5" t="s">
        <v>657</v>
      </c>
      <c r="D2396" s="5">
        <v>718101</v>
      </c>
      <c r="E2396" s="33">
        <v>1</v>
      </c>
      <c r="F2396" s="60">
        <v>75000</v>
      </c>
      <c r="G2396" s="60">
        <f>+OtherClients[[#This Row],[Boxes / Pieces]]*OtherClients[[#This Row],[Unit Quantity]]</f>
        <v>75000</v>
      </c>
      <c r="H2396" s="60" t="s">
        <v>896</v>
      </c>
      <c r="I2396" s="130" t="s">
        <v>278</v>
      </c>
      <c r="J2396" s="131"/>
      <c r="K2396" s="33" t="s">
        <v>278</v>
      </c>
      <c r="L2396" s="132"/>
      <c r="M2396" s="33" t="s">
        <v>278</v>
      </c>
      <c r="N2396" s="132"/>
      <c r="O2396" s="33" t="s">
        <v>278</v>
      </c>
      <c r="P2396" s="132"/>
      <c r="Q2396" s="33" t="s">
        <v>587</v>
      </c>
      <c r="R2396" s="132"/>
      <c r="S2396" s="33" t="s">
        <v>278</v>
      </c>
      <c r="T2396" s="132"/>
      <c r="U2396" s="33" t="s">
        <v>278</v>
      </c>
      <c r="V2396" s="132"/>
      <c r="W2396" s="59" t="s">
        <v>548</v>
      </c>
      <c r="X2396" s="33" t="str">
        <f>+VLOOKUP(OtherClients[[#This Row],[Part]],PartControl!$A$2:$E$564,5,FALSE)</f>
        <v>infasco</v>
      </c>
      <c r="Y2396" s="108">
        <f>IF(OtherClients[[#This Row],[Re-certified or New]]&lt;&gt;"Re-certified",IF(OtherClients[[#This Row],[Client]]="infasco",VLOOKUP(OtherClients[[#This Row],[Part]],PartControl!$A$2:$E$564,2,FALSE),OtherClients[[#This Row],[Total Quantity]]*VLOOKUP(OtherClients[[#This Row],[Part]],PartControl!$A$2:$E$564,2,FALSE)),0)</f>
        <v>129.44999999999999</v>
      </c>
      <c r="Z2396" s="108">
        <f>IF(OtherClients[[#This Row],[Re-certified or New]]&lt;&gt;"Re-certified",IF(OtherClients[[#This Row],[Client]]="infasco",VLOOKUP(OtherClients[[#This Row],[Part]],PartControl!$A$2:$E$564,2,FALSE),OtherClients[[#This Row],[Total Quantity]]*VLOOKUP(OtherClients[[#This Row],[Part]],PartControl!$A$2:$E$564,2,FALSE)),0)</f>
        <v>129.44999999999999</v>
      </c>
    </row>
    <row r="2397" spans="1:26" ht="25.15" hidden="1" customHeight="1" x14ac:dyDescent="0.25">
      <c r="A2397" s="112">
        <v>46267.707094907404</v>
      </c>
      <c r="B2397" s="5" t="s">
        <v>345</v>
      </c>
      <c r="C2397" s="5" t="s">
        <v>657</v>
      </c>
      <c r="D2397" s="5">
        <v>718100</v>
      </c>
      <c r="E2397" s="33">
        <v>1</v>
      </c>
      <c r="F2397" s="60">
        <v>79050</v>
      </c>
      <c r="G2397" s="60">
        <f>+OtherClients[[#This Row],[Boxes / Pieces]]*OtherClients[[#This Row],[Unit Quantity]]</f>
        <v>79050</v>
      </c>
      <c r="H2397" s="60" t="s">
        <v>896</v>
      </c>
      <c r="I2397" s="130" t="s">
        <v>278</v>
      </c>
      <c r="J2397" s="131"/>
      <c r="K2397" s="33" t="s">
        <v>278</v>
      </c>
      <c r="L2397" s="132"/>
      <c r="M2397" s="33" t="s">
        <v>278</v>
      </c>
      <c r="N2397" s="132"/>
      <c r="O2397" s="33" t="s">
        <v>278</v>
      </c>
      <c r="P2397" s="132"/>
      <c r="Q2397" s="33" t="s">
        <v>587</v>
      </c>
      <c r="R2397" s="132"/>
      <c r="S2397" s="33" t="s">
        <v>278</v>
      </c>
      <c r="T2397" s="132"/>
      <c r="U2397" s="33" t="s">
        <v>278</v>
      </c>
      <c r="V2397" s="132"/>
      <c r="W2397" s="59" t="s">
        <v>548</v>
      </c>
      <c r="X2397" s="33" t="str">
        <f>+VLOOKUP(OtherClients[[#This Row],[Part]],PartControl!$A$2:$E$564,5,FALSE)</f>
        <v>infasco</v>
      </c>
      <c r="Y2397" s="108">
        <f>IF(OtherClients[[#This Row],[Re-certified or New]]&lt;&gt;"Re-certified",IF(OtherClients[[#This Row],[Client]]="infasco",VLOOKUP(OtherClients[[#This Row],[Part]],PartControl!$A$2:$E$564,2,FALSE),OtherClients[[#This Row],[Total Quantity]]*VLOOKUP(OtherClients[[#This Row],[Part]],PartControl!$A$2:$E$564,2,FALSE)),0)</f>
        <v>129.44999999999999</v>
      </c>
      <c r="Z2397" s="108">
        <f>IF(OtherClients[[#This Row],[Re-certified or New]]&lt;&gt;"Re-certified",IF(OtherClients[[#This Row],[Client]]="infasco",VLOOKUP(OtherClients[[#This Row],[Part]],PartControl!$A$2:$E$564,2,FALSE),OtherClients[[#This Row],[Total Quantity]]*VLOOKUP(OtherClients[[#This Row],[Part]],PartControl!$A$2:$E$564,2,FALSE)),0)</f>
        <v>129.44999999999999</v>
      </c>
    </row>
    <row r="2398" spans="1:26" ht="25.15" hidden="1" customHeight="1" x14ac:dyDescent="0.25">
      <c r="A2398" s="112">
        <v>46267.707094907404</v>
      </c>
      <c r="B2398" s="5" t="s">
        <v>345</v>
      </c>
      <c r="C2398" s="5">
        <v>11602031</v>
      </c>
      <c r="D2398" s="5">
        <v>717901</v>
      </c>
      <c r="E2398" s="33">
        <f>31-18</f>
        <v>13</v>
      </c>
      <c r="F2398" s="60">
        <v>145</v>
      </c>
      <c r="G2398" s="60">
        <f>+OtherClients[[#This Row],[Boxes / Pieces]]*OtherClients[[#This Row],[Unit Quantity]]</f>
        <v>1885</v>
      </c>
      <c r="H2398" s="60" t="s">
        <v>896</v>
      </c>
      <c r="I2398" s="130" t="s">
        <v>278</v>
      </c>
      <c r="J2398" s="131"/>
      <c r="K2398" s="33" t="s">
        <v>278</v>
      </c>
      <c r="L2398" s="132"/>
      <c r="M2398" s="33" t="s">
        <v>278</v>
      </c>
      <c r="N2398" s="132"/>
      <c r="O2398" s="33" t="s">
        <v>278</v>
      </c>
      <c r="P2398" s="132"/>
      <c r="Q2398" s="33" t="s">
        <v>587</v>
      </c>
      <c r="R2398" s="132"/>
      <c r="S2398" s="33" t="s">
        <v>278</v>
      </c>
      <c r="T2398" s="132"/>
      <c r="U2398" s="33" t="s">
        <v>278</v>
      </c>
      <c r="V2398" s="132"/>
      <c r="W2398" s="59" t="s">
        <v>548</v>
      </c>
      <c r="X2398" s="33" t="str">
        <f>+VLOOKUP(OtherClients[[#This Row],[Part]],PartControl!$A$2:$E$564,5,FALSE)</f>
        <v>INFASCO</v>
      </c>
      <c r="Y2398" s="108">
        <f>IF(OtherClients[[#This Row],[Re-certified or New]]&lt;&gt;"Re-certified",IF(OtherClients[[#This Row],[Client]]="infasco",VLOOKUP(OtherClients[[#This Row],[Part]],PartControl!$A$2:$E$564,2,FALSE),OtherClients[[#This Row],[Total Quantity]]*VLOOKUP(OtherClients[[#This Row],[Part]],PartControl!$A$2:$E$564,2,FALSE)),0)</f>
        <v>135.07999999999998</v>
      </c>
      <c r="Z2398" s="108">
        <f>IF(OtherClients[[#This Row],[Re-certified or New]]&lt;&gt;"Re-certified",IF(OtherClients[[#This Row],[Client]]="infasco",VLOOKUP(OtherClients[[#This Row],[Part]],PartControl!$A$2:$E$564,2,FALSE),OtherClients[[#This Row],[Total Quantity]]*VLOOKUP(OtherClients[[#This Row],[Part]],PartControl!$A$2:$E$564,2,FALSE)),0)</f>
        <v>135.07999999999998</v>
      </c>
    </row>
    <row r="2399" spans="1:26" ht="25.15" hidden="1" customHeight="1" x14ac:dyDescent="0.25">
      <c r="A2399" s="112">
        <v>46267.707094907404</v>
      </c>
      <c r="B2399" s="5" t="s">
        <v>345</v>
      </c>
      <c r="C2399" s="5" t="s">
        <v>662</v>
      </c>
      <c r="D2399" s="5">
        <v>717918</v>
      </c>
      <c r="E2399" s="33">
        <v>37</v>
      </c>
      <c r="F2399" s="60">
        <v>580</v>
      </c>
      <c r="G2399" s="60">
        <f>+OtherClients[[#This Row],[Boxes / Pieces]]*OtherClients[[#This Row],[Unit Quantity]]</f>
        <v>21460</v>
      </c>
      <c r="H2399" s="60" t="s">
        <v>896</v>
      </c>
      <c r="I2399" s="130" t="s">
        <v>278</v>
      </c>
      <c r="J2399" s="131"/>
      <c r="K2399" s="33" t="s">
        <v>278</v>
      </c>
      <c r="L2399" s="132"/>
      <c r="M2399" s="33" t="s">
        <v>278</v>
      </c>
      <c r="N2399" s="132"/>
      <c r="O2399" s="33" t="s">
        <v>278</v>
      </c>
      <c r="P2399" s="132"/>
      <c r="Q2399" s="33" t="s">
        <v>587</v>
      </c>
      <c r="R2399" s="132"/>
      <c r="S2399" s="33" t="s">
        <v>278</v>
      </c>
      <c r="T2399" s="132"/>
      <c r="U2399" s="33" t="s">
        <v>278</v>
      </c>
      <c r="V2399" s="132"/>
      <c r="W2399" s="59" t="s">
        <v>548</v>
      </c>
      <c r="X2399" s="33" t="str">
        <f>+VLOOKUP(OtherClients[[#This Row],[Part]],PartControl!$A$2:$E$564,5,FALSE)</f>
        <v>infasco</v>
      </c>
      <c r="Y2399" s="108">
        <f>IF(OtherClients[[#This Row],[Re-certified or New]]&lt;&gt;"Re-certified",IF(OtherClients[[#This Row],[Client]]="infasco",VLOOKUP(OtherClients[[#This Row],[Part]],PartControl!$A$2:$E$564,2,FALSE),OtherClients[[#This Row],[Total Quantity]]*VLOOKUP(OtherClients[[#This Row],[Part]],PartControl!$A$2:$E$564,2,FALSE)),0)</f>
        <v>280.15999999999997</v>
      </c>
      <c r="Z2399" s="108">
        <f>IF(OtherClients[[#This Row],[Re-certified or New]]&lt;&gt;"Re-certified",IF(OtherClients[[#This Row],[Client]]="infasco",VLOOKUP(OtherClients[[#This Row],[Part]],PartControl!$A$2:$E$564,2,FALSE),OtherClients[[#This Row],[Total Quantity]]*VLOOKUP(OtherClients[[#This Row],[Part]],PartControl!$A$2:$E$564,2,FALSE)),0)</f>
        <v>280.15999999999997</v>
      </c>
    </row>
    <row r="2400" spans="1:26" ht="25.15" hidden="1" customHeight="1" x14ac:dyDescent="0.25">
      <c r="A2400" s="112">
        <v>46267.707094907404</v>
      </c>
      <c r="B2400" s="5" t="s">
        <v>345</v>
      </c>
      <c r="C2400" s="5" t="s">
        <v>792</v>
      </c>
      <c r="D2400" s="5">
        <v>716287</v>
      </c>
      <c r="E2400" s="33">
        <v>36</v>
      </c>
      <c r="F2400" s="60">
        <v>450</v>
      </c>
      <c r="G2400" s="60">
        <f>+OtherClients[[#This Row],[Boxes / Pieces]]*OtherClients[[#This Row],[Unit Quantity]]</f>
        <v>16200</v>
      </c>
      <c r="H2400" s="60" t="s">
        <v>896</v>
      </c>
      <c r="I2400" s="130" t="s">
        <v>278</v>
      </c>
      <c r="J2400" s="131"/>
      <c r="K2400" s="33" t="s">
        <v>278</v>
      </c>
      <c r="L2400" s="132"/>
      <c r="M2400" s="33" t="s">
        <v>278</v>
      </c>
      <c r="N2400" s="132"/>
      <c r="O2400" s="33" t="s">
        <v>278</v>
      </c>
      <c r="P2400" s="132"/>
      <c r="Q2400" s="33" t="s">
        <v>587</v>
      </c>
      <c r="R2400" s="132"/>
      <c r="S2400" s="33" t="s">
        <v>278</v>
      </c>
      <c r="T2400" s="132"/>
      <c r="U2400" s="33" t="s">
        <v>278</v>
      </c>
      <c r="V2400" s="132"/>
      <c r="W2400" s="59" t="s">
        <v>548</v>
      </c>
      <c r="X2400" s="33" t="str">
        <f>+VLOOKUP(OtherClients[[#This Row],[Part]],PartControl!$A$2:$E$564,5,FALSE)</f>
        <v>infasco</v>
      </c>
      <c r="Y2400" s="108">
        <f>IF(OtherClients[[#This Row],[Re-certified or New]]&lt;&gt;"Re-certified",IF(OtherClients[[#This Row],[Client]]="infasco",VLOOKUP(OtherClients[[#This Row],[Part]],PartControl!$A$2:$E$564,2,FALSE),OtherClients[[#This Row],[Total Quantity]]*VLOOKUP(OtherClients[[#This Row],[Part]],PartControl!$A$2:$E$564,2,FALSE)),0)</f>
        <v>106.94</v>
      </c>
      <c r="Z2400" s="108">
        <f>IF(OtherClients[[#This Row],[Re-certified or New]]&lt;&gt;"Re-certified",IF(OtherClients[[#This Row],[Client]]="infasco",VLOOKUP(OtherClients[[#This Row],[Part]],PartControl!$A$2:$E$564,2,FALSE),OtherClients[[#This Row],[Total Quantity]]*VLOOKUP(OtherClients[[#This Row],[Part]],PartControl!$A$2:$E$564,2,FALSE)),0)</f>
        <v>106.94</v>
      </c>
    </row>
    <row r="2401" spans="1:26" ht="25.15" hidden="1" customHeight="1" x14ac:dyDescent="0.25">
      <c r="A2401" s="112">
        <v>46267.707094907404</v>
      </c>
      <c r="B2401" s="5" t="s">
        <v>345</v>
      </c>
      <c r="C2401" s="5" t="s">
        <v>792</v>
      </c>
      <c r="D2401" s="5">
        <v>716164</v>
      </c>
      <c r="E2401" s="33">
        <v>36</v>
      </c>
      <c r="F2401" s="60">
        <v>450</v>
      </c>
      <c r="G2401" s="60">
        <f>+OtherClients[[#This Row],[Boxes / Pieces]]*OtherClients[[#This Row],[Unit Quantity]]</f>
        <v>16200</v>
      </c>
      <c r="H2401" s="60" t="s">
        <v>896</v>
      </c>
      <c r="I2401" s="130" t="s">
        <v>278</v>
      </c>
      <c r="J2401" s="131"/>
      <c r="K2401" s="33" t="s">
        <v>278</v>
      </c>
      <c r="L2401" s="132"/>
      <c r="M2401" s="33" t="s">
        <v>278</v>
      </c>
      <c r="N2401" s="132"/>
      <c r="O2401" s="33" t="s">
        <v>278</v>
      </c>
      <c r="P2401" s="132"/>
      <c r="Q2401" s="33" t="s">
        <v>587</v>
      </c>
      <c r="R2401" s="132"/>
      <c r="S2401" s="33" t="s">
        <v>278</v>
      </c>
      <c r="T2401" s="132"/>
      <c r="U2401" s="33" t="s">
        <v>278</v>
      </c>
      <c r="V2401" s="132"/>
      <c r="W2401" s="59" t="s">
        <v>548</v>
      </c>
      <c r="X2401" s="33" t="str">
        <f>+VLOOKUP(OtherClients[[#This Row],[Part]],PartControl!$A$2:$E$564,5,FALSE)</f>
        <v>infasco</v>
      </c>
      <c r="Y2401" s="108">
        <f>IF(OtherClients[[#This Row],[Re-certified or New]]&lt;&gt;"Re-certified",IF(OtherClients[[#This Row],[Client]]="infasco",VLOOKUP(OtherClients[[#This Row],[Part]],PartControl!$A$2:$E$564,2,FALSE),OtherClients[[#This Row],[Total Quantity]]*VLOOKUP(OtherClients[[#This Row],[Part]],PartControl!$A$2:$E$564,2,FALSE)),0)</f>
        <v>106.94</v>
      </c>
      <c r="Z2401" s="108">
        <f>IF(OtherClients[[#This Row],[Re-certified or New]]&lt;&gt;"Re-certified",IF(OtherClients[[#This Row],[Client]]="infasco",VLOOKUP(OtherClients[[#This Row],[Part]],PartControl!$A$2:$E$564,2,FALSE),OtherClients[[#This Row],[Total Quantity]]*VLOOKUP(OtherClients[[#This Row],[Part]],PartControl!$A$2:$E$564,2,FALSE)),0)</f>
        <v>106.94</v>
      </c>
    </row>
    <row r="2402" spans="1:26" ht="25.15" hidden="1" customHeight="1" x14ac:dyDescent="0.25">
      <c r="A2402" s="112">
        <v>46267.707094907404</v>
      </c>
      <c r="B2402" s="5" t="s">
        <v>345</v>
      </c>
      <c r="C2402" s="5" t="s">
        <v>792</v>
      </c>
      <c r="D2402" s="5">
        <v>716284</v>
      </c>
      <c r="E2402" s="33">
        <v>22</v>
      </c>
      <c r="F2402" s="60">
        <v>450</v>
      </c>
      <c r="G2402" s="60">
        <f>+OtherClients[[#This Row],[Boxes / Pieces]]*OtherClients[[#This Row],[Unit Quantity]]</f>
        <v>9900</v>
      </c>
      <c r="H2402" s="60" t="s">
        <v>896</v>
      </c>
      <c r="I2402" s="130" t="s">
        <v>278</v>
      </c>
      <c r="J2402" s="131"/>
      <c r="K2402" s="33" t="s">
        <v>278</v>
      </c>
      <c r="L2402" s="132"/>
      <c r="M2402" s="33" t="s">
        <v>278</v>
      </c>
      <c r="N2402" s="132"/>
      <c r="O2402" s="33" t="s">
        <v>278</v>
      </c>
      <c r="P2402" s="132"/>
      <c r="Q2402" s="33" t="s">
        <v>587</v>
      </c>
      <c r="R2402" s="132"/>
      <c r="S2402" s="33" t="s">
        <v>278</v>
      </c>
      <c r="T2402" s="132"/>
      <c r="U2402" s="33" t="s">
        <v>278</v>
      </c>
      <c r="V2402" s="132"/>
      <c r="W2402" s="59" t="s">
        <v>548</v>
      </c>
      <c r="X2402" s="33" t="str">
        <f>+VLOOKUP(OtherClients[[#This Row],[Part]],PartControl!$A$2:$E$564,5,FALSE)</f>
        <v>infasco</v>
      </c>
      <c r="Y2402" s="108">
        <f>IF(OtherClients[[#This Row],[Re-certified or New]]&lt;&gt;"Re-certified",IF(OtherClients[[#This Row],[Client]]="infasco",VLOOKUP(OtherClients[[#This Row],[Part]],PartControl!$A$2:$E$564,2,FALSE),OtherClients[[#This Row],[Total Quantity]]*VLOOKUP(OtherClients[[#This Row],[Part]],PartControl!$A$2:$E$564,2,FALSE)),0)</f>
        <v>106.94</v>
      </c>
      <c r="Z2402" s="108">
        <f>IF(OtherClients[[#This Row],[Re-certified or New]]&lt;&gt;"Re-certified",IF(OtherClients[[#This Row],[Client]]="infasco",VLOOKUP(OtherClients[[#This Row],[Part]],PartControl!$A$2:$E$564,2,FALSE),OtherClients[[#This Row],[Total Quantity]]*VLOOKUP(OtherClients[[#This Row],[Part]],PartControl!$A$2:$E$564,2,FALSE)),0)</f>
        <v>106.94</v>
      </c>
    </row>
    <row r="2403" spans="1:26" ht="25.15" hidden="1" customHeight="1" x14ac:dyDescent="0.25">
      <c r="A2403" s="112">
        <v>46267.707094907404</v>
      </c>
      <c r="B2403" s="5" t="s">
        <v>346</v>
      </c>
      <c r="C2403" s="5" t="s">
        <v>794</v>
      </c>
      <c r="D2403" s="5">
        <v>716412</v>
      </c>
      <c r="E2403" s="33">
        <f>25-12</f>
        <v>13</v>
      </c>
      <c r="F2403" s="60">
        <v>195</v>
      </c>
      <c r="G2403" s="60">
        <f>+OtherClients[[#This Row],[Boxes / Pieces]]*OtherClients[[#This Row],[Unit Quantity]]</f>
        <v>2535</v>
      </c>
      <c r="H2403" s="60">
        <v>285</v>
      </c>
      <c r="I2403" s="130" t="s">
        <v>278</v>
      </c>
      <c r="J2403" s="131"/>
      <c r="K2403" s="33" t="s">
        <v>278</v>
      </c>
      <c r="L2403" s="132"/>
      <c r="M2403" s="33" t="s">
        <v>278</v>
      </c>
      <c r="N2403" s="132"/>
      <c r="O2403" s="33" t="s">
        <v>278</v>
      </c>
      <c r="P2403" s="132"/>
      <c r="Q2403" s="33" t="s">
        <v>587</v>
      </c>
      <c r="R2403" s="132"/>
      <c r="S2403" s="33" t="s">
        <v>278</v>
      </c>
      <c r="T2403" s="132"/>
      <c r="U2403" s="33" t="s">
        <v>278</v>
      </c>
      <c r="V2403" s="132"/>
      <c r="W2403" s="59" t="s">
        <v>633</v>
      </c>
      <c r="X2403" s="33" t="str">
        <f>+VLOOKUP(OtherClients[[#This Row],[Part]],PartControl!$A$2:$E$564,5,FALSE)</f>
        <v>infasco</v>
      </c>
      <c r="Y2403" s="108">
        <f>IF(OtherClients[[#This Row],[Re-certified or New]]&lt;&gt;"Re-certified",IF(OtherClients[[#This Row],[Client]]="infasco",VLOOKUP(OtherClients[[#This Row],[Part]],PartControl!$A$2:$E$564,2,FALSE),OtherClients[[#This Row],[Total Quantity]]*VLOOKUP(OtherClients[[#This Row],[Part]],PartControl!$A$2:$E$564,2,FALSE)),0)</f>
        <v>0</v>
      </c>
      <c r="Z2403" s="108">
        <f>IF(OtherClients[[#This Row],[Re-certified or New]]&lt;&gt;"Re-certified",IF(OtherClients[[#This Row],[Client]]="infasco",VLOOKUP(OtherClients[[#This Row],[Part]],PartControl!$A$2:$E$564,2,FALSE),OtherClients[[#This Row],[Total Quantity]]*VLOOKUP(OtherClients[[#This Row],[Part]],PartControl!$A$2:$E$564,2,FALSE)),0)</f>
        <v>0</v>
      </c>
    </row>
    <row r="2404" spans="1:26" ht="25.15" hidden="1" customHeight="1" x14ac:dyDescent="0.25">
      <c r="A2404" s="112">
        <v>46268.708668981482</v>
      </c>
      <c r="B2404" s="5" t="s">
        <v>242</v>
      </c>
      <c r="C2404" s="5" t="s">
        <v>645</v>
      </c>
      <c r="D2404" s="5">
        <v>717407</v>
      </c>
      <c r="E2404" s="33">
        <v>16</v>
      </c>
      <c r="F2404" s="60">
        <v>1000</v>
      </c>
      <c r="G2404" s="60">
        <v>16000</v>
      </c>
      <c r="H2404" s="60">
        <v>275</v>
      </c>
      <c r="I2404" s="130" t="s">
        <v>278</v>
      </c>
      <c r="J2404" s="131"/>
      <c r="K2404" s="33" t="s">
        <v>278</v>
      </c>
      <c r="L2404" s="132"/>
      <c r="M2404" s="33" t="s">
        <v>278</v>
      </c>
      <c r="N2404" s="132"/>
      <c r="O2404" s="33" t="s">
        <v>278</v>
      </c>
      <c r="P2404" s="132"/>
      <c r="Q2404" s="33" t="s">
        <v>587</v>
      </c>
      <c r="R2404" s="132"/>
      <c r="S2404" s="33" t="s">
        <v>278</v>
      </c>
      <c r="T2404" s="132"/>
      <c r="U2404" s="33" t="s">
        <v>278</v>
      </c>
      <c r="V2404" s="132"/>
      <c r="W2404" s="133" t="s">
        <v>548</v>
      </c>
      <c r="X2404" s="33" t="str">
        <f>+VLOOKUP(OtherClients[[#This Row],[Part]],PartControl!$A$2:$E$564,5,FALSE)</f>
        <v>infasco</v>
      </c>
      <c r="Y2404" s="132">
        <v>106.94</v>
      </c>
      <c r="Z2404" s="108">
        <f>IF(OtherClients[[#This Row],[Re-certified or New]]&lt;&gt;"Re-certified",IF(OtherClients[[#This Row],[Client]]="infasco",VLOOKUP(OtherClients[[#This Row],[Part]],PartControl!$A$2:$E$564,2,FALSE),OtherClients[[#This Row],[Total Quantity]]*VLOOKUP(OtherClients[[#This Row],[Part]],PartControl!$A$2:$E$564,2,FALSE)),0)</f>
        <v>106.94</v>
      </c>
    </row>
    <row r="2405" spans="1:26" ht="25.15" hidden="1" customHeight="1" x14ac:dyDescent="0.25">
      <c r="A2405" s="112">
        <v>46268.708668981482</v>
      </c>
      <c r="B2405" s="5" t="s">
        <v>242</v>
      </c>
      <c r="C2405" s="5" t="s">
        <v>645</v>
      </c>
      <c r="D2405" s="5">
        <v>717915</v>
      </c>
      <c r="E2405" s="33">
        <v>36</v>
      </c>
      <c r="F2405" s="60">
        <v>1000</v>
      </c>
      <c r="G2405" s="60">
        <f>+OtherClients[[#This Row],[Boxes / Pieces]]*OtherClients[[#This Row],[Unit Quantity]]</f>
        <v>36000</v>
      </c>
      <c r="H2405" s="60">
        <v>275</v>
      </c>
      <c r="I2405" s="130" t="s">
        <v>278</v>
      </c>
      <c r="J2405" s="131"/>
      <c r="K2405" s="33" t="s">
        <v>278</v>
      </c>
      <c r="L2405" s="132"/>
      <c r="M2405" s="33" t="s">
        <v>278</v>
      </c>
      <c r="N2405" s="132"/>
      <c r="O2405" s="33" t="s">
        <v>278</v>
      </c>
      <c r="P2405" s="132"/>
      <c r="Q2405" s="33" t="s">
        <v>587</v>
      </c>
      <c r="R2405" s="132"/>
      <c r="S2405" s="33" t="s">
        <v>278</v>
      </c>
      <c r="T2405" s="132"/>
      <c r="U2405" s="33" t="s">
        <v>278</v>
      </c>
      <c r="V2405" s="132"/>
      <c r="W2405" s="59" t="s">
        <v>548</v>
      </c>
      <c r="X2405" s="33" t="str">
        <f>+VLOOKUP(OtherClients[[#This Row],[Part]],PartControl!$A$2:$E$564,5,FALSE)</f>
        <v>infasco</v>
      </c>
      <c r="Y2405" s="108">
        <f>IF(OtherClients[[#This Row],[Re-certified or New]]&lt;&gt;"Re-certified",IF(OtherClients[[#This Row],[Client]]="infasco",VLOOKUP(OtherClients[[#This Row],[Part]],PartControl!$A$2:$E$564,2,FALSE),OtherClients[[#This Row],[Total Quantity]]*VLOOKUP(OtherClients[[#This Row],[Part]],PartControl!$A$2:$E$564,2,FALSE)),0)</f>
        <v>106.94</v>
      </c>
      <c r="Z2405" s="108">
        <f>IF(OtherClients[[#This Row],[Re-certified or New]]&lt;&gt;"Re-certified",IF(OtherClients[[#This Row],[Client]]="infasco",VLOOKUP(OtherClients[[#This Row],[Part]],PartControl!$A$2:$E$564,2,FALSE),OtherClients[[#This Row],[Total Quantity]]*VLOOKUP(OtherClients[[#This Row],[Part]],PartControl!$A$2:$E$564,2,FALSE)),0)</f>
        <v>106.94</v>
      </c>
    </row>
    <row r="2406" spans="1:26" ht="25.15" hidden="1" customHeight="1" x14ac:dyDescent="0.25">
      <c r="A2406" s="112">
        <v>46268.708668981482</v>
      </c>
      <c r="B2406" s="5" t="s">
        <v>242</v>
      </c>
      <c r="C2406" s="5" t="s">
        <v>645</v>
      </c>
      <c r="D2406" s="5">
        <v>717912</v>
      </c>
      <c r="E2406" s="33">
        <v>12</v>
      </c>
      <c r="F2406" s="60">
        <v>1000</v>
      </c>
      <c r="G2406" s="60">
        <f>+OtherClients[[#This Row],[Boxes / Pieces]]*OtherClients[[#This Row],[Unit Quantity]]</f>
        <v>12000</v>
      </c>
      <c r="H2406" s="60">
        <v>275</v>
      </c>
      <c r="I2406" s="130" t="s">
        <v>278</v>
      </c>
      <c r="J2406" s="131"/>
      <c r="K2406" s="33" t="s">
        <v>278</v>
      </c>
      <c r="L2406" s="132"/>
      <c r="M2406" s="33" t="s">
        <v>278</v>
      </c>
      <c r="N2406" s="132"/>
      <c r="O2406" s="33" t="s">
        <v>278</v>
      </c>
      <c r="P2406" s="132"/>
      <c r="Q2406" s="33" t="s">
        <v>587</v>
      </c>
      <c r="R2406" s="132"/>
      <c r="S2406" s="33" t="s">
        <v>278</v>
      </c>
      <c r="T2406" s="132"/>
      <c r="U2406" s="33" t="s">
        <v>278</v>
      </c>
      <c r="V2406" s="132"/>
      <c r="W2406" s="59" t="s">
        <v>548</v>
      </c>
      <c r="X2406" s="33" t="str">
        <f>+VLOOKUP(OtherClients[[#This Row],[Part]],PartControl!$A$2:$E$564,5,FALSE)</f>
        <v>infasco</v>
      </c>
      <c r="Y2406" s="108">
        <f>IF(OtherClients[[#This Row],[Re-certified or New]]&lt;&gt;"Re-certified",IF(OtherClients[[#This Row],[Client]]="infasco",VLOOKUP(OtherClients[[#This Row],[Part]],PartControl!$A$2:$E$564,2,FALSE),OtherClients[[#This Row],[Total Quantity]]*VLOOKUP(OtherClients[[#This Row],[Part]],PartControl!$A$2:$E$564,2,FALSE)),0)</f>
        <v>106.94</v>
      </c>
      <c r="Z2406" s="108">
        <f>IF(OtherClients[[#This Row],[Re-certified or New]]&lt;&gt;"Re-certified",IF(OtherClients[[#This Row],[Client]]="infasco",VLOOKUP(OtherClients[[#This Row],[Part]],PartControl!$A$2:$E$564,2,FALSE),OtherClients[[#This Row],[Total Quantity]]*VLOOKUP(OtherClients[[#This Row],[Part]],PartControl!$A$2:$E$564,2,FALSE)),0)</f>
        <v>106.94</v>
      </c>
    </row>
    <row r="2407" spans="1:26" ht="25.15" hidden="1" customHeight="1" x14ac:dyDescent="0.25">
      <c r="A2407" s="112">
        <v>46268.708668981482</v>
      </c>
      <c r="B2407" s="5" t="s">
        <v>242</v>
      </c>
      <c r="C2407" s="5" t="s">
        <v>645</v>
      </c>
      <c r="D2407" s="5">
        <v>717968</v>
      </c>
      <c r="E2407" s="33">
        <v>5</v>
      </c>
      <c r="F2407" s="60">
        <v>1000</v>
      </c>
      <c r="G2407" s="60">
        <f>+OtherClients[[#This Row],[Boxes / Pieces]]*OtherClients[[#This Row],[Unit Quantity]]</f>
        <v>5000</v>
      </c>
      <c r="H2407" s="60">
        <v>275</v>
      </c>
      <c r="I2407" s="130" t="s">
        <v>278</v>
      </c>
      <c r="J2407" s="131"/>
      <c r="K2407" s="33" t="s">
        <v>278</v>
      </c>
      <c r="L2407" s="132"/>
      <c r="M2407" s="33" t="s">
        <v>278</v>
      </c>
      <c r="N2407" s="132"/>
      <c r="O2407" s="33" t="s">
        <v>278</v>
      </c>
      <c r="P2407" s="132"/>
      <c r="Q2407" s="33" t="s">
        <v>587</v>
      </c>
      <c r="R2407" s="132"/>
      <c r="S2407" s="33" t="s">
        <v>278</v>
      </c>
      <c r="T2407" s="132"/>
      <c r="U2407" s="33" t="s">
        <v>278</v>
      </c>
      <c r="V2407" s="132"/>
      <c r="W2407" s="59" t="s">
        <v>633</v>
      </c>
      <c r="X2407" s="33" t="str">
        <f>+VLOOKUP(OtherClients[[#This Row],[Part]],PartControl!$A$2:$E$564,5,FALSE)</f>
        <v>infasco</v>
      </c>
      <c r="Y2407" s="108">
        <f>IF(OtherClients[[#This Row],[Re-certified or New]]&lt;&gt;"Re-certified",IF(OtherClients[[#This Row],[Client]]="infasco",VLOOKUP(OtherClients[[#This Row],[Part]],PartControl!$A$2:$E$564,2,FALSE),OtherClients[[#This Row],[Total Quantity]]*VLOOKUP(OtherClients[[#This Row],[Part]],PartControl!$A$2:$E$564,2,FALSE)),0)</f>
        <v>0</v>
      </c>
      <c r="Z2407" s="108">
        <f>IF(OtherClients[[#This Row],[Re-certified or New]]&lt;&gt;"Re-certified",IF(OtherClients[[#This Row],[Client]]="infasco",VLOOKUP(OtherClients[[#This Row],[Part]],PartControl!$A$2:$E$564,2,FALSE),OtherClients[[#This Row],[Total Quantity]]*VLOOKUP(OtherClients[[#This Row],[Part]],PartControl!$A$2:$E$564,2,FALSE)),0)</f>
        <v>0</v>
      </c>
    </row>
    <row r="2408" spans="1:26" ht="25.15" hidden="1" customHeight="1" x14ac:dyDescent="0.25">
      <c r="A2408" s="112">
        <v>46268.708668981482</v>
      </c>
      <c r="B2408" s="5" t="s">
        <v>232</v>
      </c>
      <c r="C2408" s="5" t="s">
        <v>721</v>
      </c>
      <c r="D2408" s="5">
        <v>717647</v>
      </c>
      <c r="E2408" s="33">
        <f>16-7</f>
        <v>9</v>
      </c>
      <c r="F2408" s="60">
        <v>4500</v>
      </c>
      <c r="G2408" s="60">
        <f>+OtherClients[[#This Row],[Boxes / Pieces]]*OtherClients[[#This Row],[Unit Quantity]]</f>
        <v>40500</v>
      </c>
      <c r="H2408" s="60">
        <v>275</v>
      </c>
      <c r="I2408" s="130" t="s">
        <v>278</v>
      </c>
      <c r="J2408" s="131"/>
      <c r="K2408" s="33" t="s">
        <v>278</v>
      </c>
      <c r="L2408" s="132"/>
      <c r="M2408" s="33" t="s">
        <v>278</v>
      </c>
      <c r="N2408" s="132"/>
      <c r="O2408" s="33" t="s">
        <v>278</v>
      </c>
      <c r="P2408" s="132"/>
      <c r="Q2408" s="33" t="s">
        <v>587</v>
      </c>
      <c r="R2408" s="132"/>
      <c r="S2408" s="33" t="s">
        <v>278</v>
      </c>
      <c r="T2408" s="132"/>
      <c r="U2408" s="33" t="s">
        <v>278</v>
      </c>
      <c r="V2408" s="132"/>
      <c r="W2408" s="59" t="s">
        <v>548</v>
      </c>
      <c r="X2408" s="33" t="str">
        <f>+VLOOKUP(OtherClients[[#This Row],[Part]],PartControl!$A$2:$E$564,5,FALSE)</f>
        <v>Infasco</v>
      </c>
      <c r="Y2408" s="108">
        <f>IF(OtherClients[[#This Row],[Re-certified or New]]&lt;&gt;"Re-certified",IF(OtherClients[[#This Row],[Client]]="infasco",VLOOKUP(OtherClients[[#This Row],[Part]],PartControl!$A$2:$E$564,2,FALSE),OtherClients[[#This Row],[Total Quantity]]*VLOOKUP(OtherClients[[#This Row],[Part]],PartControl!$A$2:$E$564,2,FALSE)),0)</f>
        <v>106.94</v>
      </c>
      <c r="Z2408" s="108">
        <f>IF(OtherClients[[#This Row],[Re-certified or New]]&lt;&gt;"Re-certified",IF(OtherClients[[#This Row],[Client]]="infasco",VLOOKUP(OtherClients[[#This Row],[Part]],PartControl!$A$2:$E$564,2,FALSE),OtherClients[[#This Row],[Total Quantity]]*VLOOKUP(OtherClients[[#This Row],[Part]],PartControl!$A$2:$E$564,2,FALSE)),0)</f>
        <v>106.94</v>
      </c>
    </row>
    <row r="2409" spans="1:26" ht="25.15" hidden="1" customHeight="1" x14ac:dyDescent="0.25">
      <c r="A2409" s="112">
        <v>46268.708668981482</v>
      </c>
      <c r="B2409" s="5" t="s">
        <v>252</v>
      </c>
      <c r="C2409" s="5" t="s">
        <v>721</v>
      </c>
      <c r="D2409" s="5">
        <v>717643</v>
      </c>
      <c r="E2409" s="33">
        <f>36-16</f>
        <v>20</v>
      </c>
      <c r="F2409" s="60">
        <v>4500</v>
      </c>
      <c r="G2409" s="60">
        <f>+OtherClients[[#This Row],[Boxes / Pieces]]*OtherClients[[#This Row],[Unit Quantity]]</f>
        <v>90000</v>
      </c>
      <c r="H2409" s="60">
        <v>275</v>
      </c>
      <c r="I2409" s="130" t="s">
        <v>278</v>
      </c>
      <c r="J2409" s="131"/>
      <c r="K2409" s="33" t="s">
        <v>278</v>
      </c>
      <c r="L2409" s="132"/>
      <c r="M2409" s="33" t="s">
        <v>278</v>
      </c>
      <c r="N2409" s="132"/>
      <c r="O2409" s="33" t="s">
        <v>278</v>
      </c>
      <c r="P2409" s="132"/>
      <c r="Q2409" s="33" t="s">
        <v>587</v>
      </c>
      <c r="R2409" s="132"/>
      <c r="S2409" s="33" t="s">
        <v>278</v>
      </c>
      <c r="T2409" s="132"/>
      <c r="U2409" s="33" t="s">
        <v>278</v>
      </c>
      <c r="V2409" s="132"/>
      <c r="W2409" s="59" t="s">
        <v>548</v>
      </c>
      <c r="X2409" s="33" t="str">
        <f>+VLOOKUP(OtherClients[[#This Row],[Part]],PartControl!$A$2:$E$564,5,FALSE)</f>
        <v>Infasco</v>
      </c>
      <c r="Y2409" s="108">
        <f>IF(OtherClients[[#This Row],[Re-certified or New]]&lt;&gt;"Re-certified",IF(OtherClients[[#This Row],[Client]]="infasco",VLOOKUP(OtherClients[[#This Row],[Part]],PartControl!$A$2:$E$564,2,FALSE),OtherClients[[#This Row],[Total Quantity]]*VLOOKUP(OtherClients[[#This Row],[Part]],PartControl!$A$2:$E$564,2,FALSE)),0)</f>
        <v>106.94</v>
      </c>
      <c r="Z2409" s="108">
        <f>IF(OtherClients[[#This Row],[Re-certified or New]]&lt;&gt;"Re-certified",IF(OtherClients[[#This Row],[Client]]="infasco",VLOOKUP(OtherClients[[#This Row],[Part]],PartControl!$A$2:$E$564,2,FALSE),OtherClients[[#This Row],[Total Quantity]]*VLOOKUP(OtherClients[[#This Row],[Part]],PartControl!$A$2:$E$564,2,FALSE)),0)</f>
        <v>106.94</v>
      </c>
    </row>
    <row r="2410" spans="1:26" ht="25.15" hidden="1" customHeight="1" x14ac:dyDescent="0.25">
      <c r="A2410" s="112">
        <v>46268.708668981482</v>
      </c>
      <c r="B2410" s="5" t="s">
        <v>252</v>
      </c>
      <c r="C2410" s="5" t="s">
        <v>576</v>
      </c>
      <c r="D2410" s="5">
        <v>714675</v>
      </c>
      <c r="E2410" s="33">
        <v>20</v>
      </c>
      <c r="F2410" s="60">
        <v>1900</v>
      </c>
      <c r="G2410" s="60">
        <f>+OtherClients[[#This Row],[Boxes / Pieces]]*OtherClients[[#This Row],[Unit Quantity]]</f>
        <v>38000</v>
      </c>
      <c r="H2410" s="60">
        <v>275</v>
      </c>
      <c r="I2410" s="130" t="s">
        <v>278</v>
      </c>
      <c r="J2410" s="131"/>
      <c r="K2410" s="33" t="s">
        <v>278</v>
      </c>
      <c r="L2410" s="132"/>
      <c r="M2410" s="33" t="s">
        <v>278</v>
      </c>
      <c r="N2410" s="132"/>
      <c r="O2410" s="33" t="s">
        <v>278</v>
      </c>
      <c r="P2410" s="132"/>
      <c r="Q2410" s="33" t="s">
        <v>587</v>
      </c>
      <c r="R2410" s="132"/>
      <c r="S2410" s="33" t="s">
        <v>278</v>
      </c>
      <c r="T2410" s="132"/>
      <c r="U2410" s="33" t="s">
        <v>278</v>
      </c>
      <c r="V2410" s="132"/>
      <c r="W2410" s="59" t="s">
        <v>633</v>
      </c>
      <c r="X2410" s="33" t="str">
        <f>+VLOOKUP(OtherClients[[#This Row],[Part]],PartControl!$A$2:$E$564,5,FALSE)</f>
        <v>Infasco</v>
      </c>
      <c r="Y2410" s="108">
        <f>IF(OtherClients[[#This Row],[Re-certified or New]]&lt;&gt;"Re-certified",IF(OtherClients[[#This Row],[Client]]="infasco",VLOOKUP(OtherClients[[#This Row],[Part]],PartControl!$A$2:$E$564,2,FALSE),OtherClients[[#This Row],[Total Quantity]]*VLOOKUP(OtherClients[[#This Row],[Part]],PartControl!$A$2:$E$564,2,FALSE)),0)</f>
        <v>0</v>
      </c>
      <c r="Z2410" s="108">
        <f>IF(OtherClients[[#This Row],[Re-certified or New]]&lt;&gt;"Re-certified",IF(OtherClients[[#This Row],[Client]]="infasco",VLOOKUP(OtherClients[[#This Row],[Part]],PartControl!$A$2:$E$564,2,FALSE),OtherClients[[#This Row],[Total Quantity]]*VLOOKUP(OtherClients[[#This Row],[Part]],PartControl!$A$2:$E$564,2,FALSE)),0)</f>
        <v>0</v>
      </c>
    </row>
    <row r="2411" spans="1:26" ht="25.15" hidden="1" customHeight="1" x14ac:dyDescent="0.25">
      <c r="A2411" s="112">
        <v>46268.708668981482</v>
      </c>
      <c r="B2411" s="5" t="s">
        <v>234</v>
      </c>
      <c r="C2411" s="5">
        <v>11546377</v>
      </c>
      <c r="D2411" s="5">
        <v>718132</v>
      </c>
      <c r="E2411" s="33">
        <f>20-9</f>
        <v>11</v>
      </c>
      <c r="F2411" s="60">
        <v>2150</v>
      </c>
      <c r="G2411" s="60">
        <f>+OtherClients[[#This Row],[Boxes / Pieces]]*OtherClients[[#This Row],[Unit Quantity]]</f>
        <v>23650</v>
      </c>
      <c r="H2411" s="60">
        <v>275</v>
      </c>
      <c r="I2411" s="130" t="s">
        <v>278</v>
      </c>
      <c r="J2411" s="131"/>
      <c r="K2411" s="33" t="s">
        <v>278</v>
      </c>
      <c r="L2411" s="132"/>
      <c r="M2411" s="33" t="s">
        <v>278</v>
      </c>
      <c r="N2411" s="132"/>
      <c r="O2411" s="33" t="s">
        <v>278</v>
      </c>
      <c r="P2411" s="132"/>
      <c r="Q2411" s="33" t="s">
        <v>587</v>
      </c>
      <c r="R2411" s="132"/>
      <c r="S2411" s="33" t="s">
        <v>278</v>
      </c>
      <c r="T2411" s="132"/>
      <c r="U2411" s="33" t="s">
        <v>278</v>
      </c>
      <c r="V2411" s="132"/>
      <c r="W2411" s="59" t="s">
        <v>548</v>
      </c>
      <c r="X2411" s="33" t="str">
        <f>+VLOOKUP(OtherClients[[#This Row],[Part]],PartControl!$A$2:$E$564,5,FALSE)</f>
        <v>INFASCO</v>
      </c>
      <c r="Y2411" s="108">
        <f>IF(OtherClients[[#This Row],[Re-certified or New]]&lt;&gt;"Re-certified",IF(OtherClients[[#This Row],[Client]]="infasco",VLOOKUP(OtherClients[[#This Row],[Part]],PartControl!$A$2:$E$564,2,FALSE),OtherClients[[#This Row],[Total Quantity]]*VLOOKUP(OtherClients[[#This Row],[Part]],PartControl!$A$2:$E$564,2,FALSE)),0)</f>
        <v>106.94</v>
      </c>
      <c r="Z2411" s="108">
        <f>IF(OtherClients[[#This Row],[Re-certified or New]]&lt;&gt;"Re-certified",IF(OtherClients[[#This Row],[Client]]="infasco",VLOOKUP(OtherClients[[#This Row],[Part]],PartControl!$A$2:$E$564,2,FALSE),OtherClients[[#This Row],[Total Quantity]]*VLOOKUP(OtherClients[[#This Row],[Part]],PartControl!$A$2:$E$564,2,FALSE)),0)</f>
        <v>106.94</v>
      </c>
    </row>
    <row r="2412" spans="1:26" ht="25.15" hidden="1" customHeight="1" x14ac:dyDescent="0.25">
      <c r="A2412" s="112">
        <v>46268.708668981482</v>
      </c>
      <c r="B2412" s="5" t="s">
        <v>234</v>
      </c>
      <c r="C2412" s="5">
        <v>11546377</v>
      </c>
      <c r="D2412" s="5">
        <v>718140</v>
      </c>
      <c r="E2412" s="33">
        <v>16</v>
      </c>
      <c r="F2412" s="60">
        <v>2150</v>
      </c>
      <c r="G2412" s="60">
        <f>+OtherClients[[#This Row],[Boxes / Pieces]]*OtherClients[[#This Row],[Unit Quantity]]</f>
        <v>34400</v>
      </c>
      <c r="H2412" s="60">
        <v>275</v>
      </c>
      <c r="I2412" s="130" t="s">
        <v>278</v>
      </c>
      <c r="J2412" s="131"/>
      <c r="K2412" s="33" t="s">
        <v>278</v>
      </c>
      <c r="L2412" s="132"/>
      <c r="M2412" s="33" t="s">
        <v>278</v>
      </c>
      <c r="N2412" s="132"/>
      <c r="O2412" s="33" t="s">
        <v>278</v>
      </c>
      <c r="P2412" s="132"/>
      <c r="Q2412" s="33" t="s">
        <v>587</v>
      </c>
      <c r="R2412" s="132"/>
      <c r="S2412" s="33" t="s">
        <v>278</v>
      </c>
      <c r="T2412" s="132"/>
      <c r="U2412" s="33" t="s">
        <v>278</v>
      </c>
      <c r="V2412" s="132"/>
      <c r="W2412" s="59" t="s">
        <v>548</v>
      </c>
      <c r="X2412" s="33" t="str">
        <f>+VLOOKUP(OtherClients[[#This Row],[Part]],PartControl!$A$2:$E$564,5,FALSE)</f>
        <v>INFASCO</v>
      </c>
      <c r="Y2412" s="108">
        <f>IF(OtherClients[[#This Row],[Re-certified or New]]&lt;&gt;"Re-certified",IF(OtherClients[[#This Row],[Client]]="infasco",VLOOKUP(OtherClients[[#This Row],[Part]],PartControl!$A$2:$E$564,2,FALSE),OtherClients[[#This Row],[Total Quantity]]*VLOOKUP(OtherClients[[#This Row],[Part]],PartControl!$A$2:$E$564,2,FALSE)),0)</f>
        <v>106.94</v>
      </c>
      <c r="Z2412" s="108">
        <f>IF(OtherClients[[#This Row],[Re-certified or New]]&lt;&gt;"Re-certified",IF(OtherClients[[#This Row],[Client]]="infasco",VLOOKUP(OtherClients[[#This Row],[Part]],PartControl!$A$2:$E$564,2,FALSE),OtherClients[[#This Row],[Total Quantity]]*VLOOKUP(OtherClients[[#This Row],[Part]],PartControl!$A$2:$E$564,2,FALSE)),0)</f>
        <v>106.94</v>
      </c>
    </row>
    <row r="2413" spans="1:26" ht="25.15" hidden="1" customHeight="1" x14ac:dyDescent="0.25">
      <c r="A2413" s="112">
        <v>46268.708668981482</v>
      </c>
      <c r="B2413" s="5" t="s">
        <v>234</v>
      </c>
      <c r="C2413" s="5">
        <v>11546377</v>
      </c>
      <c r="D2413" s="5">
        <v>718139</v>
      </c>
      <c r="E2413" s="33">
        <v>13</v>
      </c>
      <c r="F2413" s="60">
        <v>2150</v>
      </c>
      <c r="G2413" s="60">
        <f>+OtherClients[[#This Row],[Boxes / Pieces]]*OtherClients[[#This Row],[Unit Quantity]]</f>
        <v>27950</v>
      </c>
      <c r="H2413" s="60">
        <v>275</v>
      </c>
      <c r="I2413" s="130" t="s">
        <v>278</v>
      </c>
      <c r="J2413" s="131"/>
      <c r="K2413" s="33" t="s">
        <v>278</v>
      </c>
      <c r="L2413" s="132"/>
      <c r="M2413" s="33" t="s">
        <v>278</v>
      </c>
      <c r="N2413" s="132"/>
      <c r="O2413" s="33" t="s">
        <v>278</v>
      </c>
      <c r="P2413" s="132"/>
      <c r="Q2413" s="33" t="s">
        <v>587</v>
      </c>
      <c r="R2413" s="132"/>
      <c r="S2413" s="33" t="s">
        <v>278</v>
      </c>
      <c r="T2413" s="132"/>
      <c r="U2413" s="33" t="s">
        <v>278</v>
      </c>
      <c r="V2413" s="132"/>
      <c r="W2413" s="59" t="s">
        <v>633</v>
      </c>
      <c r="X2413" s="33" t="str">
        <f>+VLOOKUP(OtherClients[[#This Row],[Part]],PartControl!$A$2:$E$564,5,FALSE)</f>
        <v>INFASCO</v>
      </c>
      <c r="Y2413" s="108">
        <f>IF(OtherClients[[#This Row],[Re-certified or New]]&lt;&gt;"Re-certified",IF(OtherClients[[#This Row],[Client]]="infasco",VLOOKUP(OtherClients[[#This Row],[Part]],PartControl!$A$2:$E$564,2,FALSE),OtherClients[[#This Row],[Total Quantity]]*VLOOKUP(OtherClients[[#This Row],[Part]],PartControl!$A$2:$E$564,2,FALSE)),0)</f>
        <v>0</v>
      </c>
      <c r="Z2413" s="108">
        <f>IF(OtherClients[[#This Row],[Re-certified or New]]&lt;&gt;"Re-certified",IF(OtherClients[[#This Row],[Client]]="infasco",VLOOKUP(OtherClients[[#This Row],[Part]],PartControl!$A$2:$E$564,2,FALSE),OtherClients[[#This Row],[Total Quantity]]*VLOOKUP(OtherClients[[#This Row],[Part]],PartControl!$A$2:$E$564,2,FALSE)),0)</f>
        <v>0</v>
      </c>
    </row>
    <row r="2414" spans="1:26" ht="25.15" hidden="1" customHeight="1" x14ac:dyDescent="0.25">
      <c r="A2414" s="112">
        <v>46268.708668981482</v>
      </c>
      <c r="B2414" s="5" t="s">
        <v>233</v>
      </c>
      <c r="C2414" s="5" t="s">
        <v>814</v>
      </c>
      <c r="D2414" s="5">
        <v>717289</v>
      </c>
      <c r="E2414" s="33">
        <v>1</v>
      </c>
      <c r="F2414" s="60">
        <v>2500</v>
      </c>
      <c r="G2414" s="60">
        <f>+OtherClients[[#This Row],[Boxes / Pieces]]*OtherClients[[#This Row],[Unit Quantity]]</f>
        <v>2500</v>
      </c>
      <c r="H2414" s="60">
        <v>275</v>
      </c>
      <c r="I2414" s="130" t="s">
        <v>278</v>
      </c>
      <c r="J2414" s="131"/>
      <c r="K2414" s="33" t="s">
        <v>278</v>
      </c>
      <c r="L2414" s="132"/>
      <c r="M2414" s="33" t="s">
        <v>278</v>
      </c>
      <c r="N2414" s="132"/>
      <c r="O2414" s="33" t="s">
        <v>278</v>
      </c>
      <c r="P2414" s="132"/>
      <c r="Q2414" s="33" t="s">
        <v>587</v>
      </c>
      <c r="R2414" s="132"/>
      <c r="S2414" s="33" t="s">
        <v>278</v>
      </c>
      <c r="T2414" s="132"/>
      <c r="U2414" s="33" t="s">
        <v>278</v>
      </c>
      <c r="V2414" s="132"/>
      <c r="W2414" s="59" t="s">
        <v>548</v>
      </c>
      <c r="X2414" s="33" t="str">
        <f>+VLOOKUP(OtherClients[[#This Row],[Part]],PartControl!$A$2:$E$564,5,FALSE)</f>
        <v>Infasco</v>
      </c>
      <c r="Y2414" s="108">
        <f>IF(OtherClients[[#This Row],[Re-certified or New]]&lt;&gt;"Re-certified",IF(OtherClients[[#This Row],[Client]]="infasco",VLOOKUP(OtherClients[[#This Row],[Part]],PartControl!$A$2:$E$564,2,FALSE),OtherClients[[#This Row],[Total Quantity]]*VLOOKUP(OtherClients[[#This Row],[Part]],PartControl!$A$2:$E$564,2,FALSE)),0)</f>
        <v>106.94</v>
      </c>
      <c r="Z2414" s="108">
        <f>IF(OtherClients[[#This Row],[Re-certified or New]]&lt;&gt;"Re-certified",IF(OtherClients[[#This Row],[Client]]="infasco",VLOOKUP(OtherClients[[#This Row],[Part]],PartControl!$A$2:$E$564,2,FALSE),OtherClients[[#This Row],[Total Quantity]]*VLOOKUP(OtherClients[[#This Row],[Part]],PartControl!$A$2:$E$564,2,FALSE)),0)</f>
        <v>106.94</v>
      </c>
    </row>
    <row r="2415" spans="1:26" ht="25.15" hidden="1" customHeight="1" x14ac:dyDescent="0.25">
      <c r="A2415" s="112">
        <v>46268.708668981482</v>
      </c>
      <c r="B2415" s="5" t="s">
        <v>233</v>
      </c>
      <c r="C2415" s="5" t="s">
        <v>814</v>
      </c>
      <c r="D2415" s="5">
        <v>717285</v>
      </c>
      <c r="E2415" s="33">
        <v>29</v>
      </c>
      <c r="F2415" s="60">
        <v>2500</v>
      </c>
      <c r="G2415" s="60">
        <f>+OtherClients[[#This Row],[Boxes / Pieces]]*OtherClients[[#This Row],[Unit Quantity]]</f>
        <v>72500</v>
      </c>
      <c r="H2415" s="60">
        <v>275</v>
      </c>
      <c r="I2415" s="130" t="s">
        <v>278</v>
      </c>
      <c r="J2415" s="131"/>
      <c r="K2415" s="33" t="s">
        <v>278</v>
      </c>
      <c r="L2415" s="132"/>
      <c r="M2415" s="33" t="s">
        <v>278</v>
      </c>
      <c r="N2415" s="132"/>
      <c r="O2415" s="33" t="s">
        <v>278</v>
      </c>
      <c r="P2415" s="132"/>
      <c r="Q2415" s="33" t="s">
        <v>587</v>
      </c>
      <c r="R2415" s="132"/>
      <c r="S2415" s="33" t="s">
        <v>278</v>
      </c>
      <c r="T2415" s="132"/>
      <c r="U2415" s="33" t="s">
        <v>278</v>
      </c>
      <c r="V2415" s="132"/>
      <c r="W2415" s="59" t="s">
        <v>548</v>
      </c>
      <c r="X2415" s="33" t="str">
        <f>+VLOOKUP(OtherClients[[#This Row],[Part]],PartControl!$A$2:$E$564,5,FALSE)</f>
        <v>Infasco</v>
      </c>
      <c r="Y2415" s="108">
        <f>IF(OtherClients[[#This Row],[Re-certified or New]]&lt;&gt;"Re-certified",IF(OtherClients[[#This Row],[Client]]="infasco",VLOOKUP(OtherClients[[#This Row],[Part]],PartControl!$A$2:$E$564,2,FALSE),OtherClients[[#This Row],[Total Quantity]]*VLOOKUP(OtherClients[[#This Row],[Part]],PartControl!$A$2:$E$564,2,FALSE)),0)</f>
        <v>106.94</v>
      </c>
      <c r="Z2415" s="108">
        <f>IF(OtherClients[[#This Row],[Re-certified or New]]&lt;&gt;"Re-certified",IF(OtherClients[[#This Row],[Client]]="infasco",VLOOKUP(OtherClients[[#This Row],[Part]],PartControl!$A$2:$E$564,2,FALSE),OtherClients[[#This Row],[Total Quantity]]*VLOOKUP(OtherClients[[#This Row],[Part]],PartControl!$A$2:$E$564,2,FALSE)),0)</f>
        <v>106.94</v>
      </c>
    </row>
    <row r="2416" spans="1:26" ht="25.15" hidden="1" customHeight="1" x14ac:dyDescent="0.25">
      <c r="A2416" s="112">
        <v>46268.708668981482</v>
      </c>
      <c r="B2416" s="5" t="s">
        <v>233</v>
      </c>
      <c r="C2416" s="5" t="s">
        <v>719</v>
      </c>
      <c r="D2416" s="5">
        <v>718120</v>
      </c>
      <c r="E2416" s="33">
        <v>6</v>
      </c>
      <c r="F2416" s="60">
        <v>2150</v>
      </c>
      <c r="G2416" s="60">
        <f>+OtherClients[[#This Row],[Boxes / Pieces]]*OtherClients[[#This Row],[Unit Quantity]]</f>
        <v>12900</v>
      </c>
      <c r="H2416" s="60">
        <v>275</v>
      </c>
      <c r="I2416" s="130" t="s">
        <v>278</v>
      </c>
      <c r="J2416" s="131"/>
      <c r="K2416" s="33" t="s">
        <v>278</v>
      </c>
      <c r="L2416" s="132"/>
      <c r="M2416" s="33" t="s">
        <v>278</v>
      </c>
      <c r="N2416" s="132"/>
      <c r="O2416" s="33" t="s">
        <v>278</v>
      </c>
      <c r="P2416" s="132"/>
      <c r="Q2416" s="33" t="s">
        <v>587</v>
      </c>
      <c r="R2416" s="132"/>
      <c r="S2416" s="33" t="s">
        <v>278</v>
      </c>
      <c r="T2416" s="132"/>
      <c r="U2416" s="33" t="s">
        <v>278</v>
      </c>
      <c r="V2416" s="132"/>
      <c r="W2416" s="59" t="s">
        <v>633</v>
      </c>
      <c r="X2416" s="33" t="str">
        <f>+VLOOKUP(OtherClients[[#This Row],[Part]],PartControl!$A$2:$E$564,5,FALSE)</f>
        <v>infasco</v>
      </c>
      <c r="Y2416" s="108">
        <f>IF(OtherClients[[#This Row],[Re-certified or New]]&lt;&gt;"Re-certified",IF(OtherClients[[#This Row],[Client]]="infasco",VLOOKUP(OtherClients[[#This Row],[Part]],PartControl!$A$2:$E$564,2,FALSE),OtherClients[[#This Row],[Total Quantity]]*VLOOKUP(OtherClients[[#This Row],[Part]],PartControl!$A$2:$E$564,2,FALSE)),0)</f>
        <v>0</v>
      </c>
      <c r="Z2416" s="108">
        <f>IF(OtherClients[[#This Row],[Re-certified or New]]&lt;&gt;"Re-certified",IF(OtherClients[[#This Row],[Client]]="infasco",VLOOKUP(OtherClients[[#This Row],[Part]],PartControl!$A$2:$E$564,2,FALSE),OtherClients[[#This Row],[Total Quantity]]*VLOOKUP(OtherClients[[#This Row],[Part]],PartControl!$A$2:$E$564,2,FALSE)),0)</f>
        <v>0</v>
      </c>
    </row>
    <row r="2417" spans="1:26" ht="25.15" hidden="1" customHeight="1" x14ac:dyDescent="0.25">
      <c r="A2417" s="112">
        <v>46268.708668981482</v>
      </c>
      <c r="B2417" s="5" t="s">
        <v>238</v>
      </c>
      <c r="C2417" s="5" t="s">
        <v>833</v>
      </c>
      <c r="D2417" s="5">
        <v>717261</v>
      </c>
      <c r="E2417" s="33">
        <v>25</v>
      </c>
      <c r="F2417" s="60">
        <v>1500</v>
      </c>
      <c r="G2417" s="60">
        <f>+OtherClients[[#This Row],[Boxes / Pieces]]*OtherClients[[#This Row],[Unit Quantity]]</f>
        <v>37500</v>
      </c>
      <c r="H2417" s="60">
        <v>275</v>
      </c>
      <c r="I2417" s="130" t="s">
        <v>278</v>
      </c>
      <c r="J2417" s="131"/>
      <c r="K2417" s="33" t="s">
        <v>278</v>
      </c>
      <c r="L2417" s="132"/>
      <c r="M2417" s="33" t="s">
        <v>278</v>
      </c>
      <c r="N2417" s="132"/>
      <c r="O2417" s="33" t="s">
        <v>278</v>
      </c>
      <c r="P2417" s="132"/>
      <c r="Q2417" s="33" t="s">
        <v>587</v>
      </c>
      <c r="R2417" s="132"/>
      <c r="S2417" s="33" t="s">
        <v>278</v>
      </c>
      <c r="T2417" s="132"/>
      <c r="U2417" s="33" t="s">
        <v>278</v>
      </c>
      <c r="V2417" s="132"/>
      <c r="W2417" s="59" t="s">
        <v>548</v>
      </c>
      <c r="X2417" s="33" t="str">
        <f>+VLOOKUP(OtherClients[[#This Row],[Part]],PartControl!$A$2:$E$564,5,FALSE)</f>
        <v>infasco</v>
      </c>
      <c r="Y2417" s="108">
        <f>IF(OtherClients[[#This Row],[Re-certified or New]]&lt;&gt;"Re-certified",IF(OtherClients[[#This Row],[Client]]="infasco",VLOOKUP(OtherClients[[#This Row],[Part]],PartControl!$A$2:$E$564,2,FALSE),OtherClients[[#This Row],[Total Quantity]]*VLOOKUP(OtherClients[[#This Row],[Part]],PartControl!$A$2:$E$564,2,FALSE)),0)</f>
        <v>106.94</v>
      </c>
      <c r="Z2417" s="108">
        <f>IF(OtherClients[[#This Row],[Re-certified or New]]&lt;&gt;"Re-certified",IF(OtherClients[[#This Row],[Client]]="infasco",VLOOKUP(OtherClients[[#This Row],[Part]],PartControl!$A$2:$E$564,2,FALSE),OtherClients[[#This Row],[Total Quantity]]*VLOOKUP(OtherClients[[#This Row],[Part]],PartControl!$A$2:$E$564,2,FALSE)),0)</f>
        <v>106.94</v>
      </c>
    </row>
    <row r="2418" spans="1:26" ht="25.15" hidden="1" customHeight="1" x14ac:dyDescent="0.25">
      <c r="A2418" s="112">
        <v>46268.708668981482</v>
      </c>
      <c r="B2418" s="5" t="s">
        <v>238</v>
      </c>
      <c r="C2418" s="5">
        <v>11549170</v>
      </c>
      <c r="D2418" s="5">
        <v>716924</v>
      </c>
      <c r="E2418" s="33">
        <v>36</v>
      </c>
      <c r="F2418" s="60">
        <v>400</v>
      </c>
      <c r="G2418" s="60">
        <f>+OtherClients[[#This Row],[Boxes / Pieces]]*OtherClients[[#This Row],[Unit Quantity]]</f>
        <v>14400</v>
      </c>
      <c r="H2418" s="60">
        <v>275</v>
      </c>
      <c r="I2418" s="130" t="s">
        <v>278</v>
      </c>
      <c r="J2418" s="131"/>
      <c r="K2418" s="33" t="s">
        <v>278</v>
      </c>
      <c r="L2418" s="132"/>
      <c r="M2418" s="33" t="s">
        <v>278</v>
      </c>
      <c r="N2418" s="132"/>
      <c r="O2418" s="33" t="s">
        <v>278</v>
      </c>
      <c r="P2418" s="132"/>
      <c r="Q2418" s="33" t="s">
        <v>587</v>
      </c>
      <c r="R2418" s="132"/>
      <c r="S2418" s="33" t="s">
        <v>278</v>
      </c>
      <c r="T2418" s="132"/>
      <c r="U2418" s="33" t="s">
        <v>278</v>
      </c>
      <c r="V2418" s="132"/>
      <c r="W2418" s="59" t="s">
        <v>548</v>
      </c>
      <c r="X2418" s="33" t="str">
        <f>+VLOOKUP(OtherClients[[#This Row],[Part]],PartControl!$A$2:$E$564,5,FALSE)</f>
        <v>INFASCO</v>
      </c>
      <c r="Y2418" s="108">
        <f>IF(OtherClients[[#This Row],[Re-certified or New]]&lt;&gt;"Re-certified",IF(OtherClients[[#This Row],[Client]]="infasco",VLOOKUP(OtherClients[[#This Row],[Part]],PartControl!$A$2:$E$564,2,FALSE),OtherClients[[#This Row],[Total Quantity]]*VLOOKUP(OtherClients[[#This Row],[Part]],PartControl!$A$2:$E$564,2,FALSE)),0)</f>
        <v>106.94</v>
      </c>
      <c r="Z2418" s="108">
        <f>IF(OtherClients[[#This Row],[Re-certified or New]]&lt;&gt;"Re-certified",IF(OtherClients[[#This Row],[Client]]="infasco",VLOOKUP(OtherClients[[#This Row],[Part]],PartControl!$A$2:$E$564,2,FALSE),OtherClients[[#This Row],[Total Quantity]]*VLOOKUP(OtherClients[[#This Row],[Part]],PartControl!$A$2:$E$564,2,FALSE)),0)</f>
        <v>106.94</v>
      </c>
    </row>
    <row r="2419" spans="1:26" ht="25.15" hidden="1" customHeight="1" x14ac:dyDescent="0.25">
      <c r="A2419" s="112">
        <v>46268.708668981482</v>
      </c>
      <c r="B2419" s="5" t="s">
        <v>238</v>
      </c>
      <c r="C2419" s="5">
        <v>11549170</v>
      </c>
      <c r="D2419" s="5">
        <v>716934</v>
      </c>
      <c r="E2419" s="33">
        <v>16</v>
      </c>
      <c r="F2419" s="60">
        <v>400</v>
      </c>
      <c r="G2419" s="60">
        <f>+OtherClients[[#This Row],[Boxes / Pieces]]*OtherClients[[#This Row],[Unit Quantity]]</f>
        <v>6400</v>
      </c>
      <c r="H2419" s="60">
        <v>275</v>
      </c>
      <c r="I2419" s="130" t="s">
        <v>278</v>
      </c>
      <c r="J2419" s="131"/>
      <c r="K2419" s="33" t="s">
        <v>278</v>
      </c>
      <c r="L2419" s="132"/>
      <c r="M2419" s="33" t="s">
        <v>278</v>
      </c>
      <c r="N2419" s="132"/>
      <c r="O2419" s="33" t="s">
        <v>278</v>
      </c>
      <c r="P2419" s="132"/>
      <c r="Q2419" s="33" t="s">
        <v>587</v>
      </c>
      <c r="R2419" s="132"/>
      <c r="S2419" s="33" t="s">
        <v>278</v>
      </c>
      <c r="T2419" s="132"/>
      <c r="U2419" s="33" t="s">
        <v>278</v>
      </c>
      <c r="V2419" s="132"/>
      <c r="W2419" s="59" t="s">
        <v>633</v>
      </c>
      <c r="X2419" s="33" t="str">
        <f>+VLOOKUP(OtherClients[[#This Row],[Part]],PartControl!$A$2:$E$564,5,FALSE)</f>
        <v>INFASCO</v>
      </c>
      <c r="Y2419" s="108">
        <f>IF(OtherClients[[#This Row],[Re-certified or New]]&lt;&gt;"Re-certified",IF(OtherClients[[#This Row],[Client]]="infasco",VLOOKUP(OtherClients[[#This Row],[Part]],PartControl!$A$2:$E$564,2,FALSE),OtherClients[[#This Row],[Total Quantity]]*VLOOKUP(OtherClients[[#This Row],[Part]],PartControl!$A$2:$E$564,2,FALSE)),0)</f>
        <v>0</v>
      </c>
      <c r="Z2419" s="108">
        <f>IF(OtherClients[[#This Row],[Re-certified or New]]&lt;&gt;"Re-certified",IF(OtherClients[[#This Row],[Client]]="infasco",VLOOKUP(OtherClients[[#This Row],[Part]],PartControl!$A$2:$E$564,2,FALSE),OtherClients[[#This Row],[Total Quantity]]*VLOOKUP(OtherClients[[#This Row],[Part]],PartControl!$A$2:$E$564,2,FALSE)),0)</f>
        <v>0</v>
      </c>
    </row>
    <row r="2420" spans="1:26" ht="25.15" hidden="1" customHeight="1" x14ac:dyDescent="0.25">
      <c r="A2420" s="112">
        <v>46268.708668981482</v>
      </c>
      <c r="B2420" s="5" t="s">
        <v>245</v>
      </c>
      <c r="C2420" s="5">
        <v>11546545</v>
      </c>
      <c r="D2420" s="5">
        <v>717324</v>
      </c>
      <c r="E2420" s="33">
        <f>36-10</f>
        <v>26</v>
      </c>
      <c r="F2420" s="60">
        <v>2500</v>
      </c>
      <c r="G2420" s="60">
        <f>+OtherClients[[#This Row],[Boxes / Pieces]]*OtherClients[[#This Row],[Unit Quantity]]</f>
        <v>65000</v>
      </c>
      <c r="H2420" s="60">
        <v>292</v>
      </c>
      <c r="I2420" s="130" t="s">
        <v>278</v>
      </c>
      <c r="J2420" s="131"/>
      <c r="K2420" s="33" t="s">
        <v>278</v>
      </c>
      <c r="L2420" s="132"/>
      <c r="M2420" s="33" t="s">
        <v>278</v>
      </c>
      <c r="N2420" s="132"/>
      <c r="O2420" s="33" t="s">
        <v>278</v>
      </c>
      <c r="P2420" s="132"/>
      <c r="Q2420" s="33" t="s">
        <v>587</v>
      </c>
      <c r="R2420" s="132"/>
      <c r="S2420" s="33" t="s">
        <v>278</v>
      </c>
      <c r="T2420" s="132"/>
      <c r="U2420" s="33" t="s">
        <v>278</v>
      </c>
      <c r="V2420" s="132"/>
      <c r="W2420" s="59" t="s">
        <v>548</v>
      </c>
      <c r="X2420" s="33" t="str">
        <f>+VLOOKUP(OtherClients[[#This Row],[Part]],PartControl!$A$2:$E$564,5,FALSE)</f>
        <v>infasco</v>
      </c>
      <c r="Y2420" s="108">
        <f>IF(OtherClients[[#This Row],[Re-certified or New]]&lt;&gt;"Re-certified",IF(OtherClients[[#This Row],[Client]]="infasco",VLOOKUP(OtherClients[[#This Row],[Part]],PartControl!$A$2:$E$564,2,FALSE),OtherClients[[#This Row],[Total Quantity]]*VLOOKUP(OtherClients[[#This Row],[Part]],PartControl!$A$2:$E$564,2,FALSE)),0)</f>
        <v>106.94</v>
      </c>
      <c r="Z2420" s="108">
        <f>IF(OtherClients[[#This Row],[Re-certified or New]]&lt;&gt;"Re-certified",IF(OtherClients[[#This Row],[Client]]="infasco",VLOOKUP(OtherClients[[#This Row],[Part]],PartControl!$A$2:$E$564,2,FALSE),OtherClients[[#This Row],[Total Quantity]]*VLOOKUP(OtherClients[[#This Row],[Part]],PartControl!$A$2:$E$564,2,FALSE)),0)</f>
        <v>106.94</v>
      </c>
    </row>
    <row r="2421" spans="1:26" ht="25.15" hidden="1" customHeight="1" x14ac:dyDescent="0.25">
      <c r="A2421" s="112">
        <v>46268.708668981482</v>
      </c>
      <c r="B2421" s="5" t="s">
        <v>246</v>
      </c>
      <c r="C2421" s="5" t="s">
        <v>860</v>
      </c>
      <c r="D2421" s="5">
        <v>717177</v>
      </c>
      <c r="E2421" s="33">
        <f>32-10</f>
        <v>22</v>
      </c>
      <c r="F2421" s="60">
        <v>1250</v>
      </c>
      <c r="G2421" s="60">
        <f>+OtherClients[[#This Row],[Boxes / Pieces]]*OtherClients[[#This Row],[Unit Quantity]]</f>
        <v>27500</v>
      </c>
      <c r="H2421" s="60">
        <v>292</v>
      </c>
      <c r="I2421" s="130" t="s">
        <v>278</v>
      </c>
      <c r="J2421" s="131"/>
      <c r="K2421" s="33" t="s">
        <v>278</v>
      </c>
      <c r="L2421" s="132"/>
      <c r="M2421" s="33" t="s">
        <v>278</v>
      </c>
      <c r="N2421" s="132"/>
      <c r="O2421" s="33" t="s">
        <v>278</v>
      </c>
      <c r="P2421" s="132"/>
      <c r="Q2421" s="33" t="s">
        <v>587</v>
      </c>
      <c r="R2421" s="132"/>
      <c r="S2421" s="33" t="s">
        <v>278</v>
      </c>
      <c r="T2421" s="132"/>
      <c r="U2421" s="33" t="s">
        <v>278</v>
      </c>
      <c r="V2421" s="132"/>
      <c r="W2421" s="59" t="s">
        <v>548</v>
      </c>
      <c r="X2421" s="33" t="str">
        <f>+VLOOKUP(OtherClients[[#This Row],[Part]],PartControl!$A$2:$E$564,5,FALSE)</f>
        <v>infasco</v>
      </c>
      <c r="Y2421" s="108">
        <f>IF(OtherClients[[#This Row],[Re-certified or New]]&lt;&gt;"Re-certified",IF(OtherClients[[#This Row],[Client]]="infasco",VLOOKUP(OtherClients[[#This Row],[Part]],PartControl!$A$2:$E$564,2,FALSE),OtherClients[[#This Row],[Total Quantity]]*VLOOKUP(OtherClients[[#This Row],[Part]],PartControl!$A$2:$E$564,2,FALSE)),0)</f>
        <v>106.94</v>
      </c>
      <c r="Z2421" s="108">
        <f>IF(OtherClients[[#This Row],[Re-certified or New]]&lt;&gt;"Re-certified",IF(OtherClients[[#This Row],[Client]]="infasco",VLOOKUP(OtherClients[[#This Row],[Part]],PartControl!$A$2:$E$564,2,FALSE),OtherClients[[#This Row],[Total Quantity]]*VLOOKUP(OtherClients[[#This Row],[Part]],PartControl!$A$2:$E$564,2,FALSE)),0)</f>
        <v>106.94</v>
      </c>
    </row>
    <row r="2422" spans="1:26" ht="25.15" hidden="1" customHeight="1" x14ac:dyDescent="0.25">
      <c r="A2422" s="112">
        <v>46268.708668981482</v>
      </c>
      <c r="B2422" s="5" t="s">
        <v>246</v>
      </c>
      <c r="C2422" s="5">
        <v>11546377</v>
      </c>
      <c r="D2422" s="5">
        <v>718142</v>
      </c>
      <c r="E2422" s="33">
        <v>36</v>
      </c>
      <c r="F2422" s="60">
        <v>2150</v>
      </c>
      <c r="G2422" s="60">
        <f>+OtherClients[[#This Row],[Boxes / Pieces]]*OtherClients[[#This Row],[Unit Quantity]]</f>
        <v>77400</v>
      </c>
      <c r="H2422" s="60">
        <v>292</v>
      </c>
      <c r="I2422" s="130" t="s">
        <v>278</v>
      </c>
      <c r="J2422" s="131"/>
      <c r="K2422" s="33" t="s">
        <v>278</v>
      </c>
      <c r="L2422" s="132"/>
      <c r="M2422" s="33" t="s">
        <v>278</v>
      </c>
      <c r="N2422" s="132"/>
      <c r="O2422" s="33" t="s">
        <v>278</v>
      </c>
      <c r="P2422" s="132"/>
      <c r="Q2422" s="33" t="s">
        <v>587</v>
      </c>
      <c r="R2422" s="132"/>
      <c r="S2422" s="33" t="s">
        <v>278</v>
      </c>
      <c r="T2422" s="132"/>
      <c r="U2422" s="33" t="s">
        <v>278</v>
      </c>
      <c r="V2422" s="132"/>
      <c r="W2422" s="59" t="s">
        <v>548</v>
      </c>
      <c r="X2422" s="33" t="str">
        <f>+VLOOKUP(OtherClients[[#This Row],[Part]],PartControl!$A$2:$E$564,5,FALSE)</f>
        <v>INFASCO</v>
      </c>
      <c r="Y2422" s="108">
        <f>IF(OtherClients[[#This Row],[Re-certified or New]]&lt;&gt;"Re-certified",IF(OtherClients[[#This Row],[Client]]="infasco",VLOOKUP(OtherClients[[#This Row],[Part]],PartControl!$A$2:$E$564,2,FALSE),OtherClients[[#This Row],[Total Quantity]]*VLOOKUP(OtherClients[[#This Row],[Part]],PartControl!$A$2:$E$564,2,FALSE)),0)</f>
        <v>106.94</v>
      </c>
      <c r="Z2422" s="108">
        <f>IF(OtherClients[[#This Row],[Re-certified or New]]&lt;&gt;"Re-certified",IF(OtherClients[[#This Row],[Client]]="infasco",VLOOKUP(OtherClients[[#This Row],[Part]],PartControl!$A$2:$E$564,2,FALSE),OtherClients[[#This Row],[Total Quantity]]*VLOOKUP(OtherClients[[#This Row],[Part]],PartControl!$A$2:$E$564,2,FALSE)),0)</f>
        <v>106.94</v>
      </c>
    </row>
    <row r="2423" spans="1:26" ht="25.15" hidden="1" customHeight="1" x14ac:dyDescent="0.25">
      <c r="A2423" s="112">
        <v>46268.708668981482</v>
      </c>
      <c r="B2423" s="5" t="s">
        <v>244</v>
      </c>
      <c r="C2423" s="5">
        <v>11546377</v>
      </c>
      <c r="D2423" s="5">
        <v>718131</v>
      </c>
      <c r="E2423" s="33">
        <f>33-10</f>
        <v>23</v>
      </c>
      <c r="F2423" s="60">
        <v>2150</v>
      </c>
      <c r="G2423" s="60">
        <f>+OtherClients[[#This Row],[Boxes / Pieces]]*OtherClients[[#This Row],[Unit Quantity]]</f>
        <v>49450</v>
      </c>
      <c r="H2423" s="60">
        <v>292</v>
      </c>
      <c r="I2423" s="130" t="s">
        <v>278</v>
      </c>
      <c r="J2423" s="131"/>
      <c r="K2423" s="33" t="s">
        <v>278</v>
      </c>
      <c r="L2423" s="132"/>
      <c r="M2423" s="33" t="s">
        <v>278</v>
      </c>
      <c r="N2423" s="132"/>
      <c r="O2423" s="33" t="s">
        <v>278</v>
      </c>
      <c r="P2423" s="132"/>
      <c r="Q2423" s="33" t="s">
        <v>587</v>
      </c>
      <c r="R2423" s="132"/>
      <c r="S2423" s="33" t="s">
        <v>278</v>
      </c>
      <c r="T2423" s="132"/>
      <c r="U2423" s="33" t="s">
        <v>278</v>
      </c>
      <c r="V2423" s="132"/>
      <c r="W2423" s="59" t="s">
        <v>548</v>
      </c>
      <c r="X2423" s="33" t="str">
        <f>+VLOOKUP(OtherClients[[#This Row],[Part]],PartControl!$A$2:$E$564,5,FALSE)</f>
        <v>INFASCO</v>
      </c>
      <c r="Y2423" s="108">
        <f>IF(OtherClients[[#This Row],[Re-certified or New]]&lt;&gt;"Re-certified",IF(OtherClients[[#This Row],[Client]]="infasco",VLOOKUP(OtherClients[[#This Row],[Part]],PartControl!$A$2:$E$564,2,FALSE),OtherClients[[#This Row],[Total Quantity]]*VLOOKUP(OtherClients[[#This Row],[Part]],PartControl!$A$2:$E$564,2,FALSE)),0)</f>
        <v>106.94</v>
      </c>
      <c r="Z2423" s="108">
        <f>IF(OtherClients[[#This Row],[Re-certified or New]]&lt;&gt;"Re-certified",IF(OtherClients[[#This Row],[Client]]="infasco",VLOOKUP(OtherClients[[#This Row],[Part]],PartControl!$A$2:$E$564,2,FALSE),OtherClients[[#This Row],[Total Quantity]]*VLOOKUP(OtherClients[[#This Row],[Part]],PartControl!$A$2:$E$564,2,FALSE)),0)</f>
        <v>106.94</v>
      </c>
    </row>
    <row r="2424" spans="1:26" ht="25.15" hidden="1" customHeight="1" x14ac:dyDescent="0.25">
      <c r="A2424" s="112">
        <v>46268.708668981482</v>
      </c>
      <c r="B2424" s="5" t="s">
        <v>244</v>
      </c>
      <c r="C2424" s="5" t="s">
        <v>719</v>
      </c>
      <c r="D2424" s="5">
        <v>718124</v>
      </c>
      <c r="E2424" s="33">
        <v>3</v>
      </c>
      <c r="F2424" s="60">
        <v>2150</v>
      </c>
      <c r="G2424" s="60">
        <f>+OtherClients[[#This Row],[Boxes / Pieces]]*OtherClients[[#This Row],[Unit Quantity]]</f>
        <v>6450</v>
      </c>
      <c r="H2424" s="60">
        <v>292</v>
      </c>
      <c r="I2424" s="130" t="s">
        <v>278</v>
      </c>
      <c r="J2424" s="131"/>
      <c r="K2424" s="33" t="s">
        <v>278</v>
      </c>
      <c r="L2424" s="132"/>
      <c r="M2424" s="33" t="s">
        <v>278</v>
      </c>
      <c r="N2424" s="132"/>
      <c r="O2424" s="33" t="s">
        <v>278</v>
      </c>
      <c r="P2424" s="132"/>
      <c r="Q2424" s="33" t="s">
        <v>587</v>
      </c>
      <c r="R2424" s="132"/>
      <c r="S2424" s="33" t="s">
        <v>278</v>
      </c>
      <c r="T2424" s="132"/>
      <c r="U2424" s="33" t="s">
        <v>278</v>
      </c>
      <c r="V2424" s="132"/>
      <c r="W2424" s="59" t="s">
        <v>633</v>
      </c>
      <c r="X2424" s="33" t="str">
        <f>+VLOOKUP(OtherClients[[#This Row],[Part]],PartControl!$A$2:$E$564,5,FALSE)</f>
        <v>infasco</v>
      </c>
      <c r="Y2424" s="108">
        <f>IF(OtherClients[[#This Row],[Re-certified or New]]&lt;&gt;"Re-certified",IF(OtherClients[[#This Row],[Client]]="infasco",VLOOKUP(OtherClients[[#This Row],[Part]],PartControl!$A$2:$E$564,2,FALSE),OtherClients[[#This Row],[Total Quantity]]*VLOOKUP(OtherClients[[#This Row],[Part]],PartControl!$A$2:$E$564,2,FALSE)),0)</f>
        <v>0</v>
      </c>
      <c r="Z2424" s="108">
        <f>IF(OtherClients[[#This Row],[Re-certified or New]]&lt;&gt;"Re-certified",IF(OtherClients[[#This Row],[Client]]="infasco",VLOOKUP(OtherClients[[#This Row],[Part]],PartControl!$A$2:$E$564,2,FALSE),OtherClients[[#This Row],[Total Quantity]]*VLOOKUP(OtherClients[[#This Row],[Part]],PartControl!$A$2:$E$564,2,FALSE)),0)</f>
        <v>0</v>
      </c>
    </row>
    <row r="2425" spans="1:26" ht="25.15" hidden="1" customHeight="1" x14ac:dyDescent="0.25">
      <c r="A2425" s="112">
        <v>46268.708668981482</v>
      </c>
      <c r="B2425" s="5" t="s">
        <v>624</v>
      </c>
      <c r="C2425" s="5" t="s">
        <v>705</v>
      </c>
      <c r="D2425" s="5">
        <v>716362</v>
      </c>
      <c r="E2425" s="33">
        <f>30-20</f>
        <v>10</v>
      </c>
      <c r="F2425" s="60">
        <v>450</v>
      </c>
      <c r="G2425" s="60">
        <f>+OtherClients[[#This Row],[Boxes / Pieces]]*OtherClients[[#This Row],[Unit Quantity]]</f>
        <v>4500</v>
      </c>
      <c r="H2425" s="60">
        <v>292</v>
      </c>
      <c r="I2425" s="130" t="s">
        <v>278</v>
      </c>
      <c r="J2425" s="131"/>
      <c r="K2425" s="33" t="s">
        <v>278</v>
      </c>
      <c r="L2425" s="132"/>
      <c r="M2425" s="33" t="s">
        <v>278</v>
      </c>
      <c r="N2425" s="132"/>
      <c r="O2425" s="33" t="s">
        <v>278</v>
      </c>
      <c r="P2425" s="132"/>
      <c r="Q2425" s="33" t="s">
        <v>587</v>
      </c>
      <c r="R2425" s="132"/>
      <c r="S2425" s="33" t="s">
        <v>278</v>
      </c>
      <c r="T2425" s="132"/>
      <c r="U2425" s="33" t="s">
        <v>278</v>
      </c>
      <c r="V2425" s="132"/>
      <c r="W2425" s="59" t="s">
        <v>548</v>
      </c>
      <c r="X2425" s="33" t="str">
        <f>+VLOOKUP(OtherClients[[#This Row],[Part]],PartControl!$A$2:$E$564,5,FALSE)</f>
        <v>infasco</v>
      </c>
      <c r="Y2425" s="108">
        <f>IF(OtherClients[[#This Row],[Re-certified or New]]&lt;&gt;"Re-certified",IF(OtherClients[[#This Row],[Client]]="infasco",VLOOKUP(OtherClients[[#This Row],[Part]],PartControl!$A$2:$E$564,2,FALSE),OtherClients[[#This Row],[Total Quantity]]*VLOOKUP(OtherClients[[#This Row],[Part]],PartControl!$A$2:$E$564,2,FALSE)),0)</f>
        <v>106.94</v>
      </c>
      <c r="Z2425" s="108">
        <f>IF(OtherClients[[#This Row],[Re-certified or New]]&lt;&gt;"Re-certified",IF(OtherClients[[#This Row],[Client]]="infasco",VLOOKUP(OtherClients[[#This Row],[Part]],PartControl!$A$2:$E$564,2,FALSE),OtherClients[[#This Row],[Total Quantity]]*VLOOKUP(OtherClients[[#This Row],[Part]],PartControl!$A$2:$E$564,2,FALSE)),0)</f>
        <v>106.94</v>
      </c>
    </row>
    <row r="2426" spans="1:26" ht="25.15" hidden="1" customHeight="1" x14ac:dyDescent="0.25">
      <c r="A2426" s="112">
        <v>46268.708668981482</v>
      </c>
      <c r="B2426" s="5" t="s">
        <v>624</v>
      </c>
      <c r="C2426" s="5" t="s">
        <v>705</v>
      </c>
      <c r="D2426" s="5">
        <v>716361</v>
      </c>
      <c r="E2426" s="33">
        <f>6+25</f>
        <v>31</v>
      </c>
      <c r="F2426" s="60">
        <v>450</v>
      </c>
      <c r="G2426" s="60">
        <f>+OtherClients[[#This Row],[Boxes / Pieces]]*OtherClients[[#This Row],[Unit Quantity]]</f>
        <v>13950</v>
      </c>
      <c r="H2426" s="60">
        <v>292</v>
      </c>
      <c r="I2426" s="130" t="s">
        <v>278</v>
      </c>
      <c r="J2426" s="131"/>
      <c r="K2426" s="33" t="s">
        <v>278</v>
      </c>
      <c r="L2426" s="132"/>
      <c r="M2426" s="33" t="s">
        <v>278</v>
      </c>
      <c r="N2426" s="132"/>
      <c r="O2426" s="33" t="s">
        <v>278</v>
      </c>
      <c r="P2426" s="132"/>
      <c r="Q2426" s="33" t="s">
        <v>587</v>
      </c>
      <c r="R2426" s="132"/>
      <c r="S2426" s="33" t="s">
        <v>278</v>
      </c>
      <c r="T2426" s="132"/>
      <c r="U2426" s="33" t="s">
        <v>278</v>
      </c>
      <c r="V2426" s="132"/>
      <c r="W2426" s="59" t="s">
        <v>548</v>
      </c>
      <c r="X2426" s="33" t="str">
        <f>+VLOOKUP(OtherClients[[#This Row],[Part]],PartControl!$A$2:$E$564,5,FALSE)</f>
        <v>infasco</v>
      </c>
      <c r="Y2426" s="108">
        <f>IF(OtherClients[[#This Row],[Re-certified or New]]&lt;&gt;"Re-certified",IF(OtherClients[[#This Row],[Client]]="infasco",VLOOKUP(OtherClients[[#This Row],[Part]],PartControl!$A$2:$E$564,2,FALSE),OtherClients[[#This Row],[Total Quantity]]*VLOOKUP(OtherClients[[#This Row],[Part]],PartControl!$A$2:$E$564,2,FALSE)),0)</f>
        <v>106.94</v>
      </c>
      <c r="Z2426" s="108">
        <f>IF(OtherClients[[#This Row],[Re-certified or New]]&lt;&gt;"Re-certified",IF(OtherClients[[#This Row],[Client]]="infasco",VLOOKUP(OtherClients[[#This Row],[Part]],PartControl!$A$2:$E$564,2,FALSE),OtherClients[[#This Row],[Total Quantity]]*VLOOKUP(OtherClients[[#This Row],[Part]],PartControl!$A$2:$E$564,2,FALSE)),0)</f>
        <v>106.94</v>
      </c>
    </row>
    <row r="2427" spans="1:26" ht="25.15" hidden="1" customHeight="1" x14ac:dyDescent="0.25">
      <c r="A2427" s="112">
        <v>46268.708668981482</v>
      </c>
      <c r="B2427" s="5" t="s">
        <v>624</v>
      </c>
      <c r="C2427" s="5" t="s">
        <v>705</v>
      </c>
      <c r="D2427" s="5">
        <v>716364</v>
      </c>
      <c r="E2427" s="33">
        <f>11+20</f>
        <v>31</v>
      </c>
      <c r="F2427" s="60">
        <v>450</v>
      </c>
      <c r="G2427" s="60">
        <f>+OtherClients[[#This Row],[Boxes / Pieces]]*OtherClients[[#This Row],[Unit Quantity]]</f>
        <v>13950</v>
      </c>
      <c r="H2427" s="60">
        <v>292</v>
      </c>
      <c r="I2427" s="130" t="s">
        <v>278</v>
      </c>
      <c r="J2427" s="131"/>
      <c r="K2427" s="33" t="s">
        <v>278</v>
      </c>
      <c r="L2427" s="132"/>
      <c r="M2427" s="33" t="s">
        <v>278</v>
      </c>
      <c r="N2427" s="132"/>
      <c r="O2427" s="33" t="s">
        <v>278</v>
      </c>
      <c r="P2427" s="132"/>
      <c r="Q2427" s="33" t="s">
        <v>587</v>
      </c>
      <c r="R2427" s="132"/>
      <c r="S2427" s="33" t="s">
        <v>278</v>
      </c>
      <c r="T2427" s="132"/>
      <c r="U2427" s="33" t="s">
        <v>278</v>
      </c>
      <c r="V2427" s="132"/>
      <c r="W2427" s="59" t="s">
        <v>548</v>
      </c>
      <c r="X2427" s="33" t="str">
        <f>+VLOOKUP(OtherClients[[#This Row],[Part]],PartControl!$A$2:$E$564,5,FALSE)</f>
        <v>infasco</v>
      </c>
      <c r="Y2427" s="108">
        <f>IF(OtherClients[[#This Row],[Re-certified or New]]&lt;&gt;"Re-certified",IF(OtherClients[[#This Row],[Client]]="infasco",VLOOKUP(OtherClients[[#This Row],[Part]],PartControl!$A$2:$E$564,2,FALSE),OtherClients[[#This Row],[Total Quantity]]*VLOOKUP(OtherClients[[#This Row],[Part]],PartControl!$A$2:$E$564,2,FALSE)),0)</f>
        <v>106.94</v>
      </c>
      <c r="Z2427" s="108">
        <f>IF(OtherClients[[#This Row],[Re-certified or New]]&lt;&gt;"Re-certified",IF(OtherClients[[#This Row],[Client]]="infasco",VLOOKUP(OtherClients[[#This Row],[Part]],PartControl!$A$2:$E$564,2,FALSE),OtherClients[[#This Row],[Total Quantity]]*VLOOKUP(OtherClients[[#This Row],[Part]],PartControl!$A$2:$E$564,2,FALSE)),0)</f>
        <v>106.94</v>
      </c>
    </row>
    <row r="2428" spans="1:26" ht="25.15" hidden="1" customHeight="1" x14ac:dyDescent="0.25">
      <c r="A2428" s="112">
        <v>46268.708668981482</v>
      </c>
      <c r="B2428" s="5" t="s">
        <v>624</v>
      </c>
      <c r="C2428" s="5" t="s">
        <v>705</v>
      </c>
      <c r="D2428" s="5">
        <v>716368</v>
      </c>
      <c r="E2428" s="33">
        <f>16+18</f>
        <v>34</v>
      </c>
      <c r="F2428" s="60">
        <v>450</v>
      </c>
      <c r="G2428" s="60">
        <f>+OtherClients[[#This Row],[Boxes / Pieces]]*OtherClients[[#This Row],[Unit Quantity]]</f>
        <v>15300</v>
      </c>
      <c r="H2428" s="60">
        <v>292</v>
      </c>
      <c r="I2428" s="130" t="s">
        <v>278</v>
      </c>
      <c r="J2428" s="131"/>
      <c r="K2428" s="33" t="s">
        <v>278</v>
      </c>
      <c r="L2428" s="132"/>
      <c r="M2428" s="33" t="s">
        <v>278</v>
      </c>
      <c r="N2428" s="132"/>
      <c r="O2428" s="33" t="s">
        <v>278</v>
      </c>
      <c r="P2428" s="132"/>
      <c r="Q2428" s="33" t="s">
        <v>587</v>
      </c>
      <c r="R2428" s="132"/>
      <c r="S2428" s="33" t="s">
        <v>278</v>
      </c>
      <c r="T2428" s="132"/>
      <c r="U2428" s="33" t="s">
        <v>278</v>
      </c>
      <c r="V2428" s="132"/>
      <c r="W2428" s="59" t="s">
        <v>548</v>
      </c>
      <c r="X2428" s="33" t="str">
        <f>+VLOOKUP(OtherClients[[#This Row],[Part]],PartControl!$A$2:$E$564,5,FALSE)</f>
        <v>infasco</v>
      </c>
      <c r="Y2428" s="108">
        <f>IF(OtherClients[[#This Row],[Re-certified or New]]&lt;&gt;"Re-certified",IF(OtherClients[[#This Row],[Client]]="infasco",VLOOKUP(OtherClients[[#This Row],[Part]],PartControl!$A$2:$E$564,2,FALSE),OtherClients[[#This Row],[Total Quantity]]*VLOOKUP(OtherClients[[#This Row],[Part]],PartControl!$A$2:$E$564,2,FALSE)),0)</f>
        <v>106.94</v>
      </c>
      <c r="Z2428" s="108">
        <f>IF(OtherClients[[#This Row],[Re-certified or New]]&lt;&gt;"Re-certified",IF(OtherClients[[#This Row],[Client]]="infasco",VLOOKUP(OtherClients[[#This Row],[Part]],PartControl!$A$2:$E$564,2,FALSE),OtherClients[[#This Row],[Total Quantity]]*VLOOKUP(OtherClients[[#This Row],[Part]],PartControl!$A$2:$E$564,2,FALSE)),0)</f>
        <v>106.94</v>
      </c>
    </row>
    <row r="2429" spans="1:26" ht="25.15" hidden="1" customHeight="1" x14ac:dyDescent="0.25">
      <c r="A2429" s="112">
        <v>46268.708668981482</v>
      </c>
      <c r="B2429" s="5" t="s">
        <v>624</v>
      </c>
      <c r="C2429" s="5" t="s">
        <v>705</v>
      </c>
      <c r="D2429" s="5">
        <v>716358</v>
      </c>
      <c r="E2429" s="33">
        <v>18</v>
      </c>
      <c r="F2429" s="60">
        <v>450</v>
      </c>
      <c r="G2429" s="60">
        <f>+OtherClients[[#This Row],[Boxes / Pieces]]*OtherClients[[#This Row],[Unit Quantity]]</f>
        <v>8100</v>
      </c>
      <c r="H2429" s="60">
        <v>292</v>
      </c>
      <c r="I2429" s="130" t="s">
        <v>278</v>
      </c>
      <c r="J2429" s="131"/>
      <c r="K2429" s="33" t="s">
        <v>278</v>
      </c>
      <c r="L2429" s="132"/>
      <c r="M2429" s="33" t="s">
        <v>278</v>
      </c>
      <c r="N2429" s="132"/>
      <c r="O2429" s="33" t="s">
        <v>278</v>
      </c>
      <c r="P2429" s="132"/>
      <c r="Q2429" s="33" t="s">
        <v>587</v>
      </c>
      <c r="R2429" s="132"/>
      <c r="S2429" s="33" t="s">
        <v>278</v>
      </c>
      <c r="T2429" s="132"/>
      <c r="U2429" s="33" t="s">
        <v>278</v>
      </c>
      <c r="V2429" s="132"/>
      <c r="W2429" s="59" t="s">
        <v>548</v>
      </c>
      <c r="X2429" s="33" t="str">
        <f>+VLOOKUP(OtherClients[[#This Row],[Part]],PartControl!$A$2:$E$564,5,FALSE)</f>
        <v>infasco</v>
      </c>
      <c r="Y2429" s="108">
        <f>IF(OtherClients[[#This Row],[Re-certified or New]]&lt;&gt;"Re-certified",IF(OtherClients[[#This Row],[Client]]="infasco",VLOOKUP(OtherClients[[#This Row],[Part]],PartControl!$A$2:$E$564,2,FALSE),OtherClients[[#This Row],[Total Quantity]]*VLOOKUP(OtherClients[[#This Row],[Part]],PartControl!$A$2:$E$564,2,FALSE)),0)</f>
        <v>106.94</v>
      </c>
      <c r="Z2429" s="108">
        <f>IF(OtherClients[[#This Row],[Re-certified or New]]&lt;&gt;"Re-certified",IF(OtherClients[[#This Row],[Client]]="infasco",VLOOKUP(OtherClients[[#This Row],[Part]],PartControl!$A$2:$E$564,2,FALSE),OtherClients[[#This Row],[Total Quantity]]*VLOOKUP(OtherClients[[#This Row],[Part]],PartControl!$A$2:$E$564,2,FALSE)),0)</f>
        <v>106.94</v>
      </c>
    </row>
    <row r="2430" spans="1:26" ht="25.15" hidden="1" customHeight="1" x14ac:dyDescent="0.25">
      <c r="A2430" s="112">
        <v>46268.708668981482</v>
      </c>
      <c r="B2430" s="5" t="s">
        <v>243</v>
      </c>
      <c r="C2430" s="5" t="s">
        <v>721</v>
      </c>
      <c r="D2430" s="5">
        <v>717645</v>
      </c>
      <c r="E2430" s="33">
        <f>36-23</f>
        <v>13</v>
      </c>
      <c r="F2430" s="60">
        <v>4500</v>
      </c>
      <c r="G2430" s="60">
        <f>+OtherClients[[#This Row],[Boxes / Pieces]]*OtherClients[[#This Row],[Unit Quantity]]</f>
        <v>58500</v>
      </c>
      <c r="H2430" s="60">
        <v>292</v>
      </c>
      <c r="I2430" s="130" t="s">
        <v>278</v>
      </c>
      <c r="J2430" s="131"/>
      <c r="K2430" s="33" t="s">
        <v>278</v>
      </c>
      <c r="L2430" s="132"/>
      <c r="M2430" s="33" t="s">
        <v>278</v>
      </c>
      <c r="N2430" s="132"/>
      <c r="O2430" s="33" t="s">
        <v>278</v>
      </c>
      <c r="P2430" s="132"/>
      <c r="Q2430" s="33" t="s">
        <v>587</v>
      </c>
      <c r="R2430" s="132"/>
      <c r="S2430" s="33" t="s">
        <v>278</v>
      </c>
      <c r="T2430" s="132"/>
      <c r="U2430" s="33" t="s">
        <v>278</v>
      </c>
      <c r="V2430" s="132"/>
      <c r="W2430" s="59" t="s">
        <v>548</v>
      </c>
      <c r="X2430" s="33" t="str">
        <f>+VLOOKUP(OtherClients[[#This Row],[Part]],PartControl!$A$2:$E$564,5,FALSE)</f>
        <v>Infasco</v>
      </c>
      <c r="Y2430" s="108">
        <f>IF(OtherClients[[#This Row],[Re-certified or New]]&lt;&gt;"Re-certified",IF(OtherClients[[#This Row],[Client]]="infasco",VLOOKUP(OtherClients[[#This Row],[Part]],PartControl!$A$2:$E$564,2,FALSE),OtherClients[[#This Row],[Total Quantity]]*VLOOKUP(OtherClients[[#This Row],[Part]],PartControl!$A$2:$E$564,2,FALSE)),0)</f>
        <v>106.94</v>
      </c>
      <c r="Z2430" s="108">
        <f>IF(OtherClients[[#This Row],[Re-certified or New]]&lt;&gt;"Re-certified",IF(OtherClients[[#This Row],[Client]]="infasco",VLOOKUP(OtherClients[[#This Row],[Part]],PartControl!$A$2:$E$564,2,FALSE),OtherClients[[#This Row],[Total Quantity]]*VLOOKUP(OtherClients[[#This Row],[Part]],PartControl!$A$2:$E$564,2,FALSE)),0)</f>
        <v>106.94</v>
      </c>
    </row>
    <row r="2431" spans="1:26" ht="25.15" hidden="1" customHeight="1" x14ac:dyDescent="0.25">
      <c r="A2431" s="112">
        <v>46268.708668981482</v>
      </c>
      <c r="B2431" s="5" t="s">
        <v>243</v>
      </c>
      <c r="C2431" s="5" t="s">
        <v>721</v>
      </c>
      <c r="D2431" s="5">
        <v>717642</v>
      </c>
      <c r="E2431" s="33">
        <v>8</v>
      </c>
      <c r="F2431" s="60">
        <v>4500</v>
      </c>
      <c r="G2431" s="60">
        <f>+OtherClients[[#This Row],[Boxes / Pieces]]*OtherClients[[#This Row],[Unit Quantity]]</f>
        <v>36000</v>
      </c>
      <c r="H2431" s="60">
        <v>292</v>
      </c>
      <c r="I2431" s="130" t="s">
        <v>278</v>
      </c>
      <c r="J2431" s="131"/>
      <c r="K2431" s="33" t="s">
        <v>278</v>
      </c>
      <c r="L2431" s="132"/>
      <c r="M2431" s="33" t="s">
        <v>278</v>
      </c>
      <c r="N2431" s="132"/>
      <c r="O2431" s="33" t="s">
        <v>278</v>
      </c>
      <c r="P2431" s="132"/>
      <c r="Q2431" s="33" t="s">
        <v>587</v>
      </c>
      <c r="R2431" s="132"/>
      <c r="S2431" s="33" t="s">
        <v>278</v>
      </c>
      <c r="T2431" s="132"/>
      <c r="U2431" s="33" t="s">
        <v>278</v>
      </c>
      <c r="V2431" s="132"/>
      <c r="W2431" s="59" t="s">
        <v>548</v>
      </c>
      <c r="X2431" s="33" t="str">
        <f>+VLOOKUP(OtherClients[[#This Row],[Part]],PartControl!$A$2:$E$564,5,FALSE)</f>
        <v>Infasco</v>
      </c>
      <c r="Y2431" s="108">
        <f>IF(OtherClients[[#This Row],[Re-certified or New]]&lt;&gt;"Re-certified",IF(OtherClients[[#This Row],[Client]]="infasco",VLOOKUP(OtherClients[[#This Row],[Part]],PartControl!$A$2:$E$564,2,FALSE),OtherClients[[#This Row],[Total Quantity]]*VLOOKUP(OtherClients[[#This Row],[Part]],PartControl!$A$2:$E$564,2,FALSE)),0)</f>
        <v>106.94</v>
      </c>
      <c r="Z2431" s="108">
        <f>IF(OtherClients[[#This Row],[Re-certified or New]]&lt;&gt;"Re-certified",IF(OtherClients[[#This Row],[Client]]="infasco",VLOOKUP(OtherClients[[#This Row],[Part]],PartControl!$A$2:$E$564,2,FALSE),OtherClients[[#This Row],[Total Quantity]]*VLOOKUP(OtherClients[[#This Row],[Part]],PartControl!$A$2:$E$564,2,FALSE)),0)</f>
        <v>106.94</v>
      </c>
    </row>
    <row r="2432" spans="1:26" ht="25.15" hidden="1" customHeight="1" x14ac:dyDescent="0.25">
      <c r="A2432" s="112">
        <v>46268.708668981482</v>
      </c>
      <c r="B2432" s="113" t="s">
        <v>243</v>
      </c>
      <c r="C2432" s="113" t="s">
        <v>719</v>
      </c>
      <c r="D2432" s="113">
        <v>718123</v>
      </c>
      <c r="E2432" s="114">
        <v>6</v>
      </c>
      <c r="F2432" s="115">
        <v>2150</v>
      </c>
      <c r="G2432" s="115">
        <f>+OtherClients[[#This Row],[Boxes / Pieces]]*OtherClients[[#This Row],[Unit Quantity]]</f>
        <v>12900</v>
      </c>
      <c r="H2432" s="60">
        <v>292</v>
      </c>
      <c r="I2432" s="130" t="s">
        <v>278</v>
      </c>
      <c r="J2432" s="131"/>
      <c r="K2432" s="33" t="s">
        <v>278</v>
      </c>
      <c r="L2432" s="132"/>
      <c r="M2432" s="33" t="s">
        <v>278</v>
      </c>
      <c r="N2432" s="132"/>
      <c r="O2432" s="33" t="s">
        <v>278</v>
      </c>
      <c r="P2432" s="132"/>
      <c r="Q2432" s="33" t="s">
        <v>587</v>
      </c>
      <c r="R2432" s="132"/>
      <c r="S2432" s="33" t="s">
        <v>278</v>
      </c>
      <c r="T2432" s="132"/>
      <c r="U2432" s="33" t="s">
        <v>278</v>
      </c>
      <c r="V2432" s="132"/>
      <c r="W2432" s="59" t="s">
        <v>633</v>
      </c>
      <c r="X2432" s="33" t="str">
        <f>+VLOOKUP(OtherClients[[#This Row],[Part]],PartControl!$A$2:$E$564,5,FALSE)</f>
        <v>infasco</v>
      </c>
      <c r="Y2432" s="108">
        <f>IF(OtherClients[[#This Row],[Re-certified or New]]&lt;&gt;"Re-certified",IF(OtherClients[[#This Row],[Client]]="infasco",VLOOKUP(OtherClients[[#This Row],[Part]],PartControl!$A$2:$E$564,2,FALSE),OtherClients[[#This Row],[Total Quantity]]*VLOOKUP(OtherClients[[#This Row],[Part]],PartControl!$A$2:$E$564,2,FALSE)),0)</f>
        <v>0</v>
      </c>
      <c r="Z2432" s="108">
        <f>IF(OtherClients[[#This Row],[Re-certified or New]]&lt;&gt;"Re-certified",IF(OtherClients[[#This Row],[Client]]="infasco",VLOOKUP(OtherClients[[#This Row],[Part]],PartControl!$A$2:$E$564,2,FALSE),OtherClients[[#This Row],[Total Quantity]]*VLOOKUP(OtherClients[[#This Row],[Part]],PartControl!$A$2:$E$564,2,FALSE)),0)</f>
        <v>0</v>
      </c>
    </row>
    <row r="2433" spans="1:26" ht="25.15" hidden="1" customHeight="1" x14ac:dyDescent="0.25">
      <c r="A2433" s="112">
        <v>46268.708668981482</v>
      </c>
      <c r="B2433" s="5" t="s">
        <v>623</v>
      </c>
      <c r="C2433" s="5" t="s">
        <v>814</v>
      </c>
      <c r="D2433" s="5">
        <v>717566</v>
      </c>
      <c r="E2433" s="33">
        <v>36</v>
      </c>
      <c r="F2433" s="60">
        <v>2500</v>
      </c>
      <c r="G2433" s="60">
        <f>+OtherClients[[#This Row],[Boxes / Pieces]]*OtherClients[[#This Row],[Unit Quantity]]</f>
        <v>90000</v>
      </c>
      <c r="H2433" s="60">
        <v>292</v>
      </c>
      <c r="I2433" s="130" t="s">
        <v>278</v>
      </c>
      <c r="J2433" s="131"/>
      <c r="K2433" s="33" t="s">
        <v>278</v>
      </c>
      <c r="L2433" s="132"/>
      <c r="M2433" s="33" t="s">
        <v>278</v>
      </c>
      <c r="N2433" s="132"/>
      <c r="O2433" s="33" t="s">
        <v>278</v>
      </c>
      <c r="P2433" s="132"/>
      <c r="Q2433" s="33" t="s">
        <v>587</v>
      </c>
      <c r="R2433" s="132"/>
      <c r="S2433" s="33" t="s">
        <v>278</v>
      </c>
      <c r="T2433" s="132"/>
      <c r="U2433" s="33" t="s">
        <v>278</v>
      </c>
      <c r="V2433" s="132"/>
      <c r="W2433" s="59" t="s">
        <v>548</v>
      </c>
      <c r="X2433" s="33" t="str">
        <f>+VLOOKUP(OtherClients[[#This Row],[Part]],PartControl!$A$2:$E$564,5,FALSE)</f>
        <v>Infasco</v>
      </c>
      <c r="Y2433" s="108">
        <f>IF(OtherClients[[#This Row],[Re-certified or New]]&lt;&gt;"Re-certified",IF(OtherClients[[#This Row],[Client]]="infasco",VLOOKUP(OtherClients[[#This Row],[Part]],PartControl!$A$2:$E$564,2,FALSE),OtherClients[[#This Row],[Total Quantity]]*VLOOKUP(OtherClients[[#This Row],[Part]],PartControl!$A$2:$E$564,2,FALSE)),0)</f>
        <v>106.94</v>
      </c>
      <c r="Z2433" s="108">
        <f>IF(OtherClients[[#This Row],[Re-certified or New]]&lt;&gt;"Re-certified",IF(OtherClients[[#This Row],[Client]]="infasco",VLOOKUP(OtherClients[[#This Row],[Part]],PartControl!$A$2:$E$564,2,FALSE),OtherClients[[#This Row],[Total Quantity]]*VLOOKUP(OtherClients[[#This Row],[Part]],PartControl!$A$2:$E$564,2,FALSE)),0)</f>
        <v>106.94</v>
      </c>
    </row>
    <row r="2434" spans="1:26" ht="25.15" hidden="1" customHeight="1" x14ac:dyDescent="0.25">
      <c r="A2434" s="112">
        <v>46268.708668981482</v>
      </c>
      <c r="B2434" s="5" t="s">
        <v>623</v>
      </c>
      <c r="C2434" s="5" t="s">
        <v>814</v>
      </c>
      <c r="D2434" s="5">
        <v>717563</v>
      </c>
      <c r="E2434" s="33">
        <v>5</v>
      </c>
      <c r="F2434" s="60">
        <v>2500</v>
      </c>
      <c r="G2434" s="60">
        <f>+OtherClients[[#This Row],[Boxes / Pieces]]*OtherClients[[#This Row],[Unit Quantity]]</f>
        <v>12500</v>
      </c>
      <c r="H2434" s="60">
        <v>292</v>
      </c>
      <c r="I2434" s="130" t="s">
        <v>278</v>
      </c>
      <c r="J2434" s="131"/>
      <c r="K2434" s="33" t="s">
        <v>278</v>
      </c>
      <c r="L2434" s="132"/>
      <c r="M2434" s="33" t="s">
        <v>278</v>
      </c>
      <c r="N2434" s="132"/>
      <c r="O2434" s="33" t="s">
        <v>278</v>
      </c>
      <c r="P2434" s="132"/>
      <c r="Q2434" s="33" t="s">
        <v>587</v>
      </c>
      <c r="R2434" s="132"/>
      <c r="S2434" s="33" t="s">
        <v>278</v>
      </c>
      <c r="T2434" s="132"/>
      <c r="U2434" s="33" t="s">
        <v>278</v>
      </c>
      <c r="V2434" s="132"/>
      <c r="W2434" s="59" t="s">
        <v>633</v>
      </c>
      <c r="X2434" s="33" t="str">
        <f>+VLOOKUP(OtherClients[[#This Row],[Part]],PartControl!$A$2:$E$564,5,FALSE)</f>
        <v>Infasco</v>
      </c>
      <c r="Y2434" s="108">
        <f>IF(OtherClients[[#This Row],[Re-certified or New]]&lt;&gt;"Re-certified",IF(OtherClients[[#This Row],[Client]]="infasco",VLOOKUP(OtherClients[[#This Row],[Part]],PartControl!$A$2:$E$564,2,FALSE),OtherClients[[#This Row],[Total Quantity]]*VLOOKUP(OtherClients[[#This Row],[Part]],PartControl!$A$2:$E$564,2,FALSE)),0)</f>
        <v>0</v>
      </c>
      <c r="Z2434" s="108">
        <f>IF(OtherClients[[#This Row],[Re-certified or New]]&lt;&gt;"Re-certified",IF(OtherClients[[#This Row],[Client]]="infasco",VLOOKUP(OtherClients[[#This Row],[Part]],PartControl!$A$2:$E$564,2,FALSE),OtherClients[[#This Row],[Total Quantity]]*VLOOKUP(OtherClients[[#This Row],[Part]],PartControl!$A$2:$E$564,2,FALSE)),0)</f>
        <v>0</v>
      </c>
    </row>
    <row r="2435" spans="1:26" ht="25.15" hidden="1" customHeight="1" x14ac:dyDescent="0.25">
      <c r="A2435" s="112">
        <v>46268.708668981482</v>
      </c>
      <c r="B2435" s="5" t="s">
        <v>251</v>
      </c>
      <c r="C2435" s="5" t="s">
        <v>645</v>
      </c>
      <c r="D2435" s="5">
        <v>717403</v>
      </c>
      <c r="E2435" s="33">
        <v>36</v>
      </c>
      <c r="F2435" s="60">
        <v>1000</v>
      </c>
      <c r="G2435" s="60">
        <f>+OtherClients[[#This Row],[Boxes / Pieces]]*OtherClients[[#This Row],[Unit Quantity]]</f>
        <v>36000</v>
      </c>
      <c r="H2435" s="60">
        <v>292</v>
      </c>
      <c r="I2435" s="130" t="s">
        <v>278</v>
      </c>
      <c r="J2435" s="131"/>
      <c r="K2435" s="33" t="s">
        <v>278</v>
      </c>
      <c r="L2435" s="132"/>
      <c r="M2435" s="33" t="s">
        <v>278</v>
      </c>
      <c r="N2435" s="132"/>
      <c r="O2435" s="33" t="s">
        <v>278</v>
      </c>
      <c r="P2435" s="132"/>
      <c r="Q2435" s="33" t="s">
        <v>587</v>
      </c>
      <c r="R2435" s="132"/>
      <c r="S2435" s="33" t="s">
        <v>278</v>
      </c>
      <c r="T2435" s="132"/>
      <c r="U2435" s="33" t="s">
        <v>278</v>
      </c>
      <c r="V2435" s="132"/>
      <c r="W2435" s="59" t="s">
        <v>548</v>
      </c>
      <c r="X2435" s="33" t="str">
        <f>+VLOOKUP(OtherClients[[#This Row],[Part]],PartControl!$A$2:$E$564,5,FALSE)</f>
        <v>infasco</v>
      </c>
      <c r="Y2435" s="108">
        <f>IF(OtherClients[[#This Row],[Re-certified or New]]&lt;&gt;"Re-certified",IF(OtherClients[[#This Row],[Client]]="infasco",VLOOKUP(OtherClients[[#This Row],[Part]],PartControl!$A$2:$E$564,2,FALSE),OtherClients[[#This Row],[Total Quantity]]*VLOOKUP(OtherClients[[#This Row],[Part]],PartControl!$A$2:$E$564,2,FALSE)),0)</f>
        <v>106.94</v>
      </c>
      <c r="Z2435" s="108">
        <f>IF(OtherClients[[#This Row],[Re-certified or New]]&lt;&gt;"Re-certified",IF(OtherClients[[#This Row],[Client]]="infasco",VLOOKUP(OtherClients[[#This Row],[Part]],PartControl!$A$2:$E$564,2,FALSE),OtherClients[[#This Row],[Total Quantity]]*VLOOKUP(OtherClients[[#This Row],[Part]],PartControl!$A$2:$E$564,2,FALSE)),0)</f>
        <v>106.94</v>
      </c>
    </row>
    <row r="2436" spans="1:26" ht="25.15" hidden="1" customHeight="1" x14ac:dyDescent="0.25">
      <c r="A2436" s="112">
        <v>46268.708668981482</v>
      </c>
      <c r="B2436" s="5" t="s">
        <v>251</v>
      </c>
      <c r="C2436" s="5" t="s">
        <v>645</v>
      </c>
      <c r="D2436" s="5">
        <v>717916</v>
      </c>
      <c r="E2436" s="33">
        <v>5</v>
      </c>
      <c r="F2436" s="60">
        <v>1000</v>
      </c>
      <c r="G2436" s="60">
        <f>+OtherClients[[#This Row],[Boxes / Pieces]]*OtherClients[[#This Row],[Unit Quantity]]</f>
        <v>5000</v>
      </c>
      <c r="H2436" s="60">
        <v>292</v>
      </c>
      <c r="I2436" s="130" t="s">
        <v>278</v>
      </c>
      <c r="J2436" s="131"/>
      <c r="K2436" s="33" t="s">
        <v>278</v>
      </c>
      <c r="L2436" s="132"/>
      <c r="M2436" s="33" t="s">
        <v>278</v>
      </c>
      <c r="N2436" s="132"/>
      <c r="O2436" s="33" t="s">
        <v>278</v>
      </c>
      <c r="P2436" s="132"/>
      <c r="Q2436" s="33" t="s">
        <v>587</v>
      </c>
      <c r="R2436" s="132"/>
      <c r="S2436" s="33" t="s">
        <v>278</v>
      </c>
      <c r="T2436" s="132"/>
      <c r="U2436" s="33" t="s">
        <v>278</v>
      </c>
      <c r="V2436" s="132"/>
      <c r="W2436" s="59" t="s">
        <v>633</v>
      </c>
      <c r="X2436" s="33" t="str">
        <f>+VLOOKUP(OtherClients[[#This Row],[Part]],PartControl!$A$2:$E$564,5,FALSE)</f>
        <v>infasco</v>
      </c>
      <c r="Y2436" s="108">
        <f>IF(OtherClients[[#This Row],[Re-certified or New]]&lt;&gt;"Re-certified",IF(OtherClients[[#This Row],[Client]]="infasco",VLOOKUP(OtherClients[[#This Row],[Part]],PartControl!$A$2:$E$564,2,FALSE),OtherClients[[#This Row],[Total Quantity]]*VLOOKUP(OtherClients[[#This Row],[Part]],PartControl!$A$2:$E$564,2,FALSE)),0)</f>
        <v>0</v>
      </c>
      <c r="Z2436" s="108">
        <f>IF(OtherClients[[#This Row],[Re-certified or New]]&lt;&gt;"Re-certified",IF(OtherClients[[#This Row],[Client]]="infasco",VLOOKUP(OtherClients[[#This Row],[Part]],PartControl!$A$2:$E$564,2,FALSE),OtherClients[[#This Row],[Total Quantity]]*VLOOKUP(OtherClients[[#This Row],[Part]],PartControl!$A$2:$E$564,2,FALSE)),0)</f>
        <v>0</v>
      </c>
    </row>
    <row r="2437" spans="1:26" ht="25.15" hidden="1" customHeight="1" x14ac:dyDescent="0.25">
      <c r="A2437" s="112">
        <v>46268.708668981482</v>
      </c>
      <c r="B2437" s="5" t="s">
        <v>236</v>
      </c>
      <c r="C2437" s="5">
        <v>11546389</v>
      </c>
      <c r="D2437" s="5">
        <v>717702</v>
      </c>
      <c r="E2437" s="33">
        <f>26-19</f>
        <v>7</v>
      </c>
      <c r="F2437" s="60">
        <v>4500</v>
      </c>
      <c r="G2437" s="60">
        <f>+OtherClients[[#This Row],[Boxes / Pieces]]*OtherClients[[#This Row],[Unit Quantity]]</f>
        <v>31500</v>
      </c>
      <c r="H2437" s="60">
        <v>290</v>
      </c>
      <c r="I2437" s="130" t="s">
        <v>278</v>
      </c>
      <c r="J2437" s="131"/>
      <c r="K2437" s="33" t="s">
        <v>278</v>
      </c>
      <c r="L2437" s="132"/>
      <c r="M2437" s="33" t="s">
        <v>278</v>
      </c>
      <c r="N2437" s="132"/>
      <c r="O2437" s="33" t="s">
        <v>278</v>
      </c>
      <c r="P2437" s="132"/>
      <c r="Q2437" s="33" t="s">
        <v>587</v>
      </c>
      <c r="R2437" s="132"/>
      <c r="S2437" s="33" t="s">
        <v>278</v>
      </c>
      <c r="T2437" s="132"/>
      <c r="U2437" s="33" t="s">
        <v>278</v>
      </c>
      <c r="V2437" s="132"/>
      <c r="W2437" s="59" t="s">
        <v>548</v>
      </c>
      <c r="X2437" s="33" t="str">
        <f>+VLOOKUP(OtherClients[[#This Row],[Part]],PartControl!$A$2:$E$564,5,FALSE)</f>
        <v>INFASCO</v>
      </c>
      <c r="Y2437" s="108">
        <f>IF(OtherClients[[#This Row],[Re-certified or New]]&lt;&gt;"Re-certified",IF(OtherClients[[#This Row],[Client]]="infasco",VLOOKUP(OtherClients[[#This Row],[Part]],PartControl!$A$2:$E$564,2,FALSE),OtherClients[[#This Row],[Total Quantity]]*VLOOKUP(OtherClients[[#This Row],[Part]],PartControl!$A$2:$E$564,2,FALSE)),0)</f>
        <v>106.94</v>
      </c>
      <c r="Z2437" s="108">
        <f>IF(OtherClients[[#This Row],[Re-certified or New]]&lt;&gt;"Re-certified",IF(OtherClients[[#This Row],[Client]]="infasco",VLOOKUP(OtherClients[[#This Row],[Part]],PartControl!$A$2:$E$564,2,FALSE),OtherClients[[#This Row],[Total Quantity]]*VLOOKUP(OtherClients[[#This Row],[Part]],PartControl!$A$2:$E$564,2,FALSE)),0)</f>
        <v>106.94</v>
      </c>
    </row>
    <row r="2438" spans="1:26" ht="25.15" hidden="1" customHeight="1" x14ac:dyDescent="0.25">
      <c r="A2438" s="112">
        <v>46268.708668981482</v>
      </c>
      <c r="B2438" s="5" t="s">
        <v>236</v>
      </c>
      <c r="C2438" s="5" t="s">
        <v>721</v>
      </c>
      <c r="D2438" s="5">
        <v>717651</v>
      </c>
      <c r="E2438" s="33">
        <v>3</v>
      </c>
      <c r="F2438" s="60">
        <v>4500</v>
      </c>
      <c r="G2438" s="60">
        <f>+OtherClients[[#This Row],[Boxes / Pieces]]*OtherClients[[#This Row],[Unit Quantity]]</f>
        <v>13500</v>
      </c>
      <c r="H2438" s="60">
        <v>290</v>
      </c>
      <c r="I2438" s="130" t="s">
        <v>278</v>
      </c>
      <c r="J2438" s="131"/>
      <c r="K2438" s="33" t="s">
        <v>278</v>
      </c>
      <c r="L2438" s="132"/>
      <c r="M2438" s="33" t="s">
        <v>278</v>
      </c>
      <c r="N2438" s="132"/>
      <c r="O2438" s="33" t="s">
        <v>278</v>
      </c>
      <c r="P2438" s="132"/>
      <c r="Q2438" s="33" t="s">
        <v>587</v>
      </c>
      <c r="R2438" s="132"/>
      <c r="S2438" s="33" t="s">
        <v>278</v>
      </c>
      <c r="T2438" s="132"/>
      <c r="U2438" s="33" t="s">
        <v>278</v>
      </c>
      <c r="V2438" s="132"/>
      <c r="W2438" s="59" t="s">
        <v>548</v>
      </c>
      <c r="X2438" s="33" t="str">
        <f>+VLOOKUP(OtherClients[[#This Row],[Part]],PartControl!$A$2:$E$564,5,FALSE)</f>
        <v>Infasco</v>
      </c>
      <c r="Y2438" s="108">
        <f>IF(OtherClients[[#This Row],[Re-certified or New]]&lt;&gt;"Re-certified",IF(OtherClients[[#This Row],[Client]]="infasco",VLOOKUP(OtherClients[[#This Row],[Part]],PartControl!$A$2:$E$564,2,FALSE),OtherClients[[#This Row],[Total Quantity]]*VLOOKUP(OtherClients[[#This Row],[Part]],PartControl!$A$2:$E$564,2,FALSE)),0)</f>
        <v>106.94</v>
      </c>
      <c r="Z2438" s="108">
        <f>IF(OtherClients[[#This Row],[Re-certified or New]]&lt;&gt;"Re-certified",IF(OtherClients[[#This Row],[Client]]="infasco",VLOOKUP(OtherClients[[#This Row],[Part]],PartControl!$A$2:$E$564,2,FALSE),OtherClients[[#This Row],[Total Quantity]]*VLOOKUP(OtherClients[[#This Row],[Part]],PartControl!$A$2:$E$564,2,FALSE)),0)</f>
        <v>106.94</v>
      </c>
    </row>
    <row r="2439" spans="1:26" ht="25.15" hidden="1" customHeight="1" x14ac:dyDescent="0.25">
      <c r="A2439" s="112">
        <v>46268.708668981482</v>
      </c>
      <c r="B2439" s="5" t="s">
        <v>236</v>
      </c>
      <c r="C2439" s="5" t="s">
        <v>848</v>
      </c>
      <c r="D2439" s="5">
        <v>717766</v>
      </c>
      <c r="E2439" s="33">
        <v>5</v>
      </c>
      <c r="F2439" s="60">
        <v>3200</v>
      </c>
      <c r="G2439" s="60">
        <f>+OtherClients[[#This Row],[Boxes / Pieces]]*OtherClients[[#This Row],[Unit Quantity]]</f>
        <v>16000</v>
      </c>
      <c r="H2439" s="60">
        <v>290</v>
      </c>
      <c r="I2439" s="130" t="s">
        <v>278</v>
      </c>
      <c r="J2439" s="131"/>
      <c r="K2439" s="33" t="s">
        <v>278</v>
      </c>
      <c r="L2439" s="132"/>
      <c r="M2439" s="33" t="s">
        <v>278</v>
      </c>
      <c r="N2439" s="132"/>
      <c r="O2439" s="33" t="s">
        <v>278</v>
      </c>
      <c r="P2439" s="132"/>
      <c r="Q2439" s="33" t="s">
        <v>587</v>
      </c>
      <c r="R2439" s="132"/>
      <c r="S2439" s="33" t="s">
        <v>278</v>
      </c>
      <c r="T2439" s="132"/>
      <c r="U2439" s="33" t="s">
        <v>278</v>
      </c>
      <c r="V2439" s="132"/>
      <c r="W2439" s="59" t="s">
        <v>633</v>
      </c>
      <c r="X2439" s="33" t="str">
        <f>+VLOOKUP(OtherClients[[#This Row],[Part]],PartControl!$A$2:$E$564,5,FALSE)</f>
        <v>infasco</v>
      </c>
      <c r="Y2439" s="108">
        <f>IF(OtherClients[[#This Row],[Re-certified or New]]&lt;&gt;"Re-certified",IF(OtherClients[[#This Row],[Client]]="infasco",VLOOKUP(OtherClients[[#This Row],[Part]],PartControl!$A$2:$E$564,2,FALSE),OtherClients[[#This Row],[Total Quantity]]*VLOOKUP(OtherClients[[#This Row],[Part]],PartControl!$A$2:$E$564,2,FALSE)),0)</f>
        <v>0</v>
      </c>
      <c r="Z2439" s="108">
        <f>IF(OtherClients[[#This Row],[Re-certified or New]]&lt;&gt;"Re-certified",IF(OtherClients[[#This Row],[Client]]="infasco",VLOOKUP(OtherClients[[#This Row],[Part]],PartControl!$A$2:$E$564,2,FALSE),OtherClients[[#This Row],[Total Quantity]]*VLOOKUP(OtherClients[[#This Row],[Part]],PartControl!$A$2:$E$564,2,FALSE)),0)</f>
        <v>0</v>
      </c>
    </row>
    <row r="2440" spans="1:26" ht="25.15" hidden="1" customHeight="1" x14ac:dyDescent="0.25">
      <c r="A2440" s="112">
        <v>46268.708668981482</v>
      </c>
      <c r="B2440" s="5" t="s">
        <v>239</v>
      </c>
      <c r="C2440" s="5" t="s">
        <v>687</v>
      </c>
      <c r="D2440" s="5">
        <v>717207</v>
      </c>
      <c r="E2440" s="33">
        <v>37</v>
      </c>
      <c r="F2440" s="60">
        <v>280</v>
      </c>
      <c r="G2440" s="60">
        <f>+OtherClients[[#This Row],[Boxes / Pieces]]*OtherClients[[#This Row],[Unit Quantity]]</f>
        <v>10360</v>
      </c>
      <c r="H2440" s="60">
        <v>290</v>
      </c>
      <c r="I2440" s="130" t="s">
        <v>278</v>
      </c>
      <c r="J2440" s="131"/>
      <c r="K2440" s="33" t="s">
        <v>278</v>
      </c>
      <c r="L2440" s="132"/>
      <c r="M2440" s="33" t="s">
        <v>278</v>
      </c>
      <c r="N2440" s="132"/>
      <c r="O2440" s="33" t="s">
        <v>278</v>
      </c>
      <c r="P2440" s="132"/>
      <c r="Q2440" s="33" t="s">
        <v>587</v>
      </c>
      <c r="R2440" s="132"/>
      <c r="S2440" s="33" t="s">
        <v>278</v>
      </c>
      <c r="T2440" s="132"/>
      <c r="U2440" s="33" t="s">
        <v>278</v>
      </c>
      <c r="V2440" s="132"/>
      <c r="W2440" s="59" t="s">
        <v>548</v>
      </c>
      <c r="X2440" s="33" t="str">
        <f>+VLOOKUP(OtherClients[[#This Row],[Part]],PartControl!$A$2:$E$564,5,FALSE)</f>
        <v>infasco</v>
      </c>
      <c r="Y2440" s="108">
        <f>IF(OtherClients[[#This Row],[Re-certified or New]]&lt;&gt;"Re-certified",IF(OtherClients[[#This Row],[Client]]="infasco",VLOOKUP(OtherClients[[#This Row],[Part]],PartControl!$A$2:$E$564,2,FALSE),OtherClients[[#This Row],[Total Quantity]]*VLOOKUP(OtherClients[[#This Row],[Part]],PartControl!$A$2:$E$564,2,FALSE)),0)</f>
        <v>106.94</v>
      </c>
      <c r="Z2440" s="108">
        <f>IF(OtherClients[[#This Row],[Re-certified or New]]&lt;&gt;"Re-certified",IF(OtherClients[[#This Row],[Client]]="infasco",VLOOKUP(OtherClients[[#This Row],[Part]],PartControl!$A$2:$E$564,2,FALSE),OtherClients[[#This Row],[Total Quantity]]*VLOOKUP(OtherClients[[#This Row],[Part]],PartControl!$A$2:$E$564,2,FALSE)),0)</f>
        <v>106.94</v>
      </c>
    </row>
    <row r="2441" spans="1:26" ht="25.15" hidden="1" customHeight="1" x14ac:dyDescent="0.25">
      <c r="A2441" s="112">
        <v>46268.708668981482</v>
      </c>
      <c r="B2441" s="5" t="s">
        <v>239</v>
      </c>
      <c r="C2441" s="5" t="s">
        <v>687</v>
      </c>
      <c r="D2441" s="5">
        <v>717181</v>
      </c>
      <c r="E2441" s="33">
        <v>28</v>
      </c>
      <c r="F2441" s="60">
        <v>280</v>
      </c>
      <c r="G2441" s="60">
        <f>+OtherClients[[#This Row],[Boxes / Pieces]]*OtherClients[[#This Row],[Unit Quantity]]</f>
        <v>7840</v>
      </c>
      <c r="H2441" s="60">
        <v>290</v>
      </c>
      <c r="I2441" s="130" t="s">
        <v>278</v>
      </c>
      <c r="J2441" s="131"/>
      <c r="K2441" s="33" t="s">
        <v>278</v>
      </c>
      <c r="L2441" s="132"/>
      <c r="M2441" s="33" t="s">
        <v>278</v>
      </c>
      <c r="N2441" s="132"/>
      <c r="O2441" s="33" t="s">
        <v>278</v>
      </c>
      <c r="P2441" s="132"/>
      <c r="Q2441" s="33" t="s">
        <v>587</v>
      </c>
      <c r="R2441" s="132"/>
      <c r="S2441" s="33" t="s">
        <v>278</v>
      </c>
      <c r="T2441" s="132"/>
      <c r="U2441" s="33" t="s">
        <v>278</v>
      </c>
      <c r="V2441" s="132"/>
      <c r="W2441" s="59" t="s">
        <v>548</v>
      </c>
      <c r="X2441" s="33" t="str">
        <f>+VLOOKUP(OtherClients[[#This Row],[Part]],PartControl!$A$2:$E$564,5,FALSE)</f>
        <v>infasco</v>
      </c>
      <c r="Y2441" s="108">
        <f>IF(OtherClients[[#This Row],[Re-certified or New]]&lt;&gt;"Re-certified",IF(OtherClients[[#This Row],[Client]]="infasco",VLOOKUP(OtherClients[[#This Row],[Part]],PartControl!$A$2:$E$564,2,FALSE),OtherClients[[#This Row],[Total Quantity]]*VLOOKUP(OtherClients[[#This Row],[Part]],PartControl!$A$2:$E$564,2,FALSE)),0)</f>
        <v>106.94</v>
      </c>
      <c r="Z2441" s="108">
        <f>IF(OtherClients[[#This Row],[Re-certified or New]]&lt;&gt;"Re-certified",IF(OtherClients[[#This Row],[Client]]="infasco",VLOOKUP(OtherClients[[#This Row],[Part]],PartControl!$A$2:$E$564,2,FALSE),OtherClients[[#This Row],[Total Quantity]]*VLOOKUP(OtherClients[[#This Row],[Part]],PartControl!$A$2:$E$564,2,FALSE)),0)</f>
        <v>106.94</v>
      </c>
    </row>
    <row r="2442" spans="1:26" ht="25.15" hidden="1" customHeight="1" x14ac:dyDescent="0.25">
      <c r="A2442" s="112">
        <v>46268.708668981482</v>
      </c>
      <c r="B2442" s="5" t="s">
        <v>239</v>
      </c>
      <c r="C2442" s="5" t="s">
        <v>705</v>
      </c>
      <c r="D2442" s="5">
        <v>716357</v>
      </c>
      <c r="E2442" s="33">
        <v>36</v>
      </c>
      <c r="F2442" s="60">
        <v>450</v>
      </c>
      <c r="G2442" s="60">
        <f>+OtherClients[[#This Row],[Boxes / Pieces]]*OtherClients[[#This Row],[Unit Quantity]]</f>
        <v>16200</v>
      </c>
      <c r="H2442" s="60">
        <v>290</v>
      </c>
      <c r="I2442" s="130" t="s">
        <v>278</v>
      </c>
      <c r="J2442" s="131"/>
      <c r="K2442" s="33" t="s">
        <v>278</v>
      </c>
      <c r="L2442" s="132"/>
      <c r="M2442" s="33" t="s">
        <v>278</v>
      </c>
      <c r="N2442" s="132"/>
      <c r="O2442" s="33" t="s">
        <v>278</v>
      </c>
      <c r="P2442" s="132"/>
      <c r="Q2442" s="33" t="s">
        <v>587</v>
      </c>
      <c r="R2442" s="132"/>
      <c r="S2442" s="33" t="s">
        <v>278</v>
      </c>
      <c r="T2442" s="132"/>
      <c r="U2442" s="33" t="s">
        <v>278</v>
      </c>
      <c r="V2442" s="132"/>
      <c r="W2442" s="59" t="s">
        <v>548</v>
      </c>
      <c r="X2442" s="33" t="str">
        <f>+VLOOKUP(OtherClients[[#This Row],[Part]],PartControl!$A$2:$E$564,5,FALSE)</f>
        <v>infasco</v>
      </c>
      <c r="Y2442" s="108">
        <f>IF(OtherClients[[#This Row],[Re-certified or New]]&lt;&gt;"Re-certified",IF(OtherClients[[#This Row],[Client]]="infasco",VLOOKUP(OtherClients[[#This Row],[Part]],PartControl!$A$2:$E$564,2,FALSE),OtherClients[[#This Row],[Total Quantity]]*VLOOKUP(OtherClients[[#This Row],[Part]],PartControl!$A$2:$E$564,2,FALSE)),0)</f>
        <v>106.94</v>
      </c>
      <c r="Z2442" s="108">
        <f>IF(OtherClients[[#This Row],[Re-certified or New]]&lt;&gt;"Re-certified",IF(OtherClients[[#This Row],[Client]]="infasco",VLOOKUP(OtherClients[[#This Row],[Part]],PartControl!$A$2:$E$564,2,FALSE),OtherClients[[#This Row],[Total Quantity]]*VLOOKUP(OtherClients[[#This Row],[Part]],PartControl!$A$2:$E$564,2,FALSE)),0)</f>
        <v>106.94</v>
      </c>
    </row>
    <row r="2443" spans="1:26" ht="25.15" hidden="1" customHeight="1" x14ac:dyDescent="0.25">
      <c r="A2443" s="112">
        <v>46268.708668981482</v>
      </c>
      <c r="B2443" s="5" t="s">
        <v>239</v>
      </c>
      <c r="C2443" s="5" t="s">
        <v>705</v>
      </c>
      <c r="D2443" s="5">
        <v>716360</v>
      </c>
      <c r="E2443" s="33">
        <v>5</v>
      </c>
      <c r="F2443" s="60">
        <v>450</v>
      </c>
      <c r="G2443" s="60">
        <f>+OtherClients[[#This Row],[Boxes / Pieces]]*OtherClients[[#This Row],[Unit Quantity]]</f>
        <v>2250</v>
      </c>
      <c r="H2443" s="60">
        <v>290</v>
      </c>
      <c r="I2443" s="130" t="s">
        <v>278</v>
      </c>
      <c r="J2443" s="131"/>
      <c r="K2443" s="33" t="s">
        <v>278</v>
      </c>
      <c r="L2443" s="132"/>
      <c r="M2443" s="33" t="s">
        <v>278</v>
      </c>
      <c r="N2443" s="132"/>
      <c r="O2443" s="33" t="s">
        <v>278</v>
      </c>
      <c r="P2443" s="132"/>
      <c r="Q2443" s="33" t="s">
        <v>587</v>
      </c>
      <c r="R2443" s="132"/>
      <c r="S2443" s="33" t="s">
        <v>278</v>
      </c>
      <c r="T2443" s="132"/>
      <c r="U2443" s="33" t="s">
        <v>278</v>
      </c>
      <c r="V2443" s="132"/>
      <c r="W2443" s="59" t="s">
        <v>633</v>
      </c>
      <c r="X2443" s="33" t="str">
        <f>+VLOOKUP(OtherClients[[#This Row],[Part]],PartControl!$A$2:$E$564,5,FALSE)</f>
        <v>infasco</v>
      </c>
      <c r="Y2443" s="108">
        <f>IF(OtherClients[[#This Row],[Re-certified or New]]&lt;&gt;"Re-certified",IF(OtherClients[[#This Row],[Client]]="infasco",VLOOKUP(OtherClients[[#This Row],[Part]],PartControl!$A$2:$E$564,2,FALSE),OtherClients[[#This Row],[Total Quantity]]*VLOOKUP(OtherClients[[#This Row],[Part]],PartControl!$A$2:$E$564,2,FALSE)),0)</f>
        <v>0</v>
      </c>
      <c r="Z2443" s="108">
        <f>IF(OtherClients[[#This Row],[Re-certified or New]]&lt;&gt;"Re-certified",IF(OtherClients[[#This Row],[Client]]="infasco",VLOOKUP(OtherClients[[#This Row],[Part]],PartControl!$A$2:$E$564,2,FALSE),OtherClients[[#This Row],[Total Quantity]]*VLOOKUP(OtherClients[[#This Row],[Part]],PartControl!$A$2:$E$564,2,FALSE)),0)</f>
        <v>0</v>
      </c>
    </row>
    <row r="2444" spans="1:26" ht="25.15" hidden="1" customHeight="1" x14ac:dyDescent="0.25">
      <c r="A2444" s="112">
        <v>46268.708668981482</v>
      </c>
      <c r="B2444" s="5" t="s">
        <v>235</v>
      </c>
      <c r="C2444" s="5">
        <v>11546571</v>
      </c>
      <c r="D2444" s="5">
        <v>717161</v>
      </c>
      <c r="E2444" s="33">
        <f>10-5</f>
        <v>5</v>
      </c>
      <c r="F2444" s="60">
        <v>1550</v>
      </c>
      <c r="G2444" s="60">
        <f>+OtherClients[[#This Row],[Boxes / Pieces]]*OtherClients[[#This Row],[Unit Quantity]]</f>
        <v>7750</v>
      </c>
      <c r="H2444" s="60">
        <v>290</v>
      </c>
      <c r="I2444" s="130" t="s">
        <v>278</v>
      </c>
      <c r="J2444" s="131"/>
      <c r="K2444" s="33" t="s">
        <v>278</v>
      </c>
      <c r="L2444" s="132"/>
      <c r="M2444" s="33" t="s">
        <v>278</v>
      </c>
      <c r="N2444" s="132"/>
      <c r="O2444" s="33" t="s">
        <v>278</v>
      </c>
      <c r="P2444" s="132"/>
      <c r="Q2444" s="33" t="s">
        <v>587</v>
      </c>
      <c r="R2444" s="132"/>
      <c r="S2444" s="33" t="s">
        <v>278</v>
      </c>
      <c r="T2444" s="132"/>
      <c r="U2444" s="33" t="s">
        <v>278</v>
      </c>
      <c r="V2444" s="132"/>
      <c r="W2444" s="59" t="s">
        <v>633</v>
      </c>
      <c r="X2444" s="33" t="str">
        <f>+VLOOKUP(OtherClients[[#This Row],[Part]],PartControl!$A$2:$E$564,5,FALSE)</f>
        <v>infasco</v>
      </c>
      <c r="Y2444" s="108">
        <f>IF(OtherClients[[#This Row],[Re-certified or New]]&lt;&gt;"Re-certified",IF(OtherClients[[#This Row],[Client]]="infasco",VLOOKUP(OtherClients[[#This Row],[Part]],PartControl!$A$2:$E$564,2,FALSE),OtherClients[[#This Row],[Total Quantity]]*VLOOKUP(OtherClients[[#This Row],[Part]],PartControl!$A$2:$E$564,2,FALSE)),0)</f>
        <v>0</v>
      </c>
      <c r="Z2444" s="108">
        <f>IF(OtherClients[[#This Row],[Re-certified or New]]&lt;&gt;"Re-certified",IF(OtherClients[[#This Row],[Client]]="infasco",VLOOKUP(OtherClients[[#This Row],[Part]],PartControl!$A$2:$E$564,2,FALSE),OtherClients[[#This Row],[Total Quantity]]*VLOOKUP(OtherClients[[#This Row],[Part]],PartControl!$A$2:$E$564,2,FALSE)),0)</f>
        <v>0</v>
      </c>
    </row>
    <row r="2445" spans="1:26" ht="25.15" hidden="1" customHeight="1" x14ac:dyDescent="0.25">
      <c r="A2445" s="112">
        <v>46268.708668981482</v>
      </c>
      <c r="B2445" s="5" t="s">
        <v>240</v>
      </c>
      <c r="C2445" s="5" t="s">
        <v>645</v>
      </c>
      <c r="D2445" s="5">
        <v>717914</v>
      </c>
      <c r="E2445" s="33">
        <f>40-18</f>
        <v>22</v>
      </c>
      <c r="F2445" s="60">
        <v>1000</v>
      </c>
      <c r="G2445" s="60">
        <f>+OtherClients[[#This Row],[Boxes / Pieces]]*OtherClients[[#This Row],[Unit Quantity]]</f>
        <v>22000</v>
      </c>
      <c r="H2445" s="60">
        <v>290</v>
      </c>
      <c r="I2445" s="130" t="s">
        <v>278</v>
      </c>
      <c r="J2445" s="131"/>
      <c r="K2445" s="33" t="s">
        <v>278</v>
      </c>
      <c r="L2445" s="132"/>
      <c r="M2445" s="33" t="s">
        <v>278</v>
      </c>
      <c r="N2445" s="132"/>
      <c r="O2445" s="33" t="s">
        <v>278</v>
      </c>
      <c r="P2445" s="132"/>
      <c r="Q2445" s="33" t="s">
        <v>587</v>
      </c>
      <c r="R2445" s="132"/>
      <c r="S2445" s="33" t="s">
        <v>278</v>
      </c>
      <c r="T2445" s="132"/>
      <c r="U2445" s="33" t="s">
        <v>278</v>
      </c>
      <c r="V2445" s="132"/>
      <c r="W2445" s="59" t="s">
        <v>548</v>
      </c>
      <c r="X2445" s="33" t="str">
        <f>+VLOOKUP(OtherClients[[#This Row],[Part]],PartControl!$A$2:$E$564,5,FALSE)</f>
        <v>infasco</v>
      </c>
      <c r="Y2445" s="108">
        <f>IF(OtherClients[[#This Row],[Re-certified or New]]&lt;&gt;"Re-certified",IF(OtherClients[[#This Row],[Client]]="infasco",VLOOKUP(OtherClients[[#This Row],[Part]],PartControl!$A$2:$E$564,2,FALSE),OtherClients[[#This Row],[Total Quantity]]*VLOOKUP(OtherClients[[#This Row],[Part]],PartControl!$A$2:$E$564,2,FALSE)),0)</f>
        <v>106.94</v>
      </c>
      <c r="Z2445" s="108">
        <f>IF(OtherClients[[#This Row],[Re-certified or New]]&lt;&gt;"Re-certified",IF(OtherClients[[#This Row],[Client]]="infasco",VLOOKUP(OtherClients[[#This Row],[Part]],PartControl!$A$2:$E$564,2,FALSE),OtherClients[[#This Row],[Total Quantity]]*VLOOKUP(OtherClients[[#This Row],[Part]],PartControl!$A$2:$E$564,2,FALSE)),0)</f>
        <v>106.94</v>
      </c>
    </row>
    <row r="2446" spans="1:26" ht="25.15" hidden="1" customHeight="1" x14ac:dyDescent="0.25">
      <c r="A2446" s="112">
        <v>46268.708668981482</v>
      </c>
      <c r="B2446" s="5" t="s">
        <v>240</v>
      </c>
      <c r="C2446" s="5" t="s">
        <v>645</v>
      </c>
      <c r="D2446" s="5">
        <v>717395</v>
      </c>
      <c r="E2446" s="33">
        <v>36</v>
      </c>
      <c r="F2446" s="60">
        <v>1000</v>
      </c>
      <c r="G2446" s="60">
        <f>+OtherClients[[#This Row],[Boxes / Pieces]]*OtherClients[[#This Row],[Unit Quantity]]</f>
        <v>36000</v>
      </c>
      <c r="H2446" s="60">
        <v>290</v>
      </c>
      <c r="I2446" s="130" t="s">
        <v>278</v>
      </c>
      <c r="J2446" s="131"/>
      <c r="K2446" s="33" t="s">
        <v>278</v>
      </c>
      <c r="L2446" s="132"/>
      <c r="M2446" s="33" t="s">
        <v>278</v>
      </c>
      <c r="N2446" s="132"/>
      <c r="O2446" s="33" t="s">
        <v>278</v>
      </c>
      <c r="P2446" s="132"/>
      <c r="Q2446" s="33" t="s">
        <v>587</v>
      </c>
      <c r="R2446" s="132"/>
      <c r="S2446" s="33" t="s">
        <v>278</v>
      </c>
      <c r="T2446" s="132"/>
      <c r="U2446" s="33" t="s">
        <v>278</v>
      </c>
      <c r="V2446" s="132"/>
      <c r="W2446" s="59" t="s">
        <v>548</v>
      </c>
      <c r="X2446" s="33" t="str">
        <f>+VLOOKUP(OtherClients[[#This Row],[Part]],PartControl!$A$2:$E$564,5,FALSE)</f>
        <v>infasco</v>
      </c>
      <c r="Y2446" s="108">
        <f>IF(OtherClients[[#This Row],[Re-certified or New]]&lt;&gt;"Re-certified",IF(OtherClients[[#This Row],[Client]]="infasco",VLOOKUP(OtherClients[[#This Row],[Part]],PartControl!$A$2:$E$564,2,FALSE),OtherClients[[#This Row],[Total Quantity]]*VLOOKUP(OtherClients[[#This Row],[Part]],PartControl!$A$2:$E$564,2,FALSE)),0)</f>
        <v>106.94</v>
      </c>
      <c r="Z2446" s="108">
        <f>IF(OtherClients[[#This Row],[Re-certified or New]]&lt;&gt;"Re-certified",IF(OtherClients[[#This Row],[Client]]="infasco",VLOOKUP(OtherClients[[#This Row],[Part]],PartControl!$A$2:$E$564,2,FALSE),OtherClients[[#This Row],[Total Quantity]]*VLOOKUP(OtherClients[[#This Row],[Part]],PartControl!$A$2:$E$564,2,FALSE)),0)</f>
        <v>106.94</v>
      </c>
    </row>
    <row r="2447" spans="1:26" ht="25.15" hidden="1" customHeight="1" x14ac:dyDescent="0.25">
      <c r="A2447" s="112">
        <v>46268.708668981482</v>
      </c>
      <c r="B2447" s="5" t="s">
        <v>240</v>
      </c>
      <c r="C2447" s="5" t="s">
        <v>645</v>
      </c>
      <c r="D2447" s="5">
        <v>717404</v>
      </c>
      <c r="E2447" s="33">
        <v>34</v>
      </c>
      <c r="F2447" s="60">
        <v>1000</v>
      </c>
      <c r="G2447" s="60">
        <f>+OtherClients[[#This Row],[Boxes / Pieces]]*OtherClients[[#This Row],[Unit Quantity]]</f>
        <v>34000</v>
      </c>
      <c r="H2447" s="60">
        <v>290</v>
      </c>
      <c r="I2447" s="130" t="s">
        <v>278</v>
      </c>
      <c r="J2447" s="131"/>
      <c r="K2447" s="33" t="s">
        <v>278</v>
      </c>
      <c r="L2447" s="132"/>
      <c r="M2447" s="33" t="s">
        <v>278</v>
      </c>
      <c r="N2447" s="132"/>
      <c r="O2447" s="33" t="s">
        <v>278</v>
      </c>
      <c r="P2447" s="132"/>
      <c r="Q2447" s="33" t="s">
        <v>587</v>
      </c>
      <c r="R2447" s="132"/>
      <c r="S2447" s="33" t="s">
        <v>278</v>
      </c>
      <c r="T2447" s="132"/>
      <c r="U2447" s="33" t="s">
        <v>278</v>
      </c>
      <c r="V2447" s="132"/>
      <c r="W2447" s="59" t="s">
        <v>548</v>
      </c>
      <c r="X2447" s="33" t="str">
        <f>+VLOOKUP(OtherClients[[#This Row],[Part]],PartControl!$A$2:$E$564,5,FALSE)</f>
        <v>infasco</v>
      </c>
      <c r="Y2447" s="108">
        <f>IF(OtherClients[[#This Row],[Re-certified or New]]&lt;&gt;"Re-certified",IF(OtherClients[[#This Row],[Client]]="infasco",VLOOKUP(OtherClients[[#This Row],[Part]],PartControl!$A$2:$E$564,2,FALSE),OtherClients[[#This Row],[Total Quantity]]*VLOOKUP(OtherClients[[#This Row],[Part]],PartControl!$A$2:$E$564,2,FALSE)),0)</f>
        <v>106.94</v>
      </c>
      <c r="Z2447" s="108">
        <f>IF(OtherClients[[#This Row],[Re-certified or New]]&lt;&gt;"Re-certified",IF(OtherClients[[#This Row],[Client]]="infasco",VLOOKUP(OtherClients[[#This Row],[Part]],PartControl!$A$2:$E$564,2,FALSE),OtherClients[[#This Row],[Total Quantity]]*VLOOKUP(OtherClients[[#This Row],[Part]],PartControl!$A$2:$E$564,2,FALSE)),0)</f>
        <v>106.94</v>
      </c>
    </row>
    <row r="2448" spans="1:26" ht="25.15" hidden="1" customHeight="1" x14ac:dyDescent="0.25">
      <c r="A2448" s="112">
        <v>46268.708668981482</v>
      </c>
      <c r="B2448" s="5" t="s">
        <v>237</v>
      </c>
      <c r="C2448" s="5" t="s">
        <v>652</v>
      </c>
      <c r="D2448" s="5">
        <v>717854</v>
      </c>
      <c r="E2448" s="33">
        <f>36-15</f>
        <v>21</v>
      </c>
      <c r="F2448" s="60">
        <v>1750</v>
      </c>
      <c r="G2448" s="60">
        <f>+OtherClients[[#This Row],[Boxes / Pieces]]*OtherClients[[#This Row],[Unit Quantity]]</f>
        <v>36750</v>
      </c>
      <c r="H2448" s="60">
        <v>290</v>
      </c>
      <c r="I2448" s="130" t="s">
        <v>278</v>
      </c>
      <c r="J2448" s="131"/>
      <c r="K2448" s="33" t="s">
        <v>278</v>
      </c>
      <c r="L2448" s="132"/>
      <c r="M2448" s="33" t="s">
        <v>278</v>
      </c>
      <c r="N2448" s="132"/>
      <c r="O2448" s="33" t="s">
        <v>278</v>
      </c>
      <c r="P2448" s="132"/>
      <c r="Q2448" s="33" t="s">
        <v>587</v>
      </c>
      <c r="R2448" s="132"/>
      <c r="S2448" s="33" t="s">
        <v>278</v>
      </c>
      <c r="T2448" s="132"/>
      <c r="U2448" s="33" t="s">
        <v>278</v>
      </c>
      <c r="V2448" s="132"/>
      <c r="W2448" s="59" t="s">
        <v>548</v>
      </c>
      <c r="X2448" s="33" t="str">
        <f>+VLOOKUP(OtherClients[[#This Row],[Part]],PartControl!$A$2:$E$564,5,FALSE)</f>
        <v>infasco</v>
      </c>
      <c r="Y2448" s="108">
        <f>IF(OtherClients[[#This Row],[Re-certified or New]]&lt;&gt;"Re-certified",IF(OtherClients[[#This Row],[Client]]="infasco",VLOOKUP(OtherClients[[#This Row],[Part]],PartControl!$A$2:$E$564,2,FALSE),OtherClients[[#This Row],[Total Quantity]]*VLOOKUP(OtherClients[[#This Row],[Part]],PartControl!$A$2:$E$564,2,FALSE)),0)</f>
        <v>106.94</v>
      </c>
      <c r="Z2448" s="108">
        <f>IF(OtherClients[[#This Row],[Re-certified or New]]&lt;&gt;"Re-certified",IF(OtherClients[[#This Row],[Client]]="infasco",VLOOKUP(OtherClients[[#This Row],[Part]],PartControl!$A$2:$E$564,2,FALSE),OtherClients[[#This Row],[Total Quantity]]*VLOOKUP(OtherClients[[#This Row],[Part]],PartControl!$A$2:$E$564,2,FALSE)),0)</f>
        <v>106.94</v>
      </c>
    </row>
    <row r="2449" spans="1:26" ht="25.15" hidden="1" customHeight="1" x14ac:dyDescent="0.25">
      <c r="A2449" s="112">
        <v>46268.708668981482</v>
      </c>
      <c r="B2449" s="5" t="s">
        <v>237</v>
      </c>
      <c r="C2449" s="5" t="s">
        <v>652</v>
      </c>
      <c r="D2449" s="5">
        <v>717855</v>
      </c>
      <c r="E2449" s="33">
        <v>36</v>
      </c>
      <c r="F2449" s="60">
        <v>1750</v>
      </c>
      <c r="G2449" s="60">
        <f>+OtherClients[[#This Row],[Boxes / Pieces]]*OtherClients[[#This Row],[Unit Quantity]]</f>
        <v>63000</v>
      </c>
      <c r="H2449" s="60">
        <v>290</v>
      </c>
      <c r="I2449" s="130" t="s">
        <v>278</v>
      </c>
      <c r="J2449" s="131"/>
      <c r="K2449" s="33" t="s">
        <v>278</v>
      </c>
      <c r="L2449" s="132"/>
      <c r="M2449" s="33" t="s">
        <v>278</v>
      </c>
      <c r="N2449" s="132"/>
      <c r="O2449" s="33" t="s">
        <v>278</v>
      </c>
      <c r="P2449" s="132"/>
      <c r="Q2449" s="33" t="s">
        <v>587</v>
      </c>
      <c r="R2449" s="132"/>
      <c r="S2449" s="33" t="s">
        <v>278</v>
      </c>
      <c r="T2449" s="132"/>
      <c r="U2449" s="33" t="s">
        <v>278</v>
      </c>
      <c r="V2449" s="132"/>
      <c r="W2449" s="59" t="s">
        <v>548</v>
      </c>
      <c r="X2449" s="33" t="str">
        <f>+VLOOKUP(OtherClients[[#This Row],[Part]],PartControl!$A$2:$E$564,5,FALSE)</f>
        <v>infasco</v>
      </c>
      <c r="Y2449" s="108">
        <f>IF(OtherClients[[#This Row],[Re-certified or New]]&lt;&gt;"Re-certified",IF(OtherClients[[#This Row],[Client]]="infasco",VLOOKUP(OtherClients[[#This Row],[Part]],PartControl!$A$2:$E$564,2,FALSE),OtherClients[[#This Row],[Total Quantity]]*VLOOKUP(OtherClients[[#This Row],[Part]],PartControl!$A$2:$E$564,2,FALSE)),0)</f>
        <v>106.94</v>
      </c>
      <c r="Z2449" s="108">
        <f>IF(OtherClients[[#This Row],[Re-certified or New]]&lt;&gt;"Re-certified",IF(OtherClients[[#This Row],[Client]]="infasco",VLOOKUP(OtherClients[[#This Row],[Part]],PartControl!$A$2:$E$564,2,FALSE),OtherClients[[#This Row],[Total Quantity]]*VLOOKUP(OtherClients[[#This Row],[Part]],PartControl!$A$2:$E$564,2,FALSE)),0)</f>
        <v>106.94</v>
      </c>
    </row>
    <row r="2450" spans="1:26" ht="25.15" hidden="1" customHeight="1" x14ac:dyDescent="0.25">
      <c r="A2450" s="112">
        <v>46268.708668981482</v>
      </c>
      <c r="B2450" s="5" t="s">
        <v>237</v>
      </c>
      <c r="C2450" s="5" t="s">
        <v>652</v>
      </c>
      <c r="D2450" s="5">
        <v>717852</v>
      </c>
      <c r="E2450" s="33">
        <v>25</v>
      </c>
      <c r="F2450" s="60">
        <v>1750</v>
      </c>
      <c r="G2450" s="60">
        <f>+OtherClients[[#This Row],[Boxes / Pieces]]*OtherClients[[#This Row],[Unit Quantity]]</f>
        <v>43750</v>
      </c>
      <c r="H2450" s="60">
        <v>290</v>
      </c>
      <c r="I2450" s="130" t="s">
        <v>278</v>
      </c>
      <c r="J2450" s="131"/>
      <c r="K2450" s="33" t="s">
        <v>278</v>
      </c>
      <c r="L2450" s="132"/>
      <c r="M2450" s="33" t="s">
        <v>278</v>
      </c>
      <c r="N2450" s="132"/>
      <c r="O2450" s="33" t="s">
        <v>278</v>
      </c>
      <c r="P2450" s="132"/>
      <c r="Q2450" s="33" t="s">
        <v>587</v>
      </c>
      <c r="R2450" s="132"/>
      <c r="S2450" s="33" t="s">
        <v>278</v>
      </c>
      <c r="T2450" s="132"/>
      <c r="U2450" s="33" t="s">
        <v>278</v>
      </c>
      <c r="V2450" s="132"/>
      <c r="W2450" s="59" t="s">
        <v>633</v>
      </c>
      <c r="X2450" s="33" t="str">
        <f>+VLOOKUP(OtherClients[[#This Row],[Part]],PartControl!$A$2:$E$564,5,FALSE)</f>
        <v>infasco</v>
      </c>
      <c r="Y2450" s="108">
        <f>IF(OtherClients[[#This Row],[Re-certified or New]]&lt;&gt;"Re-certified",IF(OtherClients[[#This Row],[Client]]="infasco",VLOOKUP(OtherClients[[#This Row],[Part]],PartControl!$A$2:$E$564,2,FALSE),OtherClients[[#This Row],[Total Quantity]]*VLOOKUP(OtherClients[[#This Row],[Part]],PartControl!$A$2:$E$564,2,FALSE)),0)</f>
        <v>0</v>
      </c>
      <c r="Z2450" s="108">
        <f>IF(OtherClients[[#This Row],[Re-certified or New]]&lt;&gt;"Re-certified",IF(OtherClients[[#This Row],[Client]]="infasco",VLOOKUP(OtherClients[[#This Row],[Part]],PartControl!$A$2:$E$564,2,FALSE),OtherClients[[#This Row],[Total Quantity]]*VLOOKUP(OtherClients[[#This Row],[Part]],PartControl!$A$2:$E$564,2,FALSE)),0)</f>
        <v>0</v>
      </c>
    </row>
    <row r="2451" spans="1:26" ht="25.15" hidden="1" customHeight="1" x14ac:dyDescent="0.25">
      <c r="A2451" s="112">
        <v>46268.708668981482</v>
      </c>
      <c r="B2451" s="5" t="s">
        <v>250</v>
      </c>
      <c r="C2451" s="5">
        <v>11549170</v>
      </c>
      <c r="D2451" s="5">
        <v>716919</v>
      </c>
      <c r="E2451" s="33">
        <f>36-28</f>
        <v>8</v>
      </c>
      <c r="F2451" s="60">
        <v>400</v>
      </c>
      <c r="G2451" s="60">
        <f>+OtherClients[[#This Row],[Boxes / Pieces]]*OtherClients[[#This Row],[Unit Quantity]]</f>
        <v>3200</v>
      </c>
      <c r="H2451" s="60">
        <v>290</v>
      </c>
      <c r="I2451" s="130" t="s">
        <v>278</v>
      </c>
      <c r="J2451" s="131"/>
      <c r="K2451" s="33" t="s">
        <v>278</v>
      </c>
      <c r="L2451" s="132"/>
      <c r="M2451" s="33" t="s">
        <v>278</v>
      </c>
      <c r="N2451" s="132"/>
      <c r="O2451" s="33" t="s">
        <v>278</v>
      </c>
      <c r="P2451" s="132"/>
      <c r="Q2451" s="33" t="s">
        <v>587</v>
      </c>
      <c r="R2451" s="132"/>
      <c r="S2451" s="33" t="s">
        <v>278</v>
      </c>
      <c r="T2451" s="132"/>
      <c r="U2451" s="33" t="s">
        <v>278</v>
      </c>
      <c r="V2451" s="132"/>
      <c r="W2451" s="59" t="s">
        <v>548</v>
      </c>
      <c r="X2451" s="33" t="str">
        <f>+VLOOKUP(OtherClients[[#This Row],[Part]],PartControl!$A$2:$E$564,5,FALSE)</f>
        <v>INFASCO</v>
      </c>
      <c r="Y2451" s="108">
        <f>IF(OtherClients[[#This Row],[Re-certified or New]]&lt;&gt;"Re-certified",IF(OtherClients[[#This Row],[Client]]="infasco",VLOOKUP(OtherClients[[#This Row],[Part]],PartControl!$A$2:$E$564,2,FALSE),OtherClients[[#This Row],[Total Quantity]]*VLOOKUP(OtherClients[[#This Row],[Part]],PartControl!$A$2:$E$564,2,FALSE)),0)</f>
        <v>106.94</v>
      </c>
      <c r="Z2451" s="108">
        <f>IF(OtherClients[[#This Row],[Re-certified or New]]&lt;&gt;"Re-certified",IF(OtherClients[[#This Row],[Client]]="infasco",VLOOKUP(OtherClients[[#This Row],[Part]],PartControl!$A$2:$E$564,2,FALSE),OtherClients[[#This Row],[Total Quantity]]*VLOOKUP(OtherClients[[#This Row],[Part]],PartControl!$A$2:$E$564,2,FALSE)),0)</f>
        <v>106.94</v>
      </c>
    </row>
    <row r="2452" spans="1:26" ht="25.15" hidden="1" customHeight="1" x14ac:dyDescent="0.25">
      <c r="A2452" s="112">
        <v>46268.708668981482</v>
      </c>
      <c r="B2452" s="5" t="s">
        <v>250</v>
      </c>
      <c r="C2452" s="5">
        <v>11549170</v>
      </c>
      <c r="D2452" s="5">
        <v>716936</v>
      </c>
      <c r="E2452" s="33">
        <v>36</v>
      </c>
      <c r="F2452" s="60">
        <v>400</v>
      </c>
      <c r="G2452" s="60">
        <f>+OtherClients[[#This Row],[Boxes / Pieces]]*OtherClients[[#This Row],[Unit Quantity]]</f>
        <v>14400</v>
      </c>
      <c r="H2452" s="60">
        <v>290</v>
      </c>
      <c r="I2452" s="130" t="s">
        <v>278</v>
      </c>
      <c r="J2452" s="131"/>
      <c r="K2452" s="33" t="s">
        <v>278</v>
      </c>
      <c r="L2452" s="132"/>
      <c r="M2452" s="33" t="s">
        <v>278</v>
      </c>
      <c r="N2452" s="132"/>
      <c r="O2452" s="33" t="s">
        <v>278</v>
      </c>
      <c r="P2452" s="132"/>
      <c r="Q2452" s="33" t="s">
        <v>587</v>
      </c>
      <c r="R2452" s="132"/>
      <c r="S2452" s="33" t="s">
        <v>278</v>
      </c>
      <c r="T2452" s="132"/>
      <c r="U2452" s="33" t="s">
        <v>278</v>
      </c>
      <c r="V2452" s="132"/>
      <c r="W2452" s="59" t="s">
        <v>548</v>
      </c>
      <c r="X2452" s="33" t="str">
        <f>+VLOOKUP(OtherClients[[#This Row],[Part]],PartControl!$A$2:$E$564,5,FALSE)</f>
        <v>INFASCO</v>
      </c>
      <c r="Y2452" s="108">
        <f>IF(OtherClients[[#This Row],[Re-certified or New]]&lt;&gt;"Re-certified",IF(OtherClients[[#This Row],[Client]]="infasco",VLOOKUP(OtherClients[[#This Row],[Part]],PartControl!$A$2:$E$564,2,FALSE),OtherClients[[#This Row],[Total Quantity]]*VLOOKUP(OtherClients[[#This Row],[Part]],PartControl!$A$2:$E$564,2,FALSE)),0)</f>
        <v>106.94</v>
      </c>
      <c r="Z2452" s="108">
        <f>IF(OtherClients[[#This Row],[Re-certified or New]]&lt;&gt;"Re-certified",IF(OtherClients[[#This Row],[Client]]="infasco",VLOOKUP(OtherClients[[#This Row],[Part]],PartControl!$A$2:$E$564,2,FALSE),OtherClients[[#This Row],[Total Quantity]]*VLOOKUP(OtherClients[[#This Row],[Part]],PartControl!$A$2:$E$564,2,FALSE)),0)</f>
        <v>106.94</v>
      </c>
    </row>
    <row r="2453" spans="1:26" ht="25.15" hidden="1" customHeight="1" x14ac:dyDescent="0.25">
      <c r="A2453" s="112">
        <v>46268.708668981482</v>
      </c>
      <c r="B2453" s="5" t="s">
        <v>250</v>
      </c>
      <c r="C2453" s="5">
        <v>11549170</v>
      </c>
      <c r="D2453" s="5">
        <v>716928</v>
      </c>
      <c r="E2453" s="33">
        <v>36</v>
      </c>
      <c r="F2453" s="60">
        <v>400</v>
      </c>
      <c r="G2453" s="60">
        <f>+OtherClients[[#This Row],[Boxes / Pieces]]*OtherClients[[#This Row],[Unit Quantity]]</f>
        <v>14400</v>
      </c>
      <c r="H2453" s="60">
        <v>290</v>
      </c>
      <c r="I2453" s="130" t="s">
        <v>278</v>
      </c>
      <c r="J2453" s="131"/>
      <c r="K2453" s="33" t="s">
        <v>278</v>
      </c>
      <c r="L2453" s="132"/>
      <c r="M2453" s="33" t="s">
        <v>278</v>
      </c>
      <c r="N2453" s="132"/>
      <c r="O2453" s="33" t="s">
        <v>278</v>
      </c>
      <c r="P2453" s="132"/>
      <c r="Q2453" s="33" t="s">
        <v>587</v>
      </c>
      <c r="R2453" s="132"/>
      <c r="S2453" s="33" t="s">
        <v>278</v>
      </c>
      <c r="T2453" s="132"/>
      <c r="U2453" s="33" t="s">
        <v>278</v>
      </c>
      <c r="V2453" s="132"/>
      <c r="W2453" s="59" t="s">
        <v>548</v>
      </c>
      <c r="X2453" s="33" t="str">
        <f>+VLOOKUP(OtherClients[[#This Row],[Part]],PartControl!$A$2:$E$564,5,FALSE)</f>
        <v>INFASCO</v>
      </c>
      <c r="Y2453" s="108">
        <f>IF(OtherClients[[#This Row],[Re-certified or New]]&lt;&gt;"Re-certified",IF(OtherClients[[#This Row],[Client]]="infasco",VLOOKUP(OtherClients[[#This Row],[Part]],PartControl!$A$2:$E$564,2,FALSE),OtherClients[[#This Row],[Total Quantity]]*VLOOKUP(OtherClients[[#This Row],[Part]],PartControl!$A$2:$E$564,2,FALSE)),0)</f>
        <v>106.94</v>
      </c>
      <c r="Z2453" s="108">
        <f>IF(OtherClients[[#This Row],[Re-certified or New]]&lt;&gt;"Re-certified",IF(OtherClients[[#This Row],[Client]]="infasco",VLOOKUP(OtherClients[[#This Row],[Part]],PartControl!$A$2:$E$564,2,FALSE),OtherClients[[#This Row],[Total Quantity]]*VLOOKUP(OtherClients[[#This Row],[Part]],PartControl!$A$2:$E$564,2,FALSE)),0)</f>
        <v>106.94</v>
      </c>
    </row>
    <row r="2454" spans="1:26" ht="25.15" hidden="1" customHeight="1" x14ac:dyDescent="0.25">
      <c r="A2454" s="112">
        <v>46268.708668981482</v>
      </c>
      <c r="B2454" s="5" t="s">
        <v>250</v>
      </c>
      <c r="C2454" s="5">
        <v>11549170</v>
      </c>
      <c r="D2454" s="5">
        <v>716925</v>
      </c>
      <c r="E2454" s="33">
        <v>16</v>
      </c>
      <c r="F2454" s="60">
        <v>400</v>
      </c>
      <c r="G2454" s="60">
        <f>+OtherClients[[#This Row],[Boxes / Pieces]]*OtherClients[[#This Row],[Unit Quantity]]</f>
        <v>6400</v>
      </c>
      <c r="H2454" s="60">
        <v>290</v>
      </c>
      <c r="I2454" s="130" t="s">
        <v>278</v>
      </c>
      <c r="J2454" s="131"/>
      <c r="K2454" s="33" t="s">
        <v>278</v>
      </c>
      <c r="L2454" s="132"/>
      <c r="M2454" s="33" t="s">
        <v>278</v>
      </c>
      <c r="N2454" s="132"/>
      <c r="O2454" s="33" t="s">
        <v>278</v>
      </c>
      <c r="P2454" s="132"/>
      <c r="Q2454" s="33" t="s">
        <v>587</v>
      </c>
      <c r="R2454" s="132"/>
      <c r="S2454" s="33" t="s">
        <v>278</v>
      </c>
      <c r="T2454" s="132"/>
      <c r="U2454" s="33" t="s">
        <v>278</v>
      </c>
      <c r="V2454" s="132"/>
      <c r="W2454" s="59" t="s">
        <v>633</v>
      </c>
      <c r="X2454" s="33" t="str">
        <f>+VLOOKUP(OtherClients[[#This Row],[Part]],PartControl!$A$2:$E$564,5,FALSE)</f>
        <v>INFASCO</v>
      </c>
      <c r="Y2454" s="108">
        <f>IF(OtherClients[[#This Row],[Re-certified or New]]&lt;&gt;"Re-certified",IF(OtherClients[[#This Row],[Client]]="infasco",VLOOKUP(OtherClients[[#This Row],[Part]],PartControl!$A$2:$E$564,2,FALSE),OtherClients[[#This Row],[Total Quantity]]*VLOOKUP(OtherClients[[#This Row],[Part]],PartControl!$A$2:$E$564,2,FALSE)),0)</f>
        <v>0</v>
      </c>
      <c r="Z2454" s="108">
        <f>IF(OtherClients[[#This Row],[Re-certified or New]]&lt;&gt;"Re-certified",IF(OtherClients[[#This Row],[Client]]="infasco",VLOOKUP(OtherClients[[#This Row],[Part]],PartControl!$A$2:$E$564,2,FALSE),OtherClients[[#This Row],[Total Quantity]]*VLOOKUP(OtherClients[[#This Row],[Part]],PartControl!$A$2:$E$564,2,FALSE)),0)</f>
        <v>0</v>
      </c>
    </row>
    <row r="2455" spans="1:26" ht="25.15" hidden="1" customHeight="1" x14ac:dyDescent="0.25">
      <c r="A2455" s="112">
        <v>46268.708668981482</v>
      </c>
      <c r="B2455" s="5" t="s">
        <v>635</v>
      </c>
      <c r="C2455" s="5" t="s">
        <v>20</v>
      </c>
      <c r="D2455" s="5">
        <v>717535</v>
      </c>
      <c r="E2455" s="33">
        <f>36-20</f>
        <v>16</v>
      </c>
      <c r="F2455" s="60">
        <v>3500</v>
      </c>
      <c r="G2455" s="60">
        <f>+OtherClients[[#This Row],[Boxes / Pieces]]*OtherClients[[#This Row],[Unit Quantity]]</f>
        <v>56000</v>
      </c>
      <c r="H2455" s="60">
        <v>280</v>
      </c>
      <c r="I2455" s="130" t="s">
        <v>278</v>
      </c>
      <c r="J2455" s="131"/>
      <c r="K2455" s="33" t="s">
        <v>278</v>
      </c>
      <c r="L2455" s="132"/>
      <c r="M2455" s="33" t="s">
        <v>278</v>
      </c>
      <c r="N2455" s="132"/>
      <c r="O2455" s="33" t="s">
        <v>278</v>
      </c>
      <c r="P2455" s="132"/>
      <c r="Q2455" s="33" t="s">
        <v>587</v>
      </c>
      <c r="R2455" s="132"/>
      <c r="S2455" s="33" t="s">
        <v>278</v>
      </c>
      <c r="T2455" s="132"/>
      <c r="U2455" s="33" t="s">
        <v>278</v>
      </c>
      <c r="V2455" s="132"/>
      <c r="W2455" s="59" t="s">
        <v>548</v>
      </c>
      <c r="X2455" s="33" t="str">
        <f>+VLOOKUP(OtherClients[[#This Row],[Part]],PartControl!$A$2:$E$564,5,FALSE)</f>
        <v>infasco</v>
      </c>
      <c r="Y2455" s="108">
        <f>IF(OtherClients[[#This Row],[Re-certified or New]]&lt;&gt;"Re-certified",IF(OtherClients[[#This Row],[Client]]="infasco",VLOOKUP(OtherClients[[#This Row],[Part]],PartControl!$A$2:$E$564,2,FALSE),OtherClients[[#This Row],[Total Quantity]]*VLOOKUP(OtherClients[[#This Row],[Part]],PartControl!$A$2:$E$564,2,FALSE)),0)</f>
        <v>106.94</v>
      </c>
      <c r="Z2455" s="108">
        <f>IF(OtherClients[[#This Row],[Re-certified or New]]&lt;&gt;"Re-certified",IF(OtherClients[[#This Row],[Client]]="infasco",VLOOKUP(OtherClients[[#This Row],[Part]],PartControl!$A$2:$E$564,2,FALSE),OtherClients[[#This Row],[Total Quantity]]*VLOOKUP(OtherClients[[#This Row],[Part]],PartControl!$A$2:$E$564,2,FALSE)),0)</f>
        <v>106.94</v>
      </c>
    </row>
    <row r="2456" spans="1:26" ht="25.15" hidden="1" customHeight="1" x14ac:dyDescent="0.25">
      <c r="A2456" s="112">
        <v>46268.708668981482</v>
      </c>
      <c r="B2456" s="5" t="s">
        <v>635</v>
      </c>
      <c r="C2456" s="5" t="s">
        <v>848</v>
      </c>
      <c r="D2456" s="5">
        <v>717767</v>
      </c>
      <c r="E2456" s="33">
        <v>4</v>
      </c>
      <c r="F2456" s="60">
        <v>3200</v>
      </c>
      <c r="G2456" s="60">
        <f>+OtherClients[[#This Row],[Boxes / Pieces]]*OtherClients[[#This Row],[Unit Quantity]]</f>
        <v>12800</v>
      </c>
      <c r="H2456" s="60">
        <v>280</v>
      </c>
      <c r="I2456" s="130" t="s">
        <v>278</v>
      </c>
      <c r="J2456" s="131"/>
      <c r="K2456" s="33" t="s">
        <v>278</v>
      </c>
      <c r="L2456" s="132"/>
      <c r="M2456" s="33" t="s">
        <v>278</v>
      </c>
      <c r="N2456" s="132"/>
      <c r="O2456" s="33" t="s">
        <v>278</v>
      </c>
      <c r="P2456" s="132"/>
      <c r="Q2456" s="33" t="s">
        <v>587</v>
      </c>
      <c r="R2456" s="132"/>
      <c r="S2456" s="33" t="s">
        <v>278</v>
      </c>
      <c r="T2456" s="132"/>
      <c r="U2456" s="33" t="s">
        <v>278</v>
      </c>
      <c r="V2456" s="132"/>
      <c r="W2456" s="59" t="s">
        <v>633</v>
      </c>
      <c r="X2456" s="33" t="str">
        <f>+VLOOKUP(OtherClients[[#This Row],[Part]],PartControl!$A$2:$E$564,5,FALSE)</f>
        <v>infasco</v>
      </c>
      <c r="Y2456" s="108">
        <f>IF(OtherClients[[#This Row],[Re-certified or New]]&lt;&gt;"Re-certified",IF(OtherClients[[#This Row],[Client]]="infasco",VLOOKUP(OtherClients[[#This Row],[Part]],PartControl!$A$2:$E$564,2,FALSE),OtherClients[[#This Row],[Total Quantity]]*VLOOKUP(OtherClients[[#This Row],[Part]],PartControl!$A$2:$E$564,2,FALSE)),0)</f>
        <v>0</v>
      </c>
      <c r="Z2456" s="108">
        <f>IF(OtherClients[[#This Row],[Re-certified or New]]&lt;&gt;"Re-certified",IF(OtherClients[[#This Row],[Client]]="infasco",VLOOKUP(OtherClients[[#This Row],[Part]],PartControl!$A$2:$E$564,2,FALSE),OtherClients[[#This Row],[Total Quantity]]*VLOOKUP(OtherClients[[#This Row],[Part]],PartControl!$A$2:$E$564,2,FALSE)),0)</f>
        <v>0</v>
      </c>
    </row>
    <row r="2457" spans="1:26" ht="25.15" hidden="1" customHeight="1" x14ac:dyDescent="0.25">
      <c r="A2457" s="112">
        <v>46268.708668981482</v>
      </c>
      <c r="B2457" s="5" t="s">
        <v>634</v>
      </c>
      <c r="C2457" s="5" t="s">
        <v>721</v>
      </c>
      <c r="D2457" s="5">
        <v>717650</v>
      </c>
      <c r="E2457" s="33">
        <f>32-18</f>
        <v>14</v>
      </c>
      <c r="F2457" s="60">
        <v>4500</v>
      </c>
      <c r="G2457" s="60">
        <f>+OtherClients[[#This Row],[Boxes / Pieces]]*OtherClients[[#This Row],[Unit Quantity]]</f>
        <v>63000</v>
      </c>
      <c r="H2457" s="60">
        <v>280</v>
      </c>
      <c r="I2457" s="130" t="s">
        <v>278</v>
      </c>
      <c r="J2457" s="131"/>
      <c r="K2457" s="33" t="s">
        <v>278</v>
      </c>
      <c r="L2457" s="132"/>
      <c r="M2457" s="33" t="s">
        <v>278</v>
      </c>
      <c r="N2457" s="132"/>
      <c r="O2457" s="33" t="s">
        <v>278</v>
      </c>
      <c r="P2457" s="132"/>
      <c r="Q2457" s="33" t="s">
        <v>587</v>
      </c>
      <c r="R2457" s="132"/>
      <c r="S2457" s="33" t="s">
        <v>278</v>
      </c>
      <c r="T2457" s="132"/>
      <c r="U2457" s="33" t="s">
        <v>278</v>
      </c>
      <c r="V2457" s="132"/>
      <c r="W2457" s="59" t="s">
        <v>633</v>
      </c>
      <c r="X2457" s="33" t="str">
        <f>+VLOOKUP(OtherClients[[#This Row],[Part]],PartControl!$A$2:$E$564,5,FALSE)</f>
        <v>Infasco</v>
      </c>
      <c r="Y2457" s="108">
        <f>IF(OtherClients[[#This Row],[Re-certified or New]]&lt;&gt;"Re-certified",IF(OtherClients[[#This Row],[Client]]="infasco",VLOOKUP(OtherClients[[#This Row],[Part]],PartControl!$A$2:$E$564,2,FALSE),OtherClients[[#This Row],[Total Quantity]]*VLOOKUP(OtherClients[[#This Row],[Part]],PartControl!$A$2:$E$564,2,FALSE)),0)</f>
        <v>0</v>
      </c>
      <c r="Z2457" s="108">
        <f>IF(OtherClients[[#This Row],[Re-certified or New]]&lt;&gt;"Re-certified",IF(OtherClients[[#This Row],[Client]]="infasco",VLOOKUP(OtherClients[[#This Row],[Part]],PartControl!$A$2:$E$564,2,FALSE),OtherClients[[#This Row],[Total Quantity]]*VLOOKUP(OtherClients[[#This Row],[Part]],PartControl!$A$2:$E$564,2,FALSE)),0)</f>
        <v>0</v>
      </c>
    </row>
    <row r="2458" spans="1:26" ht="25.15" hidden="1" customHeight="1" x14ac:dyDescent="0.25">
      <c r="A2458" s="112">
        <v>46268.708668981482</v>
      </c>
      <c r="B2458" s="5" t="s">
        <v>357</v>
      </c>
      <c r="C2458" s="5" t="s">
        <v>663</v>
      </c>
      <c r="D2458" s="5">
        <v>716237</v>
      </c>
      <c r="E2458" s="33">
        <v>32</v>
      </c>
      <c r="F2458" s="60">
        <v>3000</v>
      </c>
      <c r="G2458" s="60">
        <f>+OtherClients[[#This Row],[Boxes / Pieces]]*OtherClients[[#This Row],[Unit Quantity]]</f>
        <v>96000</v>
      </c>
      <c r="H2458" s="60">
        <v>280</v>
      </c>
      <c r="I2458" s="130" t="s">
        <v>278</v>
      </c>
      <c r="J2458" s="131"/>
      <c r="K2458" s="33" t="s">
        <v>278</v>
      </c>
      <c r="L2458" s="132"/>
      <c r="M2458" s="33" t="s">
        <v>278</v>
      </c>
      <c r="N2458" s="132"/>
      <c r="O2458" s="33" t="s">
        <v>278</v>
      </c>
      <c r="P2458" s="132"/>
      <c r="Q2458" s="33" t="s">
        <v>587</v>
      </c>
      <c r="R2458" s="132"/>
      <c r="S2458" s="33" t="s">
        <v>278</v>
      </c>
      <c r="T2458" s="132"/>
      <c r="U2458" s="33" t="s">
        <v>278</v>
      </c>
      <c r="V2458" s="132"/>
      <c r="W2458" s="59" t="s">
        <v>633</v>
      </c>
      <c r="X2458" s="33" t="str">
        <f>+VLOOKUP(OtherClients[[#This Row],[Part]],PartControl!$A$2:$E$564,5,FALSE)</f>
        <v>infasco</v>
      </c>
      <c r="Y2458" s="108">
        <f>IF(OtherClients[[#This Row],[Re-certified or New]]&lt;&gt;"Re-certified",IF(OtherClients[[#This Row],[Client]]="infasco",VLOOKUP(OtherClients[[#This Row],[Part]],PartControl!$A$2:$E$564,2,FALSE),OtherClients[[#This Row],[Total Quantity]]*VLOOKUP(OtherClients[[#This Row],[Part]],PartControl!$A$2:$E$564,2,FALSE)),0)</f>
        <v>0</v>
      </c>
      <c r="Z2458" s="108">
        <f>IF(OtherClients[[#This Row],[Re-certified or New]]&lt;&gt;"Re-certified",IF(OtherClients[[#This Row],[Client]]="infasco",VLOOKUP(OtherClients[[#This Row],[Part]],PartControl!$A$2:$E$564,2,FALSE),OtherClients[[#This Row],[Total Quantity]]*VLOOKUP(OtherClients[[#This Row],[Part]],PartControl!$A$2:$E$564,2,FALSE)),0)</f>
        <v>0</v>
      </c>
    </row>
    <row r="2459" spans="1:26" ht="25.15" hidden="1" customHeight="1" x14ac:dyDescent="0.25">
      <c r="A2459" s="112">
        <v>46268.708668981482</v>
      </c>
      <c r="B2459" s="5" t="s">
        <v>834</v>
      </c>
      <c r="C2459" s="5" t="s">
        <v>814</v>
      </c>
      <c r="D2459" s="5">
        <v>717287</v>
      </c>
      <c r="E2459" s="33">
        <f>31-22</f>
        <v>9</v>
      </c>
      <c r="F2459" s="60">
        <v>2500</v>
      </c>
      <c r="G2459" s="60">
        <f>+OtherClients[[#This Row],[Boxes / Pieces]]*OtherClients[[#This Row],[Unit Quantity]]</f>
        <v>22500</v>
      </c>
      <c r="H2459" s="60">
        <v>280</v>
      </c>
      <c r="I2459" s="130" t="s">
        <v>278</v>
      </c>
      <c r="J2459" s="131"/>
      <c r="K2459" s="33" t="s">
        <v>278</v>
      </c>
      <c r="L2459" s="132"/>
      <c r="M2459" s="33" t="s">
        <v>278</v>
      </c>
      <c r="N2459" s="132"/>
      <c r="O2459" s="33" t="s">
        <v>278</v>
      </c>
      <c r="P2459" s="132"/>
      <c r="Q2459" s="33" t="s">
        <v>587</v>
      </c>
      <c r="R2459" s="132"/>
      <c r="S2459" s="33" t="s">
        <v>278</v>
      </c>
      <c r="T2459" s="132"/>
      <c r="U2459" s="33" t="s">
        <v>278</v>
      </c>
      <c r="V2459" s="132"/>
      <c r="W2459" s="59" t="s">
        <v>548</v>
      </c>
      <c r="X2459" s="33" t="str">
        <f>+VLOOKUP(OtherClients[[#This Row],[Part]],PartControl!$A$2:$E$564,5,FALSE)</f>
        <v>Infasco</v>
      </c>
      <c r="Y2459" s="108">
        <f>IF(OtherClients[[#This Row],[Re-certified or New]]&lt;&gt;"Re-certified",IF(OtherClients[[#This Row],[Client]]="infasco",VLOOKUP(OtherClients[[#This Row],[Part]],PartControl!$A$2:$E$564,2,FALSE),OtherClients[[#This Row],[Total Quantity]]*VLOOKUP(OtherClients[[#This Row],[Part]],PartControl!$A$2:$E$564,2,FALSE)),0)</f>
        <v>106.94</v>
      </c>
      <c r="Z2459" s="108">
        <f>IF(OtherClients[[#This Row],[Re-certified or New]]&lt;&gt;"Re-certified",IF(OtherClients[[#This Row],[Client]]="infasco",VLOOKUP(OtherClients[[#This Row],[Part]],PartControl!$A$2:$E$564,2,FALSE),OtherClients[[#This Row],[Total Quantity]]*VLOOKUP(OtherClients[[#This Row],[Part]],PartControl!$A$2:$E$564,2,FALSE)),0)</f>
        <v>106.94</v>
      </c>
    </row>
    <row r="2460" spans="1:26" ht="25.15" hidden="1" customHeight="1" x14ac:dyDescent="0.25">
      <c r="A2460" s="112">
        <v>46268.708668981482</v>
      </c>
      <c r="B2460" s="5" t="s">
        <v>834</v>
      </c>
      <c r="C2460" s="5" t="s">
        <v>814</v>
      </c>
      <c r="D2460" s="5">
        <v>717292</v>
      </c>
      <c r="E2460" s="33">
        <v>28</v>
      </c>
      <c r="F2460" s="60">
        <v>2500</v>
      </c>
      <c r="G2460" s="60">
        <f>+OtherClients[[#This Row],[Boxes / Pieces]]*OtherClients[[#This Row],[Unit Quantity]]</f>
        <v>70000</v>
      </c>
      <c r="H2460" s="60">
        <v>280</v>
      </c>
      <c r="I2460" s="130" t="s">
        <v>278</v>
      </c>
      <c r="J2460" s="131"/>
      <c r="K2460" s="33" t="s">
        <v>278</v>
      </c>
      <c r="L2460" s="132"/>
      <c r="M2460" s="33" t="s">
        <v>278</v>
      </c>
      <c r="N2460" s="132"/>
      <c r="O2460" s="33" t="s">
        <v>278</v>
      </c>
      <c r="P2460" s="132"/>
      <c r="Q2460" s="33" t="s">
        <v>587</v>
      </c>
      <c r="R2460" s="132"/>
      <c r="S2460" s="33" t="s">
        <v>278</v>
      </c>
      <c r="T2460" s="132"/>
      <c r="U2460" s="33" t="s">
        <v>278</v>
      </c>
      <c r="V2460" s="132"/>
      <c r="W2460" s="59" t="s">
        <v>548</v>
      </c>
      <c r="X2460" s="33" t="str">
        <f>+VLOOKUP(OtherClients[[#This Row],[Part]],PartControl!$A$2:$E$564,5,FALSE)</f>
        <v>Infasco</v>
      </c>
      <c r="Y2460" s="108">
        <f>IF(OtherClients[[#This Row],[Re-certified or New]]&lt;&gt;"Re-certified",IF(OtherClients[[#This Row],[Client]]="infasco",VLOOKUP(OtherClients[[#This Row],[Part]],PartControl!$A$2:$E$564,2,FALSE),OtherClients[[#This Row],[Total Quantity]]*VLOOKUP(OtherClients[[#This Row],[Part]],PartControl!$A$2:$E$564,2,FALSE)),0)</f>
        <v>106.94</v>
      </c>
      <c r="Z2460" s="108">
        <f>IF(OtherClients[[#This Row],[Re-certified or New]]&lt;&gt;"Re-certified",IF(OtherClients[[#This Row],[Client]]="infasco",VLOOKUP(OtherClients[[#This Row],[Part]],PartControl!$A$2:$E$564,2,FALSE),OtherClients[[#This Row],[Total Quantity]]*VLOOKUP(OtherClients[[#This Row],[Part]],PartControl!$A$2:$E$564,2,FALSE)),0)</f>
        <v>106.94</v>
      </c>
    </row>
    <row r="2461" spans="1:26" ht="25.15" hidden="1" customHeight="1" x14ac:dyDescent="0.25">
      <c r="A2461" s="112">
        <v>46268.708668981482</v>
      </c>
      <c r="B2461" s="5" t="s">
        <v>834</v>
      </c>
      <c r="C2461" s="5" t="s">
        <v>814</v>
      </c>
      <c r="D2461" s="5">
        <v>717179</v>
      </c>
      <c r="E2461" s="33">
        <v>29</v>
      </c>
      <c r="F2461" s="60">
        <v>2500</v>
      </c>
      <c r="G2461" s="60">
        <f>+OtherClients[[#This Row],[Boxes / Pieces]]*OtherClients[[#This Row],[Unit Quantity]]</f>
        <v>72500</v>
      </c>
      <c r="H2461" s="60">
        <v>280</v>
      </c>
      <c r="I2461" s="130" t="s">
        <v>278</v>
      </c>
      <c r="J2461" s="131"/>
      <c r="K2461" s="33" t="s">
        <v>278</v>
      </c>
      <c r="L2461" s="132"/>
      <c r="M2461" s="33" t="s">
        <v>278</v>
      </c>
      <c r="N2461" s="132"/>
      <c r="O2461" s="33" t="s">
        <v>278</v>
      </c>
      <c r="P2461" s="132"/>
      <c r="Q2461" s="33" t="s">
        <v>587</v>
      </c>
      <c r="R2461" s="132"/>
      <c r="S2461" s="33" t="s">
        <v>278</v>
      </c>
      <c r="T2461" s="132"/>
      <c r="U2461" s="33" t="s">
        <v>278</v>
      </c>
      <c r="V2461" s="132"/>
      <c r="W2461" s="59" t="s">
        <v>548</v>
      </c>
      <c r="X2461" s="33" t="str">
        <f>+VLOOKUP(OtherClients[[#This Row],[Part]],PartControl!$A$2:$E$564,5,FALSE)</f>
        <v>Infasco</v>
      </c>
      <c r="Y2461" s="108">
        <f>IF(OtherClients[[#This Row],[Re-certified or New]]&lt;&gt;"Re-certified",IF(OtherClients[[#This Row],[Client]]="infasco",VLOOKUP(OtherClients[[#This Row],[Part]],PartControl!$A$2:$E$564,2,FALSE),OtherClients[[#This Row],[Total Quantity]]*VLOOKUP(OtherClients[[#This Row],[Part]],PartControl!$A$2:$E$564,2,FALSE)),0)</f>
        <v>106.94</v>
      </c>
      <c r="Z2461" s="108">
        <f>IF(OtherClients[[#This Row],[Re-certified or New]]&lt;&gt;"Re-certified",IF(OtherClients[[#This Row],[Client]]="infasco",VLOOKUP(OtherClients[[#This Row],[Part]],PartControl!$A$2:$E$564,2,FALSE),OtherClients[[#This Row],[Total Quantity]]*VLOOKUP(OtherClients[[#This Row],[Part]],PartControl!$A$2:$E$564,2,FALSE)),0)</f>
        <v>106.94</v>
      </c>
    </row>
    <row r="2462" spans="1:26" ht="25.15" hidden="1" customHeight="1" x14ac:dyDescent="0.25">
      <c r="A2462" s="112">
        <v>46268.708668981482</v>
      </c>
      <c r="B2462" s="5" t="s">
        <v>637</v>
      </c>
      <c r="C2462" s="5" t="s">
        <v>721</v>
      </c>
      <c r="D2462" s="5">
        <v>717646</v>
      </c>
      <c r="E2462" s="33">
        <f>36-25</f>
        <v>11</v>
      </c>
      <c r="F2462" s="60">
        <v>4500</v>
      </c>
      <c r="G2462" s="60">
        <f>+OtherClients[[#This Row],[Boxes / Pieces]]*OtherClients[[#This Row],[Unit Quantity]]</f>
        <v>49500</v>
      </c>
      <c r="H2462" s="60">
        <v>280</v>
      </c>
      <c r="I2462" s="130" t="s">
        <v>278</v>
      </c>
      <c r="J2462" s="131"/>
      <c r="K2462" s="33" t="s">
        <v>278</v>
      </c>
      <c r="L2462" s="132"/>
      <c r="M2462" s="33" t="s">
        <v>278</v>
      </c>
      <c r="N2462" s="132"/>
      <c r="O2462" s="33" t="s">
        <v>278</v>
      </c>
      <c r="P2462" s="132"/>
      <c r="Q2462" s="33" t="s">
        <v>587</v>
      </c>
      <c r="R2462" s="132"/>
      <c r="S2462" s="33" t="s">
        <v>278</v>
      </c>
      <c r="T2462" s="132"/>
      <c r="U2462" s="33" t="s">
        <v>278</v>
      </c>
      <c r="V2462" s="132"/>
      <c r="W2462" s="59" t="s">
        <v>548</v>
      </c>
      <c r="X2462" s="33" t="str">
        <f>+VLOOKUP(OtherClients[[#This Row],[Part]],PartControl!$A$2:$E$564,5,FALSE)</f>
        <v>Infasco</v>
      </c>
      <c r="Y2462" s="108">
        <f>IF(OtherClients[[#This Row],[Re-certified or New]]&lt;&gt;"Re-certified",IF(OtherClients[[#This Row],[Client]]="infasco",VLOOKUP(OtherClients[[#This Row],[Part]],PartControl!$A$2:$E$564,2,FALSE),OtherClients[[#This Row],[Total Quantity]]*VLOOKUP(OtherClients[[#This Row],[Part]],PartControl!$A$2:$E$564,2,FALSE)),0)</f>
        <v>106.94</v>
      </c>
      <c r="Z2462" s="108">
        <f>IF(OtherClients[[#This Row],[Re-certified or New]]&lt;&gt;"Re-certified",IF(OtherClients[[#This Row],[Client]]="infasco",VLOOKUP(OtherClients[[#This Row],[Part]],PartControl!$A$2:$E$564,2,FALSE),OtherClients[[#This Row],[Total Quantity]]*VLOOKUP(OtherClients[[#This Row],[Part]],PartControl!$A$2:$E$564,2,FALSE)),0)</f>
        <v>106.94</v>
      </c>
    </row>
    <row r="2463" spans="1:26" ht="25.15" hidden="1" customHeight="1" x14ac:dyDescent="0.25">
      <c r="A2463" s="112">
        <v>46268.708668981482</v>
      </c>
      <c r="B2463" s="5" t="s">
        <v>637</v>
      </c>
      <c r="C2463" s="5" t="s">
        <v>721</v>
      </c>
      <c r="D2463" s="5">
        <v>717652</v>
      </c>
      <c r="E2463" s="33">
        <v>36</v>
      </c>
      <c r="F2463" s="60">
        <v>4500</v>
      </c>
      <c r="G2463" s="60">
        <f>+OtherClients[[#This Row],[Boxes / Pieces]]*OtherClients[[#This Row],[Unit Quantity]]</f>
        <v>162000</v>
      </c>
      <c r="H2463" s="60">
        <v>280</v>
      </c>
      <c r="I2463" s="130" t="s">
        <v>278</v>
      </c>
      <c r="J2463" s="131"/>
      <c r="K2463" s="33" t="s">
        <v>278</v>
      </c>
      <c r="L2463" s="132"/>
      <c r="M2463" s="33" t="s">
        <v>278</v>
      </c>
      <c r="N2463" s="132"/>
      <c r="O2463" s="33" t="s">
        <v>278</v>
      </c>
      <c r="P2463" s="132"/>
      <c r="Q2463" s="33" t="s">
        <v>587</v>
      </c>
      <c r="R2463" s="132"/>
      <c r="S2463" s="33" t="s">
        <v>278</v>
      </c>
      <c r="T2463" s="132"/>
      <c r="U2463" s="33" t="s">
        <v>278</v>
      </c>
      <c r="V2463" s="132"/>
      <c r="W2463" s="59" t="s">
        <v>548</v>
      </c>
      <c r="X2463" s="33" t="str">
        <f>+VLOOKUP(OtherClients[[#This Row],[Part]],PartControl!$A$2:$E$564,5,FALSE)</f>
        <v>Infasco</v>
      </c>
      <c r="Y2463" s="108">
        <f>IF(OtherClients[[#This Row],[Re-certified or New]]&lt;&gt;"Re-certified",IF(OtherClients[[#This Row],[Client]]="infasco",VLOOKUP(OtherClients[[#This Row],[Part]],PartControl!$A$2:$E$564,2,FALSE),OtherClients[[#This Row],[Total Quantity]]*VLOOKUP(OtherClients[[#This Row],[Part]],PartControl!$A$2:$E$564,2,FALSE)),0)</f>
        <v>106.94</v>
      </c>
      <c r="Z2463" s="108">
        <f>IF(OtherClients[[#This Row],[Re-certified or New]]&lt;&gt;"Re-certified",IF(OtherClients[[#This Row],[Client]]="infasco",VLOOKUP(OtherClients[[#This Row],[Part]],PartControl!$A$2:$E$564,2,FALSE),OtherClients[[#This Row],[Total Quantity]]*VLOOKUP(OtherClients[[#This Row],[Part]],PartControl!$A$2:$E$564,2,FALSE)),0)</f>
        <v>106.94</v>
      </c>
    </row>
    <row r="2464" spans="1:26" ht="25.15" hidden="1" customHeight="1" x14ac:dyDescent="0.25">
      <c r="A2464" s="112">
        <v>46268.708668981482</v>
      </c>
      <c r="B2464" s="5" t="s">
        <v>636</v>
      </c>
      <c r="C2464" s="5" t="s">
        <v>703</v>
      </c>
      <c r="D2464" s="5">
        <v>717489</v>
      </c>
      <c r="E2464" s="33">
        <f>38-12</f>
        <v>26</v>
      </c>
      <c r="F2464" s="60">
        <v>700</v>
      </c>
      <c r="G2464" s="60">
        <f>+OtherClients[[#This Row],[Boxes / Pieces]]*OtherClients[[#This Row],[Unit Quantity]]</f>
        <v>18200</v>
      </c>
      <c r="H2464" s="60">
        <v>280</v>
      </c>
      <c r="I2464" s="130" t="s">
        <v>278</v>
      </c>
      <c r="J2464" s="131"/>
      <c r="K2464" s="33" t="s">
        <v>278</v>
      </c>
      <c r="L2464" s="132"/>
      <c r="M2464" s="33" t="s">
        <v>278</v>
      </c>
      <c r="N2464" s="132"/>
      <c r="O2464" s="33" t="s">
        <v>278</v>
      </c>
      <c r="P2464" s="132"/>
      <c r="Q2464" s="33" t="s">
        <v>587</v>
      </c>
      <c r="R2464" s="132"/>
      <c r="S2464" s="33" t="s">
        <v>278</v>
      </c>
      <c r="T2464" s="132"/>
      <c r="U2464" s="33" t="s">
        <v>278</v>
      </c>
      <c r="V2464" s="132"/>
      <c r="W2464" s="59" t="s">
        <v>548</v>
      </c>
      <c r="X2464" s="33" t="str">
        <f>+VLOOKUP(OtherClients[[#This Row],[Part]],PartControl!$A$2:$E$564,5,FALSE)</f>
        <v>infasco</v>
      </c>
      <c r="Y2464" s="108">
        <f>IF(OtherClients[[#This Row],[Re-certified or New]]&lt;&gt;"Re-certified",IF(OtherClients[[#This Row],[Client]]="infasco",VLOOKUP(OtherClients[[#This Row],[Part]],PartControl!$A$2:$E$564,2,FALSE),OtherClients[[#This Row],[Total Quantity]]*VLOOKUP(OtherClients[[#This Row],[Part]],PartControl!$A$2:$E$564,2,FALSE)),0)</f>
        <v>106.94</v>
      </c>
      <c r="Z2464" s="108">
        <f>IF(OtherClients[[#This Row],[Re-certified or New]]&lt;&gt;"Re-certified",IF(OtherClients[[#This Row],[Client]]="infasco",VLOOKUP(OtherClients[[#This Row],[Part]],PartControl!$A$2:$E$564,2,FALSE),OtherClients[[#This Row],[Total Quantity]]*VLOOKUP(OtherClients[[#This Row],[Part]],PartControl!$A$2:$E$564,2,FALSE)),0)</f>
        <v>106.94</v>
      </c>
    </row>
    <row r="2465" spans="1:26" ht="25.15" hidden="1" customHeight="1" x14ac:dyDescent="0.25">
      <c r="A2465" s="112">
        <v>46268.708668981482</v>
      </c>
      <c r="B2465" s="5" t="s">
        <v>249</v>
      </c>
      <c r="C2465" s="5">
        <v>11612078</v>
      </c>
      <c r="D2465" s="5">
        <v>710174</v>
      </c>
      <c r="E2465" s="33">
        <v>20</v>
      </c>
      <c r="F2465" s="60">
        <v>1850</v>
      </c>
      <c r="G2465" s="60">
        <f>+OtherClients[[#This Row],[Boxes / Pieces]]*OtherClients[[#This Row],[Unit Quantity]]</f>
        <v>37000</v>
      </c>
      <c r="H2465" s="60">
        <v>4</v>
      </c>
      <c r="I2465" s="130" t="s">
        <v>278</v>
      </c>
      <c r="J2465" s="131"/>
      <c r="K2465" s="33" t="s">
        <v>278</v>
      </c>
      <c r="L2465" s="132"/>
      <c r="M2465" s="33" t="s">
        <v>278</v>
      </c>
      <c r="N2465" s="132"/>
      <c r="O2465" s="33" t="s">
        <v>278</v>
      </c>
      <c r="P2465" s="132"/>
      <c r="Q2465" s="33" t="s">
        <v>587</v>
      </c>
      <c r="R2465" s="132"/>
      <c r="S2465" s="33" t="s">
        <v>278</v>
      </c>
      <c r="T2465" s="132"/>
      <c r="U2465" s="33" t="s">
        <v>278</v>
      </c>
      <c r="V2465" s="132"/>
      <c r="W2465" s="59" t="s">
        <v>633</v>
      </c>
      <c r="X2465" s="33" t="str">
        <f>+VLOOKUP(OtherClients[[#This Row],[Part]],PartControl!$A$2:$E$564,5,FALSE)</f>
        <v>infasco</v>
      </c>
      <c r="Y2465" s="108">
        <f>IF(OtherClients[[#This Row],[Re-certified or New]]&lt;&gt;"Re-certified",IF(OtherClients[[#This Row],[Client]]="infasco",VLOOKUP(OtherClients[[#This Row],[Part]],PartControl!$A$2:$E$564,2,FALSE),OtherClients[[#This Row],[Total Quantity]]*VLOOKUP(OtherClients[[#This Row],[Part]],PartControl!$A$2:$E$564,2,FALSE)),0)</f>
        <v>0</v>
      </c>
      <c r="Z2465" s="108">
        <f>IF(OtherClients[[#This Row],[Re-certified or New]]&lt;&gt;"Re-certified",IF(OtherClients[[#This Row],[Client]]="infasco",VLOOKUP(OtherClients[[#This Row],[Part]],PartControl!$A$2:$E$564,2,FALSE),OtherClients[[#This Row],[Total Quantity]]*VLOOKUP(OtherClients[[#This Row],[Part]],PartControl!$A$2:$E$564,2,FALSE)),0)</f>
        <v>0</v>
      </c>
    </row>
    <row r="2466" spans="1:26" ht="25.15" hidden="1" customHeight="1" x14ac:dyDescent="0.25">
      <c r="A2466" s="112">
        <v>46268.708668981482</v>
      </c>
      <c r="B2466" s="5" t="s">
        <v>342</v>
      </c>
      <c r="C2466" s="5">
        <v>11546377</v>
      </c>
      <c r="D2466" s="5">
        <v>718141</v>
      </c>
      <c r="E2466" s="33">
        <f>37-12</f>
        <v>25</v>
      </c>
      <c r="F2466" s="60">
        <v>2150</v>
      </c>
      <c r="G2466" s="60">
        <f>+OtherClients[[#This Row],[Boxes / Pieces]]*OtherClients[[#This Row],[Unit Quantity]]</f>
        <v>53750</v>
      </c>
      <c r="H2466" s="60" t="s">
        <v>898</v>
      </c>
      <c r="I2466" s="130" t="s">
        <v>278</v>
      </c>
      <c r="J2466" s="131"/>
      <c r="K2466" s="33" t="s">
        <v>278</v>
      </c>
      <c r="L2466" s="132"/>
      <c r="M2466" s="33" t="s">
        <v>278</v>
      </c>
      <c r="N2466" s="132"/>
      <c r="O2466" s="33" t="s">
        <v>278</v>
      </c>
      <c r="P2466" s="132"/>
      <c r="Q2466" s="33" t="s">
        <v>587</v>
      </c>
      <c r="R2466" s="132"/>
      <c r="S2466" s="33" t="s">
        <v>278</v>
      </c>
      <c r="T2466" s="132"/>
      <c r="U2466" s="33" t="s">
        <v>278</v>
      </c>
      <c r="V2466" s="132"/>
      <c r="W2466" s="59" t="s">
        <v>548</v>
      </c>
      <c r="X2466" s="33" t="str">
        <f>+VLOOKUP(OtherClients[[#This Row],[Part]],PartControl!$A$2:$E$564,5,FALSE)</f>
        <v>INFASCO</v>
      </c>
      <c r="Y2466" s="108">
        <f>IF(OtherClients[[#This Row],[Re-certified or New]]&lt;&gt;"Re-certified",IF(OtherClients[[#This Row],[Client]]="infasco",VLOOKUP(OtherClients[[#This Row],[Part]],PartControl!$A$2:$E$564,2,FALSE),OtherClients[[#This Row],[Total Quantity]]*VLOOKUP(OtherClients[[#This Row],[Part]],PartControl!$A$2:$E$564,2,FALSE)),0)</f>
        <v>106.94</v>
      </c>
      <c r="Z2466" s="108">
        <f>IF(OtherClients[[#This Row],[Re-certified or New]]&lt;&gt;"Re-certified",IF(OtherClients[[#This Row],[Client]]="infasco",VLOOKUP(OtherClients[[#This Row],[Part]],PartControl!$A$2:$E$564,2,FALSE),OtherClients[[#This Row],[Total Quantity]]*VLOOKUP(OtherClients[[#This Row],[Part]],PartControl!$A$2:$E$564,2,FALSE)),0)</f>
        <v>106.94</v>
      </c>
    </row>
    <row r="2467" spans="1:26" ht="25.15" hidden="1" customHeight="1" x14ac:dyDescent="0.25">
      <c r="A2467" s="112">
        <v>46268.708668981482</v>
      </c>
      <c r="B2467" s="5" t="s">
        <v>342</v>
      </c>
      <c r="C2467" s="5" t="s">
        <v>646</v>
      </c>
      <c r="D2467" s="5">
        <v>716996</v>
      </c>
      <c r="E2467" s="33">
        <v>36</v>
      </c>
      <c r="F2467" s="60">
        <v>290</v>
      </c>
      <c r="G2467" s="60">
        <f>+OtherClients[[#This Row],[Boxes / Pieces]]*OtherClients[[#This Row],[Unit Quantity]]</f>
        <v>10440</v>
      </c>
      <c r="H2467" s="60" t="s">
        <v>898</v>
      </c>
      <c r="I2467" s="130" t="s">
        <v>278</v>
      </c>
      <c r="J2467" s="131"/>
      <c r="K2467" s="33" t="s">
        <v>278</v>
      </c>
      <c r="L2467" s="132"/>
      <c r="M2467" s="33" t="s">
        <v>278</v>
      </c>
      <c r="N2467" s="132"/>
      <c r="O2467" s="33" t="s">
        <v>278</v>
      </c>
      <c r="P2467" s="132"/>
      <c r="Q2467" s="33" t="s">
        <v>587</v>
      </c>
      <c r="R2467" s="132"/>
      <c r="S2467" s="33" t="s">
        <v>278</v>
      </c>
      <c r="T2467" s="132"/>
      <c r="U2467" s="33" t="s">
        <v>278</v>
      </c>
      <c r="V2467" s="132"/>
      <c r="W2467" s="59" t="s">
        <v>548</v>
      </c>
      <c r="X2467" s="33" t="str">
        <f>+VLOOKUP(OtherClients[[#This Row],[Part]],PartControl!$A$2:$E$564,5,FALSE)</f>
        <v>infasco</v>
      </c>
      <c r="Y2467" s="108">
        <f>IF(OtherClients[[#This Row],[Re-certified or New]]&lt;&gt;"Re-certified",IF(OtherClients[[#This Row],[Client]]="infasco",VLOOKUP(OtherClients[[#This Row],[Part]],PartControl!$A$2:$E$564,2,FALSE),OtherClients[[#This Row],[Total Quantity]]*VLOOKUP(OtherClients[[#This Row],[Part]],PartControl!$A$2:$E$564,2,FALSE)),0)</f>
        <v>106.94</v>
      </c>
      <c r="Z2467" s="108">
        <f>IF(OtherClients[[#This Row],[Re-certified or New]]&lt;&gt;"Re-certified",IF(OtherClients[[#This Row],[Client]]="infasco",VLOOKUP(OtherClients[[#This Row],[Part]],PartControl!$A$2:$E$564,2,FALSE),OtherClients[[#This Row],[Total Quantity]]*VLOOKUP(OtherClients[[#This Row],[Part]],PartControl!$A$2:$E$564,2,FALSE)),0)</f>
        <v>106.94</v>
      </c>
    </row>
    <row r="2468" spans="1:26" ht="25.15" hidden="1" customHeight="1" x14ac:dyDescent="0.25">
      <c r="A2468" s="112">
        <v>46268.708668981482</v>
      </c>
      <c r="B2468" s="5" t="s">
        <v>342</v>
      </c>
      <c r="C2468" s="5" t="s">
        <v>646</v>
      </c>
      <c r="D2468" s="5">
        <v>716995</v>
      </c>
      <c r="E2468" s="33">
        <f>36+14</f>
        <v>50</v>
      </c>
      <c r="F2468" s="60">
        <v>290</v>
      </c>
      <c r="G2468" s="60">
        <f>+OtherClients[[#This Row],[Boxes / Pieces]]*OtherClients[[#This Row],[Unit Quantity]]</f>
        <v>14500</v>
      </c>
      <c r="H2468" s="60" t="s">
        <v>898</v>
      </c>
      <c r="I2468" s="130" t="s">
        <v>278</v>
      </c>
      <c r="J2468" s="131"/>
      <c r="K2468" s="33" t="s">
        <v>278</v>
      </c>
      <c r="L2468" s="132"/>
      <c r="M2468" s="33" t="s">
        <v>278</v>
      </c>
      <c r="N2468" s="132"/>
      <c r="O2468" s="33" t="s">
        <v>278</v>
      </c>
      <c r="P2468" s="132"/>
      <c r="Q2468" s="33" t="s">
        <v>587</v>
      </c>
      <c r="R2468" s="132"/>
      <c r="S2468" s="33" t="s">
        <v>278</v>
      </c>
      <c r="T2468" s="132"/>
      <c r="U2468" s="33" t="s">
        <v>278</v>
      </c>
      <c r="V2468" s="132"/>
      <c r="W2468" s="59" t="s">
        <v>548</v>
      </c>
      <c r="X2468" s="33" t="str">
        <f>+VLOOKUP(OtherClients[[#This Row],[Part]],PartControl!$A$2:$E$564,5,FALSE)</f>
        <v>infasco</v>
      </c>
      <c r="Y2468" s="108">
        <f>IF(OtherClients[[#This Row],[Re-certified or New]]&lt;&gt;"Re-certified",IF(OtherClients[[#This Row],[Client]]="infasco",VLOOKUP(OtherClients[[#This Row],[Part]],PartControl!$A$2:$E$564,2,FALSE),OtherClients[[#This Row],[Total Quantity]]*VLOOKUP(OtherClients[[#This Row],[Part]],PartControl!$A$2:$E$564,2,FALSE)),0)</f>
        <v>106.94</v>
      </c>
      <c r="Z2468" s="108">
        <f>IF(OtherClients[[#This Row],[Re-certified or New]]&lt;&gt;"Re-certified",IF(OtherClients[[#This Row],[Client]]="infasco",VLOOKUP(OtherClients[[#This Row],[Part]],PartControl!$A$2:$E$564,2,FALSE),OtherClients[[#This Row],[Total Quantity]]*VLOOKUP(OtherClients[[#This Row],[Part]],PartControl!$A$2:$E$564,2,FALSE)),0)</f>
        <v>106.94</v>
      </c>
    </row>
    <row r="2469" spans="1:26" ht="25.15" hidden="1" customHeight="1" x14ac:dyDescent="0.25">
      <c r="A2469" s="112">
        <v>46268.708668981482</v>
      </c>
      <c r="B2469" s="5" t="s">
        <v>342</v>
      </c>
      <c r="C2469" s="5" t="s">
        <v>905</v>
      </c>
      <c r="D2469" s="5">
        <v>716858</v>
      </c>
      <c r="E2469" s="33">
        <v>36</v>
      </c>
      <c r="F2469" s="60">
        <v>830</v>
      </c>
      <c r="G2469" s="60">
        <f>+OtherClients[[#This Row],[Boxes / Pieces]]*OtherClients[[#This Row],[Unit Quantity]]</f>
        <v>29880</v>
      </c>
      <c r="H2469" s="60" t="s">
        <v>898</v>
      </c>
      <c r="I2469" s="130" t="s">
        <v>278</v>
      </c>
      <c r="J2469" s="131"/>
      <c r="K2469" s="33" t="s">
        <v>278</v>
      </c>
      <c r="L2469" s="132"/>
      <c r="M2469" s="33" t="s">
        <v>278</v>
      </c>
      <c r="N2469" s="132"/>
      <c r="O2469" s="33" t="s">
        <v>278</v>
      </c>
      <c r="P2469" s="132"/>
      <c r="Q2469" s="33" t="s">
        <v>587</v>
      </c>
      <c r="R2469" s="132"/>
      <c r="S2469" s="33" t="s">
        <v>278</v>
      </c>
      <c r="T2469" s="132"/>
      <c r="U2469" s="33" t="s">
        <v>278</v>
      </c>
      <c r="V2469" s="132"/>
      <c r="W2469" s="59" t="s">
        <v>548</v>
      </c>
      <c r="X2469" s="33" t="str">
        <f>+VLOOKUP(OtherClients[[#This Row],[Part]],PartControl!$A$2:$E$564,5,FALSE)</f>
        <v>infasco</v>
      </c>
      <c r="Y2469" s="108">
        <f>IF(OtherClients[[#This Row],[Re-certified or New]]&lt;&gt;"Re-certified",IF(OtherClients[[#This Row],[Client]]="infasco",VLOOKUP(OtherClients[[#This Row],[Part]],PartControl!$A$2:$E$564,2,FALSE),OtherClients[[#This Row],[Total Quantity]]*VLOOKUP(OtherClients[[#This Row],[Part]],PartControl!$A$2:$E$564,2,FALSE)),0)</f>
        <v>135.08000000000001</v>
      </c>
      <c r="Z2469" s="108">
        <f>IF(OtherClients[[#This Row],[Re-certified or New]]&lt;&gt;"Re-certified",IF(OtherClients[[#This Row],[Client]]="infasco",VLOOKUP(OtherClients[[#This Row],[Part]],PartControl!$A$2:$E$564,2,FALSE),OtherClients[[#This Row],[Total Quantity]]*VLOOKUP(OtherClients[[#This Row],[Part]],PartControl!$A$2:$E$564,2,FALSE)),0)</f>
        <v>135.08000000000001</v>
      </c>
    </row>
    <row r="2470" spans="1:26" ht="25.15" hidden="1" customHeight="1" x14ac:dyDescent="0.25">
      <c r="A2470" s="112">
        <v>46268.708668981482</v>
      </c>
      <c r="B2470" s="5" t="s">
        <v>342</v>
      </c>
      <c r="C2470" s="5" t="s">
        <v>911</v>
      </c>
      <c r="D2470" s="5">
        <v>713307</v>
      </c>
      <c r="E2470" s="33">
        <v>1</v>
      </c>
      <c r="F2470" s="60">
        <v>13472</v>
      </c>
      <c r="G2470" s="60">
        <f>+OtherClients[[#This Row],[Boxes / Pieces]]*OtherClients[[#This Row],[Unit Quantity]]</f>
        <v>13472</v>
      </c>
      <c r="H2470" s="60" t="s">
        <v>898</v>
      </c>
      <c r="I2470" s="130" t="s">
        <v>278</v>
      </c>
      <c r="J2470" s="131"/>
      <c r="K2470" s="33" t="s">
        <v>278</v>
      </c>
      <c r="L2470" s="132"/>
      <c r="M2470" s="33" t="s">
        <v>278</v>
      </c>
      <c r="N2470" s="132"/>
      <c r="O2470" s="33" t="s">
        <v>278</v>
      </c>
      <c r="P2470" s="132"/>
      <c r="Q2470" s="33" t="s">
        <v>587</v>
      </c>
      <c r="R2470" s="132"/>
      <c r="S2470" s="33" t="s">
        <v>278</v>
      </c>
      <c r="T2470" s="132"/>
      <c r="U2470" s="33" t="s">
        <v>278</v>
      </c>
      <c r="V2470" s="132"/>
      <c r="W2470" s="59" t="s">
        <v>548</v>
      </c>
      <c r="X2470" s="33" t="str">
        <f>+VLOOKUP(OtherClients[[#This Row],[Part]],PartControl!$A$2:$E$564,5,FALSE)</f>
        <v>infasco</v>
      </c>
      <c r="Y2470" s="108">
        <f>IF(OtherClients[[#This Row],[Re-certified or New]]&lt;&gt;"Re-certified",IF(OtherClients[[#This Row],[Client]]="infasco",VLOOKUP(OtherClients[[#This Row],[Part]],PartControl!$A$2:$E$564,2,FALSE),OtherClients[[#This Row],[Total Quantity]]*VLOOKUP(OtherClients[[#This Row],[Part]],PartControl!$A$2:$E$564,2,FALSE)),0)</f>
        <v>129.44999999999999</v>
      </c>
      <c r="Z2470" s="108">
        <f>IF(OtherClients[[#This Row],[Re-certified or New]]&lt;&gt;"Re-certified",IF(OtherClients[[#This Row],[Client]]="infasco",VLOOKUP(OtherClients[[#This Row],[Part]],PartControl!$A$2:$E$564,2,FALSE),OtherClients[[#This Row],[Total Quantity]]*VLOOKUP(OtherClients[[#This Row],[Part]],PartControl!$A$2:$E$564,2,FALSE)),0)</f>
        <v>129.44999999999999</v>
      </c>
    </row>
    <row r="2471" spans="1:26" ht="25.15" hidden="1" customHeight="1" x14ac:dyDescent="0.25">
      <c r="A2471" s="112">
        <v>46268.708668981482</v>
      </c>
      <c r="B2471" s="5" t="s">
        <v>342</v>
      </c>
      <c r="C2471" s="5">
        <v>82246</v>
      </c>
      <c r="D2471" s="5">
        <v>717453</v>
      </c>
      <c r="E2471" s="33">
        <v>32</v>
      </c>
      <c r="F2471" s="60">
        <v>250</v>
      </c>
      <c r="G2471" s="60">
        <f>+OtherClients[[#This Row],[Boxes / Pieces]]*OtherClients[[#This Row],[Unit Quantity]]</f>
        <v>8000</v>
      </c>
      <c r="H2471" s="60" t="s">
        <v>898</v>
      </c>
      <c r="I2471" s="130" t="s">
        <v>278</v>
      </c>
      <c r="J2471" s="131"/>
      <c r="K2471" s="33" t="s">
        <v>278</v>
      </c>
      <c r="L2471" s="132"/>
      <c r="M2471" s="33" t="s">
        <v>278</v>
      </c>
      <c r="N2471" s="132"/>
      <c r="O2471" s="33" t="s">
        <v>278</v>
      </c>
      <c r="P2471" s="132"/>
      <c r="Q2471" s="33" t="s">
        <v>587</v>
      </c>
      <c r="R2471" s="132"/>
      <c r="S2471" s="33" t="s">
        <v>278</v>
      </c>
      <c r="T2471" s="132"/>
      <c r="U2471" s="33" t="s">
        <v>278</v>
      </c>
      <c r="V2471" s="132"/>
      <c r="W2471" s="59" t="s">
        <v>548</v>
      </c>
      <c r="X2471" s="33" t="str">
        <f>+VLOOKUP(OtherClients[[#This Row],[Part]],PartControl!$A$2:$E$564,5,FALSE)</f>
        <v>INFASCO</v>
      </c>
      <c r="Y2471" s="108">
        <f>IF(OtherClients[[#This Row],[Re-certified or New]]&lt;&gt;"Re-certified",IF(OtherClients[[#This Row],[Client]]="infasco",VLOOKUP(OtherClients[[#This Row],[Part]],PartControl!$A$2:$E$564,2,FALSE),OtherClients[[#This Row],[Total Quantity]]*VLOOKUP(OtherClients[[#This Row],[Part]],PartControl!$A$2:$E$564,2,FALSE)),0)</f>
        <v>280.15999999999997</v>
      </c>
      <c r="Z2471" s="108">
        <f>IF(OtherClients[[#This Row],[Re-certified or New]]&lt;&gt;"Re-certified",IF(OtherClients[[#This Row],[Client]]="infasco",VLOOKUP(OtherClients[[#This Row],[Part]],PartControl!$A$2:$E$564,2,FALSE),OtherClients[[#This Row],[Total Quantity]]*VLOOKUP(OtherClients[[#This Row],[Part]],PartControl!$A$2:$E$564,2,FALSE)),0)</f>
        <v>280.15999999999997</v>
      </c>
    </row>
    <row r="2472" spans="1:26" ht="25.15" hidden="1" customHeight="1" x14ac:dyDescent="0.25">
      <c r="A2472" s="112">
        <v>46268.708668981482</v>
      </c>
      <c r="B2472" s="5" t="s">
        <v>342</v>
      </c>
      <c r="C2472" s="5" t="s">
        <v>791</v>
      </c>
      <c r="D2472" s="5">
        <v>717975</v>
      </c>
      <c r="E2472" s="33">
        <f>36+4</f>
        <v>40</v>
      </c>
      <c r="F2472" s="60">
        <v>960</v>
      </c>
      <c r="G2472" s="60">
        <f>+OtherClients[[#This Row],[Boxes / Pieces]]*OtherClients[[#This Row],[Unit Quantity]]</f>
        <v>38400</v>
      </c>
      <c r="H2472" s="60" t="s">
        <v>898</v>
      </c>
      <c r="I2472" s="130" t="s">
        <v>278</v>
      </c>
      <c r="J2472" s="131"/>
      <c r="K2472" s="33" t="s">
        <v>278</v>
      </c>
      <c r="L2472" s="132"/>
      <c r="M2472" s="33" t="s">
        <v>278</v>
      </c>
      <c r="N2472" s="132"/>
      <c r="O2472" s="33" t="s">
        <v>278</v>
      </c>
      <c r="P2472" s="132"/>
      <c r="Q2472" s="33" t="s">
        <v>587</v>
      </c>
      <c r="R2472" s="132"/>
      <c r="S2472" s="33" t="s">
        <v>278</v>
      </c>
      <c r="T2472" s="132"/>
      <c r="U2472" s="33" t="s">
        <v>278</v>
      </c>
      <c r="V2472" s="132"/>
      <c r="W2472" s="59" t="s">
        <v>548</v>
      </c>
      <c r="X2472" s="33" t="str">
        <f>+VLOOKUP(OtherClients[[#This Row],[Part]],PartControl!$A$2:$E$564,5,FALSE)</f>
        <v>infasco</v>
      </c>
      <c r="Y2472" s="108">
        <f>IF(OtherClients[[#This Row],[Re-certified or New]]&lt;&gt;"Re-certified",IF(OtherClients[[#This Row],[Client]]="infasco",VLOOKUP(OtherClients[[#This Row],[Part]],PartControl!$A$2:$E$564,2,FALSE),OtherClients[[#This Row],[Total Quantity]]*VLOOKUP(OtherClients[[#This Row],[Part]],PartControl!$A$2:$E$564,2,FALSE)),0)</f>
        <v>223.88</v>
      </c>
      <c r="Z2472" s="108">
        <f>IF(OtherClients[[#This Row],[Re-certified or New]]&lt;&gt;"Re-certified",IF(OtherClients[[#This Row],[Client]]="infasco",VLOOKUP(OtherClients[[#This Row],[Part]],PartControl!$A$2:$E$564,2,FALSE),OtherClients[[#This Row],[Total Quantity]]*VLOOKUP(OtherClients[[#This Row],[Part]],PartControl!$A$2:$E$564,2,FALSE)),0)</f>
        <v>223.88</v>
      </c>
    </row>
    <row r="2473" spans="1:26" ht="25.15" hidden="1" customHeight="1" x14ac:dyDescent="0.25">
      <c r="A2473" s="112">
        <v>46268.708668981482</v>
      </c>
      <c r="B2473" s="5" t="s">
        <v>342</v>
      </c>
      <c r="C2473" s="5" t="s">
        <v>906</v>
      </c>
      <c r="D2473" s="5">
        <v>710204</v>
      </c>
      <c r="E2473" s="33">
        <v>5</v>
      </c>
      <c r="F2473" s="60">
        <v>1450</v>
      </c>
      <c r="G2473" s="60">
        <f>+OtherClients[[#This Row],[Boxes / Pieces]]*OtherClients[[#This Row],[Unit Quantity]]</f>
        <v>7250</v>
      </c>
      <c r="H2473" s="60" t="s">
        <v>898</v>
      </c>
      <c r="I2473" s="130" t="s">
        <v>278</v>
      </c>
      <c r="J2473" s="131"/>
      <c r="K2473" s="33" t="s">
        <v>278</v>
      </c>
      <c r="L2473" s="132"/>
      <c r="M2473" s="33" t="s">
        <v>278</v>
      </c>
      <c r="N2473" s="132"/>
      <c r="O2473" s="33" t="s">
        <v>278</v>
      </c>
      <c r="P2473" s="132"/>
      <c r="Q2473" s="33" t="s">
        <v>587</v>
      </c>
      <c r="R2473" s="132"/>
      <c r="S2473" s="33" t="s">
        <v>278</v>
      </c>
      <c r="T2473" s="132"/>
      <c r="U2473" s="33" t="s">
        <v>278</v>
      </c>
      <c r="V2473" s="132"/>
      <c r="W2473" s="59" t="s">
        <v>633</v>
      </c>
      <c r="X2473" s="33" t="str">
        <f>+VLOOKUP(OtherClients[[#This Row],[Part]],PartControl!$A$2:$E$564,5,FALSE)</f>
        <v>infasco</v>
      </c>
      <c r="Y2473" s="108">
        <f>IF(OtherClients[[#This Row],[Re-certified or New]]&lt;&gt;"Re-certified",IF(OtherClients[[#This Row],[Client]]="infasco",VLOOKUP(OtherClients[[#This Row],[Part]],PartControl!$A$2:$E$564,2,FALSE),OtherClients[[#This Row],[Total Quantity]]*VLOOKUP(OtherClients[[#This Row],[Part]],PartControl!$A$2:$E$564,2,FALSE)),0)</f>
        <v>0</v>
      </c>
      <c r="Z2473" s="108">
        <f>IF(OtherClients[[#This Row],[Re-certified or New]]&lt;&gt;"Re-certified",IF(OtherClients[[#This Row],[Client]]="infasco",VLOOKUP(OtherClients[[#This Row],[Part]],PartControl!$A$2:$E$564,2,FALSE),OtherClients[[#This Row],[Total Quantity]]*VLOOKUP(OtherClients[[#This Row],[Part]],PartControl!$A$2:$E$564,2,FALSE)),0)</f>
        <v>0</v>
      </c>
    </row>
    <row r="2474" spans="1:26" ht="25.15" hidden="1" customHeight="1" x14ac:dyDescent="0.25">
      <c r="A2474" s="112">
        <v>46268.708668981482</v>
      </c>
      <c r="B2474" s="5" t="s">
        <v>343</v>
      </c>
      <c r="C2474" s="5">
        <v>11546377</v>
      </c>
      <c r="D2474" s="5">
        <v>718133</v>
      </c>
      <c r="E2474" s="33">
        <f>36-28</f>
        <v>8</v>
      </c>
      <c r="F2474" s="60">
        <v>2150</v>
      </c>
      <c r="G2474" s="60">
        <f>+OtherClients[[#This Row],[Boxes / Pieces]]*OtherClients[[#This Row],[Unit Quantity]]</f>
        <v>17200</v>
      </c>
      <c r="H2474" s="60" t="s">
        <v>899</v>
      </c>
      <c r="I2474" s="130" t="s">
        <v>278</v>
      </c>
      <c r="J2474" s="131"/>
      <c r="K2474" s="33" t="s">
        <v>278</v>
      </c>
      <c r="L2474" s="132"/>
      <c r="M2474" s="33" t="s">
        <v>278</v>
      </c>
      <c r="N2474" s="132"/>
      <c r="O2474" s="33" t="s">
        <v>278</v>
      </c>
      <c r="P2474" s="132"/>
      <c r="Q2474" s="33" t="s">
        <v>587</v>
      </c>
      <c r="R2474" s="132"/>
      <c r="S2474" s="33" t="s">
        <v>278</v>
      </c>
      <c r="T2474" s="132"/>
      <c r="U2474" s="33" t="s">
        <v>278</v>
      </c>
      <c r="V2474" s="132"/>
      <c r="W2474" s="59" t="s">
        <v>548</v>
      </c>
      <c r="X2474" s="33" t="str">
        <f>+VLOOKUP(OtherClients[[#This Row],[Part]],PartControl!$A$2:$E$564,5,FALSE)</f>
        <v>INFASCO</v>
      </c>
      <c r="Y2474" s="108">
        <f>IF(OtherClients[[#This Row],[Re-certified or New]]&lt;&gt;"Re-certified",IF(OtherClients[[#This Row],[Client]]="infasco",VLOOKUP(OtherClients[[#This Row],[Part]],PartControl!$A$2:$E$564,2,FALSE),OtherClients[[#This Row],[Total Quantity]]*VLOOKUP(OtherClients[[#This Row],[Part]],PartControl!$A$2:$E$564,2,FALSE)),0)</f>
        <v>106.94</v>
      </c>
      <c r="Z2474" s="108">
        <f>IF(OtherClients[[#This Row],[Re-certified or New]]&lt;&gt;"Re-certified",IF(OtherClients[[#This Row],[Client]]="infasco",VLOOKUP(OtherClients[[#This Row],[Part]],PartControl!$A$2:$E$564,2,FALSE),OtherClients[[#This Row],[Total Quantity]]*VLOOKUP(OtherClients[[#This Row],[Part]],PartControl!$A$2:$E$564,2,FALSE)),0)</f>
        <v>106.94</v>
      </c>
    </row>
    <row r="2475" spans="1:26" ht="25.15" hidden="1" customHeight="1" x14ac:dyDescent="0.25">
      <c r="A2475" s="112">
        <v>46268.708668981482</v>
      </c>
      <c r="B2475" s="5" t="s">
        <v>343</v>
      </c>
      <c r="C2475" s="5">
        <v>11546377</v>
      </c>
      <c r="D2475" s="5">
        <v>718136</v>
      </c>
      <c r="E2475" s="33">
        <v>24</v>
      </c>
      <c r="F2475" s="60">
        <v>2150</v>
      </c>
      <c r="G2475" s="60">
        <f>+OtherClients[[#This Row],[Boxes / Pieces]]*OtherClients[[#This Row],[Unit Quantity]]</f>
        <v>51600</v>
      </c>
      <c r="H2475" s="60" t="s">
        <v>899</v>
      </c>
      <c r="I2475" s="130" t="s">
        <v>278</v>
      </c>
      <c r="J2475" s="131"/>
      <c r="K2475" s="33" t="s">
        <v>278</v>
      </c>
      <c r="L2475" s="132"/>
      <c r="M2475" s="33" t="s">
        <v>278</v>
      </c>
      <c r="N2475" s="132"/>
      <c r="O2475" s="33" t="s">
        <v>278</v>
      </c>
      <c r="P2475" s="132"/>
      <c r="Q2475" s="33" t="s">
        <v>587</v>
      </c>
      <c r="R2475" s="132"/>
      <c r="S2475" s="33" t="s">
        <v>278</v>
      </c>
      <c r="T2475" s="132"/>
      <c r="U2475" s="33" t="s">
        <v>278</v>
      </c>
      <c r="V2475" s="132"/>
      <c r="W2475" s="59" t="s">
        <v>548</v>
      </c>
      <c r="X2475" s="33" t="str">
        <f>+VLOOKUP(OtherClients[[#This Row],[Part]],PartControl!$A$2:$E$564,5,FALSE)</f>
        <v>INFASCO</v>
      </c>
      <c r="Y2475" s="108">
        <f>IF(OtherClients[[#This Row],[Re-certified or New]]&lt;&gt;"Re-certified",IF(OtherClients[[#This Row],[Client]]="infasco",VLOOKUP(OtherClients[[#This Row],[Part]],PartControl!$A$2:$E$564,2,FALSE),OtherClients[[#This Row],[Total Quantity]]*VLOOKUP(OtherClients[[#This Row],[Part]],PartControl!$A$2:$E$564,2,FALSE)),0)</f>
        <v>106.94</v>
      </c>
      <c r="Z2475" s="108">
        <f>IF(OtherClients[[#This Row],[Re-certified or New]]&lt;&gt;"Re-certified",IF(OtherClients[[#This Row],[Client]]="infasco",VLOOKUP(OtherClients[[#This Row],[Part]],PartControl!$A$2:$E$564,2,FALSE),OtherClients[[#This Row],[Total Quantity]]*VLOOKUP(OtherClients[[#This Row],[Part]],PartControl!$A$2:$E$564,2,FALSE)),0)</f>
        <v>106.94</v>
      </c>
    </row>
    <row r="2476" spans="1:26" ht="25.15" hidden="1" customHeight="1" x14ac:dyDescent="0.25">
      <c r="A2476" s="112">
        <v>46268.708668981482</v>
      </c>
      <c r="B2476" s="5" t="s">
        <v>343</v>
      </c>
      <c r="C2476" s="5" t="s">
        <v>907</v>
      </c>
      <c r="D2476" s="5">
        <v>716026</v>
      </c>
      <c r="E2476" s="33">
        <v>37</v>
      </c>
      <c r="F2476" s="60">
        <v>450</v>
      </c>
      <c r="G2476" s="60">
        <f>+OtherClients[[#This Row],[Boxes / Pieces]]*OtherClients[[#This Row],[Unit Quantity]]</f>
        <v>16650</v>
      </c>
      <c r="H2476" s="60" t="s">
        <v>899</v>
      </c>
      <c r="I2476" s="130" t="s">
        <v>278</v>
      </c>
      <c r="J2476" s="131"/>
      <c r="K2476" s="33" t="s">
        <v>278</v>
      </c>
      <c r="L2476" s="132"/>
      <c r="M2476" s="33" t="s">
        <v>278</v>
      </c>
      <c r="N2476" s="132"/>
      <c r="O2476" s="33" t="s">
        <v>278</v>
      </c>
      <c r="P2476" s="132"/>
      <c r="Q2476" s="33" t="s">
        <v>587</v>
      </c>
      <c r="R2476" s="132"/>
      <c r="S2476" s="33" t="s">
        <v>278</v>
      </c>
      <c r="T2476" s="132"/>
      <c r="U2476" s="33" t="s">
        <v>278</v>
      </c>
      <c r="V2476" s="132"/>
      <c r="W2476" s="59" t="s">
        <v>548</v>
      </c>
      <c r="X2476" s="33" t="str">
        <f>+VLOOKUP(OtherClients[[#This Row],[Part]],PartControl!$A$2:$E$564,5,FALSE)</f>
        <v>infasco</v>
      </c>
      <c r="Y2476" s="108">
        <f>IF(OtherClients[[#This Row],[Re-certified or New]]&lt;&gt;"Re-certified",IF(OtherClients[[#This Row],[Client]]="infasco",VLOOKUP(OtherClients[[#This Row],[Part]],PartControl!$A$2:$E$564,2,FALSE),OtherClients[[#This Row],[Total Quantity]]*VLOOKUP(OtherClients[[#This Row],[Part]],PartControl!$A$2:$E$564,2,FALSE)),0)</f>
        <v>135.08000000000001</v>
      </c>
      <c r="Z2476" s="108">
        <f>IF(OtherClients[[#This Row],[Re-certified or New]]&lt;&gt;"Re-certified",IF(OtherClients[[#This Row],[Client]]="infasco",VLOOKUP(OtherClients[[#This Row],[Part]],PartControl!$A$2:$E$564,2,FALSE),OtherClients[[#This Row],[Total Quantity]]*VLOOKUP(OtherClients[[#This Row],[Part]],PartControl!$A$2:$E$564,2,FALSE)),0)</f>
        <v>135.08000000000001</v>
      </c>
    </row>
    <row r="2477" spans="1:26" ht="25.15" hidden="1" customHeight="1" x14ac:dyDescent="0.25">
      <c r="A2477" s="112">
        <v>46268.708668981482</v>
      </c>
      <c r="B2477" s="5" t="s">
        <v>343</v>
      </c>
      <c r="C2477" s="5" t="s">
        <v>646</v>
      </c>
      <c r="D2477" s="5">
        <v>716993</v>
      </c>
      <c r="E2477" s="33">
        <f>36+12</f>
        <v>48</v>
      </c>
      <c r="F2477" s="60">
        <v>290</v>
      </c>
      <c r="G2477" s="60">
        <f>+OtherClients[[#This Row],[Boxes / Pieces]]*OtherClients[[#This Row],[Unit Quantity]]</f>
        <v>13920</v>
      </c>
      <c r="H2477" s="60" t="s">
        <v>899</v>
      </c>
      <c r="I2477" s="130" t="s">
        <v>278</v>
      </c>
      <c r="J2477" s="131"/>
      <c r="K2477" s="33" t="s">
        <v>278</v>
      </c>
      <c r="L2477" s="132"/>
      <c r="M2477" s="33" t="s">
        <v>278</v>
      </c>
      <c r="N2477" s="132"/>
      <c r="O2477" s="33" t="s">
        <v>278</v>
      </c>
      <c r="P2477" s="132"/>
      <c r="Q2477" s="33" t="s">
        <v>587</v>
      </c>
      <c r="R2477" s="132"/>
      <c r="S2477" s="33" t="s">
        <v>278</v>
      </c>
      <c r="T2477" s="132"/>
      <c r="U2477" s="33" t="s">
        <v>278</v>
      </c>
      <c r="V2477" s="132"/>
      <c r="W2477" s="59" t="s">
        <v>548</v>
      </c>
      <c r="X2477" s="33" t="str">
        <f>+VLOOKUP(OtherClients[[#This Row],[Part]],PartControl!$A$2:$E$564,5,FALSE)</f>
        <v>infasco</v>
      </c>
      <c r="Y2477" s="108">
        <f>IF(OtherClients[[#This Row],[Re-certified or New]]&lt;&gt;"Re-certified",IF(OtherClients[[#This Row],[Client]]="infasco",VLOOKUP(OtherClients[[#This Row],[Part]],PartControl!$A$2:$E$564,2,FALSE),OtherClients[[#This Row],[Total Quantity]]*VLOOKUP(OtherClients[[#This Row],[Part]],PartControl!$A$2:$E$564,2,FALSE)),0)</f>
        <v>106.94</v>
      </c>
      <c r="Z2477" s="108">
        <f>IF(OtherClients[[#This Row],[Re-certified or New]]&lt;&gt;"Re-certified",IF(OtherClients[[#This Row],[Client]]="infasco",VLOOKUP(OtherClients[[#This Row],[Part]],PartControl!$A$2:$E$564,2,FALSE),OtherClients[[#This Row],[Total Quantity]]*VLOOKUP(OtherClients[[#This Row],[Part]],PartControl!$A$2:$E$564,2,FALSE)),0)</f>
        <v>106.94</v>
      </c>
    </row>
    <row r="2478" spans="1:26" ht="25.15" hidden="1" customHeight="1" x14ac:dyDescent="0.25">
      <c r="A2478" s="112">
        <v>46268.708668981482</v>
      </c>
      <c r="B2478" s="5" t="s">
        <v>343</v>
      </c>
      <c r="C2478" s="5" t="s">
        <v>303</v>
      </c>
      <c r="D2478" s="5">
        <v>717969</v>
      </c>
      <c r="E2478" s="33">
        <v>1</v>
      </c>
      <c r="F2478" s="60">
        <v>64403</v>
      </c>
      <c r="G2478" s="60">
        <f>+OtherClients[[#This Row],[Boxes / Pieces]]*OtherClients[[#This Row],[Unit Quantity]]</f>
        <v>64403</v>
      </c>
      <c r="H2478" s="60" t="s">
        <v>899</v>
      </c>
      <c r="I2478" s="130" t="s">
        <v>278</v>
      </c>
      <c r="J2478" s="131"/>
      <c r="K2478" s="33" t="s">
        <v>278</v>
      </c>
      <c r="L2478" s="132"/>
      <c r="M2478" s="33" t="s">
        <v>278</v>
      </c>
      <c r="N2478" s="132"/>
      <c r="O2478" s="33" t="s">
        <v>278</v>
      </c>
      <c r="P2478" s="132"/>
      <c r="Q2478" s="33" t="s">
        <v>587</v>
      </c>
      <c r="R2478" s="132"/>
      <c r="S2478" s="33" t="s">
        <v>278</v>
      </c>
      <c r="T2478" s="132"/>
      <c r="U2478" s="33" t="s">
        <v>278</v>
      </c>
      <c r="V2478" s="132"/>
      <c r="W2478" s="59" t="s">
        <v>548</v>
      </c>
      <c r="X2478" s="33" t="str">
        <f>+VLOOKUP(OtherClients[[#This Row],[Part]],PartControl!$A$2:$E$564,5,FALSE)</f>
        <v>INFASCO</v>
      </c>
      <c r="Y2478" s="108">
        <f>IF(OtherClients[[#This Row],[Re-certified or New]]&lt;&gt;"Re-certified",IF(OtherClients[[#This Row],[Client]]="infasco",VLOOKUP(OtherClients[[#This Row],[Part]],PartControl!$A$2:$E$564,2,FALSE),OtherClients[[#This Row],[Total Quantity]]*VLOOKUP(OtherClients[[#This Row],[Part]],PartControl!$A$2:$E$564,2,FALSE)),0)</f>
        <v>129.44999999999999</v>
      </c>
      <c r="Z2478" s="108">
        <f>IF(OtherClients[[#This Row],[Re-certified or New]]&lt;&gt;"Re-certified",IF(OtherClients[[#This Row],[Client]]="infasco",VLOOKUP(OtherClients[[#This Row],[Part]],PartControl!$A$2:$E$564,2,FALSE),OtherClients[[#This Row],[Total Quantity]]*VLOOKUP(OtherClients[[#This Row],[Part]],PartControl!$A$2:$E$564,2,FALSE)),0)</f>
        <v>129.44999999999999</v>
      </c>
    </row>
    <row r="2479" spans="1:26" ht="25.15" hidden="1" customHeight="1" x14ac:dyDescent="0.25">
      <c r="A2479" s="112">
        <v>46268.708668981482</v>
      </c>
      <c r="B2479" s="5" t="s">
        <v>343</v>
      </c>
      <c r="C2479" s="5" t="s">
        <v>908</v>
      </c>
      <c r="D2479" s="5">
        <v>711385</v>
      </c>
      <c r="E2479" s="33">
        <v>18</v>
      </c>
      <c r="F2479" s="60">
        <v>180</v>
      </c>
      <c r="G2479" s="60">
        <f>+OtherClients[[#This Row],[Boxes / Pieces]]*OtherClients[[#This Row],[Unit Quantity]]</f>
        <v>3240</v>
      </c>
      <c r="H2479" s="60" t="s">
        <v>899</v>
      </c>
      <c r="I2479" s="130" t="s">
        <v>278</v>
      </c>
      <c r="J2479" s="131"/>
      <c r="K2479" s="33" t="s">
        <v>278</v>
      </c>
      <c r="L2479" s="132"/>
      <c r="M2479" s="33" t="s">
        <v>278</v>
      </c>
      <c r="N2479" s="132"/>
      <c r="O2479" s="33" t="s">
        <v>278</v>
      </c>
      <c r="P2479" s="132"/>
      <c r="Q2479" s="33" t="s">
        <v>587</v>
      </c>
      <c r="R2479" s="132"/>
      <c r="S2479" s="33" t="s">
        <v>278</v>
      </c>
      <c r="T2479" s="132"/>
      <c r="U2479" s="33" t="s">
        <v>278</v>
      </c>
      <c r="V2479" s="132"/>
      <c r="W2479" s="59" t="s">
        <v>548</v>
      </c>
      <c r="X2479" s="33" t="str">
        <f>+VLOOKUP(OtherClients[[#This Row],[Part]],PartControl!$A$2:$E$564,5,FALSE)</f>
        <v>infasco</v>
      </c>
      <c r="Y2479" s="108">
        <f>IF(OtherClients[[#This Row],[Re-certified or New]]&lt;&gt;"Re-certified",IF(OtherClients[[#This Row],[Client]]="infasco",VLOOKUP(OtherClients[[#This Row],[Part]],PartControl!$A$2:$E$564,2,FALSE),OtherClients[[#This Row],[Total Quantity]]*VLOOKUP(OtherClients[[#This Row],[Part]],PartControl!$A$2:$E$564,2,FALSE)),0)</f>
        <v>270.16000000000003</v>
      </c>
      <c r="Z2479" s="108">
        <f>IF(OtherClients[[#This Row],[Re-certified or New]]&lt;&gt;"Re-certified",IF(OtherClients[[#This Row],[Client]]="infasco",VLOOKUP(OtherClients[[#This Row],[Part]],PartControl!$A$2:$E$564,2,FALSE),OtherClients[[#This Row],[Total Quantity]]*VLOOKUP(OtherClients[[#This Row],[Part]],PartControl!$A$2:$E$564,2,FALSE)),0)</f>
        <v>270.16000000000003</v>
      </c>
    </row>
    <row r="2480" spans="1:26" ht="25.15" hidden="1" customHeight="1" x14ac:dyDescent="0.25">
      <c r="A2480" s="112">
        <v>46268.708668981482</v>
      </c>
      <c r="B2480" s="5" t="s">
        <v>343</v>
      </c>
      <c r="C2480" s="5">
        <v>11518428</v>
      </c>
      <c r="D2480" s="5">
        <v>717988</v>
      </c>
      <c r="E2480" s="33">
        <v>22</v>
      </c>
      <c r="F2480" s="60">
        <v>1200</v>
      </c>
      <c r="G2480" s="60">
        <f>+OtherClients[[#This Row],[Boxes / Pieces]]*OtherClients[[#This Row],[Unit Quantity]]</f>
        <v>26400</v>
      </c>
      <c r="H2480" s="60" t="s">
        <v>899</v>
      </c>
      <c r="I2480" s="130" t="s">
        <v>278</v>
      </c>
      <c r="J2480" s="131"/>
      <c r="K2480" s="33" t="s">
        <v>278</v>
      </c>
      <c r="L2480" s="132"/>
      <c r="M2480" s="33" t="s">
        <v>278</v>
      </c>
      <c r="N2480" s="132"/>
      <c r="O2480" s="33" t="s">
        <v>278</v>
      </c>
      <c r="P2480" s="132"/>
      <c r="Q2480" s="33" t="s">
        <v>587</v>
      </c>
      <c r="R2480" s="132"/>
      <c r="S2480" s="33" t="s">
        <v>278</v>
      </c>
      <c r="T2480" s="132"/>
      <c r="U2480" s="33" t="s">
        <v>278</v>
      </c>
      <c r="V2480" s="132"/>
      <c r="W2480" s="59" t="s">
        <v>548</v>
      </c>
      <c r="X2480" s="33" t="str">
        <f>+VLOOKUP(OtherClients[[#This Row],[Part]],PartControl!$A$2:$E$564,5,FALSE)</f>
        <v>infasco</v>
      </c>
      <c r="Y2480" s="108">
        <f>IF(OtherClients[[#This Row],[Re-certified or New]]&lt;&gt;"Re-certified",IF(OtherClients[[#This Row],[Client]]="infasco",VLOOKUP(OtherClients[[#This Row],[Part]],PartControl!$A$2:$E$564,2,FALSE),OtherClients[[#This Row],[Total Quantity]]*VLOOKUP(OtherClients[[#This Row],[Part]],PartControl!$A$2:$E$564,2,FALSE)),0)</f>
        <v>106.94</v>
      </c>
      <c r="Z2480" s="108">
        <f>IF(OtherClients[[#This Row],[Re-certified or New]]&lt;&gt;"Re-certified",IF(OtherClients[[#This Row],[Client]]="infasco",VLOOKUP(OtherClients[[#This Row],[Part]],PartControl!$A$2:$E$564,2,FALSE),OtherClients[[#This Row],[Total Quantity]]*VLOOKUP(OtherClients[[#This Row],[Part]],PartControl!$A$2:$E$564,2,FALSE)),0)</f>
        <v>106.94</v>
      </c>
    </row>
    <row r="2481" spans="1:26" ht="25.15" hidden="1" customHeight="1" x14ac:dyDescent="0.25">
      <c r="A2481" s="112">
        <v>46268.708668981482</v>
      </c>
      <c r="B2481" s="5" t="s">
        <v>343</v>
      </c>
      <c r="C2481" s="5" t="s">
        <v>906</v>
      </c>
      <c r="D2481" s="5">
        <v>710203</v>
      </c>
      <c r="E2481" s="33">
        <v>2</v>
      </c>
      <c r="F2481" s="60">
        <v>1450</v>
      </c>
      <c r="G2481" s="60">
        <f>+OtherClients[[#This Row],[Boxes / Pieces]]*OtherClients[[#This Row],[Unit Quantity]]</f>
        <v>2900</v>
      </c>
      <c r="H2481" s="60" t="s">
        <v>899</v>
      </c>
      <c r="I2481" s="130" t="s">
        <v>278</v>
      </c>
      <c r="J2481" s="131"/>
      <c r="K2481" s="33" t="s">
        <v>278</v>
      </c>
      <c r="L2481" s="132"/>
      <c r="M2481" s="33" t="s">
        <v>278</v>
      </c>
      <c r="N2481" s="132"/>
      <c r="O2481" s="33" t="s">
        <v>278</v>
      </c>
      <c r="P2481" s="132"/>
      <c r="Q2481" s="33" t="s">
        <v>587</v>
      </c>
      <c r="R2481" s="132"/>
      <c r="S2481" s="33" t="s">
        <v>278</v>
      </c>
      <c r="T2481" s="132"/>
      <c r="U2481" s="33" t="s">
        <v>278</v>
      </c>
      <c r="V2481" s="132"/>
      <c r="W2481" s="59" t="s">
        <v>633</v>
      </c>
      <c r="X2481" s="33" t="str">
        <f>+VLOOKUP(OtherClients[[#This Row],[Part]],PartControl!$A$2:$E$564,5,FALSE)</f>
        <v>infasco</v>
      </c>
      <c r="Y2481" s="108">
        <f>IF(OtherClients[[#This Row],[Re-certified or New]]&lt;&gt;"Re-certified",IF(OtherClients[[#This Row],[Client]]="infasco",VLOOKUP(OtherClients[[#This Row],[Part]],PartControl!$A$2:$E$564,2,FALSE),OtherClients[[#This Row],[Total Quantity]]*VLOOKUP(OtherClients[[#This Row],[Part]],PartControl!$A$2:$E$564,2,FALSE)),0)</f>
        <v>0</v>
      </c>
      <c r="Z2481" s="108">
        <f>IF(OtherClients[[#This Row],[Re-certified or New]]&lt;&gt;"Re-certified",IF(OtherClients[[#This Row],[Client]]="infasco",VLOOKUP(OtherClients[[#This Row],[Part]],PartControl!$A$2:$E$564,2,FALSE),OtherClients[[#This Row],[Total Quantity]]*VLOOKUP(OtherClients[[#This Row],[Part]],PartControl!$A$2:$E$564,2,FALSE)),0)</f>
        <v>0</v>
      </c>
    </row>
    <row r="2482" spans="1:26" ht="25.15" hidden="1" customHeight="1" x14ac:dyDescent="0.25">
      <c r="A2482" s="112">
        <v>46268.708668981482</v>
      </c>
      <c r="B2482" s="5" t="s">
        <v>345</v>
      </c>
      <c r="C2482" s="5" t="s">
        <v>649</v>
      </c>
      <c r="D2482" s="5">
        <v>717107</v>
      </c>
      <c r="E2482" s="33">
        <v>29</v>
      </c>
      <c r="F2482" s="60">
        <v>1250</v>
      </c>
      <c r="G2482" s="60">
        <f>+OtherClients[[#This Row],[Boxes / Pieces]]*OtherClients[[#This Row],[Unit Quantity]]</f>
        <v>36250</v>
      </c>
      <c r="H2482" s="60" t="s">
        <v>896</v>
      </c>
      <c r="I2482" s="130" t="s">
        <v>278</v>
      </c>
      <c r="J2482" s="131"/>
      <c r="K2482" s="33" t="s">
        <v>278</v>
      </c>
      <c r="L2482" s="132"/>
      <c r="M2482" s="33" t="s">
        <v>278</v>
      </c>
      <c r="N2482" s="132"/>
      <c r="O2482" s="33" t="s">
        <v>278</v>
      </c>
      <c r="P2482" s="132"/>
      <c r="Q2482" s="33" t="s">
        <v>587</v>
      </c>
      <c r="R2482" s="132"/>
      <c r="S2482" s="33" t="s">
        <v>278</v>
      </c>
      <c r="T2482" s="132"/>
      <c r="U2482" s="33" t="s">
        <v>278</v>
      </c>
      <c r="V2482" s="132"/>
      <c r="W2482" s="59" t="s">
        <v>548</v>
      </c>
      <c r="X2482" s="33" t="str">
        <f>+VLOOKUP(OtherClients[[#This Row],[Part]],PartControl!$A$2:$E$564,5,FALSE)</f>
        <v>infasco</v>
      </c>
      <c r="Y2482" s="108">
        <f>IF(OtherClients[[#This Row],[Re-certified or New]]&lt;&gt;"Re-certified",IF(OtherClients[[#This Row],[Client]]="infasco",VLOOKUP(OtherClients[[#This Row],[Part]],PartControl!$A$2:$E$564,2,FALSE),OtherClients[[#This Row],[Total Quantity]]*VLOOKUP(OtherClients[[#This Row],[Part]],PartControl!$A$2:$E$564,2,FALSE)),0)</f>
        <v>135.07999999999998</v>
      </c>
      <c r="Z2482" s="108">
        <f>IF(OtherClients[[#This Row],[Re-certified or New]]&lt;&gt;"Re-certified",IF(OtherClients[[#This Row],[Client]]="infasco",VLOOKUP(OtherClients[[#This Row],[Part]],PartControl!$A$2:$E$564,2,FALSE),OtherClients[[#This Row],[Total Quantity]]*VLOOKUP(OtherClients[[#This Row],[Part]],PartControl!$A$2:$E$564,2,FALSE)),0)</f>
        <v>135.07999999999998</v>
      </c>
    </row>
    <row r="2483" spans="1:26" ht="25.15" hidden="1" customHeight="1" x14ac:dyDescent="0.25">
      <c r="A2483" s="112">
        <v>46268.708668981482</v>
      </c>
      <c r="B2483" s="5" t="s">
        <v>345</v>
      </c>
      <c r="C2483" s="5">
        <v>11518428</v>
      </c>
      <c r="D2483" s="5">
        <v>717987</v>
      </c>
      <c r="E2483" s="33">
        <v>27</v>
      </c>
      <c r="F2483" s="60">
        <v>1200</v>
      </c>
      <c r="G2483" s="60">
        <f>+OtherClients[[#This Row],[Boxes / Pieces]]*OtherClients[[#This Row],[Unit Quantity]]</f>
        <v>32400</v>
      </c>
      <c r="H2483" s="60" t="s">
        <v>896</v>
      </c>
      <c r="I2483" s="130" t="s">
        <v>278</v>
      </c>
      <c r="J2483" s="131"/>
      <c r="K2483" s="33" t="s">
        <v>278</v>
      </c>
      <c r="L2483" s="132"/>
      <c r="M2483" s="33" t="s">
        <v>278</v>
      </c>
      <c r="N2483" s="132"/>
      <c r="O2483" s="33" t="s">
        <v>278</v>
      </c>
      <c r="P2483" s="132"/>
      <c r="Q2483" s="33" t="s">
        <v>587</v>
      </c>
      <c r="R2483" s="132"/>
      <c r="S2483" s="33" t="s">
        <v>278</v>
      </c>
      <c r="T2483" s="132"/>
      <c r="U2483" s="33" t="s">
        <v>278</v>
      </c>
      <c r="V2483" s="132"/>
      <c r="W2483" s="59" t="s">
        <v>548</v>
      </c>
      <c r="X2483" s="33" t="str">
        <f>+VLOOKUP(OtherClients[[#This Row],[Part]],PartControl!$A$2:$E$564,5,FALSE)</f>
        <v>infasco</v>
      </c>
      <c r="Y2483" s="108">
        <f>IF(OtherClients[[#This Row],[Re-certified or New]]&lt;&gt;"Re-certified",IF(OtherClients[[#This Row],[Client]]="infasco",VLOOKUP(OtherClients[[#This Row],[Part]],PartControl!$A$2:$E$564,2,FALSE),OtherClients[[#This Row],[Total Quantity]]*VLOOKUP(OtherClients[[#This Row],[Part]],PartControl!$A$2:$E$564,2,FALSE)),0)</f>
        <v>106.94</v>
      </c>
      <c r="Z2483" s="108">
        <f>IF(OtherClients[[#This Row],[Re-certified or New]]&lt;&gt;"Re-certified",IF(OtherClients[[#This Row],[Client]]="infasco",VLOOKUP(OtherClients[[#This Row],[Part]],PartControl!$A$2:$E$564,2,FALSE),OtherClients[[#This Row],[Total Quantity]]*VLOOKUP(OtherClients[[#This Row],[Part]],PartControl!$A$2:$E$564,2,FALSE)),0)</f>
        <v>106.94</v>
      </c>
    </row>
    <row r="2484" spans="1:26" ht="25.15" hidden="1" customHeight="1" x14ac:dyDescent="0.25">
      <c r="A2484" s="112">
        <v>46268.708668981482</v>
      </c>
      <c r="B2484" s="5" t="s">
        <v>345</v>
      </c>
      <c r="C2484" s="5" t="s">
        <v>909</v>
      </c>
      <c r="D2484" s="5">
        <v>717986</v>
      </c>
      <c r="E2484" s="33">
        <v>24</v>
      </c>
      <c r="F2484" s="60">
        <v>960</v>
      </c>
      <c r="G2484" s="60">
        <f>+OtherClients[[#This Row],[Boxes / Pieces]]*OtherClients[[#This Row],[Unit Quantity]]</f>
        <v>23040</v>
      </c>
      <c r="H2484" s="60" t="s">
        <v>896</v>
      </c>
      <c r="I2484" s="130" t="s">
        <v>278</v>
      </c>
      <c r="J2484" s="131"/>
      <c r="K2484" s="33" t="s">
        <v>278</v>
      </c>
      <c r="L2484" s="132"/>
      <c r="M2484" s="33" t="s">
        <v>278</v>
      </c>
      <c r="N2484" s="132"/>
      <c r="O2484" s="33" t="s">
        <v>278</v>
      </c>
      <c r="P2484" s="132"/>
      <c r="Q2484" s="33" t="s">
        <v>587</v>
      </c>
      <c r="R2484" s="132"/>
      <c r="S2484" s="33" t="s">
        <v>278</v>
      </c>
      <c r="T2484" s="132"/>
      <c r="U2484" s="33" t="s">
        <v>278</v>
      </c>
      <c r="V2484" s="132"/>
      <c r="W2484" s="59" t="s">
        <v>548</v>
      </c>
      <c r="X2484" s="33" t="str">
        <f>+VLOOKUP(OtherClients[[#This Row],[Part]],PartControl!$A$2:$E$564,5,FALSE)</f>
        <v>infasco</v>
      </c>
      <c r="Y2484" s="108">
        <f>IF(OtherClients[[#This Row],[Re-certified or New]]&lt;&gt;"Re-certified",IF(OtherClients[[#This Row],[Client]]="infasco",VLOOKUP(OtherClients[[#This Row],[Part]],PartControl!$A$2:$E$564,2,FALSE),OtherClients[[#This Row],[Total Quantity]]*VLOOKUP(OtherClients[[#This Row],[Part]],PartControl!$A$2:$E$564,2,FALSE)),0)</f>
        <v>224.49</v>
      </c>
      <c r="Z2484" s="108">
        <f>IF(OtherClients[[#This Row],[Re-certified or New]]&lt;&gt;"Re-certified",IF(OtherClients[[#This Row],[Client]]="infasco",VLOOKUP(OtherClients[[#This Row],[Part]],PartControl!$A$2:$E$564,2,FALSE),OtherClients[[#This Row],[Total Quantity]]*VLOOKUP(OtherClients[[#This Row],[Part]],PartControl!$A$2:$E$564,2,FALSE)),0)</f>
        <v>224.49</v>
      </c>
    </row>
    <row r="2485" spans="1:26" ht="25.15" hidden="1" customHeight="1" x14ac:dyDescent="0.25">
      <c r="A2485" s="112">
        <v>46268.708668981482</v>
      </c>
      <c r="B2485" s="5" t="s">
        <v>345</v>
      </c>
      <c r="C2485" s="5" t="s">
        <v>791</v>
      </c>
      <c r="D2485" s="5">
        <v>717976</v>
      </c>
      <c r="E2485" s="33">
        <v>22</v>
      </c>
      <c r="F2485" s="60">
        <v>960</v>
      </c>
      <c r="G2485" s="60">
        <f>+OtherClients[[#This Row],[Boxes / Pieces]]*OtherClients[[#This Row],[Unit Quantity]]</f>
        <v>21120</v>
      </c>
      <c r="H2485" s="60">
        <v>11</v>
      </c>
      <c r="I2485" s="130" t="s">
        <v>278</v>
      </c>
      <c r="J2485" s="131"/>
      <c r="K2485" s="33" t="s">
        <v>278</v>
      </c>
      <c r="L2485" s="132"/>
      <c r="M2485" s="33" t="s">
        <v>278</v>
      </c>
      <c r="N2485" s="132"/>
      <c r="O2485" s="33" t="s">
        <v>278</v>
      </c>
      <c r="P2485" s="132"/>
      <c r="Q2485" s="33" t="s">
        <v>587</v>
      </c>
      <c r="R2485" s="132"/>
      <c r="S2485" s="33" t="s">
        <v>278</v>
      </c>
      <c r="T2485" s="132"/>
      <c r="U2485" s="33" t="s">
        <v>278</v>
      </c>
      <c r="V2485" s="132"/>
      <c r="W2485" s="59" t="s">
        <v>548</v>
      </c>
      <c r="X2485" s="33" t="str">
        <f>+VLOOKUP(OtherClients[[#This Row],[Part]],PartControl!$A$2:$E$564,5,FALSE)</f>
        <v>infasco</v>
      </c>
      <c r="Y2485" s="108">
        <f>IF(OtherClients[[#This Row],[Re-certified or New]]&lt;&gt;"Re-certified",IF(OtherClients[[#This Row],[Client]]="infasco",VLOOKUP(OtherClients[[#This Row],[Part]],PartControl!$A$2:$E$564,2,FALSE),OtherClients[[#This Row],[Total Quantity]]*VLOOKUP(OtherClients[[#This Row],[Part]],PartControl!$A$2:$E$564,2,FALSE)),0)</f>
        <v>223.88</v>
      </c>
      <c r="Z2485" s="108">
        <f>IF(OtherClients[[#This Row],[Re-certified or New]]&lt;&gt;"Re-certified",IF(OtherClients[[#This Row],[Client]]="infasco",VLOOKUP(OtherClients[[#This Row],[Part]],PartControl!$A$2:$E$564,2,FALSE),OtherClients[[#This Row],[Total Quantity]]*VLOOKUP(OtherClients[[#This Row],[Part]],PartControl!$A$2:$E$564,2,FALSE)),0)</f>
        <v>223.88</v>
      </c>
    </row>
    <row r="2486" spans="1:26" ht="25.15" hidden="1" customHeight="1" x14ac:dyDescent="0.25">
      <c r="A2486" s="112">
        <v>46268.708668981482</v>
      </c>
      <c r="B2486" s="5" t="s">
        <v>345</v>
      </c>
      <c r="C2486" s="5" t="s">
        <v>691</v>
      </c>
      <c r="D2486" s="5">
        <v>714568</v>
      </c>
      <c r="E2486" s="33">
        <v>14</v>
      </c>
      <c r="F2486" s="60">
        <v>1800</v>
      </c>
      <c r="G2486" s="60">
        <f>+OtherClients[[#This Row],[Boxes / Pieces]]*OtherClients[[#This Row],[Unit Quantity]]</f>
        <v>25200</v>
      </c>
      <c r="H2486" s="60" t="s">
        <v>896</v>
      </c>
      <c r="I2486" s="130" t="s">
        <v>278</v>
      </c>
      <c r="J2486" s="131"/>
      <c r="K2486" s="33" t="s">
        <v>278</v>
      </c>
      <c r="L2486" s="132"/>
      <c r="M2486" s="33" t="s">
        <v>278</v>
      </c>
      <c r="N2486" s="132"/>
      <c r="O2486" s="33" t="s">
        <v>278</v>
      </c>
      <c r="P2486" s="132"/>
      <c r="Q2486" s="33" t="s">
        <v>587</v>
      </c>
      <c r="R2486" s="132"/>
      <c r="S2486" s="33" t="s">
        <v>278</v>
      </c>
      <c r="T2486" s="132"/>
      <c r="U2486" s="33" t="s">
        <v>278</v>
      </c>
      <c r="V2486" s="132"/>
      <c r="W2486" s="59" t="s">
        <v>548</v>
      </c>
      <c r="X2486" s="33" t="str">
        <f>+VLOOKUP(OtherClients[[#This Row],[Part]],PartControl!$A$2:$E$564,5,FALSE)</f>
        <v>infasco</v>
      </c>
      <c r="Y2486" s="108">
        <f>IF(OtherClients[[#This Row],[Re-certified or New]]&lt;&gt;"Re-certified",IF(OtherClients[[#This Row],[Client]]="infasco",VLOOKUP(OtherClients[[#This Row],[Part]],PartControl!$A$2:$E$564,2,FALSE),OtherClients[[#This Row],[Total Quantity]]*VLOOKUP(OtherClients[[#This Row],[Part]],PartControl!$A$2:$E$564,2,FALSE)),0)</f>
        <v>106.94</v>
      </c>
      <c r="Z2486" s="108">
        <f>IF(OtherClients[[#This Row],[Re-certified or New]]&lt;&gt;"Re-certified",IF(OtherClients[[#This Row],[Client]]="infasco",VLOOKUP(OtherClients[[#This Row],[Part]],PartControl!$A$2:$E$564,2,FALSE),OtherClients[[#This Row],[Total Quantity]]*VLOOKUP(OtherClients[[#This Row],[Part]],PartControl!$A$2:$E$564,2,FALSE)),0)</f>
        <v>106.94</v>
      </c>
    </row>
    <row r="2487" spans="1:26" ht="25.15" hidden="1" customHeight="1" x14ac:dyDescent="0.25">
      <c r="A2487" s="112">
        <v>46268.708668981482</v>
      </c>
      <c r="B2487" s="5" t="s">
        <v>345</v>
      </c>
      <c r="C2487" s="5">
        <v>11548535</v>
      </c>
      <c r="D2487" s="5">
        <v>716970</v>
      </c>
      <c r="E2487" s="33">
        <v>36</v>
      </c>
      <c r="F2487" s="60">
        <v>150</v>
      </c>
      <c r="G2487" s="60">
        <f>+OtherClients[[#This Row],[Boxes / Pieces]]*OtherClients[[#This Row],[Unit Quantity]]</f>
        <v>5400</v>
      </c>
      <c r="H2487" s="60" t="s">
        <v>896</v>
      </c>
      <c r="I2487" s="130" t="s">
        <v>278</v>
      </c>
      <c r="J2487" s="131"/>
      <c r="K2487" s="33" t="s">
        <v>278</v>
      </c>
      <c r="L2487" s="132"/>
      <c r="M2487" s="33" t="s">
        <v>278</v>
      </c>
      <c r="N2487" s="132"/>
      <c r="O2487" s="33" t="s">
        <v>278</v>
      </c>
      <c r="P2487" s="132"/>
      <c r="Q2487" s="33" t="s">
        <v>587</v>
      </c>
      <c r="R2487" s="132"/>
      <c r="S2487" s="33" t="s">
        <v>278</v>
      </c>
      <c r="T2487" s="132"/>
      <c r="U2487" s="33" t="s">
        <v>278</v>
      </c>
      <c r="V2487" s="132"/>
      <c r="W2487" s="59" t="s">
        <v>548</v>
      </c>
      <c r="X2487" s="33" t="str">
        <f>+VLOOKUP(OtherClients[[#This Row],[Part]],PartControl!$A$2:$E$564,5,FALSE)</f>
        <v>infasco</v>
      </c>
      <c r="Y2487" s="108">
        <f>IF(OtherClients[[#This Row],[Re-certified or New]]&lt;&gt;"Re-certified",IF(OtherClients[[#This Row],[Client]]="infasco",VLOOKUP(OtherClients[[#This Row],[Part]],PartControl!$A$2:$E$564,2,FALSE),OtherClients[[#This Row],[Total Quantity]]*VLOOKUP(OtherClients[[#This Row],[Part]],PartControl!$A$2:$E$564,2,FALSE)),0)</f>
        <v>106.94</v>
      </c>
      <c r="Z2487" s="108">
        <f>IF(OtherClients[[#This Row],[Re-certified or New]]&lt;&gt;"Re-certified",IF(OtherClients[[#This Row],[Client]]="infasco",VLOOKUP(OtherClients[[#This Row],[Part]],PartControl!$A$2:$E$564,2,FALSE),OtherClients[[#This Row],[Total Quantity]]*VLOOKUP(OtherClients[[#This Row],[Part]],PartControl!$A$2:$E$564,2,FALSE)),0)</f>
        <v>106.94</v>
      </c>
    </row>
    <row r="2488" spans="1:26" ht="25.15" hidden="1" customHeight="1" x14ac:dyDescent="0.25">
      <c r="A2488" s="112">
        <v>46268.708668981482</v>
      </c>
      <c r="B2488" s="5" t="s">
        <v>345</v>
      </c>
      <c r="C2488" s="5" t="s">
        <v>908</v>
      </c>
      <c r="D2488" s="5">
        <v>711386</v>
      </c>
      <c r="E2488" s="33">
        <v>17</v>
      </c>
      <c r="F2488" s="60">
        <v>180</v>
      </c>
      <c r="G2488" s="60">
        <f>+OtherClients[[#This Row],[Boxes / Pieces]]*OtherClients[[#This Row],[Unit Quantity]]</f>
        <v>3060</v>
      </c>
      <c r="H2488" s="60" t="s">
        <v>896</v>
      </c>
      <c r="I2488" s="130" t="s">
        <v>278</v>
      </c>
      <c r="J2488" s="131"/>
      <c r="K2488" s="33" t="s">
        <v>278</v>
      </c>
      <c r="L2488" s="132"/>
      <c r="M2488" s="33" t="s">
        <v>278</v>
      </c>
      <c r="N2488" s="132"/>
      <c r="O2488" s="33" t="s">
        <v>278</v>
      </c>
      <c r="P2488" s="132"/>
      <c r="Q2488" s="33" t="s">
        <v>587</v>
      </c>
      <c r="R2488" s="132"/>
      <c r="S2488" s="33" t="s">
        <v>278</v>
      </c>
      <c r="T2488" s="132"/>
      <c r="U2488" s="33" t="s">
        <v>278</v>
      </c>
      <c r="V2488" s="132"/>
      <c r="W2488" s="59" t="s">
        <v>548</v>
      </c>
      <c r="X2488" s="33" t="str">
        <f>+VLOOKUP(OtherClients[[#This Row],[Part]],PartControl!$A$2:$E$564,5,FALSE)</f>
        <v>infasco</v>
      </c>
      <c r="Y2488" s="108">
        <f>IF(OtherClients[[#This Row],[Re-certified or New]]&lt;&gt;"Re-certified",IF(OtherClients[[#This Row],[Client]]="infasco",VLOOKUP(OtherClients[[#This Row],[Part]],PartControl!$A$2:$E$564,2,FALSE),OtherClients[[#This Row],[Total Quantity]]*VLOOKUP(OtherClients[[#This Row],[Part]],PartControl!$A$2:$E$564,2,FALSE)),0)</f>
        <v>270.16000000000003</v>
      </c>
      <c r="Z2488" s="108">
        <f>IF(OtherClients[[#This Row],[Re-certified or New]]&lt;&gt;"Re-certified",IF(OtherClients[[#This Row],[Client]]="infasco",VLOOKUP(OtherClients[[#This Row],[Part]],PartControl!$A$2:$E$564,2,FALSE),OtherClients[[#This Row],[Total Quantity]]*VLOOKUP(OtherClients[[#This Row],[Part]],PartControl!$A$2:$E$564,2,FALSE)),0)</f>
        <v>270.16000000000003</v>
      </c>
    </row>
    <row r="2489" spans="1:26" ht="25.15" hidden="1" customHeight="1" x14ac:dyDescent="0.25">
      <c r="A2489" s="112">
        <v>46268.708668981482</v>
      </c>
      <c r="B2489" s="5" t="s">
        <v>345</v>
      </c>
      <c r="C2489" s="5" t="s">
        <v>847</v>
      </c>
      <c r="D2489" s="5">
        <v>717006</v>
      </c>
      <c r="E2489" s="33">
        <v>33</v>
      </c>
      <c r="F2489" s="60">
        <v>620</v>
      </c>
      <c r="G2489" s="60">
        <f>+OtherClients[[#This Row],[Boxes / Pieces]]*OtherClients[[#This Row],[Unit Quantity]]</f>
        <v>20460</v>
      </c>
      <c r="H2489" s="60" t="s">
        <v>896</v>
      </c>
      <c r="I2489" s="130" t="s">
        <v>278</v>
      </c>
      <c r="J2489" s="131"/>
      <c r="K2489" s="33" t="s">
        <v>278</v>
      </c>
      <c r="L2489" s="132"/>
      <c r="M2489" s="33" t="s">
        <v>278</v>
      </c>
      <c r="N2489" s="132"/>
      <c r="O2489" s="33" t="s">
        <v>278</v>
      </c>
      <c r="P2489" s="132"/>
      <c r="Q2489" s="33" t="s">
        <v>587</v>
      </c>
      <c r="R2489" s="132"/>
      <c r="S2489" s="33" t="s">
        <v>278</v>
      </c>
      <c r="T2489" s="132"/>
      <c r="U2489" s="33" t="s">
        <v>278</v>
      </c>
      <c r="V2489" s="132"/>
      <c r="W2489" s="59" t="s">
        <v>548</v>
      </c>
      <c r="X2489" s="33" t="str">
        <f>+VLOOKUP(OtherClients[[#This Row],[Part]],PartControl!$A$2:$E$564,5,FALSE)</f>
        <v>infasco</v>
      </c>
      <c r="Y2489" s="108">
        <f>IF(OtherClients[[#This Row],[Re-certified or New]]&lt;&gt;"Re-certified",IF(OtherClients[[#This Row],[Client]]="infasco",VLOOKUP(OtherClients[[#This Row],[Part]],PartControl!$A$2:$E$564,2,FALSE),OtherClients[[#This Row],[Total Quantity]]*VLOOKUP(OtherClients[[#This Row],[Part]],PartControl!$A$2:$E$564,2,FALSE)),0)</f>
        <v>135.07999999999998</v>
      </c>
      <c r="Z2489" s="108">
        <f>IF(OtherClients[[#This Row],[Re-certified or New]]&lt;&gt;"Re-certified",IF(OtherClients[[#This Row],[Client]]="infasco",VLOOKUP(OtherClients[[#This Row],[Part]],PartControl!$A$2:$E$564,2,FALSE),OtherClients[[#This Row],[Total Quantity]]*VLOOKUP(OtherClients[[#This Row],[Part]],PartControl!$A$2:$E$564,2,FALSE)),0)</f>
        <v>135.07999999999998</v>
      </c>
    </row>
    <row r="2490" spans="1:26" ht="25.15" hidden="1" customHeight="1" x14ac:dyDescent="0.25">
      <c r="A2490" s="112">
        <v>46268.708668981482</v>
      </c>
      <c r="B2490" s="5" t="s">
        <v>345</v>
      </c>
      <c r="C2490" s="5" t="s">
        <v>579</v>
      </c>
      <c r="D2490" s="5">
        <v>717534</v>
      </c>
      <c r="E2490" s="33">
        <v>23</v>
      </c>
      <c r="F2490" s="60">
        <v>1950</v>
      </c>
      <c r="G2490" s="60">
        <f>+OtherClients[[#This Row],[Boxes / Pieces]]*OtherClients[[#This Row],[Unit Quantity]]</f>
        <v>44850</v>
      </c>
      <c r="H2490" s="60" t="s">
        <v>896</v>
      </c>
      <c r="I2490" s="130" t="s">
        <v>278</v>
      </c>
      <c r="J2490" s="131"/>
      <c r="K2490" s="33" t="s">
        <v>278</v>
      </c>
      <c r="L2490" s="132"/>
      <c r="M2490" s="33" t="s">
        <v>278</v>
      </c>
      <c r="N2490" s="132"/>
      <c r="O2490" s="33" t="s">
        <v>278</v>
      </c>
      <c r="P2490" s="132"/>
      <c r="Q2490" s="33" t="s">
        <v>587</v>
      </c>
      <c r="R2490" s="132"/>
      <c r="S2490" s="33" t="s">
        <v>278</v>
      </c>
      <c r="T2490" s="132"/>
      <c r="U2490" s="33" t="s">
        <v>278</v>
      </c>
      <c r="V2490" s="132"/>
      <c r="W2490" s="59" t="s">
        <v>548</v>
      </c>
      <c r="X2490" s="33" t="str">
        <f>+VLOOKUP(OtherClients[[#This Row],[Part]],PartControl!$A$2:$E$564,5,FALSE)</f>
        <v>Infasco</v>
      </c>
      <c r="Y2490" s="108">
        <f>IF(OtherClients[[#This Row],[Re-certified or New]]&lt;&gt;"Re-certified",IF(OtherClients[[#This Row],[Client]]="infasco",VLOOKUP(OtherClients[[#This Row],[Part]],PartControl!$A$2:$E$564,2,FALSE),OtherClients[[#This Row],[Total Quantity]]*VLOOKUP(OtherClients[[#This Row],[Part]],PartControl!$A$2:$E$564,2,FALSE)),0)</f>
        <v>106.94</v>
      </c>
      <c r="Z2490" s="108">
        <f>IF(OtherClients[[#This Row],[Re-certified or New]]&lt;&gt;"Re-certified",IF(OtherClients[[#This Row],[Client]]="infasco",VLOOKUP(OtherClients[[#This Row],[Part]],PartControl!$A$2:$E$564,2,FALSE),OtherClients[[#This Row],[Total Quantity]]*VLOOKUP(OtherClients[[#This Row],[Part]],PartControl!$A$2:$E$564,2,FALSE)),0)</f>
        <v>106.94</v>
      </c>
    </row>
    <row r="2491" spans="1:26" ht="25.15" hidden="1" customHeight="1" x14ac:dyDescent="0.25">
      <c r="A2491" s="112">
        <v>46268.708668981482</v>
      </c>
      <c r="B2491" s="5" t="s">
        <v>344</v>
      </c>
      <c r="C2491" s="5">
        <v>11546377</v>
      </c>
      <c r="D2491" s="5">
        <v>718134</v>
      </c>
      <c r="E2491" s="33">
        <f>36-18</f>
        <v>18</v>
      </c>
      <c r="F2491" s="60">
        <v>2150</v>
      </c>
      <c r="G2491" s="60">
        <f>+OtherClients[[#This Row],[Boxes / Pieces]]*OtherClients[[#This Row],[Unit Quantity]]</f>
        <v>38700</v>
      </c>
      <c r="H2491" s="60" t="s">
        <v>816</v>
      </c>
      <c r="I2491" s="130" t="s">
        <v>278</v>
      </c>
      <c r="J2491" s="131"/>
      <c r="K2491" s="33" t="s">
        <v>278</v>
      </c>
      <c r="L2491" s="132"/>
      <c r="M2491" s="33" t="s">
        <v>278</v>
      </c>
      <c r="N2491" s="132"/>
      <c r="O2491" s="33" t="s">
        <v>278</v>
      </c>
      <c r="P2491" s="132"/>
      <c r="Q2491" s="33" t="s">
        <v>587</v>
      </c>
      <c r="R2491" s="132"/>
      <c r="S2491" s="33" t="s">
        <v>278</v>
      </c>
      <c r="T2491" s="132"/>
      <c r="U2491" s="33" t="s">
        <v>278</v>
      </c>
      <c r="V2491" s="132"/>
      <c r="W2491" s="59" t="s">
        <v>548</v>
      </c>
      <c r="X2491" s="33" t="str">
        <f>+VLOOKUP(OtherClients[[#This Row],[Part]],PartControl!$A$2:$E$564,5,FALSE)</f>
        <v>INFASCO</v>
      </c>
      <c r="Y2491" s="108">
        <f>IF(OtherClients[[#This Row],[Re-certified or New]]&lt;&gt;"Re-certified",IF(OtherClients[[#This Row],[Client]]="infasco",VLOOKUP(OtherClients[[#This Row],[Part]],PartControl!$A$2:$E$564,2,FALSE),OtherClients[[#This Row],[Total Quantity]]*VLOOKUP(OtherClients[[#This Row],[Part]],PartControl!$A$2:$E$564,2,FALSE)),0)</f>
        <v>106.94</v>
      </c>
      <c r="Z2491" s="108">
        <f>IF(OtherClients[[#This Row],[Re-certified or New]]&lt;&gt;"Re-certified",IF(OtherClients[[#This Row],[Client]]="infasco",VLOOKUP(OtherClients[[#This Row],[Part]],PartControl!$A$2:$E$564,2,FALSE),OtherClients[[#This Row],[Total Quantity]]*VLOOKUP(OtherClients[[#This Row],[Part]],PartControl!$A$2:$E$564,2,FALSE)),0)</f>
        <v>106.94</v>
      </c>
    </row>
    <row r="2492" spans="1:26" ht="25.15" hidden="1" customHeight="1" x14ac:dyDescent="0.25">
      <c r="A2492" s="112">
        <v>46268.708668981482</v>
      </c>
      <c r="B2492" s="5" t="s">
        <v>344</v>
      </c>
      <c r="C2492" s="5" t="s">
        <v>579</v>
      </c>
      <c r="D2492" s="5">
        <v>717533</v>
      </c>
      <c r="E2492" s="33">
        <v>29</v>
      </c>
      <c r="F2492" s="60">
        <v>1950</v>
      </c>
      <c r="G2492" s="60">
        <f>+OtherClients[[#This Row],[Boxes / Pieces]]*OtherClients[[#This Row],[Unit Quantity]]</f>
        <v>56550</v>
      </c>
      <c r="H2492" s="60" t="s">
        <v>816</v>
      </c>
      <c r="I2492" s="130" t="s">
        <v>278</v>
      </c>
      <c r="J2492" s="131"/>
      <c r="K2492" s="33" t="s">
        <v>278</v>
      </c>
      <c r="L2492" s="132"/>
      <c r="M2492" s="33" t="s">
        <v>278</v>
      </c>
      <c r="N2492" s="132"/>
      <c r="O2492" s="33" t="s">
        <v>278</v>
      </c>
      <c r="P2492" s="132"/>
      <c r="Q2492" s="33" t="s">
        <v>587</v>
      </c>
      <c r="R2492" s="132"/>
      <c r="S2492" s="33" t="s">
        <v>278</v>
      </c>
      <c r="T2492" s="132"/>
      <c r="U2492" s="33" t="s">
        <v>278</v>
      </c>
      <c r="V2492" s="132"/>
      <c r="W2492" s="59" t="s">
        <v>548</v>
      </c>
      <c r="X2492" s="33" t="str">
        <f>+VLOOKUP(OtherClients[[#This Row],[Part]],PartControl!$A$2:$E$564,5,FALSE)</f>
        <v>Infasco</v>
      </c>
      <c r="Y2492" s="108">
        <f>IF(OtherClients[[#This Row],[Re-certified or New]]&lt;&gt;"Re-certified",IF(OtherClients[[#This Row],[Client]]="infasco",VLOOKUP(OtherClients[[#This Row],[Part]],PartControl!$A$2:$E$564,2,FALSE),OtherClients[[#This Row],[Total Quantity]]*VLOOKUP(OtherClients[[#This Row],[Part]],PartControl!$A$2:$E$564,2,FALSE)),0)</f>
        <v>106.94</v>
      </c>
      <c r="Z2492" s="108">
        <f>IF(OtherClients[[#This Row],[Re-certified or New]]&lt;&gt;"Re-certified",IF(OtherClients[[#This Row],[Client]]="infasco",VLOOKUP(OtherClients[[#This Row],[Part]],PartControl!$A$2:$E$564,2,FALSE),OtherClients[[#This Row],[Total Quantity]]*VLOOKUP(OtherClients[[#This Row],[Part]],PartControl!$A$2:$E$564,2,FALSE)),0)</f>
        <v>106.94</v>
      </c>
    </row>
    <row r="2493" spans="1:26" ht="25.15" hidden="1" customHeight="1" x14ac:dyDescent="0.25">
      <c r="A2493" s="112">
        <v>46268.708668981482</v>
      </c>
      <c r="B2493" s="5" t="s">
        <v>344</v>
      </c>
      <c r="C2493" s="5" t="s">
        <v>876</v>
      </c>
      <c r="D2493" s="5">
        <v>716835</v>
      </c>
      <c r="E2493" s="33">
        <v>16</v>
      </c>
      <c r="F2493" s="60">
        <v>3000</v>
      </c>
      <c r="G2493" s="60">
        <f>+OtherClients[[#This Row],[Boxes / Pieces]]*OtherClients[[#This Row],[Unit Quantity]]</f>
        <v>48000</v>
      </c>
      <c r="H2493" s="60" t="s">
        <v>816</v>
      </c>
      <c r="I2493" s="130" t="s">
        <v>278</v>
      </c>
      <c r="J2493" s="131"/>
      <c r="K2493" s="33" t="s">
        <v>278</v>
      </c>
      <c r="L2493" s="132"/>
      <c r="M2493" s="33" t="s">
        <v>278</v>
      </c>
      <c r="N2493" s="132"/>
      <c r="O2493" s="33" t="s">
        <v>278</v>
      </c>
      <c r="P2493" s="132"/>
      <c r="Q2493" s="33" t="s">
        <v>587</v>
      </c>
      <c r="R2493" s="132"/>
      <c r="S2493" s="33" t="s">
        <v>278</v>
      </c>
      <c r="T2493" s="132"/>
      <c r="U2493" s="33" t="s">
        <v>278</v>
      </c>
      <c r="V2493" s="132"/>
      <c r="W2493" s="59" t="s">
        <v>548</v>
      </c>
      <c r="X2493" s="33" t="str">
        <f>+VLOOKUP(OtherClients[[#This Row],[Part]],PartControl!$A$2:$E$564,5,FALSE)</f>
        <v>infasco</v>
      </c>
      <c r="Y2493" s="108">
        <f>IF(OtherClients[[#This Row],[Re-certified or New]]&lt;&gt;"Re-certified",IF(OtherClients[[#This Row],[Client]]="infasco",VLOOKUP(OtherClients[[#This Row],[Part]],PartControl!$A$2:$E$564,2,FALSE),OtherClients[[#This Row],[Total Quantity]]*VLOOKUP(OtherClients[[#This Row],[Part]],PartControl!$A$2:$E$564,2,FALSE)),0)</f>
        <v>106.94</v>
      </c>
      <c r="Z2493" s="108">
        <f>IF(OtherClients[[#This Row],[Re-certified or New]]&lt;&gt;"Re-certified",IF(OtherClients[[#This Row],[Client]]="infasco",VLOOKUP(OtherClients[[#This Row],[Part]],PartControl!$A$2:$E$564,2,FALSE),OtherClients[[#This Row],[Total Quantity]]*VLOOKUP(OtherClients[[#This Row],[Part]],PartControl!$A$2:$E$564,2,FALSE)),0)</f>
        <v>106.94</v>
      </c>
    </row>
    <row r="2494" spans="1:26" ht="25.15" hidden="1" customHeight="1" x14ac:dyDescent="0.25">
      <c r="A2494" s="112">
        <v>46268.708668981482</v>
      </c>
      <c r="B2494" s="5" t="s">
        <v>344</v>
      </c>
      <c r="C2494" s="5" t="s">
        <v>910</v>
      </c>
      <c r="D2494" s="5">
        <v>716052</v>
      </c>
      <c r="E2494" s="33">
        <v>5</v>
      </c>
      <c r="F2494" s="60">
        <v>1850</v>
      </c>
      <c r="G2494" s="60">
        <f>+OtherClients[[#This Row],[Boxes / Pieces]]*OtherClients[[#This Row],[Unit Quantity]]</f>
        <v>9250</v>
      </c>
      <c r="H2494" s="60" t="s">
        <v>816</v>
      </c>
      <c r="I2494" s="130" t="s">
        <v>278</v>
      </c>
      <c r="J2494" s="131"/>
      <c r="K2494" s="33" t="s">
        <v>278</v>
      </c>
      <c r="L2494" s="132"/>
      <c r="M2494" s="33" t="s">
        <v>278</v>
      </c>
      <c r="N2494" s="132"/>
      <c r="O2494" s="33" t="s">
        <v>278</v>
      </c>
      <c r="P2494" s="132"/>
      <c r="Q2494" s="33" t="s">
        <v>587</v>
      </c>
      <c r="R2494" s="132"/>
      <c r="S2494" s="33" t="s">
        <v>278</v>
      </c>
      <c r="T2494" s="132"/>
      <c r="U2494" s="33" t="s">
        <v>278</v>
      </c>
      <c r="V2494" s="132"/>
      <c r="W2494" s="59" t="s">
        <v>548</v>
      </c>
      <c r="X2494" s="33" t="e">
        <f>+VLOOKUP(OtherClients[[#This Row],[Part]],PartControl!$A$2:$E$564,5,FALSE)</f>
        <v>#N/A</v>
      </c>
      <c r="Y2494" s="108" t="e">
        <f>IF(OtherClients[[#This Row],[Re-certified or New]]&lt;&gt;"Re-certified",IF(OtherClients[[#This Row],[Client]]="infasco",VLOOKUP(OtherClients[[#This Row],[Part]],PartControl!$A$2:$E$564,2,FALSE),OtherClients[[#This Row],[Total Quantity]]*VLOOKUP(OtherClients[[#This Row],[Part]],PartControl!$A$2:$E$564,2,FALSE)),0)</f>
        <v>#N/A</v>
      </c>
      <c r="Z2494" s="108" t="e">
        <f>IF(OtherClients[[#This Row],[Re-certified or New]]&lt;&gt;"Re-certified",IF(OtherClients[[#This Row],[Client]]="infasco",VLOOKUP(OtherClients[[#This Row],[Part]],PartControl!$A$2:$E$564,2,FALSE),OtherClients[[#This Row],[Total Quantity]]*VLOOKUP(OtherClients[[#This Row],[Part]],PartControl!$A$2:$E$564,2,FALSE)),0)</f>
        <v>#N/A</v>
      </c>
    </row>
    <row r="2495" spans="1:26" ht="25.15" hidden="1" customHeight="1" x14ac:dyDescent="0.25">
      <c r="A2495" s="112">
        <v>46268.708668981482</v>
      </c>
      <c r="B2495" s="5" t="s">
        <v>344</v>
      </c>
      <c r="C2495" s="5" t="s">
        <v>847</v>
      </c>
      <c r="D2495" s="5">
        <v>717005</v>
      </c>
      <c r="E2495" s="33">
        <v>19</v>
      </c>
      <c r="F2495" s="60">
        <v>620</v>
      </c>
      <c r="G2495" s="60">
        <f>+OtherClients[[#This Row],[Boxes / Pieces]]*OtherClients[[#This Row],[Unit Quantity]]</f>
        <v>11780</v>
      </c>
      <c r="H2495" s="60" t="s">
        <v>816</v>
      </c>
      <c r="I2495" s="130" t="s">
        <v>278</v>
      </c>
      <c r="J2495" s="131"/>
      <c r="K2495" s="33" t="s">
        <v>278</v>
      </c>
      <c r="L2495" s="132"/>
      <c r="M2495" s="33" t="s">
        <v>278</v>
      </c>
      <c r="N2495" s="132"/>
      <c r="O2495" s="33" t="s">
        <v>278</v>
      </c>
      <c r="P2495" s="132"/>
      <c r="Q2495" s="33" t="s">
        <v>587</v>
      </c>
      <c r="R2495" s="132"/>
      <c r="S2495" s="33" t="s">
        <v>278</v>
      </c>
      <c r="T2495" s="132"/>
      <c r="U2495" s="33" t="s">
        <v>278</v>
      </c>
      <c r="V2495" s="132"/>
      <c r="W2495" s="59" t="s">
        <v>548</v>
      </c>
      <c r="X2495" s="33" t="str">
        <f>+VLOOKUP(OtherClients[[#This Row],[Part]],PartControl!$A$2:$E$564,5,FALSE)</f>
        <v>infasco</v>
      </c>
      <c r="Y2495" s="108">
        <f>IF(OtherClients[[#This Row],[Re-certified or New]]&lt;&gt;"Re-certified",IF(OtherClients[[#This Row],[Client]]="infasco",VLOOKUP(OtherClients[[#This Row],[Part]],PartControl!$A$2:$E$564,2,FALSE),OtherClients[[#This Row],[Total Quantity]]*VLOOKUP(OtherClients[[#This Row],[Part]],PartControl!$A$2:$E$564,2,FALSE)),0)</f>
        <v>135.07999999999998</v>
      </c>
      <c r="Z2495" s="108">
        <f>IF(OtherClients[[#This Row],[Re-certified or New]]&lt;&gt;"Re-certified",IF(OtherClients[[#This Row],[Client]]="infasco",VLOOKUP(OtherClients[[#This Row],[Part]],PartControl!$A$2:$E$564,2,FALSE),OtherClients[[#This Row],[Total Quantity]]*VLOOKUP(OtherClients[[#This Row],[Part]],PartControl!$A$2:$E$564,2,FALSE)),0)</f>
        <v>135.07999999999998</v>
      </c>
    </row>
    <row r="2496" spans="1:26" ht="25.15" hidden="1" customHeight="1" x14ac:dyDescent="0.25">
      <c r="A2496" s="112">
        <v>46268.708668981482</v>
      </c>
      <c r="B2496" s="5" t="s">
        <v>344</v>
      </c>
      <c r="C2496" s="5" t="s">
        <v>303</v>
      </c>
      <c r="D2496" s="5">
        <v>717970</v>
      </c>
      <c r="E2496" s="33">
        <v>1</v>
      </c>
      <c r="F2496" s="60">
        <v>64200</v>
      </c>
      <c r="G2496" s="60">
        <f>+OtherClients[[#This Row],[Boxes / Pieces]]*OtherClients[[#This Row],[Unit Quantity]]</f>
        <v>64200</v>
      </c>
      <c r="H2496" s="60" t="s">
        <v>816</v>
      </c>
      <c r="I2496" s="130" t="s">
        <v>278</v>
      </c>
      <c r="J2496" s="131"/>
      <c r="K2496" s="33" t="s">
        <v>278</v>
      </c>
      <c r="L2496" s="132"/>
      <c r="M2496" s="33" t="s">
        <v>278</v>
      </c>
      <c r="N2496" s="132"/>
      <c r="O2496" s="33" t="s">
        <v>278</v>
      </c>
      <c r="P2496" s="132"/>
      <c r="Q2496" s="33" t="s">
        <v>587</v>
      </c>
      <c r="R2496" s="132"/>
      <c r="S2496" s="33" t="s">
        <v>278</v>
      </c>
      <c r="T2496" s="132"/>
      <c r="U2496" s="33" t="s">
        <v>278</v>
      </c>
      <c r="V2496" s="132"/>
      <c r="W2496" s="59" t="s">
        <v>548</v>
      </c>
      <c r="X2496" s="33" t="str">
        <f>+VLOOKUP(OtherClients[[#This Row],[Part]],PartControl!$A$2:$E$564,5,FALSE)</f>
        <v>INFASCO</v>
      </c>
      <c r="Y2496" s="108">
        <f>IF(OtherClients[[#This Row],[Re-certified or New]]&lt;&gt;"Re-certified",IF(OtherClients[[#This Row],[Client]]="infasco",VLOOKUP(OtherClients[[#This Row],[Part]],PartControl!$A$2:$E$564,2,FALSE),OtherClients[[#This Row],[Total Quantity]]*VLOOKUP(OtherClients[[#This Row],[Part]],PartControl!$A$2:$E$564,2,FALSE)),0)</f>
        <v>129.44999999999999</v>
      </c>
      <c r="Z2496" s="108">
        <f>IF(OtherClients[[#This Row],[Re-certified or New]]&lt;&gt;"Re-certified",IF(OtherClients[[#This Row],[Client]]="infasco",VLOOKUP(OtherClients[[#This Row],[Part]],PartControl!$A$2:$E$564,2,FALSE),OtherClients[[#This Row],[Total Quantity]]*VLOOKUP(OtherClients[[#This Row],[Part]],PartControl!$A$2:$E$564,2,FALSE)),0)</f>
        <v>129.44999999999999</v>
      </c>
    </row>
    <row r="2497" spans="1:26" ht="25.15" hidden="1" customHeight="1" x14ac:dyDescent="0.25">
      <c r="A2497" s="112">
        <v>46268.708668981482</v>
      </c>
      <c r="B2497" s="5" t="s">
        <v>344</v>
      </c>
      <c r="C2497" s="5" t="s">
        <v>649</v>
      </c>
      <c r="D2497" s="5">
        <v>717109</v>
      </c>
      <c r="E2497" s="33">
        <v>31</v>
      </c>
      <c r="F2497" s="60">
        <v>1250</v>
      </c>
      <c r="G2497" s="60">
        <f>+OtherClients[[#This Row],[Boxes / Pieces]]*OtherClients[[#This Row],[Unit Quantity]]</f>
        <v>38750</v>
      </c>
      <c r="H2497" s="60" t="s">
        <v>816</v>
      </c>
      <c r="I2497" s="130" t="s">
        <v>278</v>
      </c>
      <c r="J2497" s="131"/>
      <c r="K2497" s="33" t="s">
        <v>278</v>
      </c>
      <c r="L2497" s="132"/>
      <c r="M2497" s="33" t="s">
        <v>278</v>
      </c>
      <c r="N2497" s="132"/>
      <c r="O2497" s="33" t="s">
        <v>278</v>
      </c>
      <c r="P2497" s="132"/>
      <c r="Q2497" s="33" t="s">
        <v>587</v>
      </c>
      <c r="R2497" s="132"/>
      <c r="S2497" s="33" t="s">
        <v>278</v>
      </c>
      <c r="T2497" s="132"/>
      <c r="U2497" s="33" t="s">
        <v>278</v>
      </c>
      <c r="V2497" s="132"/>
      <c r="W2497" s="59" t="s">
        <v>548</v>
      </c>
      <c r="X2497" s="33" t="str">
        <f>+VLOOKUP(OtherClients[[#This Row],[Part]],PartControl!$A$2:$E$564,5,FALSE)</f>
        <v>infasco</v>
      </c>
      <c r="Y2497" s="108">
        <f>IF(OtherClients[[#This Row],[Re-certified or New]]&lt;&gt;"Re-certified",IF(OtherClients[[#This Row],[Client]]="infasco",VLOOKUP(OtherClients[[#This Row],[Part]],PartControl!$A$2:$E$564,2,FALSE),OtherClients[[#This Row],[Total Quantity]]*VLOOKUP(OtherClients[[#This Row],[Part]],PartControl!$A$2:$E$564,2,FALSE)),0)</f>
        <v>135.07999999999998</v>
      </c>
      <c r="Z2497" s="108">
        <f>IF(OtherClients[[#This Row],[Re-certified or New]]&lt;&gt;"Re-certified",IF(OtherClients[[#This Row],[Client]]="infasco",VLOOKUP(OtherClients[[#This Row],[Part]],PartControl!$A$2:$E$564,2,FALSE),OtherClients[[#This Row],[Total Quantity]]*VLOOKUP(OtherClients[[#This Row],[Part]],PartControl!$A$2:$E$564,2,FALSE)),0)</f>
        <v>135.07999999999998</v>
      </c>
    </row>
    <row r="2498" spans="1:26" ht="25.15" hidden="1" customHeight="1" x14ac:dyDescent="0.25">
      <c r="A2498" s="112">
        <v>46268.708668981482</v>
      </c>
      <c r="B2498" s="5" t="s">
        <v>344</v>
      </c>
      <c r="C2498" s="5">
        <v>82246</v>
      </c>
      <c r="D2498" s="5">
        <v>717454</v>
      </c>
      <c r="E2498" s="33">
        <v>27</v>
      </c>
      <c r="F2498" s="60">
        <v>250</v>
      </c>
      <c r="G2498" s="60">
        <f>+OtherClients[[#This Row],[Boxes / Pieces]]*OtherClients[[#This Row],[Unit Quantity]]</f>
        <v>6750</v>
      </c>
      <c r="H2498" s="60" t="s">
        <v>816</v>
      </c>
      <c r="I2498" s="130" t="s">
        <v>278</v>
      </c>
      <c r="J2498" s="131"/>
      <c r="K2498" s="33" t="s">
        <v>278</v>
      </c>
      <c r="L2498" s="132"/>
      <c r="M2498" s="33" t="s">
        <v>278</v>
      </c>
      <c r="N2498" s="132"/>
      <c r="O2498" s="33" t="s">
        <v>278</v>
      </c>
      <c r="P2498" s="132"/>
      <c r="Q2498" s="33" t="s">
        <v>587</v>
      </c>
      <c r="R2498" s="132"/>
      <c r="S2498" s="33" t="s">
        <v>278</v>
      </c>
      <c r="T2498" s="132"/>
      <c r="U2498" s="33" t="s">
        <v>278</v>
      </c>
      <c r="V2498" s="132"/>
      <c r="W2498" s="59" t="s">
        <v>548</v>
      </c>
      <c r="X2498" s="33" t="str">
        <f>+VLOOKUP(OtherClients[[#This Row],[Part]],PartControl!$A$2:$E$564,5,FALSE)</f>
        <v>INFASCO</v>
      </c>
      <c r="Y2498" s="108">
        <f>IF(OtherClients[[#This Row],[Re-certified or New]]&lt;&gt;"Re-certified",IF(OtherClients[[#This Row],[Client]]="infasco",VLOOKUP(OtherClients[[#This Row],[Part]],PartControl!$A$2:$E$564,2,FALSE),OtherClients[[#This Row],[Total Quantity]]*VLOOKUP(OtherClients[[#This Row],[Part]],PartControl!$A$2:$E$564,2,FALSE)),0)</f>
        <v>280.15999999999997</v>
      </c>
      <c r="Z2498" s="108">
        <f>IF(OtherClients[[#This Row],[Re-certified or New]]&lt;&gt;"Re-certified",IF(OtherClients[[#This Row],[Client]]="infasco",VLOOKUP(OtherClients[[#This Row],[Part]],PartControl!$A$2:$E$564,2,FALSE),OtherClients[[#This Row],[Total Quantity]]*VLOOKUP(OtherClients[[#This Row],[Part]],PartControl!$A$2:$E$564,2,FALSE)),0)</f>
        <v>280.15999999999997</v>
      </c>
    </row>
    <row r="2499" spans="1:26" ht="25.15" hidden="1" customHeight="1" x14ac:dyDescent="0.25">
      <c r="A2499" s="112">
        <v>46268.708668981482</v>
      </c>
      <c r="B2499" s="5" t="s">
        <v>344</v>
      </c>
      <c r="C2499" s="5" t="s">
        <v>909</v>
      </c>
      <c r="D2499" s="5">
        <v>717985</v>
      </c>
      <c r="E2499" s="33">
        <v>29</v>
      </c>
      <c r="F2499" s="60">
        <v>960</v>
      </c>
      <c r="G2499" s="60">
        <f>+OtherClients[[#This Row],[Boxes / Pieces]]*OtherClients[[#This Row],[Unit Quantity]]</f>
        <v>27840</v>
      </c>
      <c r="H2499" s="60" t="s">
        <v>816</v>
      </c>
      <c r="I2499" s="130" t="s">
        <v>278</v>
      </c>
      <c r="J2499" s="131"/>
      <c r="K2499" s="33" t="s">
        <v>278</v>
      </c>
      <c r="L2499" s="132"/>
      <c r="M2499" s="33" t="s">
        <v>278</v>
      </c>
      <c r="N2499" s="132"/>
      <c r="O2499" s="33" t="s">
        <v>278</v>
      </c>
      <c r="P2499" s="132"/>
      <c r="Q2499" s="33" t="s">
        <v>587</v>
      </c>
      <c r="R2499" s="132"/>
      <c r="S2499" s="33" t="s">
        <v>278</v>
      </c>
      <c r="T2499" s="132"/>
      <c r="U2499" s="33" t="s">
        <v>278</v>
      </c>
      <c r="V2499" s="132"/>
      <c r="W2499" s="59" t="s">
        <v>548</v>
      </c>
      <c r="X2499" s="33" t="str">
        <f>+VLOOKUP(OtherClients[[#This Row],[Part]],PartControl!$A$2:$E$564,5,FALSE)</f>
        <v>infasco</v>
      </c>
      <c r="Y2499" s="108">
        <f>IF(OtherClients[[#This Row],[Re-certified or New]]&lt;&gt;"Re-certified",IF(OtherClients[[#This Row],[Client]]="infasco",VLOOKUP(OtherClients[[#This Row],[Part]],PartControl!$A$2:$E$564,2,FALSE),OtherClients[[#This Row],[Total Quantity]]*VLOOKUP(OtherClients[[#This Row],[Part]],PartControl!$A$2:$E$564,2,FALSE)),0)</f>
        <v>224.49</v>
      </c>
      <c r="Z2499" s="108">
        <f>IF(OtherClients[[#This Row],[Re-certified or New]]&lt;&gt;"Re-certified",IF(OtherClients[[#This Row],[Client]]="infasco",VLOOKUP(OtherClients[[#This Row],[Part]],PartControl!$A$2:$E$564,2,FALSE),OtherClients[[#This Row],[Total Quantity]]*VLOOKUP(OtherClients[[#This Row],[Part]],PartControl!$A$2:$E$564,2,FALSE)),0)</f>
        <v>224.49</v>
      </c>
    </row>
    <row r="2500" spans="1:26" ht="25.15" hidden="1" customHeight="1" x14ac:dyDescent="0.25">
      <c r="A2500" s="112">
        <v>46268.708668981482</v>
      </c>
      <c r="B2500" s="5" t="s">
        <v>344</v>
      </c>
      <c r="C2500" s="5" t="s">
        <v>691</v>
      </c>
      <c r="D2500" s="5">
        <v>714569</v>
      </c>
      <c r="E2500" s="33">
        <v>9</v>
      </c>
      <c r="F2500" s="60">
        <v>1800</v>
      </c>
      <c r="G2500" s="60">
        <f>+OtherClients[[#This Row],[Boxes / Pieces]]*OtherClients[[#This Row],[Unit Quantity]]</f>
        <v>16200</v>
      </c>
      <c r="H2500" s="60" t="s">
        <v>816</v>
      </c>
      <c r="I2500" s="130" t="s">
        <v>278</v>
      </c>
      <c r="J2500" s="131"/>
      <c r="K2500" s="33" t="s">
        <v>278</v>
      </c>
      <c r="L2500" s="132"/>
      <c r="M2500" s="33" t="s">
        <v>278</v>
      </c>
      <c r="N2500" s="132"/>
      <c r="O2500" s="33" t="s">
        <v>278</v>
      </c>
      <c r="P2500" s="132"/>
      <c r="Q2500" s="33" t="s">
        <v>587</v>
      </c>
      <c r="R2500" s="132"/>
      <c r="S2500" s="33" t="s">
        <v>278</v>
      </c>
      <c r="T2500" s="132"/>
      <c r="U2500" s="33" t="s">
        <v>278</v>
      </c>
      <c r="V2500" s="132"/>
      <c r="W2500" s="59" t="s">
        <v>633</v>
      </c>
      <c r="X2500" s="33" t="str">
        <f>+VLOOKUP(OtherClients[[#This Row],[Part]],PartControl!$A$2:$E$564,5,FALSE)</f>
        <v>infasco</v>
      </c>
      <c r="Y2500" s="108">
        <f>IF(OtherClients[[#This Row],[Re-certified or New]]&lt;&gt;"Re-certified",IF(OtherClients[[#This Row],[Client]]="infasco",VLOOKUP(OtherClients[[#This Row],[Part]],PartControl!$A$2:$E$564,2,FALSE),OtherClients[[#This Row],[Total Quantity]]*VLOOKUP(OtherClients[[#This Row],[Part]],PartControl!$A$2:$E$564,2,FALSE)),0)</f>
        <v>0</v>
      </c>
      <c r="Z2500" s="108">
        <f>IF(OtherClients[[#This Row],[Re-certified or New]]&lt;&gt;"Re-certified",IF(OtherClients[[#This Row],[Client]]="infasco",VLOOKUP(OtherClients[[#This Row],[Part]],PartControl!$A$2:$E$564,2,FALSE),OtherClients[[#This Row],[Total Quantity]]*VLOOKUP(OtherClients[[#This Row],[Part]],PartControl!$A$2:$E$564,2,FALSE)),0)</f>
        <v>0</v>
      </c>
    </row>
    <row r="2501" spans="1:26" ht="25.15" hidden="1" customHeight="1" x14ac:dyDescent="0.25">
      <c r="A2501" s="112">
        <v>46268.708668981482</v>
      </c>
      <c r="B2501" s="5" t="s">
        <v>346</v>
      </c>
      <c r="C2501" s="5" t="s">
        <v>794</v>
      </c>
      <c r="D2501" s="5">
        <v>716412</v>
      </c>
      <c r="E2501" s="33">
        <f>35-25</f>
        <v>10</v>
      </c>
      <c r="F2501" s="60">
        <v>195</v>
      </c>
      <c r="G2501" s="60">
        <f>+OtherClients[[#This Row],[Boxes / Pieces]]*OtherClients[[#This Row],[Unit Quantity]]</f>
        <v>1950</v>
      </c>
      <c r="H2501" s="60">
        <v>285</v>
      </c>
      <c r="I2501" s="130" t="s">
        <v>278</v>
      </c>
      <c r="J2501" s="131"/>
      <c r="K2501" s="33" t="s">
        <v>278</v>
      </c>
      <c r="L2501" s="132"/>
      <c r="M2501" s="33" t="s">
        <v>278</v>
      </c>
      <c r="N2501" s="132"/>
      <c r="O2501" s="33" t="s">
        <v>278</v>
      </c>
      <c r="P2501" s="132"/>
      <c r="Q2501" s="33" t="s">
        <v>587</v>
      </c>
      <c r="R2501" s="132"/>
      <c r="S2501" s="33" t="s">
        <v>278</v>
      </c>
      <c r="T2501" s="132"/>
      <c r="U2501" s="33" t="s">
        <v>278</v>
      </c>
      <c r="V2501" s="132"/>
      <c r="W2501" s="59" t="s">
        <v>548</v>
      </c>
      <c r="X2501" s="33" t="str">
        <f>+VLOOKUP(OtherClients[[#This Row],[Part]],PartControl!$A$2:$E$564,5,FALSE)</f>
        <v>infasco</v>
      </c>
      <c r="Y2501" s="134">
        <f>106.94*3</f>
        <v>320.82</v>
      </c>
      <c r="Z2501" s="134">
        <f>106.94*3</f>
        <v>320.82</v>
      </c>
    </row>
    <row r="2502" spans="1:26" ht="25.15" hidden="1" customHeight="1" x14ac:dyDescent="0.25">
      <c r="A2502" s="112">
        <v>46268.708668981482</v>
      </c>
      <c r="B2502" s="5" t="s">
        <v>346</v>
      </c>
      <c r="C2502" s="5" t="s">
        <v>794</v>
      </c>
      <c r="D2502" s="5">
        <v>715832</v>
      </c>
      <c r="E2502" s="33">
        <v>13</v>
      </c>
      <c r="F2502" s="60">
        <v>195</v>
      </c>
      <c r="G2502" s="60">
        <f>+OtherClients[[#This Row],[Boxes / Pieces]]*OtherClients[[#This Row],[Unit Quantity]]</f>
        <v>2535</v>
      </c>
      <c r="H2502" s="60">
        <v>285</v>
      </c>
      <c r="I2502" s="130" t="s">
        <v>278</v>
      </c>
      <c r="J2502" s="131"/>
      <c r="K2502" s="33" t="s">
        <v>278</v>
      </c>
      <c r="L2502" s="132"/>
      <c r="M2502" s="33" t="s">
        <v>278</v>
      </c>
      <c r="N2502" s="132"/>
      <c r="O2502" s="33" t="s">
        <v>278</v>
      </c>
      <c r="P2502" s="132"/>
      <c r="Q2502" s="33" t="s">
        <v>587</v>
      </c>
      <c r="R2502" s="132"/>
      <c r="S2502" s="33" t="s">
        <v>278</v>
      </c>
      <c r="T2502" s="132"/>
      <c r="U2502" s="33" t="s">
        <v>278</v>
      </c>
      <c r="V2502" s="132"/>
      <c r="W2502" s="59" t="s">
        <v>633</v>
      </c>
      <c r="X2502" s="33" t="str">
        <f>+VLOOKUP(OtherClients[[#This Row],[Part]],PartControl!$A$2:$E$564,5,FALSE)</f>
        <v>infasco</v>
      </c>
      <c r="Y2502" s="108">
        <f>IF(OtherClients[[#This Row],[Re-certified or New]]&lt;&gt;"Re-certified",IF(OtherClients[[#This Row],[Client]]="infasco",VLOOKUP(OtherClients[[#This Row],[Part]],PartControl!$A$2:$E$564,2,FALSE),OtherClients[[#This Row],[Total Quantity]]*VLOOKUP(OtherClients[[#This Row],[Part]],PartControl!$A$2:$E$564,2,FALSE)),0)</f>
        <v>0</v>
      </c>
      <c r="Z2502" s="108">
        <f>IF(OtherClients[[#This Row],[Re-certified or New]]&lt;&gt;"Re-certified",IF(OtherClients[[#This Row],[Client]]="infasco",VLOOKUP(OtherClients[[#This Row],[Part]],PartControl!$A$2:$E$564,2,FALSE),OtherClients[[#This Row],[Total Quantity]]*VLOOKUP(OtherClients[[#This Row],[Part]],PartControl!$A$2:$E$564,2,FALSE)),0)</f>
        <v>0</v>
      </c>
    </row>
    <row r="2503" spans="1:26" ht="25.15" hidden="1" customHeight="1" x14ac:dyDescent="0.25">
      <c r="A2503" s="112">
        <v>46269</v>
      </c>
      <c r="B2503" s="5" t="s">
        <v>233</v>
      </c>
      <c r="C2503" s="5" t="s">
        <v>719</v>
      </c>
      <c r="D2503" s="5">
        <v>718120</v>
      </c>
      <c r="E2503" s="33">
        <v>28</v>
      </c>
      <c r="F2503" s="60">
        <v>2150</v>
      </c>
      <c r="G2503" s="60">
        <v>60200</v>
      </c>
      <c r="H2503" s="60">
        <v>275</v>
      </c>
      <c r="I2503" s="130" t="s">
        <v>278</v>
      </c>
      <c r="J2503" s="131"/>
      <c r="K2503" s="33" t="s">
        <v>278</v>
      </c>
      <c r="L2503" s="132"/>
      <c r="M2503" s="33" t="s">
        <v>278</v>
      </c>
      <c r="N2503" s="132"/>
      <c r="O2503" s="33" t="s">
        <v>278</v>
      </c>
      <c r="P2503" s="132"/>
      <c r="Q2503" s="33" t="s">
        <v>587</v>
      </c>
      <c r="R2503" s="132"/>
      <c r="S2503" s="33" t="s">
        <v>278</v>
      </c>
      <c r="T2503" s="132"/>
      <c r="U2503" s="33" t="s">
        <v>278</v>
      </c>
      <c r="V2503" s="132"/>
      <c r="W2503" s="133" t="s">
        <v>548</v>
      </c>
      <c r="X2503" s="33" t="str">
        <f>+VLOOKUP(OtherClients[[#This Row],[Part]],PartControl!$A$2:$E$564,5,FALSE)</f>
        <v>infasco</v>
      </c>
      <c r="Y2503" s="108">
        <f>IF(OtherClients[[#This Row],[Re-certified or New]]&lt;&gt;"Re-certified",IF(OtherClients[[#This Row],[Client]]="infasco",VLOOKUP(OtherClients[[#This Row],[Part]],PartControl!$A$2:$E$564,2,FALSE),OtherClients[[#This Row],[Total Quantity]]*VLOOKUP(OtherClients[[#This Row],[Part]],PartControl!$A$2:$E$564,2,FALSE)),0)</f>
        <v>106.94</v>
      </c>
      <c r="Z2503" s="108">
        <f>IF(OtherClients[[#This Row],[Re-certified or New]]&lt;&gt;"Re-certified",IF(OtherClients[[#This Row],[Client]]="infasco",VLOOKUP(OtherClients[[#This Row],[Part]],PartControl!$A$2:$E$564,2,FALSE),OtherClients[[#This Row],[Total Quantity]]*VLOOKUP(OtherClients[[#This Row],[Part]],PartControl!$A$2:$E$564,2,FALSE)),0)</f>
        <v>106.94</v>
      </c>
    </row>
    <row r="2504" spans="1:26" ht="25.15" hidden="1" customHeight="1" x14ac:dyDescent="0.25">
      <c r="A2504" s="112">
        <v>46269</v>
      </c>
      <c r="B2504" s="5" t="s">
        <v>233</v>
      </c>
      <c r="C2504" s="5">
        <v>11546545</v>
      </c>
      <c r="D2504" s="5">
        <v>718234</v>
      </c>
      <c r="E2504" s="33">
        <v>5</v>
      </c>
      <c r="F2504" s="60">
        <v>2500</v>
      </c>
      <c r="G2504" s="60">
        <f>+OtherClients[[#This Row],[Boxes / Pieces]]*OtherClients[[#This Row],[Unit Quantity]]</f>
        <v>12500</v>
      </c>
      <c r="H2504" s="60">
        <v>275</v>
      </c>
      <c r="I2504" s="130" t="s">
        <v>278</v>
      </c>
      <c r="J2504" s="131"/>
      <c r="K2504" s="33" t="s">
        <v>278</v>
      </c>
      <c r="L2504" s="132"/>
      <c r="M2504" s="33" t="s">
        <v>278</v>
      </c>
      <c r="N2504" s="132"/>
      <c r="O2504" s="33" t="s">
        <v>278</v>
      </c>
      <c r="P2504" s="132"/>
      <c r="Q2504" s="33" t="s">
        <v>587</v>
      </c>
      <c r="R2504" s="132"/>
      <c r="S2504" s="33" t="s">
        <v>278</v>
      </c>
      <c r="T2504" s="132"/>
      <c r="U2504" s="33" t="s">
        <v>278</v>
      </c>
      <c r="V2504" s="132"/>
      <c r="W2504" s="59" t="s">
        <v>633</v>
      </c>
      <c r="X2504" s="33" t="str">
        <f>+VLOOKUP(OtherClients[[#This Row],[Part]],PartControl!$A$2:$E$564,5,FALSE)</f>
        <v>infasco</v>
      </c>
      <c r="Y2504" s="108">
        <f>IF(OtherClients[[#This Row],[Re-certified or New]]&lt;&gt;"Re-certified",IF(OtherClients[[#This Row],[Client]]="infasco",VLOOKUP(OtherClients[[#This Row],[Part]],PartControl!$A$2:$E$564,2,FALSE),OtherClients[[#This Row],[Total Quantity]]*VLOOKUP(OtherClients[[#This Row],[Part]],PartControl!$A$2:$E$564,2,FALSE)),0)</f>
        <v>0</v>
      </c>
      <c r="Z2504" s="108">
        <f>IF(OtherClients[[#This Row],[Re-certified or New]]&lt;&gt;"Re-certified",IF(OtherClients[[#This Row],[Client]]="infasco",VLOOKUP(OtherClients[[#This Row],[Part]],PartControl!$A$2:$E$564,2,FALSE),OtherClients[[#This Row],[Total Quantity]]*VLOOKUP(OtherClients[[#This Row],[Part]],PartControl!$A$2:$E$564,2,FALSE)),0)</f>
        <v>0</v>
      </c>
    </row>
    <row r="2505" spans="1:26" ht="25.15" hidden="1" customHeight="1" x14ac:dyDescent="0.25">
      <c r="A2505" s="112">
        <v>46269</v>
      </c>
      <c r="B2505" s="5" t="s">
        <v>242</v>
      </c>
      <c r="C2505" s="5" t="s">
        <v>645</v>
      </c>
      <c r="D2505" s="5">
        <v>717968</v>
      </c>
      <c r="E2505" s="33">
        <f>48-5</f>
        <v>43</v>
      </c>
      <c r="F2505" s="60">
        <v>1000</v>
      </c>
      <c r="G2505" s="60">
        <f>+OtherClients[[#This Row],[Boxes / Pieces]]*OtherClients[[#This Row],[Unit Quantity]]</f>
        <v>43000</v>
      </c>
      <c r="H2505" s="60">
        <v>275</v>
      </c>
      <c r="I2505" s="130" t="s">
        <v>278</v>
      </c>
      <c r="J2505" s="131"/>
      <c r="K2505" s="33" t="s">
        <v>278</v>
      </c>
      <c r="L2505" s="132"/>
      <c r="M2505" s="33" t="s">
        <v>278</v>
      </c>
      <c r="N2505" s="132"/>
      <c r="O2505" s="33" t="s">
        <v>278</v>
      </c>
      <c r="P2505" s="132"/>
      <c r="Q2505" s="33" t="s">
        <v>587</v>
      </c>
      <c r="R2505" s="132"/>
      <c r="S2505" s="33" t="s">
        <v>278</v>
      </c>
      <c r="T2505" s="132"/>
      <c r="U2505" s="33" t="s">
        <v>278</v>
      </c>
      <c r="V2505" s="132"/>
      <c r="W2505" s="59" t="s">
        <v>548</v>
      </c>
      <c r="X2505" s="33" t="str">
        <f>+VLOOKUP(OtherClients[[#This Row],[Part]],PartControl!$A$2:$E$564,5,FALSE)</f>
        <v>infasco</v>
      </c>
      <c r="Y2505" s="108">
        <f>IF(OtherClients[[#This Row],[Re-certified or New]]&lt;&gt;"Re-certified",IF(OtherClients[[#This Row],[Client]]="infasco",VLOOKUP(OtherClients[[#This Row],[Part]],PartControl!$A$2:$E$564,2,FALSE),OtherClients[[#This Row],[Total Quantity]]*VLOOKUP(OtherClients[[#This Row],[Part]],PartControl!$A$2:$E$564,2,FALSE)),0)</f>
        <v>106.94</v>
      </c>
      <c r="Z2505" s="108">
        <f>IF(OtherClients[[#This Row],[Re-certified or New]]&lt;&gt;"Re-certified",IF(OtherClients[[#This Row],[Client]]="infasco",VLOOKUP(OtherClients[[#This Row],[Part]],PartControl!$A$2:$E$564,2,FALSE),OtherClients[[#This Row],[Total Quantity]]*VLOOKUP(OtherClients[[#This Row],[Part]],PartControl!$A$2:$E$564,2,FALSE)),0)</f>
        <v>106.94</v>
      </c>
    </row>
    <row r="2506" spans="1:26" ht="25.15" hidden="1" customHeight="1" x14ac:dyDescent="0.25">
      <c r="A2506" s="112">
        <v>46269</v>
      </c>
      <c r="B2506" s="5" t="s">
        <v>242</v>
      </c>
      <c r="C2506" s="5" t="s">
        <v>705</v>
      </c>
      <c r="D2506" s="5">
        <v>717524</v>
      </c>
      <c r="E2506" s="33">
        <v>26</v>
      </c>
      <c r="F2506" s="60">
        <v>450</v>
      </c>
      <c r="G2506" s="60">
        <f>+OtherClients[[#This Row],[Boxes / Pieces]]*OtherClients[[#This Row],[Unit Quantity]]</f>
        <v>11700</v>
      </c>
      <c r="H2506" s="60">
        <v>275</v>
      </c>
      <c r="I2506" s="130" t="s">
        <v>278</v>
      </c>
      <c r="J2506" s="131"/>
      <c r="K2506" s="33" t="s">
        <v>278</v>
      </c>
      <c r="L2506" s="132"/>
      <c r="M2506" s="33" t="s">
        <v>278</v>
      </c>
      <c r="N2506" s="132"/>
      <c r="O2506" s="33" t="s">
        <v>278</v>
      </c>
      <c r="P2506" s="132"/>
      <c r="Q2506" s="33" t="s">
        <v>587</v>
      </c>
      <c r="R2506" s="132"/>
      <c r="S2506" s="33" t="s">
        <v>278</v>
      </c>
      <c r="T2506" s="132"/>
      <c r="U2506" s="33" t="s">
        <v>278</v>
      </c>
      <c r="V2506" s="132"/>
      <c r="W2506" s="59" t="s">
        <v>548</v>
      </c>
      <c r="X2506" s="33" t="str">
        <f>+VLOOKUP(OtherClients[[#This Row],[Part]],PartControl!$A$2:$E$564,5,FALSE)</f>
        <v>infasco</v>
      </c>
      <c r="Y2506" s="108">
        <f>IF(OtherClients[[#This Row],[Re-certified or New]]&lt;&gt;"Re-certified",IF(OtherClients[[#This Row],[Client]]="infasco",VLOOKUP(OtherClients[[#This Row],[Part]],PartControl!$A$2:$E$564,2,FALSE),OtherClients[[#This Row],[Total Quantity]]*VLOOKUP(OtherClients[[#This Row],[Part]],PartControl!$A$2:$E$564,2,FALSE)),0)</f>
        <v>106.94</v>
      </c>
      <c r="Z2506" s="108">
        <f>IF(OtherClients[[#This Row],[Re-certified or New]]&lt;&gt;"Re-certified",IF(OtherClients[[#This Row],[Client]]="infasco",VLOOKUP(OtherClients[[#This Row],[Part]],PartControl!$A$2:$E$564,2,FALSE),OtherClients[[#This Row],[Total Quantity]]*VLOOKUP(OtherClients[[#This Row],[Part]],PartControl!$A$2:$E$564,2,FALSE)),0)</f>
        <v>106.94</v>
      </c>
    </row>
    <row r="2507" spans="1:26" ht="25.15" hidden="1" customHeight="1" x14ac:dyDescent="0.25">
      <c r="A2507" s="112">
        <v>46269</v>
      </c>
      <c r="B2507" s="5" t="s">
        <v>242</v>
      </c>
      <c r="C2507" s="5" t="s">
        <v>705</v>
      </c>
      <c r="D2507" s="5">
        <v>717522</v>
      </c>
      <c r="E2507" s="33">
        <v>16</v>
      </c>
      <c r="F2507" s="60">
        <v>450</v>
      </c>
      <c r="G2507" s="60">
        <f>+OtherClients[[#This Row],[Boxes / Pieces]]*OtherClients[[#This Row],[Unit Quantity]]</f>
        <v>7200</v>
      </c>
      <c r="H2507" s="60">
        <v>275</v>
      </c>
      <c r="I2507" s="130" t="s">
        <v>278</v>
      </c>
      <c r="J2507" s="131"/>
      <c r="K2507" s="33" t="s">
        <v>278</v>
      </c>
      <c r="L2507" s="132"/>
      <c r="M2507" s="33" t="s">
        <v>278</v>
      </c>
      <c r="N2507" s="132"/>
      <c r="O2507" s="33" t="s">
        <v>278</v>
      </c>
      <c r="P2507" s="132"/>
      <c r="Q2507" s="33" t="s">
        <v>587</v>
      </c>
      <c r="R2507" s="132"/>
      <c r="S2507" s="33" t="s">
        <v>278</v>
      </c>
      <c r="T2507" s="132"/>
      <c r="U2507" s="33" t="s">
        <v>278</v>
      </c>
      <c r="V2507" s="132"/>
      <c r="W2507" s="59" t="s">
        <v>633</v>
      </c>
      <c r="X2507" s="33" t="str">
        <f>+VLOOKUP(OtherClients[[#This Row],[Part]],PartControl!$A$2:$E$564,5,FALSE)</f>
        <v>infasco</v>
      </c>
      <c r="Y2507" s="108">
        <f>IF(OtherClients[[#This Row],[Re-certified or New]]&lt;&gt;"Re-certified",IF(OtherClients[[#This Row],[Client]]="infasco",VLOOKUP(OtherClients[[#This Row],[Part]],PartControl!$A$2:$E$564,2,FALSE),OtherClients[[#This Row],[Total Quantity]]*VLOOKUP(OtherClients[[#This Row],[Part]],PartControl!$A$2:$E$564,2,FALSE)),0)</f>
        <v>0</v>
      </c>
      <c r="Z2507" s="108">
        <f>IF(OtherClients[[#This Row],[Re-certified or New]]&lt;&gt;"Re-certified",IF(OtherClients[[#This Row],[Client]]="infasco",VLOOKUP(OtherClients[[#This Row],[Part]],PartControl!$A$2:$E$564,2,FALSE),OtherClients[[#This Row],[Total Quantity]]*VLOOKUP(OtherClients[[#This Row],[Part]],PartControl!$A$2:$E$564,2,FALSE)),0)</f>
        <v>0</v>
      </c>
    </row>
    <row r="2508" spans="1:26" ht="25.15" hidden="1" customHeight="1" x14ac:dyDescent="0.25">
      <c r="A2508" s="112">
        <v>46269</v>
      </c>
      <c r="B2508" s="5" t="s">
        <v>234</v>
      </c>
      <c r="C2508" s="5">
        <v>11546377</v>
      </c>
      <c r="D2508" s="5">
        <v>718139</v>
      </c>
      <c r="E2508" s="33">
        <f>40-13</f>
        <v>27</v>
      </c>
      <c r="F2508" s="60">
        <v>2150</v>
      </c>
      <c r="G2508" s="60">
        <f>+OtherClients[[#This Row],[Boxes / Pieces]]*OtherClients[[#This Row],[Unit Quantity]]</f>
        <v>58050</v>
      </c>
      <c r="H2508" s="60">
        <v>275</v>
      </c>
      <c r="I2508" s="130" t="s">
        <v>278</v>
      </c>
      <c r="J2508" s="131"/>
      <c r="K2508" s="33" t="s">
        <v>278</v>
      </c>
      <c r="L2508" s="132"/>
      <c r="M2508" s="33" t="s">
        <v>278</v>
      </c>
      <c r="N2508" s="132"/>
      <c r="O2508" s="33" t="s">
        <v>278</v>
      </c>
      <c r="P2508" s="132"/>
      <c r="Q2508" s="33" t="s">
        <v>587</v>
      </c>
      <c r="R2508" s="132"/>
      <c r="S2508" s="33" t="s">
        <v>278</v>
      </c>
      <c r="T2508" s="132"/>
      <c r="U2508" s="33" t="s">
        <v>278</v>
      </c>
      <c r="V2508" s="132"/>
      <c r="W2508" s="59" t="s">
        <v>548</v>
      </c>
      <c r="X2508" s="33" t="str">
        <f>+VLOOKUP(OtherClients[[#This Row],[Part]],PartControl!$A$2:$E$564,5,FALSE)</f>
        <v>INFASCO</v>
      </c>
      <c r="Y2508" s="108">
        <f>IF(OtherClients[[#This Row],[Re-certified or New]]&lt;&gt;"Re-certified",IF(OtherClients[[#This Row],[Client]]="infasco",VLOOKUP(OtherClients[[#This Row],[Part]],PartControl!$A$2:$E$564,2,FALSE),OtherClients[[#This Row],[Total Quantity]]*VLOOKUP(OtherClients[[#This Row],[Part]],PartControl!$A$2:$E$564,2,FALSE)),0)</f>
        <v>106.94</v>
      </c>
      <c r="Z2508" s="108">
        <f>IF(OtherClients[[#This Row],[Re-certified or New]]&lt;&gt;"Re-certified",IF(OtherClients[[#This Row],[Client]]="infasco",VLOOKUP(OtherClients[[#This Row],[Part]],PartControl!$A$2:$E$564,2,FALSE),OtherClients[[#This Row],[Total Quantity]]*VLOOKUP(OtherClients[[#This Row],[Part]],PartControl!$A$2:$E$564,2,FALSE)),0)</f>
        <v>106.94</v>
      </c>
    </row>
    <row r="2509" spans="1:26" ht="25.15" hidden="1" customHeight="1" x14ac:dyDescent="0.25">
      <c r="A2509" s="112">
        <v>46269</v>
      </c>
      <c r="B2509" s="5" t="s">
        <v>234</v>
      </c>
      <c r="C2509" s="5">
        <v>11546545</v>
      </c>
      <c r="D2509" s="5">
        <v>718235</v>
      </c>
      <c r="E2509" s="33">
        <v>15</v>
      </c>
      <c r="F2509" s="60">
        <v>2500</v>
      </c>
      <c r="G2509" s="60">
        <f>+OtherClients[[#This Row],[Boxes / Pieces]]*OtherClients[[#This Row],[Unit Quantity]]</f>
        <v>37500</v>
      </c>
      <c r="H2509" s="60">
        <v>275</v>
      </c>
      <c r="I2509" s="130" t="s">
        <v>278</v>
      </c>
      <c r="J2509" s="131"/>
      <c r="K2509" s="33" t="s">
        <v>278</v>
      </c>
      <c r="L2509" s="132"/>
      <c r="M2509" s="33" t="s">
        <v>278</v>
      </c>
      <c r="N2509" s="132"/>
      <c r="O2509" s="33" t="s">
        <v>278</v>
      </c>
      <c r="P2509" s="132"/>
      <c r="Q2509" s="33" t="s">
        <v>587</v>
      </c>
      <c r="R2509" s="132"/>
      <c r="S2509" s="33" t="s">
        <v>278</v>
      </c>
      <c r="T2509" s="132"/>
      <c r="U2509" s="33" t="s">
        <v>278</v>
      </c>
      <c r="V2509" s="132"/>
      <c r="W2509" s="59" t="s">
        <v>633</v>
      </c>
      <c r="X2509" s="33" t="str">
        <f>+VLOOKUP(OtherClients[[#This Row],[Part]],PartControl!$A$2:$E$564,5,FALSE)</f>
        <v>infasco</v>
      </c>
      <c r="Y2509" s="108">
        <f>IF(OtherClients[[#This Row],[Re-certified or New]]&lt;&gt;"Re-certified",IF(OtherClients[[#This Row],[Client]]="infasco",VLOOKUP(OtherClients[[#This Row],[Part]],PartControl!$A$2:$E$564,2,FALSE),OtherClients[[#This Row],[Total Quantity]]*VLOOKUP(OtherClients[[#This Row],[Part]],PartControl!$A$2:$E$564,2,FALSE)),0)</f>
        <v>0</v>
      </c>
      <c r="Z2509" s="108">
        <f>IF(OtherClients[[#This Row],[Re-certified or New]]&lt;&gt;"Re-certified",IF(OtherClients[[#This Row],[Client]]="infasco",VLOOKUP(OtherClients[[#This Row],[Part]],PartControl!$A$2:$E$564,2,FALSE),OtherClients[[#This Row],[Total Quantity]]*VLOOKUP(OtherClients[[#This Row],[Part]],PartControl!$A$2:$E$564,2,FALSE)),0)</f>
        <v>0</v>
      </c>
    </row>
    <row r="2510" spans="1:26" ht="25.15" hidden="1" customHeight="1" x14ac:dyDescent="0.25">
      <c r="A2510" s="112">
        <v>46269</v>
      </c>
      <c r="B2510" s="5" t="s">
        <v>252</v>
      </c>
      <c r="C2510" s="5" t="s">
        <v>576</v>
      </c>
      <c r="D2510" s="5">
        <v>714675</v>
      </c>
      <c r="E2510" s="33">
        <f>33-20</f>
        <v>13</v>
      </c>
      <c r="F2510" s="60">
        <v>1900</v>
      </c>
      <c r="G2510" s="60">
        <f>+OtherClients[[#This Row],[Boxes / Pieces]]*OtherClients[[#This Row],[Unit Quantity]]</f>
        <v>24700</v>
      </c>
      <c r="H2510" s="60">
        <v>275</v>
      </c>
      <c r="I2510" s="130" t="s">
        <v>278</v>
      </c>
      <c r="J2510" s="131"/>
      <c r="K2510" s="33" t="s">
        <v>278</v>
      </c>
      <c r="L2510" s="132"/>
      <c r="M2510" s="33" t="s">
        <v>278</v>
      </c>
      <c r="N2510" s="132"/>
      <c r="O2510" s="33" t="s">
        <v>278</v>
      </c>
      <c r="P2510" s="132"/>
      <c r="Q2510" s="33" t="s">
        <v>587</v>
      </c>
      <c r="R2510" s="132"/>
      <c r="S2510" s="33" t="s">
        <v>278</v>
      </c>
      <c r="T2510" s="132"/>
      <c r="U2510" s="33" t="s">
        <v>278</v>
      </c>
      <c r="V2510" s="132"/>
      <c r="W2510" s="59" t="s">
        <v>548</v>
      </c>
      <c r="X2510" s="33" t="str">
        <f>+VLOOKUP(OtherClients[[#This Row],[Part]],PartControl!$A$2:$E$564,5,FALSE)</f>
        <v>Infasco</v>
      </c>
      <c r="Y2510" s="108">
        <f>IF(OtherClients[[#This Row],[Re-certified or New]]&lt;&gt;"Re-certified",IF(OtherClients[[#This Row],[Client]]="infasco",VLOOKUP(OtherClients[[#This Row],[Part]],PartControl!$A$2:$E$564,2,FALSE),OtherClients[[#This Row],[Total Quantity]]*VLOOKUP(OtherClients[[#This Row],[Part]],PartControl!$A$2:$E$564,2,FALSE)),0)</f>
        <v>106.94</v>
      </c>
      <c r="Z2510" s="108">
        <f>IF(OtherClients[[#This Row],[Re-certified or New]]&lt;&gt;"Re-certified",IF(OtherClients[[#This Row],[Client]]="infasco",VLOOKUP(OtherClients[[#This Row],[Part]],PartControl!$A$2:$E$564,2,FALSE),OtherClients[[#This Row],[Total Quantity]]*VLOOKUP(OtherClients[[#This Row],[Part]],PartControl!$A$2:$E$564,2,FALSE)),0)</f>
        <v>106.94</v>
      </c>
    </row>
    <row r="2511" spans="1:26" ht="25.15" hidden="1" customHeight="1" x14ac:dyDescent="0.25">
      <c r="A2511" s="112">
        <v>46269</v>
      </c>
      <c r="B2511" s="5" t="s">
        <v>252</v>
      </c>
      <c r="C2511" s="5">
        <v>11546545</v>
      </c>
      <c r="D2511" s="5">
        <v>718233</v>
      </c>
      <c r="E2511" s="33">
        <v>7</v>
      </c>
      <c r="F2511" s="60">
        <v>2500</v>
      </c>
      <c r="G2511" s="60">
        <f>+OtherClients[[#This Row],[Boxes / Pieces]]*OtherClients[[#This Row],[Unit Quantity]]</f>
        <v>17500</v>
      </c>
      <c r="H2511" s="60">
        <v>275</v>
      </c>
      <c r="I2511" s="130" t="s">
        <v>278</v>
      </c>
      <c r="J2511" s="131"/>
      <c r="K2511" s="33" t="s">
        <v>278</v>
      </c>
      <c r="L2511" s="132"/>
      <c r="M2511" s="33" t="s">
        <v>278</v>
      </c>
      <c r="N2511" s="132"/>
      <c r="O2511" s="33" t="s">
        <v>278</v>
      </c>
      <c r="P2511" s="132"/>
      <c r="Q2511" s="33" t="s">
        <v>587</v>
      </c>
      <c r="R2511" s="132"/>
      <c r="S2511" s="33" t="s">
        <v>278</v>
      </c>
      <c r="T2511" s="132"/>
      <c r="U2511" s="33" t="s">
        <v>278</v>
      </c>
      <c r="V2511" s="132"/>
      <c r="W2511" s="59" t="s">
        <v>633</v>
      </c>
      <c r="X2511" s="33" t="str">
        <f>+VLOOKUP(OtherClients[[#This Row],[Part]],PartControl!$A$2:$E$564,5,FALSE)</f>
        <v>infasco</v>
      </c>
      <c r="Y2511" s="108">
        <f>IF(OtherClients[[#This Row],[Re-certified or New]]&lt;&gt;"Re-certified",IF(OtherClients[[#This Row],[Client]]="infasco",VLOOKUP(OtherClients[[#This Row],[Part]],PartControl!$A$2:$E$564,2,FALSE),OtherClients[[#This Row],[Total Quantity]]*VLOOKUP(OtherClients[[#This Row],[Part]],PartControl!$A$2:$E$564,2,FALSE)),0)</f>
        <v>0</v>
      </c>
      <c r="Z2511" s="108">
        <f>IF(OtherClients[[#This Row],[Re-certified or New]]&lt;&gt;"Re-certified",IF(OtherClients[[#This Row],[Client]]="infasco",VLOOKUP(OtherClients[[#This Row],[Part]],PartControl!$A$2:$E$564,2,FALSE),OtherClients[[#This Row],[Total Quantity]]*VLOOKUP(OtherClients[[#This Row],[Part]],PartControl!$A$2:$E$564,2,FALSE)),0)</f>
        <v>0</v>
      </c>
    </row>
    <row r="2512" spans="1:26" ht="25.15" hidden="1" customHeight="1" x14ac:dyDescent="0.25">
      <c r="A2512" s="112">
        <v>46269</v>
      </c>
      <c r="B2512" s="5" t="s">
        <v>232</v>
      </c>
      <c r="C2512" s="5">
        <v>11546545</v>
      </c>
      <c r="D2512" s="5">
        <v>718230</v>
      </c>
      <c r="E2512" s="33">
        <v>27</v>
      </c>
      <c r="F2512" s="60">
        <v>2500</v>
      </c>
      <c r="G2512" s="60">
        <f>+OtherClients[[#This Row],[Boxes / Pieces]]*OtherClients[[#This Row],[Unit Quantity]]</f>
        <v>67500</v>
      </c>
      <c r="H2512" s="60">
        <v>275</v>
      </c>
      <c r="I2512" s="130" t="s">
        <v>278</v>
      </c>
      <c r="J2512" s="131"/>
      <c r="K2512" s="33" t="s">
        <v>278</v>
      </c>
      <c r="L2512" s="132"/>
      <c r="M2512" s="33" t="s">
        <v>278</v>
      </c>
      <c r="N2512" s="132"/>
      <c r="O2512" s="33" t="s">
        <v>278</v>
      </c>
      <c r="P2512" s="132"/>
      <c r="Q2512" s="33" t="s">
        <v>587</v>
      </c>
      <c r="R2512" s="132"/>
      <c r="S2512" s="33" t="s">
        <v>278</v>
      </c>
      <c r="T2512" s="132"/>
      <c r="U2512" s="33" t="s">
        <v>278</v>
      </c>
      <c r="V2512" s="132"/>
      <c r="W2512" s="59" t="s">
        <v>633</v>
      </c>
      <c r="X2512" s="33" t="str">
        <f>+VLOOKUP(OtherClients[[#This Row],[Part]],PartControl!$A$2:$E$564,5,FALSE)</f>
        <v>infasco</v>
      </c>
      <c r="Y2512" s="108">
        <f>IF(OtherClients[[#This Row],[Re-certified or New]]&lt;&gt;"Re-certified",IF(OtherClients[[#This Row],[Client]]="infasco",VLOOKUP(OtherClients[[#This Row],[Part]],PartControl!$A$2:$E$564,2,FALSE),OtherClients[[#This Row],[Total Quantity]]*VLOOKUP(OtherClients[[#This Row],[Part]],PartControl!$A$2:$E$564,2,FALSE)),0)</f>
        <v>0</v>
      </c>
      <c r="Z2512" s="108">
        <f>IF(OtherClients[[#This Row],[Re-certified or New]]&lt;&gt;"Re-certified",IF(OtherClients[[#This Row],[Client]]="infasco",VLOOKUP(OtherClients[[#This Row],[Part]],PartControl!$A$2:$E$564,2,FALSE),OtherClients[[#This Row],[Total Quantity]]*VLOOKUP(OtherClients[[#This Row],[Part]],PartControl!$A$2:$E$564,2,FALSE)),0)</f>
        <v>0</v>
      </c>
    </row>
    <row r="2513" spans="1:26" ht="25.15" hidden="1" customHeight="1" x14ac:dyDescent="0.25">
      <c r="A2513" s="112">
        <v>46269</v>
      </c>
      <c r="B2513" s="5" t="s">
        <v>238</v>
      </c>
      <c r="C2513" s="5">
        <v>11549170</v>
      </c>
      <c r="D2513" s="5">
        <v>716934</v>
      </c>
      <c r="E2513" s="33">
        <f>36-16</f>
        <v>20</v>
      </c>
      <c r="F2513" s="60">
        <v>400</v>
      </c>
      <c r="G2513" s="60">
        <f>+OtherClients[[#This Row],[Boxes / Pieces]]*OtherClients[[#This Row],[Unit Quantity]]</f>
        <v>8000</v>
      </c>
      <c r="H2513" s="60">
        <v>275</v>
      </c>
      <c r="I2513" s="130" t="s">
        <v>278</v>
      </c>
      <c r="J2513" s="131"/>
      <c r="K2513" s="33" t="s">
        <v>278</v>
      </c>
      <c r="L2513" s="132"/>
      <c r="M2513" s="33" t="s">
        <v>278</v>
      </c>
      <c r="N2513" s="132"/>
      <c r="O2513" s="33" t="s">
        <v>278</v>
      </c>
      <c r="P2513" s="132"/>
      <c r="Q2513" s="33" t="s">
        <v>587</v>
      </c>
      <c r="R2513" s="132"/>
      <c r="S2513" s="33" t="s">
        <v>278</v>
      </c>
      <c r="T2513" s="132"/>
      <c r="U2513" s="33" t="s">
        <v>278</v>
      </c>
      <c r="V2513" s="132"/>
      <c r="W2513" s="59" t="s">
        <v>548</v>
      </c>
      <c r="X2513" s="33" t="str">
        <f>+VLOOKUP(OtherClients[[#This Row],[Part]],PartControl!$A$2:$E$564,5,FALSE)</f>
        <v>INFASCO</v>
      </c>
      <c r="Y2513" s="108">
        <f>IF(OtherClients[[#This Row],[Re-certified or New]]&lt;&gt;"Re-certified",IF(OtherClients[[#This Row],[Client]]="infasco",VLOOKUP(OtherClients[[#This Row],[Part]],PartControl!$A$2:$E$564,2,FALSE),OtherClients[[#This Row],[Total Quantity]]*VLOOKUP(OtherClients[[#This Row],[Part]],PartControl!$A$2:$E$564,2,FALSE)),0)</f>
        <v>106.94</v>
      </c>
      <c r="Z2513" s="108">
        <f>IF(OtherClients[[#This Row],[Re-certified or New]]&lt;&gt;"Re-certified",IF(OtherClients[[#This Row],[Client]]="infasco",VLOOKUP(OtherClients[[#This Row],[Part]],PartControl!$A$2:$E$564,2,FALSE),OtherClients[[#This Row],[Total Quantity]]*VLOOKUP(OtherClients[[#This Row],[Part]],PartControl!$A$2:$E$564,2,FALSE)),0)</f>
        <v>106.94</v>
      </c>
    </row>
    <row r="2514" spans="1:26" ht="25.15" hidden="1" customHeight="1" x14ac:dyDescent="0.25">
      <c r="A2514" s="112">
        <v>46269</v>
      </c>
      <c r="B2514" s="5" t="s">
        <v>238</v>
      </c>
      <c r="C2514" s="5">
        <v>11549170</v>
      </c>
      <c r="D2514" s="5">
        <v>716935</v>
      </c>
      <c r="E2514" s="33">
        <v>41</v>
      </c>
      <c r="F2514" s="60">
        <v>400</v>
      </c>
      <c r="G2514" s="60">
        <f>+OtherClients[[#This Row],[Boxes / Pieces]]*OtherClients[[#This Row],[Unit Quantity]]</f>
        <v>16400</v>
      </c>
      <c r="H2514" s="60">
        <v>275</v>
      </c>
      <c r="I2514" s="130" t="s">
        <v>278</v>
      </c>
      <c r="J2514" s="131"/>
      <c r="K2514" s="33" t="s">
        <v>278</v>
      </c>
      <c r="L2514" s="132"/>
      <c r="M2514" s="33" t="s">
        <v>278</v>
      </c>
      <c r="N2514" s="132"/>
      <c r="O2514" s="33" t="s">
        <v>278</v>
      </c>
      <c r="P2514" s="132"/>
      <c r="Q2514" s="33" t="s">
        <v>587</v>
      </c>
      <c r="R2514" s="132"/>
      <c r="S2514" s="33" t="s">
        <v>278</v>
      </c>
      <c r="T2514" s="132"/>
      <c r="U2514" s="33" t="s">
        <v>278</v>
      </c>
      <c r="V2514" s="132"/>
      <c r="W2514" s="59" t="s">
        <v>548</v>
      </c>
      <c r="X2514" s="33" t="str">
        <f>+VLOOKUP(OtherClients[[#This Row],[Part]],PartControl!$A$2:$E$564,5,FALSE)</f>
        <v>INFASCO</v>
      </c>
      <c r="Y2514" s="108">
        <f>IF(OtherClients[[#This Row],[Re-certified or New]]&lt;&gt;"Re-certified",IF(OtherClients[[#This Row],[Client]]="infasco",VLOOKUP(OtherClients[[#This Row],[Part]],PartControl!$A$2:$E$564,2,FALSE),OtherClients[[#This Row],[Total Quantity]]*VLOOKUP(OtherClients[[#This Row],[Part]],PartControl!$A$2:$E$564,2,FALSE)),0)</f>
        <v>106.94</v>
      </c>
      <c r="Z2514" s="108">
        <f>IF(OtherClients[[#This Row],[Re-certified or New]]&lt;&gt;"Re-certified",IF(OtherClients[[#This Row],[Client]]="infasco",VLOOKUP(OtherClients[[#This Row],[Part]],PartControl!$A$2:$E$564,2,FALSE),OtherClients[[#This Row],[Total Quantity]]*VLOOKUP(OtherClients[[#This Row],[Part]],PartControl!$A$2:$E$564,2,FALSE)),0)</f>
        <v>106.94</v>
      </c>
    </row>
    <row r="2515" spans="1:26" ht="25.15" hidden="1" customHeight="1" x14ac:dyDescent="0.25">
      <c r="A2515" s="112">
        <v>46269</v>
      </c>
      <c r="B2515" s="5" t="s">
        <v>238</v>
      </c>
      <c r="C2515" s="5">
        <v>11546462</v>
      </c>
      <c r="D2515" s="5">
        <v>718223</v>
      </c>
      <c r="E2515" s="33">
        <v>39</v>
      </c>
      <c r="F2515" s="60">
        <v>650</v>
      </c>
      <c r="G2515" s="60">
        <f>+OtherClients[[#This Row],[Boxes / Pieces]]*OtherClients[[#This Row],[Unit Quantity]]</f>
        <v>25350</v>
      </c>
      <c r="H2515" s="60">
        <v>275</v>
      </c>
      <c r="I2515" s="130" t="s">
        <v>278</v>
      </c>
      <c r="J2515" s="131"/>
      <c r="K2515" s="33" t="s">
        <v>278</v>
      </c>
      <c r="L2515" s="132"/>
      <c r="M2515" s="33" t="s">
        <v>278</v>
      </c>
      <c r="N2515" s="132"/>
      <c r="O2515" s="33" t="s">
        <v>278</v>
      </c>
      <c r="P2515" s="132"/>
      <c r="Q2515" s="33" t="s">
        <v>587</v>
      </c>
      <c r="R2515" s="132"/>
      <c r="S2515" s="33" t="s">
        <v>278</v>
      </c>
      <c r="T2515" s="132"/>
      <c r="U2515" s="33" t="s">
        <v>278</v>
      </c>
      <c r="V2515" s="132"/>
      <c r="W2515" s="59" t="s">
        <v>633</v>
      </c>
      <c r="X2515" s="33" t="str">
        <f>+VLOOKUP(OtherClients[[#This Row],[Part]],PartControl!$A$2:$E$564,5,FALSE)</f>
        <v>INFASCO</v>
      </c>
      <c r="Y2515" s="108">
        <f>IF(OtherClients[[#This Row],[Re-certified or New]]&lt;&gt;"Re-certified",IF(OtherClients[[#This Row],[Client]]="infasco",VLOOKUP(OtherClients[[#This Row],[Part]],PartControl!$A$2:$E$564,2,FALSE),OtherClients[[#This Row],[Total Quantity]]*VLOOKUP(OtherClients[[#This Row],[Part]],PartControl!$A$2:$E$564,2,FALSE)),0)</f>
        <v>0</v>
      </c>
      <c r="Z2515" s="108">
        <f>IF(OtherClients[[#This Row],[Re-certified or New]]&lt;&gt;"Re-certified",IF(OtherClients[[#This Row],[Client]]="infasco",VLOOKUP(OtherClients[[#This Row],[Part]],PartControl!$A$2:$E$564,2,FALSE),OtherClients[[#This Row],[Total Quantity]]*VLOOKUP(OtherClients[[#This Row],[Part]],PartControl!$A$2:$E$564,2,FALSE)),0)</f>
        <v>0</v>
      </c>
    </row>
    <row r="2516" spans="1:26" ht="25.15" hidden="1" customHeight="1" x14ac:dyDescent="0.25">
      <c r="A2516" s="112">
        <v>46269</v>
      </c>
      <c r="B2516" s="5" t="s">
        <v>236</v>
      </c>
      <c r="C2516" s="5" t="s">
        <v>848</v>
      </c>
      <c r="D2516" s="5">
        <v>717563</v>
      </c>
      <c r="E2516" s="33">
        <f>28-5</f>
        <v>23</v>
      </c>
      <c r="F2516" s="60">
        <v>3200</v>
      </c>
      <c r="G2516" s="60">
        <f>+OtherClients[[#This Row],[Boxes / Pieces]]*OtherClients[[#This Row],[Unit Quantity]]</f>
        <v>73600</v>
      </c>
      <c r="H2516" s="60">
        <v>290</v>
      </c>
      <c r="I2516" s="130" t="s">
        <v>278</v>
      </c>
      <c r="J2516" s="131"/>
      <c r="K2516" s="33" t="s">
        <v>278</v>
      </c>
      <c r="L2516" s="132"/>
      <c r="M2516" s="33" t="s">
        <v>278</v>
      </c>
      <c r="N2516" s="132"/>
      <c r="O2516" s="33" t="s">
        <v>278</v>
      </c>
      <c r="P2516" s="132"/>
      <c r="Q2516" s="33" t="s">
        <v>587</v>
      </c>
      <c r="R2516" s="132"/>
      <c r="S2516" s="33" t="s">
        <v>278</v>
      </c>
      <c r="T2516" s="132"/>
      <c r="U2516" s="33" t="s">
        <v>278</v>
      </c>
      <c r="V2516" s="132"/>
      <c r="W2516" s="59" t="s">
        <v>633</v>
      </c>
      <c r="X2516" s="33" t="str">
        <f>+VLOOKUP(OtherClients[[#This Row],[Part]],PartControl!$A$2:$E$564,5,FALSE)</f>
        <v>infasco</v>
      </c>
      <c r="Y2516" s="108">
        <f>IF(OtherClients[[#This Row],[Re-certified or New]]&lt;&gt;"Re-certified",IF(OtherClients[[#This Row],[Client]]="infasco",VLOOKUP(OtherClients[[#This Row],[Part]],PartControl!$A$2:$E$564,2,FALSE),OtherClients[[#This Row],[Total Quantity]]*VLOOKUP(OtherClients[[#This Row],[Part]],PartControl!$A$2:$E$564,2,FALSE)),0)</f>
        <v>0</v>
      </c>
      <c r="Z2516" s="108">
        <f>IF(OtherClients[[#This Row],[Re-certified or New]]&lt;&gt;"Re-certified",IF(OtherClients[[#This Row],[Client]]="infasco",VLOOKUP(OtherClients[[#This Row],[Part]],PartControl!$A$2:$E$564,2,FALSE),OtherClients[[#This Row],[Total Quantity]]*VLOOKUP(OtherClients[[#This Row],[Part]],PartControl!$A$2:$E$564,2,FALSE)),0)</f>
        <v>0</v>
      </c>
    </row>
    <row r="2517" spans="1:26" ht="25.15" hidden="1" customHeight="1" x14ac:dyDescent="0.25">
      <c r="A2517" s="112">
        <v>46269</v>
      </c>
      <c r="B2517" s="5" t="s">
        <v>239</v>
      </c>
      <c r="C2517" s="5" t="s">
        <v>705</v>
      </c>
      <c r="D2517" s="5">
        <v>716360</v>
      </c>
      <c r="E2517" s="33">
        <f>36-5</f>
        <v>31</v>
      </c>
      <c r="F2517" s="60">
        <v>450</v>
      </c>
      <c r="G2517" s="60">
        <f>+OtherClients[[#This Row],[Boxes / Pieces]]*OtherClients[[#This Row],[Unit Quantity]]</f>
        <v>13950</v>
      </c>
      <c r="H2517" s="60">
        <v>290</v>
      </c>
      <c r="I2517" s="130" t="s">
        <v>278</v>
      </c>
      <c r="J2517" s="131"/>
      <c r="K2517" s="33" t="s">
        <v>278</v>
      </c>
      <c r="L2517" s="132"/>
      <c r="M2517" s="33" t="s">
        <v>278</v>
      </c>
      <c r="N2517" s="132"/>
      <c r="O2517" s="33" t="s">
        <v>278</v>
      </c>
      <c r="P2517" s="132"/>
      <c r="Q2517" s="33" t="s">
        <v>587</v>
      </c>
      <c r="R2517" s="132"/>
      <c r="S2517" s="33" t="s">
        <v>278</v>
      </c>
      <c r="T2517" s="132"/>
      <c r="U2517" s="33" t="s">
        <v>278</v>
      </c>
      <c r="V2517" s="132"/>
      <c r="W2517" s="59" t="s">
        <v>548</v>
      </c>
      <c r="X2517" s="33" t="str">
        <f>+VLOOKUP(OtherClients[[#This Row],[Part]],PartControl!$A$2:$E$564,5,FALSE)</f>
        <v>infasco</v>
      </c>
      <c r="Y2517" s="108">
        <f>IF(OtherClients[[#This Row],[Re-certified or New]]&lt;&gt;"Re-certified",IF(OtherClients[[#This Row],[Client]]="infasco",VLOOKUP(OtherClients[[#This Row],[Part]],PartControl!$A$2:$E$564,2,FALSE),OtherClients[[#This Row],[Total Quantity]]*VLOOKUP(OtherClients[[#This Row],[Part]],PartControl!$A$2:$E$564,2,FALSE)),0)</f>
        <v>106.94</v>
      </c>
      <c r="Z2517" s="108">
        <f>IF(OtherClients[[#This Row],[Re-certified or New]]&lt;&gt;"Re-certified",IF(OtherClients[[#This Row],[Client]]="infasco",VLOOKUP(OtherClients[[#This Row],[Part]],PartControl!$A$2:$E$564,2,FALSE),OtherClients[[#This Row],[Total Quantity]]*VLOOKUP(OtherClients[[#This Row],[Part]],PartControl!$A$2:$E$564,2,FALSE)),0)</f>
        <v>106.94</v>
      </c>
    </row>
    <row r="2518" spans="1:26" ht="25.15" hidden="1" customHeight="1" x14ac:dyDescent="0.25">
      <c r="A2518" s="112">
        <v>46269</v>
      </c>
      <c r="B2518" s="5" t="s">
        <v>239</v>
      </c>
      <c r="C2518" s="5" t="s">
        <v>705</v>
      </c>
      <c r="D2518" s="5">
        <v>716366</v>
      </c>
      <c r="E2518" s="33">
        <v>36</v>
      </c>
      <c r="F2518" s="60">
        <v>450</v>
      </c>
      <c r="G2518" s="60">
        <f>+OtherClients[[#This Row],[Boxes / Pieces]]*OtherClients[[#This Row],[Unit Quantity]]</f>
        <v>16200</v>
      </c>
      <c r="H2518" s="60">
        <v>290</v>
      </c>
      <c r="I2518" s="130" t="s">
        <v>278</v>
      </c>
      <c r="J2518" s="131"/>
      <c r="K2518" s="33" t="s">
        <v>278</v>
      </c>
      <c r="L2518" s="132"/>
      <c r="M2518" s="33" t="s">
        <v>278</v>
      </c>
      <c r="N2518" s="132"/>
      <c r="O2518" s="33" t="s">
        <v>278</v>
      </c>
      <c r="P2518" s="132"/>
      <c r="Q2518" s="33" t="s">
        <v>587</v>
      </c>
      <c r="R2518" s="132"/>
      <c r="S2518" s="33" t="s">
        <v>278</v>
      </c>
      <c r="T2518" s="132"/>
      <c r="U2518" s="33" t="s">
        <v>278</v>
      </c>
      <c r="V2518" s="132"/>
      <c r="W2518" s="59" t="s">
        <v>548</v>
      </c>
      <c r="X2518" s="33" t="str">
        <f>+VLOOKUP(OtherClients[[#This Row],[Part]],PartControl!$A$2:$E$564,5,FALSE)</f>
        <v>infasco</v>
      </c>
      <c r="Y2518" s="108">
        <f>IF(OtherClients[[#This Row],[Re-certified or New]]&lt;&gt;"Re-certified",IF(OtherClients[[#This Row],[Client]]="infasco",VLOOKUP(OtherClients[[#This Row],[Part]],PartControl!$A$2:$E$564,2,FALSE),OtherClients[[#This Row],[Total Quantity]]*VLOOKUP(OtherClients[[#This Row],[Part]],PartControl!$A$2:$E$564,2,FALSE)),0)</f>
        <v>106.94</v>
      </c>
      <c r="Z2518" s="108">
        <f>IF(OtherClients[[#This Row],[Re-certified or New]]&lt;&gt;"Re-certified",IF(OtherClients[[#This Row],[Client]]="infasco",VLOOKUP(OtherClients[[#This Row],[Part]],PartControl!$A$2:$E$564,2,FALSE),OtherClients[[#This Row],[Total Quantity]]*VLOOKUP(OtherClients[[#This Row],[Part]],PartControl!$A$2:$E$564,2,FALSE)),0)</f>
        <v>106.94</v>
      </c>
    </row>
    <row r="2519" spans="1:26" ht="25.15" hidden="1" customHeight="1" x14ac:dyDescent="0.25">
      <c r="A2519" s="112">
        <v>46269</v>
      </c>
      <c r="B2519" s="5" t="s">
        <v>239</v>
      </c>
      <c r="C2519" s="5" t="s">
        <v>705</v>
      </c>
      <c r="D2519" s="5">
        <v>716363</v>
      </c>
      <c r="E2519" s="33">
        <v>29</v>
      </c>
      <c r="F2519" s="60">
        <v>450</v>
      </c>
      <c r="G2519" s="60">
        <f>+OtherClients[[#This Row],[Boxes / Pieces]]*OtherClients[[#This Row],[Unit Quantity]]</f>
        <v>13050</v>
      </c>
      <c r="H2519" s="60">
        <v>290</v>
      </c>
      <c r="I2519" s="130" t="s">
        <v>278</v>
      </c>
      <c r="J2519" s="131"/>
      <c r="K2519" s="33" t="s">
        <v>278</v>
      </c>
      <c r="L2519" s="132"/>
      <c r="M2519" s="33" t="s">
        <v>278</v>
      </c>
      <c r="N2519" s="132"/>
      <c r="O2519" s="33" t="s">
        <v>278</v>
      </c>
      <c r="P2519" s="132"/>
      <c r="Q2519" s="33" t="s">
        <v>587</v>
      </c>
      <c r="R2519" s="132"/>
      <c r="S2519" s="33" t="s">
        <v>278</v>
      </c>
      <c r="T2519" s="132"/>
      <c r="U2519" s="33" t="s">
        <v>278</v>
      </c>
      <c r="V2519" s="132"/>
      <c r="W2519" s="59" t="s">
        <v>548</v>
      </c>
      <c r="X2519" s="33" t="str">
        <f>+VLOOKUP(OtherClients[[#This Row],[Part]],PartControl!$A$2:$E$564,5,FALSE)</f>
        <v>infasco</v>
      </c>
      <c r="Y2519" s="108">
        <f>IF(OtherClients[[#This Row],[Re-certified or New]]&lt;&gt;"Re-certified",IF(OtherClients[[#This Row],[Client]]="infasco",VLOOKUP(OtherClients[[#This Row],[Part]],PartControl!$A$2:$E$564,2,FALSE),OtherClients[[#This Row],[Total Quantity]]*VLOOKUP(OtherClients[[#This Row],[Part]],PartControl!$A$2:$E$564,2,FALSE)),0)</f>
        <v>106.94</v>
      </c>
      <c r="Z2519" s="108">
        <f>IF(OtherClients[[#This Row],[Re-certified or New]]&lt;&gt;"Re-certified",IF(OtherClients[[#This Row],[Client]]="infasco",VLOOKUP(OtherClients[[#This Row],[Part]],PartControl!$A$2:$E$564,2,FALSE),OtherClients[[#This Row],[Total Quantity]]*VLOOKUP(OtherClients[[#This Row],[Part]],PartControl!$A$2:$E$564,2,FALSE)),0)</f>
        <v>106.94</v>
      </c>
    </row>
    <row r="2520" spans="1:26" ht="25.15" hidden="1" customHeight="1" x14ac:dyDescent="0.25">
      <c r="A2520" s="112">
        <v>46269</v>
      </c>
      <c r="B2520" s="5" t="s">
        <v>239</v>
      </c>
      <c r="C2520" s="5" t="s">
        <v>705</v>
      </c>
      <c r="D2520" s="5">
        <v>717523</v>
      </c>
      <c r="E2520" s="33">
        <v>1</v>
      </c>
      <c r="F2520" s="60">
        <v>450</v>
      </c>
      <c r="G2520" s="60">
        <f>+OtherClients[[#This Row],[Boxes / Pieces]]*OtherClients[[#This Row],[Unit Quantity]]</f>
        <v>450</v>
      </c>
      <c r="H2520" s="60">
        <v>290</v>
      </c>
      <c r="I2520" s="130" t="s">
        <v>278</v>
      </c>
      <c r="J2520" s="131"/>
      <c r="K2520" s="33" t="s">
        <v>278</v>
      </c>
      <c r="L2520" s="132"/>
      <c r="M2520" s="33" t="s">
        <v>278</v>
      </c>
      <c r="N2520" s="132"/>
      <c r="O2520" s="33" t="s">
        <v>278</v>
      </c>
      <c r="P2520" s="132"/>
      <c r="Q2520" s="33" t="s">
        <v>587</v>
      </c>
      <c r="R2520" s="132"/>
      <c r="S2520" s="33" t="s">
        <v>278</v>
      </c>
      <c r="T2520" s="132"/>
      <c r="U2520" s="33" t="s">
        <v>278</v>
      </c>
      <c r="V2520" s="132"/>
      <c r="W2520" s="59" t="s">
        <v>633</v>
      </c>
      <c r="X2520" s="33" t="str">
        <f>+VLOOKUP(OtherClients[[#This Row],[Part]],PartControl!$A$2:$E$564,5,FALSE)</f>
        <v>infasco</v>
      </c>
      <c r="Y2520" s="108">
        <f>IF(OtherClients[[#This Row],[Re-certified or New]]&lt;&gt;"Re-certified",IF(OtherClients[[#This Row],[Client]]="infasco",VLOOKUP(OtherClients[[#This Row],[Part]],PartControl!$A$2:$E$564,2,FALSE),OtherClients[[#This Row],[Total Quantity]]*VLOOKUP(OtherClients[[#This Row],[Part]],PartControl!$A$2:$E$564,2,FALSE)),0)</f>
        <v>0</v>
      </c>
      <c r="Z2520" s="108">
        <f>IF(OtherClients[[#This Row],[Re-certified or New]]&lt;&gt;"Re-certified",IF(OtherClients[[#This Row],[Client]]="infasco",VLOOKUP(OtherClients[[#This Row],[Part]],PartControl!$A$2:$E$564,2,FALSE),OtherClients[[#This Row],[Total Quantity]]*VLOOKUP(OtherClients[[#This Row],[Part]],PartControl!$A$2:$E$564,2,FALSE)),0)</f>
        <v>0</v>
      </c>
    </row>
    <row r="2521" spans="1:26" ht="25.15" hidden="1" customHeight="1" x14ac:dyDescent="0.25">
      <c r="A2521" s="112">
        <v>46269</v>
      </c>
      <c r="B2521" s="5" t="s">
        <v>240</v>
      </c>
      <c r="C2521" s="5" t="s">
        <v>15</v>
      </c>
      <c r="D2521" s="5">
        <v>717530</v>
      </c>
      <c r="E2521" s="33">
        <v>36</v>
      </c>
      <c r="F2521" s="60">
        <v>1200</v>
      </c>
      <c r="G2521" s="60">
        <f>+OtherClients[[#This Row],[Boxes / Pieces]]*OtherClients[[#This Row],[Unit Quantity]]</f>
        <v>43200</v>
      </c>
      <c r="H2521" s="60">
        <v>290</v>
      </c>
      <c r="I2521" s="130" t="s">
        <v>278</v>
      </c>
      <c r="J2521" s="131"/>
      <c r="K2521" s="33" t="s">
        <v>278</v>
      </c>
      <c r="L2521" s="132"/>
      <c r="M2521" s="33" t="s">
        <v>278</v>
      </c>
      <c r="N2521" s="132"/>
      <c r="O2521" s="33" t="s">
        <v>278</v>
      </c>
      <c r="P2521" s="132"/>
      <c r="Q2521" s="33" t="s">
        <v>587</v>
      </c>
      <c r="R2521" s="132"/>
      <c r="S2521" s="33" t="s">
        <v>278</v>
      </c>
      <c r="T2521" s="132"/>
      <c r="U2521" s="33" t="s">
        <v>278</v>
      </c>
      <c r="V2521" s="132"/>
      <c r="W2521" s="59" t="s">
        <v>548</v>
      </c>
      <c r="X2521" s="33" t="str">
        <f>+VLOOKUP(OtherClients[[#This Row],[Part]],PartControl!$A$2:$E$564,5,FALSE)</f>
        <v>infasco</v>
      </c>
      <c r="Y2521" s="108">
        <f>IF(OtherClients[[#This Row],[Re-certified or New]]&lt;&gt;"Re-certified",IF(OtherClients[[#This Row],[Client]]="infasco",VLOOKUP(OtherClients[[#This Row],[Part]],PartControl!$A$2:$E$564,2,FALSE),OtherClients[[#This Row],[Total Quantity]]*VLOOKUP(OtherClients[[#This Row],[Part]],PartControl!$A$2:$E$564,2,FALSE)),0)</f>
        <v>106.94</v>
      </c>
      <c r="Z2521" s="108">
        <f>IF(OtherClients[[#This Row],[Re-certified or New]]&lt;&gt;"Re-certified",IF(OtherClients[[#This Row],[Client]]="infasco",VLOOKUP(OtherClients[[#This Row],[Part]],PartControl!$A$2:$E$564,2,FALSE),OtherClients[[#This Row],[Total Quantity]]*VLOOKUP(OtherClients[[#This Row],[Part]],PartControl!$A$2:$E$564,2,FALSE)),0)</f>
        <v>106.94</v>
      </c>
    </row>
    <row r="2522" spans="1:26" ht="25.15" hidden="1" customHeight="1" x14ac:dyDescent="0.25">
      <c r="A2522" s="112">
        <v>46269</v>
      </c>
      <c r="B2522" s="113" t="s">
        <v>240</v>
      </c>
      <c r="C2522" s="113" t="s">
        <v>15</v>
      </c>
      <c r="D2522" s="113">
        <v>717527</v>
      </c>
      <c r="E2522" s="114">
        <v>36</v>
      </c>
      <c r="F2522" s="115">
        <v>1200</v>
      </c>
      <c r="G2522" s="115">
        <f>+OtherClients[[#This Row],[Boxes / Pieces]]*OtherClients[[#This Row],[Unit Quantity]]</f>
        <v>43200</v>
      </c>
      <c r="H2522" s="60">
        <v>290</v>
      </c>
      <c r="I2522" s="130" t="s">
        <v>278</v>
      </c>
      <c r="J2522" s="131"/>
      <c r="K2522" s="33" t="s">
        <v>278</v>
      </c>
      <c r="L2522" s="132"/>
      <c r="M2522" s="33" t="s">
        <v>278</v>
      </c>
      <c r="N2522" s="132"/>
      <c r="O2522" s="33" t="s">
        <v>278</v>
      </c>
      <c r="P2522" s="132"/>
      <c r="Q2522" s="33" t="s">
        <v>587</v>
      </c>
      <c r="R2522" s="132"/>
      <c r="S2522" s="33" t="s">
        <v>278</v>
      </c>
      <c r="T2522" s="132"/>
      <c r="U2522" s="33" t="s">
        <v>278</v>
      </c>
      <c r="V2522" s="132"/>
      <c r="W2522" s="59" t="s">
        <v>548</v>
      </c>
      <c r="X2522" s="33" t="str">
        <f>+VLOOKUP(OtherClients[[#This Row],[Part]],PartControl!$A$2:$E$564,5,FALSE)</f>
        <v>infasco</v>
      </c>
      <c r="Y2522" s="108">
        <f>IF(OtherClients[[#This Row],[Re-certified or New]]&lt;&gt;"Re-certified",IF(OtherClients[[#This Row],[Client]]="infasco",VLOOKUP(OtherClients[[#This Row],[Part]],PartControl!$A$2:$E$564,2,FALSE),OtherClients[[#This Row],[Total Quantity]]*VLOOKUP(OtherClients[[#This Row],[Part]],PartControl!$A$2:$E$564,2,FALSE)),0)</f>
        <v>106.94</v>
      </c>
      <c r="Z2522" s="108">
        <f>IF(OtherClients[[#This Row],[Re-certified or New]]&lt;&gt;"Re-certified",IF(OtherClients[[#This Row],[Client]]="infasco",VLOOKUP(OtherClients[[#This Row],[Part]],PartControl!$A$2:$E$564,2,FALSE),OtherClients[[#This Row],[Total Quantity]]*VLOOKUP(OtherClients[[#This Row],[Part]],PartControl!$A$2:$E$564,2,FALSE)),0)</f>
        <v>106.94</v>
      </c>
    </row>
    <row r="2523" spans="1:26" ht="25.15" hidden="1" customHeight="1" x14ac:dyDescent="0.25">
      <c r="A2523" s="112">
        <v>46269</v>
      </c>
      <c r="B2523" s="5" t="s">
        <v>240</v>
      </c>
      <c r="C2523" s="5" t="s">
        <v>15</v>
      </c>
      <c r="D2523" s="5">
        <v>717531</v>
      </c>
      <c r="E2523" s="33">
        <v>36</v>
      </c>
      <c r="F2523" s="60">
        <v>1200</v>
      </c>
      <c r="G2523" s="60">
        <f>+OtherClients[[#This Row],[Boxes / Pieces]]*OtherClients[[#This Row],[Unit Quantity]]</f>
        <v>43200</v>
      </c>
      <c r="H2523" s="60">
        <v>290</v>
      </c>
      <c r="I2523" s="130" t="s">
        <v>278</v>
      </c>
      <c r="J2523" s="131"/>
      <c r="K2523" s="33" t="s">
        <v>278</v>
      </c>
      <c r="L2523" s="132"/>
      <c r="M2523" s="33" t="s">
        <v>278</v>
      </c>
      <c r="N2523" s="132"/>
      <c r="O2523" s="33" t="s">
        <v>278</v>
      </c>
      <c r="P2523" s="132"/>
      <c r="Q2523" s="33" t="s">
        <v>587</v>
      </c>
      <c r="R2523" s="132"/>
      <c r="S2523" s="33" t="s">
        <v>278</v>
      </c>
      <c r="T2523" s="132"/>
      <c r="U2523" s="33" t="s">
        <v>278</v>
      </c>
      <c r="V2523" s="132"/>
      <c r="W2523" s="59" t="s">
        <v>548</v>
      </c>
      <c r="X2523" s="33" t="str">
        <f>+VLOOKUP(OtherClients[[#This Row],[Part]],PartControl!$A$2:$E$564,5,FALSE)</f>
        <v>infasco</v>
      </c>
      <c r="Y2523" s="108">
        <f>IF(OtherClients[[#This Row],[Re-certified or New]]&lt;&gt;"Re-certified",IF(OtherClients[[#This Row],[Client]]="infasco",VLOOKUP(OtherClients[[#This Row],[Part]],PartControl!$A$2:$E$564,2,FALSE),OtherClients[[#This Row],[Total Quantity]]*VLOOKUP(OtherClients[[#This Row],[Part]],PartControl!$A$2:$E$564,2,FALSE)),0)</f>
        <v>106.94</v>
      </c>
      <c r="Z2523" s="108">
        <f>IF(OtherClients[[#This Row],[Re-certified or New]]&lt;&gt;"Re-certified",IF(OtherClients[[#This Row],[Client]]="infasco",VLOOKUP(OtherClients[[#This Row],[Part]],PartControl!$A$2:$E$564,2,FALSE),OtherClients[[#This Row],[Total Quantity]]*VLOOKUP(OtherClients[[#This Row],[Part]],PartControl!$A$2:$E$564,2,FALSE)),0)</f>
        <v>106.94</v>
      </c>
    </row>
    <row r="2524" spans="1:26" ht="25.15" hidden="1" customHeight="1" x14ac:dyDescent="0.25">
      <c r="A2524" s="112">
        <v>46269</v>
      </c>
      <c r="B2524" s="5" t="s">
        <v>240</v>
      </c>
      <c r="C2524" s="5" t="s">
        <v>15</v>
      </c>
      <c r="D2524" s="5">
        <v>717529</v>
      </c>
      <c r="E2524" s="33">
        <v>6</v>
      </c>
      <c r="F2524" s="60">
        <v>1200</v>
      </c>
      <c r="G2524" s="60">
        <f>+OtherClients[[#This Row],[Boxes / Pieces]]*OtherClients[[#This Row],[Unit Quantity]]</f>
        <v>7200</v>
      </c>
      <c r="H2524" s="60">
        <v>290</v>
      </c>
      <c r="I2524" s="130" t="s">
        <v>278</v>
      </c>
      <c r="J2524" s="131"/>
      <c r="K2524" s="33" t="s">
        <v>278</v>
      </c>
      <c r="L2524" s="132"/>
      <c r="M2524" s="33" t="s">
        <v>278</v>
      </c>
      <c r="N2524" s="132"/>
      <c r="O2524" s="33" t="s">
        <v>278</v>
      </c>
      <c r="P2524" s="132"/>
      <c r="Q2524" s="33" t="s">
        <v>587</v>
      </c>
      <c r="R2524" s="132"/>
      <c r="S2524" s="33" t="s">
        <v>278</v>
      </c>
      <c r="T2524" s="132"/>
      <c r="U2524" s="33" t="s">
        <v>278</v>
      </c>
      <c r="V2524" s="132"/>
      <c r="W2524" s="59" t="s">
        <v>633</v>
      </c>
      <c r="X2524" s="33" t="str">
        <f>+VLOOKUP(OtherClients[[#This Row],[Part]],PartControl!$A$2:$E$564,5,FALSE)</f>
        <v>infasco</v>
      </c>
      <c r="Y2524" s="108">
        <f>IF(OtherClients[[#This Row],[Re-certified or New]]&lt;&gt;"Re-certified",IF(OtherClients[[#This Row],[Client]]="infasco",VLOOKUP(OtherClients[[#This Row],[Part]],PartControl!$A$2:$E$564,2,FALSE),OtherClients[[#This Row],[Total Quantity]]*VLOOKUP(OtherClients[[#This Row],[Part]],PartControl!$A$2:$E$564,2,FALSE)),0)</f>
        <v>0</v>
      </c>
      <c r="Z2524" s="108">
        <f>IF(OtherClients[[#This Row],[Re-certified or New]]&lt;&gt;"Re-certified",IF(OtherClients[[#This Row],[Client]]="infasco",VLOOKUP(OtherClients[[#This Row],[Part]],PartControl!$A$2:$E$564,2,FALSE),OtherClients[[#This Row],[Total Quantity]]*VLOOKUP(OtherClients[[#This Row],[Part]],PartControl!$A$2:$E$564,2,FALSE)),0)</f>
        <v>0</v>
      </c>
    </row>
    <row r="2525" spans="1:26" ht="25.15" hidden="1" customHeight="1" x14ac:dyDescent="0.25">
      <c r="A2525" s="112">
        <v>46269</v>
      </c>
      <c r="B2525" s="5" t="s">
        <v>250</v>
      </c>
      <c r="C2525" s="5">
        <v>11549170</v>
      </c>
      <c r="D2525" s="5">
        <v>716925</v>
      </c>
      <c r="E2525" s="33">
        <f>36-16</f>
        <v>20</v>
      </c>
      <c r="F2525" s="60">
        <v>400</v>
      </c>
      <c r="G2525" s="60">
        <f>+OtherClients[[#This Row],[Boxes / Pieces]]*OtherClients[[#This Row],[Unit Quantity]]</f>
        <v>8000</v>
      </c>
      <c r="H2525" s="60">
        <v>290</v>
      </c>
      <c r="I2525" s="130" t="s">
        <v>278</v>
      </c>
      <c r="J2525" s="131"/>
      <c r="K2525" s="33" t="s">
        <v>278</v>
      </c>
      <c r="L2525" s="132"/>
      <c r="M2525" s="33" t="s">
        <v>278</v>
      </c>
      <c r="N2525" s="132"/>
      <c r="O2525" s="33" t="s">
        <v>278</v>
      </c>
      <c r="P2525" s="132"/>
      <c r="Q2525" s="33" t="s">
        <v>587</v>
      </c>
      <c r="R2525" s="132"/>
      <c r="S2525" s="33" t="s">
        <v>278</v>
      </c>
      <c r="T2525" s="132"/>
      <c r="U2525" s="33" t="s">
        <v>278</v>
      </c>
      <c r="V2525" s="132"/>
      <c r="W2525" s="59" t="s">
        <v>548</v>
      </c>
      <c r="X2525" s="33" t="str">
        <f>+VLOOKUP(OtherClients[[#This Row],[Part]],PartControl!$A$2:$E$564,5,FALSE)</f>
        <v>INFASCO</v>
      </c>
      <c r="Y2525" s="108">
        <f>IF(OtherClients[[#This Row],[Re-certified or New]]&lt;&gt;"Re-certified",IF(OtherClients[[#This Row],[Client]]="infasco",VLOOKUP(OtherClients[[#This Row],[Part]],PartControl!$A$2:$E$564,2,FALSE),OtherClients[[#This Row],[Total Quantity]]*VLOOKUP(OtherClients[[#This Row],[Part]],PartControl!$A$2:$E$564,2,FALSE)),0)</f>
        <v>106.94</v>
      </c>
      <c r="Z2525" s="108">
        <f>IF(OtherClients[[#This Row],[Re-certified or New]]&lt;&gt;"Re-certified",IF(OtherClients[[#This Row],[Client]]="infasco",VLOOKUP(OtherClients[[#This Row],[Part]],PartControl!$A$2:$E$564,2,FALSE),OtherClients[[#This Row],[Total Quantity]]*VLOOKUP(OtherClients[[#This Row],[Part]],PartControl!$A$2:$E$564,2,FALSE)),0)</f>
        <v>106.94</v>
      </c>
    </row>
    <row r="2526" spans="1:26" ht="25.15" hidden="1" customHeight="1" x14ac:dyDescent="0.25">
      <c r="A2526" s="112">
        <v>46269</v>
      </c>
      <c r="B2526" s="5" t="s">
        <v>250</v>
      </c>
      <c r="C2526" s="5">
        <v>11549170</v>
      </c>
      <c r="D2526" s="5">
        <v>716929</v>
      </c>
      <c r="E2526" s="33">
        <v>36</v>
      </c>
      <c r="F2526" s="60">
        <v>400</v>
      </c>
      <c r="G2526" s="60">
        <f>+OtherClients[[#This Row],[Boxes / Pieces]]*OtherClients[[#This Row],[Unit Quantity]]</f>
        <v>14400</v>
      </c>
      <c r="H2526" s="60">
        <v>290</v>
      </c>
      <c r="I2526" s="130" t="s">
        <v>278</v>
      </c>
      <c r="J2526" s="131"/>
      <c r="K2526" s="33" t="s">
        <v>278</v>
      </c>
      <c r="L2526" s="132"/>
      <c r="M2526" s="33" t="s">
        <v>278</v>
      </c>
      <c r="N2526" s="132"/>
      <c r="O2526" s="33" t="s">
        <v>278</v>
      </c>
      <c r="P2526" s="132"/>
      <c r="Q2526" s="33" t="s">
        <v>587</v>
      </c>
      <c r="R2526" s="132"/>
      <c r="S2526" s="33" t="s">
        <v>278</v>
      </c>
      <c r="T2526" s="132"/>
      <c r="U2526" s="33" t="s">
        <v>278</v>
      </c>
      <c r="V2526" s="132"/>
      <c r="W2526" s="59" t="s">
        <v>548</v>
      </c>
      <c r="X2526" s="33" t="str">
        <f>+VLOOKUP(OtherClients[[#This Row],[Part]],PartControl!$A$2:$E$564,5,FALSE)</f>
        <v>INFASCO</v>
      </c>
      <c r="Y2526" s="108">
        <f>IF(OtherClients[[#This Row],[Re-certified or New]]&lt;&gt;"Re-certified",IF(OtherClients[[#This Row],[Client]]="infasco",VLOOKUP(OtherClients[[#This Row],[Part]],PartControl!$A$2:$E$564,2,FALSE),OtherClients[[#This Row],[Total Quantity]]*VLOOKUP(OtherClients[[#This Row],[Part]],PartControl!$A$2:$E$564,2,FALSE)),0)</f>
        <v>106.94</v>
      </c>
      <c r="Z2526" s="108">
        <f>IF(OtherClients[[#This Row],[Re-certified or New]]&lt;&gt;"Re-certified",IF(OtherClients[[#This Row],[Client]]="infasco",VLOOKUP(OtherClients[[#This Row],[Part]],PartControl!$A$2:$E$564,2,FALSE),OtherClients[[#This Row],[Total Quantity]]*VLOOKUP(OtherClients[[#This Row],[Part]],PartControl!$A$2:$E$564,2,FALSE)),0)</f>
        <v>106.94</v>
      </c>
    </row>
    <row r="2527" spans="1:26" ht="25.15" hidden="1" customHeight="1" x14ac:dyDescent="0.25">
      <c r="A2527" s="112">
        <v>46269</v>
      </c>
      <c r="B2527" s="5" t="s">
        <v>250</v>
      </c>
      <c r="C2527" s="5">
        <v>11549170</v>
      </c>
      <c r="D2527" s="5">
        <v>716937</v>
      </c>
      <c r="E2527" s="33">
        <v>18</v>
      </c>
      <c r="F2527" s="60">
        <v>400</v>
      </c>
      <c r="G2527" s="60">
        <f>+OtherClients[[#This Row],[Boxes / Pieces]]*OtherClients[[#This Row],[Unit Quantity]]</f>
        <v>7200</v>
      </c>
      <c r="H2527" s="60">
        <v>290</v>
      </c>
      <c r="I2527" s="130" t="s">
        <v>278</v>
      </c>
      <c r="J2527" s="131"/>
      <c r="K2527" s="33" t="s">
        <v>278</v>
      </c>
      <c r="L2527" s="132"/>
      <c r="M2527" s="33" t="s">
        <v>278</v>
      </c>
      <c r="N2527" s="132"/>
      <c r="O2527" s="33" t="s">
        <v>278</v>
      </c>
      <c r="P2527" s="132"/>
      <c r="Q2527" s="33" t="s">
        <v>587</v>
      </c>
      <c r="R2527" s="132"/>
      <c r="S2527" s="33" t="s">
        <v>278</v>
      </c>
      <c r="T2527" s="132"/>
      <c r="U2527" s="33" t="s">
        <v>278</v>
      </c>
      <c r="V2527" s="132"/>
      <c r="W2527" s="59" t="s">
        <v>633</v>
      </c>
      <c r="X2527" s="33" t="str">
        <f>+VLOOKUP(OtherClients[[#This Row],[Part]],PartControl!$A$2:$E$564,5,FALSE)</f>
        <v>INFASCO</v>
      </c>
      <c r="Y2527" s="108">
        <f>IF(OtherClients[[#This Row],[Re-certified or New]]&lt;&gt;"Re-certified",IF(OtherClients[[#This Row],[Client]]="infasco",VLOOKUP(OtherClients[[#This Row],[Part]],PartControl!$A$2:$E$564,2,FALSE),OtherClients[[#This Row],[Total Quantity]]*VLOOKUP(OtherClients[[#This Row],[Part]],PartControl!$A$2:$E$564,2,FALSE)),0)</f>
        <v>0</v>
      </c>
      <c r="Z2527" s="108">
        <f>IF(OtherClients[[#This Row],[Re-certified or New]]&lt;&gt;"Re-certified",IF(OtherClients[[#This Row],[Client]]="infasco",VLOOKUP(OtherClients[[#This Row],[Part]],PartControl!$A$2:$E$564,2,FALSE),OtherClients[[#This Row],[Total Quantity]]*VLOOKUP(OtherClients[[#This Row],[Part]],PartControl!$A$2:$E$564,2,FALSE)),0)</f>
        <v>0</v>
      </c>
    </row>
    <row r="2528" spans="1:26" ht="25.15" hidden="1" customHeight="1" x14ac:dyDescent="0.25">
      <c r="A2528" s="112">
        <v>46269</v>
      </c>
      <c r="B2528" s="5" t="s">
        <v>237</v>
      </c>
      <c r="C2528" s="5" t="s">
        <v>652</v>
      </c>
      <c r="D2528" s="5">
        <v>717852</v>
      </c>
      <c r="E2528" s="33">
        <f>36-25</f>
        <v>11</v>
      </c>
      <c r="F2528" s="60">
        <v>1750</v>
      </c>
      <c r="G2528" s="60">
        <f>+OtherClients[[#This Row],[Boxes / Pieces]]*OtherClients[[#This Row],[Unit Quantity]]</f>
        <v>19250</v>
      </c>
      <c r="H2528" s="60">
        <v>290</v>
      </c>
      <c r="I2528" s="130" t="s">
        <v>278</v>
      </c>
      <c r="J2528" s="131"/>
      <c r="K2528" s="33" t="s">
        <v>278</v>
      </c>
      <c r="L2528" s="132"/>
      <c r="M2528" s="33" t="s">
        <v>278</v>
      </c>
      <c r="N2528" s="132"/>
      <c r="O2528" s="33" t="s">
        <v>278</v>
      </c>
      <c r="P2528" s="132"/>
      <c r="Q2528" s="33" t="s">
        <v>587</v>
      </c>
      <c r="R2528" s="132"/>
      <c r="S2528" s="33" t="s">
        <v>278</v>
      </c>
      <c r="T2528" s="132"/>
      <c r="U2528" s="33" t="s">
        <v>278</v>
      </c>
      <c r="V2528" s="132"/>
      <c r="W2528" s="59" t="s">
        <v>548</v>
      </c>
      <c r="X2528" s="33" t="str">
        <f>+VLOOKUP(OtherClients[[#This Row],[Part]],PartControl!$A$2:$E$564,5,FALSE)</f>
        <v>infasco</v>
      </c>
      <c r="Y2528" s="108">
        <f>IF(OtherClients[[#This Row],[Re-certified or New]]&lt;&gt;"Re-certified",IF(OtherClients[[#This Row],[Client]]="infasco",VLOOKUP(OtherClients[[#This Row],[Part]],PartControl!$A$2:$E$564,2,FALSE),OtherClients[[#This Row],[Total Quantity]]*VLOOKUP(OtherClients[[#This Row],[Part]],PartControl!$A$2:$E$564,2,FALSE)),0)</f>
        <v>106.94</v>
      </c>
      <c r="Z2528" s="108">
        <f>IF(OtherClients[[#This Row],[Re-certified or New]]&lt;&gt;"Re-certified",IF(OtherClients[[#This Row],[Client]]="infasco",VLOOKUP(OtherClients[[#This Row],[Part]],PartControl!$A$2:$E$564,2,FALSE),OtherClients[[#This Row],[Total Quantity]]*VLOOKUP(OtherClients[[#This Row],[Part]],PartControl!$A$2:$E$564,2,FALSE)),0)</f>
        <v>106.94</v>
      </c>
    </row>
    <row r="2529" spans="1:26" ht="25.15" hidden="1" customHeight="1" x14ac:dyDescent="0.25">
      <c r="A2529" s="112">
        <v>46269</v>
      </c>
      <c r="B2529" s="5" t="s">
        <v>237</v>
      </c>
      <c r="C2529" s="5" t="s">
        <v>652</v>
      </c>
      <c r="D2529" s="5">
        <v>717853</v>
      </c>
      <c r="E2529" s="33">
        <v>36</v>
      </c>
      <c r="F2529" s="60">
        <v>1750</v>
      </c>
      <c r="G2529" s="60">
        <f>+OtherClients[[#This Row],[Boxes / Pieces]]*OtherClients[[#This Row],[Unit Quantity]]</f>
        <v>63000</v>
      </c>
      <c r="H2529" s="60">
        <v>290</v>
      </c>
      <c r="I2529" s="130" t="s">
        <v>278</v>
      </c>
      <c r="J2529" s="131"/>
      <c r="K2529" s="33" t="s">
        <v>278</v>
      </c>
      <c r="L2529" s="132"/>
      <c r="M2529" s="33" t="s">
        <v>278</v>
      </c>
      <c r="N2529" s="132"/>
      <c r="O2529" s="33" t="s">
        <v>278</v>
      </c>
      <c r="P2529" s="132"/>
      <c r="Q2529" s="33" t="s">
        <v>587</v>
      </c>
      <c r="R2529" s="132"/>
      <c r="S2529" s="33" t="s">
        <v>278</v>
      </c>
      <c r="T2529" s="132"/>
      <c r="U2529" s="33" t="s">
        <v>278</v>
      </c>
      <c r="V2529" s="132"/>
      <c r="W2529" s="59" t="s">
        <v>548</v>
      </c>
      <c r="X2529" s="33" t="str">
        <f>+VLOOKUP(OtherClients[[#This Row],[Part]],PartControl!$A$2:$E$564,5,FALSE)</f>
        <v>infasco</v>
      </c>
      <c r="Y2529" s="108">
        <f>IF(OtherClients[[#This Row],[Re-certified or New]]&lt;&gt;"Re-certified",IF(OtherClients[[#This Row],[Client]]="infasco",VLOOKUP(OtherClients[[#This Row],[Part]],PartControl!$A$2:$E$564,2,FALSE),OtherClients[[#This Row],[Total Quantity]]*VLOOKUP(OtherClients[[#This Row],[Part]],PartControl!$A$2:$E$564,2,FALSE)),0)</f>
        <v>106.94</v>
      </c>
      <c r="Z2529" s="108">
        <f>IF(OtherClients[[#This Row],[Re-certified or New]]&lt;&gt;"Re-certified",IF(OtherClients[[#This Row],[Client]]="infasco",VLOOKUP(OtherClients[[#This Row],[Part]],PartControl!$A$2:$E$564,2,FALSE),OtherClients[[#This Row],[Total Quantity]]*VLOOKUP(OtherClients[[#This Row],[Part]],PartControl!$A$2:$E$564,2,FALSE)),0)</f>
        <v>106.94</v>
      </c>
    </row>
    <row r="2530" spans="1:26" ht="25.15" hidden="1" customHeight="1" x14ac:dyDescent="0.25">
      <c r="A2530" s="112">
        <v>46269</v>
      </c>
      <c r="B2530" s="5" t="s">
        <v>235</v>
      </c>
      <c r="C2530" s="5">
        <v>11546571</v>
      </c>
      <c r="D2530" s="5">
        <v>717161</v>
      </c>
      <c r="E2530" s="33">
        <v>20</v>
      </c>
      <c r="F2530" s="60">
        <v>1550</v>
      </c>
      <c r="G2530" s="60">
        <f>+OtherClients[[#This Row],[Boxes / Pieces]]*OtherClients[[#This Row],[Unit Quantity]]</f>
        <v>31000</v>
      </c>
      <c r="H2530" s="60">
        <v>290</v>
      </c>
      <c r="I2530" s="130" t="s">
        <v>278</v>
      </c>
      <c r="J2530" s="131"/>
      <c r="K2530" s="33" t="s">
        <v>278</v>
      </c>
      <c r="L2530" s="132"/>
      <c r="M2530" s="33" t="s">
        <v>278</v>
      </c>
      <c r="N2530" s="132"/>
      <c r="O2530" s="33" t="s">
        <v>278</v>
      </c>
      <c r="P2530" s="132"/>
      <c r="Q2530" s="33" t="s">
        <v>587</v>
      </c>
      <c r="R2530" s="132"/>
      <c r="S2530" s="33" t="s">
        <v>278</v>
      </c>
      <c r="T2530" s="132"/>
      <c r="U2530" s="33" t="s">
        <v>278</v>
      </c>
      <c r="V2530" s="132"/>
      <c r="W2530" s="59" t="s">
        <v>633</v>
      </c>
      <c r="X2530" s="33" t="str">
        <f>+VLOOKUP(OtherClients[[#This Row],[Part]],PartControl!$A$2:$E$564,5,FALSE)</f>
        <v>infasco</v>
      </c>
      <c r="Y2530" s="108">
        <f>IF(OtherClients[[#This Row],[Re-certified or New]]&lt;&gt;"Re-certified",IF(OtherClients[[#This Row],[Client]]="infasco",VLOOKUP(OtherClients[[#This Row],[Part]],PartControl!$A$2:$E$564,2,FALSE),OtherClients[[#This Row],[Total Quantity]]*VLOOKUP(OtherClients[[#This Row],[Part]],PartControl!$A$2:$E$564,2,FALSE)),0)</f>
        <v>0</v>
      </c>
      <c r="Z2530" s="108">
        <f>IF(OtherClients[[#This Row],[Re-certified or New]]&lt;&gt;"Re-certified",IF(OtherClients[[#This Row],[Client]]="infasco",VLOOKUP(OtherClients[[#This Row],[Part]],PartControl!$A$2:$E$564,2,FALSE),OtherClients[[#This Row],[Total Quantity]]*VLOOKUP(OtherClients[[#This Row],[Part]],PartControl!$A$2:$E$564,2,FALSE)),0)</f>
        <v>0</v>
      </c>
    </row>
    <row r="2531" spans="1:26" ht="25.15" hidden="1" customHeight="1" x14ac:dyDescent="0.25">
      <c r="A2531" s="112">
        <v>46269</v>
      </c>
      <c r="B2531" s="5" t="s">
        <v>623</v>
      </c>
      <c r="C2531" s="5" t="s">
        <v>814</v>
      </c>
      <c r="D2531" s="5">
        <v>717563</v>
      </c>
      <c r="E2531" s="33">
        <f>30-5</f>
        <v>25</v>
      </c>
      <c r="F2531" s="60">
        <v>2500</v>
      </c>
      <c r="G2531" s="60">
        <f>+OtherClients[[#This Row],[Boxes / Pieces]]*OtherClients[[#This Row],[Unit Quantity]]</f>
        <v>62500</v>
      </c>
      <c r="H2531" s="60">
        <v>292</v>
      </c>
      <c r="I2531" s="130" t="s">
        <v>278</v>
      </c>
      <c r="J2531" s="131"/>
      <c r="K2531" s="33" t="s">
        <v>278</v>
      </c>
      <c r="L2531" s="132"/>
      <c r="M2531" s="33" t="s">
        <v>278</v>
      </c>
      <c r="N2531" s="132"/>
      <c r="O2531" s="33" t="s">
        <v>278</v>
      </c>
      <c r="P2531" s="132"/>
      <c r="Q2531" s="33" t="s">
        <v>587</v>
      </c>
      <c r="R2531" s="132"/>
      <c r="S2531" s="33" t="s">
        <v>278</v>
      </c>
      <c r="T2531" s="132"/>
      <c r="U2531" s="33" t="s">
        <v>278</v>
      </c>
      <c r="V2531" s="132"/>
      <c r="W2531" s="59" t="s">
        <v>548</v>
      </c>
      <c r="X2531" s="33" t="str">
        <f>+VLOOKUP(OtherClients[[#This Row],[Part]],PartControl!$A$2:$E$564,5,FALSE)</f>
        <v>Infasco</v>
      </c>
      <c r="Y2531" s="108">
        <f>IF(OtherClients[[#This Row],[Re-certified or New]]&lt;&gt;"Re-certified",IF(OtherClients[[#This Row],[Client]]="infasco",VLOOKUP(OtherClients[[#This Row],[Part]],PartControl!$A$2:$E$564,2,FALSE),OtherClients[[#This Row],[Total Quantity]]*VLOOKUP(OtherClients[[#This Row],[Part]],PartControl!$A$2:$E$564,2,FALSE)),0)</f>
        <v>106.94</v>
      </c>
      <c r="Z2531" s="108">
        <f>IF(OtherClients[[#This Row],[Re-certified or New]]&lt;&gt;"Re-certified",IF(OtherClients[[#This Row],[Client]]="infasco",VLOOKUP(OtherClients[[#This Row],[Part]],PartControl!$A$2:$E$564,2,FALSE),OtherClients[[#This Row],[Total Quantity]]*VLOOKUP(OtherClients[[#This Row],[Part]],PartControl!$A$2:$E$564,2,FALSE)),0)</f>
        <v>106.94</v>
      </c>
    </row>
    <row r="2532" spans="1:26" ht="25.15" hidden="1" customHeight="1" x14ac:dyDescent="0.25">
      <c r="A2532" s="112">
        <v>46269</v>
      </c>
      <c r="B2532" s="5" t="s">
        <v>623</v>
      </c>
      <c r="C2532" s="5" t="s">
        <v>814</v>
      </c>
      <c r="D2532" s="5">
        <v>717560</v>
      </c>
      <c r="E2532" s="33">
        <v>20</v>
      </c>
      <c r="F2532" s="60">
        <v>2500</v>
      </c>
      <c r="G2532" s="60">
        <f>+OtherClients[[#This Row],[Boxes / Pieces]]*OtherClients[[#This Row],[Unit Quantity]]</f>
        <v>50000</v>
      </c>
      <c r="H2532" s="60">
        <v>292</v>
      </c>
      <c r="I2532" s="130" t="s">
        <v>278</v>
      </c>
      <c r="J2532" s="131"/>
      <c r="K2532" s="33" t="s">
        <v>278</v>
      </c>
      <c r="L2532" s="132"/>
      <c r="M2532" s="33" t="s">
        <v>278</v>
      </c>
      <c r="N2532" s="132"/>
      <c r="O2532" s="33" t="s">
        <v>278</v>
      </c>
      <c r="P2532" s="132"/>
      <c r="Q2532" s="33" t="s">
        <v>587</v>
      </c>
      <c r="R2532" s="132"/>
      <c r="S2532" s="33" t="s">
        <v>278</v>
      </c>
      <c r="T2532" s="132"/>
      <c r="U2532" s="33" t="s">
        <v>278</v>
      </c>
      <c r="V2532" s="132"/>
      <c r="W2532" s="59" t="s">
        <v>633</v>
      </c>
      <c r="X2532" s="33" t="str">
        <f>+VLOOKUP(OtherClients[[#This Row],[Part]],PartControl!$A$2:$E$564,5,FALSE)</f>
        <v>Infasco</v>
      </c>
      <c r="Y2532" s="108">
        <f>IF(OtherClients[[#This Row],[Re-certified or New]]&lt;&gt;"Re-certified",IF(OtherClients[[#This Row],[Client]]="infasco",VLOOKUP(OtherClients[[#This Row],[Part]],PartControl!$A$2:$E$564,2,FALSE),OtherClients[[#This Row],[Total Quantity]]*VLOOKUP(OtherClients[[#This Row],[Part]],PartControl!$A$2:$E$564,2,FALSE)),0)</f>
        <v>0</v>
      </c>
      <c r="Z2532" s="108">
        <f>IF(OtherClients[[#This Row],[Re-certified or New]]&lt;&gt;"Re-certified",IF(OtherClients[[#This Row],[Client]]="infasco",VLOOKUP(OtherClients[[#This Row],[Part]],PartControl!$A$2:$E$564,2,FALSE),OtherClients[[#This Row],[Total Quantity]]*VLOOKUP(OtherClients[[#This Row],[Part]],PartControl!$A$2:$E$564,2,FALSE)),0)</f>
        <v>0</v>
      </c>
    </row>
    <row r="2533" spans="1:26" ht="25.15" hidden="1" customHeight="1" x14ac:dyDescent="0.25">
      <c r="A2533" s="112">
        <v>46269</v>
      </c>
      <c r="B2533" s="5" t="s">
        <v>251</v>
      </c>
      <c r="C2533" s="5" t="s">
        <v>645</v>
      </c>
      <c r="D2533" s="5">
        <v>717916</v>
      </c>
      <c r="E2533" s="33">
        <f>36+6-5</f>
        <v>37</v>
      </c>
      <c r="F2533" s="60">
        <v>1000</v>
      </c>
      <c r="G2533" s="60">
        <f>+OtherClients[[#This Row],[Boxes / Pieces]]*OtherClients[[#This Row],[Unit Quantity]]</f>
        <v>37000</v>
      </c>
      <c r="H2533" s="60">
        <v>292</v>
      </c>
      <c r="I2533" s="130" t="s">
        <v>278</v>
      </c>
      <c r="J2533" s="131"/>
      <c r="K2533" s="33" t="s">
        <v>278</v>
      </c>
      <c r="L2533" s="132"/>
      <c r="M2533" s="33" t="s">
        <v>278</v>
      </c>
      <c r="N2533" s="132"/>
      <c r="O2533" s="33" t="s">
        <v>278</v>
      </c>
      <c r="P2533" s="132"/>
      <c r="Q2533" s="33" t="s">
        <v>587</v>
      </c>
      <c r="R2533" s="132"/>
      <c r="S2533" s="33" t="s">
        <v>278</v>
      </c>
      <c r="T2533" s="132"/>
      <c r="U2533" s="33" t="s">
        <v>278</v>
      </c>
      <c r="V2533" s="132"/>
      <c r="W2533" s="59" t="s">
        <v>548</v>
      </c>
      <c r="X2533" s="33" t="str">
        <f>+VLOOKUP(OtherClients[[#This Row],[Part]],PartControl!$A$2:$E$564,5,FALSE)</f>
        <v>infasco</v>
      </c>
      <c r="Y2533" s="108">
        <f>IF(OtherClients[[#This Row],[Re-certified or New]]&lt;&gt;"Re-certified",IF(OtherClients[[#This Row],[Client]]="infasco",VLOOKUP(OtherClients[[#This Row],[Part]],PartControl!$A$2:$E$564,2,FALSE),OtherClients[[#This Row],[Total Quantity]]*VLOOKUP(OtherClients[[#This Row],[Part]],PartControl!$A$2:$E$564,2,FALSE)),0)</f>
        <v>106.94</v>
      </c>
      <c r="Z2533" s="108">
        <f>IF(OtherClients[[#This Row],[Re-certified or New]]&lt;&gt;"Re-certified",IF(OtherClients[[#This Row],[Client]]="infasco",VLOOKUP(OtherClients[[#This Row],[Part]],PartControl!$A$2:$E$564,2,FALSE),OtherClients[[#This Row],[Total Quantity]]*VLOOKUP(OtherClients[[#This Row],[Part]],PartControl!$A$2:$E$564,2,FALSE)),0)</f>
        <v>106.94</v>
      </c>
    </row>
    <row r="2534" spans="1:26" ht="25.15" hidden="1" customHeight="1" x14ac:dyDescent="0.25">
      <c r="A2534" s="112">
        <v>46269</v>
      </c>
      <c r="B2534" s="5" t="s">
        <v>251</v>
      </c>
      <c r="C2534" s="5">
        <v>11546462</v>
      </c>
      <c r="D2534" s="5">
        <v>718222</v>
      </c>
      <c r="E2534" s="33">
        <v>10</v>
      </c>
      <c r="F2534" s="60">
        <v>650</v>
      </c>
      <c r="G2534" s="60">
        <f>+OtherClients[[#This Row],[Boxes / Pieces]]*OtherClients[[#This Row],[Unit Quantity]]</f>
        <v>6500</v>
      </c>
      <c r="H2534" s="60">
        <v>292</v>
      </c>
      <c r="I2534" s="130" t="s">
        <v>278</v>
      </c>
      <c r="J2534" s="131"/>
      <c r="K2534" s="33" t="s">
        <v>278</v>
      </c>
      <c r="L2534" s="132"/>
      <c r="M2534" s="33" t="s">
        <v>278</v>
      </c>
      <c r="N2534" s="132"/>
      <c r="O2534" s="33" t="s">
        <v>278</v>
      </c>
      <c r="P2534" s="132"/>
      <c r="Q2534" s="33" t="s">
        <v>587</v>
      </c>
      <c r="R2534" s="132"/>
      <c r="S2534" s="33" t="s">
        <v>278</v>
      </c>
      <c r="T2534" s="132"/>
      <c r="U2534" s="33" t="s">
        <v>278</v>
      </c>
      <c r="V2534" s="132"/>
      <c r="W2534" s="59" t="s">
        <v>633</v>
      </c>
      <c r="X2534" s="33" t="str">
        <f>+VLOOKUP(OtherClients[[#This Row],[Part]],PartControl!$A$2:$E$564,5,FALSE)</f>
        <v>INFASCO</v>
      </c>
      <c r="Y2534" s="108">
        <f>IF(OtherClients[[#This Row],[Re-certified or New]]&lt;&gt;"Re-certified",IF(OtherClients[[#This Row],[Client]]="infasco",VLOOKUP(OtherClients[[#This Row],[Part]],PartControl!$A$2:$E$564,2,FALSE),OtherClients[[#This Row],[Total Quantity]]*VLOOKUP(OtherClients[[#This Row],[Part]],PartControl!$A$2:$E$564,2,FALSE)),0)</f>
        <v>0</v>
      </c>
      <c r="Z2534" s="108">
        <f>IF(OtherClients[[#This Row],[Re-certified or New]]&lt;&gt;"Re-certified",IF(OtherClients[[#This Row],[Client]]="infasco",VLOOKUP(OtherClients[[#This Row],[Part]],PartControl!$A$2:$E$564,2,FALSE),OtherClients[[#This Row],[Total Quantity]]*VLOOKUP(OtherClients[[#This Row],[Part]],PartControl!$A$2:$E$564,2,FALSE)),0)</f>
        <v>0</v>
      </c>
    </row>
    <row r="2535" spans="1:26" ht="25.15" hidden="1" customHeight="1" x14ac:dyDescent="0.25">
      <c r="A2535" s="112">
        <v>46269</v>
      </c>
      <c r="B2535" s="5" t="s">
        <v>245</v>
      </c>
      <c r="C2535" s="5">
        <v>11546545</v>
      </c>
      <c r="D2535" s="5">
        <v>718232</v>
      </c>
      <c r="E2535" s="33">
        <v>12</v>
      </c>
      <c r="F2535" s="60">
        <v>2500</v>
      </c>
      <c r="G2535" s="60">
        <f>+OtherClients[[#This Row],[Boxes / Pieces]]*OtherClients[[#This Row],[Unit Quantity]]</f>
        <v>30000</v>
      </c>
      <c r="H2535" s="60">
        <v>292</v>
      </c>
      <c r="I2535" s="130" t="s">
        <v>278</v>
      </c>
      <c r="J2535" s="131"/>
      <c r="K2535" s="33" t="s">
        <v>278</v>
      </c>
      <c r="L2535" s="132"/>
      <c r="M2535" s="33" t="s">
        <v>278</v>
      </c>
      <c r="N2535" s="132"/>
      <c r="O2535" s="33" t="s">
        <v>278</v>
      </c>
      <c r="P2535" s="132"/>
      <c r="Q2535" s="33" t="s">
        <v>587</v>
      </c>
      <c r="R2535" s="132"/>
      <c r="S2535" s="33" t="s">
        <v>278</v>
      </c>
      <c r="T2535" s="132"/>
      <c r="U2535" s="33" t="s">
        <v>278</v>
      </c>
      <c r="V2535" s="132"/>
      <c r="W2535" s="59" t="s">
        <v>633</v>
      </c>
      <c r="X2535" s="33" t="str">
        <f>+VLOOKUP(OtherClients[[#This Row],[Part]],PartControl!$A$2:$E$564,5,FALSE)</f>
        <v>infasco</v>
      </c>
      <c r="Y2535" s="108">
        <f>IF(OtherClients[[#This Row],[Re-certified or New]]&lt;&gt;"Re-certified",IF(OtherClients[[#This Row],[Client]]="infasco",VLOOKUP(OtherClients[[#This Row],[Part]],PartControl!$A$2:$E$564,2,FALSE),OtherClients[[#This Row],[Total Quantity]]*VLOOKUP(OtherClients[[#This Row],[Part]],PartControl!$A$2:$E$564,2,FALSE)),0)</f>
        <v>0</v>
      </c>
      <c r="Z2535" s="108">
        <f>IF(OtherClients[[#This Row],[Re-certified or New]]&lt;&gt;"Re-certified",IF(OtherClients[[#This Row],[Client]]="infasco",VLOOKUP(OtherClients[[#This Row],[Part]],PartControl!$A$2:$E$564,2,FALSE),OtherClients[[#This Row],[Total Quantity]]*VLOOKUP(OtherClients[[#This Row],[Part]],PartControl!$A$2:$E$564,2,FALSE)),0)</f>
        <v>0</v>
      </c>
    </row>
    <row r="2536" spans="1:26" ht="25.15" hidden="1" customHeight="1" x14ac:dyDescent="0.25">
      <c r="A2536" s="112">
        <v>46269</v>
      </c>
      <c r="B2536" s="5" t="s">
        <v>246</v>
      </c>
      <c r="C2536" s="5" t="s">
        <v>667</v>
      </c>
      <c r="D2536" s="5">
        <v>714259</v>
      </c>
      <c r="E2536" s="33">
        <v>25</v>
      </c>
      <c r="F2536" s="60">
        <v>1600</v>
      </c>
      <c r="G2536" s="60">
        <f>+OtherClients[[#This Row],[Boxes / Pieces]]*OtherClients[[#This Row],[Unit Quantity]]</f>
        <v>40000</v>
      </c>
      <c r="H2536" s="60">
        <v>292</v>
      </c>
      <c r="I2536" s="130" t="s">
        <v>278</v>
      </c>
      <c r="J2536" s="131"/>
      <c r="K2536" s="33" t="s">
        <v>278</v>
      </c>
      <c r="L2536" s="132"/>
      <c r="M2536" s="33" t="s">
        <v>278</v>
      </c>
      <c r="N2536" s="132"/>
      <c r="O2536" s="33" t="s">
        <v>278</v>
      </c>
      <c r="P2536" s="132"/>
      <c r="Q2536" s="33" t="s">
        <v>587</v>
      </c>
      <c r="R2536" s="132"/>
      <c r="S2536" s="33" t="s">
        <v>278</v>
      </c>
      <c r="T2536" s="132"/>
      <c r="U2536" s="33" t="s">
        <v>278</v>
      </c>
      <c r="V2536" s="132"/>
      <c r="W2536" s="59" t="s">
        <v>548</v>
      </c>
      <c r="X2536" s="33" t="str">
        <f>+VLOOKUP(OtherClients[[#This Row],[Part]],PartControl!$A$2:$E$564,5,FALSE)</f>
        <v>infasco</v>
      </c>
      <c r="Y2536" s="108">
        <f>IF(OtherClients[[#This Row],[Re-certified or New]]&lt;&gt;"Re-certified",IF(OtherClients[[#This Row],[Client]]="infasco",VLOOKUP(OtherClients[[#This Row],[Part]],PartControl!$A$2:$E$564,2,FALSE),OtherClients[[#This Row],[Total Quantity]]*VLOOKUP(OtherClients[[#This Row],[Part]],PartControl!$A$2:$E$564,2,FALSE)),0)</f>
        <v>106.94</v>
      </c>
      <c r="Z2536" s="108">
        <f>IF(OtherClients[[#This Row],[Re-certified or New]]&lt;&gt;"Re-certified",IF(OtherClients[[#This Row],[Client]]="infasco",VLOOKUP(OtherClients[[#This Row],[Part]],PartControl!$A$2:$E$564,2,FALSE),OtherClients[[#This Row],[Total Quantity]]*VLOOKUP(OtherClients[[#This Row],[Part]],PartControl!$A$2:$E$564,2,FALSE)),0)</f>
        <v>106.94</v>
      </c>
    </row>
    <row r="2537" spans="1:26" ht="25.15" hidden="1" customHeight="1" x14ac:dyDescent="0.25">
      <c r="A2537" s="112">
        <v>46269</v>
      </c>
      <c r="B2537" s="5" t="s">
        <v>246</v>
      </c>
      <c r="C2537" s="5">
        <v>11546462</v>
      </c>
      <c r="D2537" s="5">
        <v>718226</v>
      </c>
      <c r="E2537" s="33">
        <v>36</v>
      </c>
      <c r="F2537" s="60">
        <v>650</v>
      </c>
      <c r="G2537" s="60">
        <f>+OtherClients[[#This Row],[Boxes / Pieces]]*OtherClients[[#This Row],[Unit Quantity]]</f>
        <v>23400</v>
      </c>
      <c r="H2537" s="60">
        <v>292</v>
      </c>
      <c r="I2537" s="130" t="s">
        <v>278</v>
      </c>
      <c r="J2537" s="131"/>
      <c r="K2537" s="33" t="s">
        <v>278</v>
      </c>
      <c r="L2537" s="132"/>
      <c r="M2537" s="33" t="s">
        <v>278</v>
      </c>
      <c r="N2537" s="132"/>
      <c r="O2537" s="33" t="s">
        <v>278</v>
      </c>
      <c r="P2537" s="132"/>
      <c r="Q2537" s="33" t="s">
        <v>587</v>
      </c>
      <c r="R2537" s="132"/>
      <c r="S2537" s="33" t="s">
        <v>278</v>
      </c>
      <c r="T2537" s="132"/>
      <c r="U2537" s="33" t="s">
        <v>278</v>
      </c>
      <c r="V2537" s="132"/>
      <c r="W2537" s="59" t="s">
        <v>548</v>
      </c>
      <c r="X2537" s="33" t="str">
        <f>+VLOOKUP(OtherClients[[#This Row],[Part]],PartControl!$A$2:$E$564,5,FALSE)</f>
        <v>INFASCO</v>
      </c>
      <c r="Y2537" s="108">
        <f>IF(OtherClients[[#This Row],[Re-certified or New]]&lt;&gt;"Re-certified",IF(OtherClients[[#This Row],[Client]]="infasco",VLOOKUP(OtherClients[[#This Row],[Part]],PartControl!$A$2:$E$564,2,FALSE),OtherClients[[#This Row],[Total Quantity]]*VLOOKUP(OtherClients[[#This Row],[Part]],PartControl!$A$2:$E$564,2,FALSE)),0)</f>
        <v>106.94</v>
      </c>
      <c r="Z2537" s="108">
        <f>IF(OtherClients[[#This Row],[Re-certified or New]]&lt;&gt;"Re-certified",IF(OtherClients[[#This Row],[Client]]="infasco",VLOOKUP(OtherClients[[#This Row],[Part]],PartControl!$A$2:$E$564,2,FALSE),OtherClients[[#This Row],[Total Quantity]]*VLOOKUP(OtherClients[[#This Row],[Part]],PartControl!$A$2:$E$564,2,FALSE)),0)</f>
        <v>106.94</v>
      </c>
    </row>
    <row r="2538" spans="1:26" ht="25.15" hidden="1" customHeight="1" x14ac:dyDescent="0.25">
      <c r="A2538" s="112">
        <v>46269</v>
      </c>
      <c r="B2538" s="5" t="s">
        <v>244</v>
      </c>
      <c r="C2538" s="5" t="s">
        <v>719</v>
      </c>
      <c r="D2538" s="5">
        <v>718124</v>
      </c>
      <c r="E2538" s="33">
        <f>5-3</f>
        <v>2</v>
      </c>
      <c r="F2538" s="60">
        <v>2150</v>
      </c>
      <c r="G2538" s="60">
        <f>+OtherClients[[#This Row],[Boxes / Pieces]]*OtherClients[[#This Row],[Unit Quantity]]</f>
        <v>4300</v>
      </c>
      <c r="H2538" s="60">
        <v>292</v>
      </c>
      <c r="I2538" s="130" t="s">
        <v>278</v>
      </c>
      <c r="J2538" s="131"/>
      <c r="K2538" s="33" t="s">
        <v>278</v>
      </c>
      <c r="L2538" s="132"/>
      <c r="M2538" s="33" t="s">
        <v>278</v>
      </c>
      <c r="N2538" s="132"/>
      <c r="O2538" s="33" t="s">
        <v>278</v>
      </c>
      <c r="P2538" s="132"/>
      <c r="Q2538" s="33" t="s">
        <v>587</v>
      </c>
      <c r="R2538" s="132"/>
      <c r="S2538" s="33" t="s">
        <v>278</v>
      </c>
      <c r="T2538" s="132"/>
      <c r="U2538" s="33" t="s">
        <v>278</v>
      </c>
      <c r="V2538" s="132"/>
      <c r="W2538" s="59" t="s">
        <v>548</v>
      </c>
      <c r="X2538" s="33" t="str">
        <f>+VLOOKUP(OtherClients[[#This Row],[Part]],PartControl!$A$2:$E$564,5,FALSE)</f>
        <v>infasco</v>
      </c>
      <c r="Y2538" s="108">
        <f>IF(OtherClients[[#This Row],[Re-certified or New]]&lt;&gt;"Re-certified",IF(OtherClients[[#This Row],[Client]]="infasco",VLOOKUP(OtherClients[[#This Row],[Part]],PartControl!$A$2:$E$564,2,FALSE),OtherClients[[#This Row],[Total Quantity]]*VLOOKUP(OtherClients[[#This Row],[Part]],PartControl!$A$2:$E$564,2,FALSE)),0)</f>
        <v>106.94</v>
      </c>
      <c r="Z2538" s="108">
        <f>IF(OtherClients[[#This Row],[Re-certified or New]]&lt;&gt;"Re-certified",IF(OtherClients[[#This Row],[Client]]="infasco",VLOOKUP(OtherClients[[#This Row],[Part]],PartControl!$A$2:$E$564,2,FALSE),OtherClients[[#This Row],[Total Quantity]]*VLOOKUP(OtherClients[[#This Row],[Part]],PartControl!$A$2:$E$564,2,FALSE)),0)</f>
        <v>106.94</v>
      </c>
    </row>
    <row r="2539" spans="1:26" ht="25.15" hidden="1" customHeight="1" x14ac:dyDescent="0.25">
      <c r="A2539" s="112">
        <v>46269</v>
      </c>
      <c r="B2539" s="5" t="s">
        <v>244</v>
      </c>
      <c r="C2539" s="5">
        <v>11546377</v>
      </c>
      <c r="D2539" s="5">
        <v>718138</v>
      </c>
      <c r="E2539" s="33">
        <v>20</v>
      </c>
      <c r="F2539" s="60">
        <v>2150</v>
      </c>
      <c r="G2539" s="60">
        <f>+OtherClients[[#This Row],[Boxes / Pieces]]*OtherClients[[#This Row],[Unit Quantity]]</f>
        <v>43000</v>
      </c>
      <c r="H2539" s="60">
        <v>292</v>
      </c>
      <c r="I2539" s="130" t="s">
        <v>278</v>
      </c>
      <c r="J2539" s="131"/>
      <c r="K2539" s="33" t="s">
        <v>278</v>
      </c>
      <c r="L2539" s="132"/>
      <c r="M2539" s="33" t="s">
        <v>278</v>
      </c>
      <c r="N2539" s="132"/>
      <c r="O2539" s="33" t="s">
        <v>278</v>
      </c>
      <c r="P2539" s="132"/>
      <c r="Q2539" s="33" t="s">
        <v>587</v>
      </c>
      <c r="R2539" s="132"/>
      <c r="S2539" s="33" t="s">
        <v>278</v>
      </c>
      <c r="T2539" s="132"/>
      <c r="U2539" s="33" t="s">
        <v>278</v>
      </c>
      <c r="V2539" s="132"/>
      <c r="W2539" s="59" t="s">
        <v>633</v>
      </c>
      <c r="X2539" s="33" t="str">
        <f>+VLOOKUP(OtherClients[[#This Row],[Part]],PartControl!$A$2:$E$564,5,FALSE)</f>
        <v>INFASCO</v>
      </c>
      <c r="Y2539" s="108">
        <f>IF(OtherClients[[#This Row],[Re-certified or New]]&lt;&gt;"Re-certified",IF(OtherClients[[#This Row],[Client]]="infasco",VLOOKUP(OtherClients[[#This Row],[Part]],PartControl!$A$2:$E$564,2,FALSE),OtherClients[[#This Row],[Total Quantity]]*VLOOKUP(OtherClients[[#This Row],[Part]],PartControl!$A$2:$E$564,2,FALSE)),0)</f>
        <v>0</v>
      </c>
      <c r="Z2539" s="108">
        <f>IF(OtherClients[[#This Row],[Re-certified or New]]&lt;&gt;"Re-certified",IF(OtherClients[[#This Row],[Client]]="infasco",VLOOKUP(OtherClients[[#This Row],[Part]],PartControl!$A$2:$E$564,2,FALSE),OtherClients[[#This Row],[Total Quantity]]*VLOOKUP(OtherClients[[#This Row],[Part]],PartControl!$A$2:$E$564,2,FALSE)),0)</f>
        <v>0</v>
      </c>
    </row>
    <row r="2540" spans="1:26" ht="25.15" hidden="1" customHeight="1" x14ac:dyDescent="0.25">
      <c r="A2540" s="112">
        <v>46269</v>
      </c>
      <c r="B2540" s="5" t="s">
        <v>624</v>
      </c>
      <c r="C2540" s="5" t="s">
        <v>705</v>
      </c>
      <c r="D2540" s="5">
        <v>716365</v>
      </c>
      <c r="E2540" s="33">
        <v>36</v>
      </c>
      <c r="F2540" s="60">
        <v>450</v>
      </c>
      <c r="G2540" s="60">
        <f>+OtherClients[[#This Row],[Boxes / Pieces]]*OtherClients[[#This Row],[Unit Quantity]]</f>
        <v>16200</v>
      </c>
      <c r="H2540" s="60">
        <v>292</v>
      </c>
      <c r="I2540" s="130" t="s">
        <v>278</v>
      </c>
      <c r="J2540" s="131"/>
      <c r="K2540" s="33" t="s">
        <v>278</v>
      </c>
      <c r="L2540" s="132"/>
      <c r="M2540" s="33" t="s">
        <v>278</v>
      </c>
      <c r="N2540" s="132"/>
      <c r="O2540" s="33" t="s">
        <v>278</v>
      </c>
      <c r="P2540" s="132"/>
      <c r="Q2540" s="33" t="s">
        <v>587</v>
      </c>
      <c r="R2540" s="132"/>
      <c r="S2540" s="33" t="s">
        <v>278</v>
      </c>
      <c r="T2540" s="132"/>
      <c r="U2540" s="33" t="s">
        <v>278</v>
      </c>
      <c r="V2540" s="132"/>
      <c r="W2540" s="59" t="s">
        <v>548</v>
      </c>
      <c r="X2540" s="33" t="str">
        <f>+VLOOKUP(OtherClients[[#This Row],[Part]],PartControl!$A$2:$E$564,5,FALSE)</f>
        <v>infasco</v>
      </c>
      <c r="Y2540" s="108">
        <f>IF(OtherClients[[#This Row],[Re-certified or New]]&lt;&gt;"Re-certified",IF(OtherClients[[#This Row],[Client]]="infasco",VLOOKUP(OtherClients[[#This Row],[Part]],PartControl!$A$2:$E$564,2,FALSE),OtherClients[[#This Row],[Total Quantity]]*VLOOKUP(OtherClients[[#This Row],[Part]],PartControl!$A$2:$E$564,2,FALSE)),0)</f>
        <v>106.94</v>
      </c>
      <c r="Z2540" s="108">
        <f>IF(OtherClients[[#This Row],[Re-certified or New]]&lt;&gt;"Re-certified",IF(OtherClients[[#This Row],[Client]]="infasco",VLOOKUP(OtherClients[[#This Row],[Part]],PartControl!$A$2:$E$564,2,FALSE),OtherClients[[#This Row],[Total Quantity]]*VLOOKUP(OtherClients[[#This Row],[Part]],PartControl!$A$2:$E$564,2,FALSE)),0)</f>
        <v>106.94</v>
      </c>
    </row>
    <row r="2541" spans="1:26" ht="25.15" hidden="1" customHeight="1" x14ac:dyDescent="0.25">
      <c r="A2541" s="112">
        <v>46269</v>
      </c>
      <c r="B2541" s="5" t="s">
        <v>624</v>
      </c>
      <c r="C2541" s="5" t="s">
        <v>705</v>
      </c>
      <c r="D2541" s="5">
        <v>716359</v>
      </c>
      <c r="E2541" s="33">
        <v>36</v>
      </c>
      <c r="F2541" s="60">
        <v>450</v>
      </c>
      <c r="G2541" s="60">
        <f>+OtherClients[[#This Row],[Boxes / Pieces]]*OtherClients[[#This Row],[Unit Quantity]]</f>
        <v>16200</v>
      </c>
      <c r="H2541" s="60">
        <v>292</v>
      </c>
      <c r="I2541" s="130" t="s">
        <v>278</v>
      </c>
      <c r="J2541" s="131"/>
      <c r="K2541" s="33" t="s">
        <v>278</v>
      </c>
      <c r="L2541" s="132"/>
      <c r="M2541" s="33" t="s">
        <v>278</v>
      </c>
      <c r="N2541" s="132"/>
      <c r="O2541" s="33" t="s">
        <v>278</v>
      </c>
      <c r="P2541" s="132"/>
      <c r="Q2541" s="33" t="s">
        <v>587</v>
      </c>
      <c r="R2541" s="132"/>
      <c r="S2541" s="33" t="s">
        <v>278</v>
      </c>
      <c r="T2541" s="132"/>
      <c r="U2541" s="33" t="s">
        <v>278</v>
      </c>
      <c r="V2541" s="132"/>
      <c r="W2541" s="59" t="s">
        <v>548</v>
      </c>
      <c r="X2541" s="33" t="str">
        <f>+VLOOKUP(OtherClients[[#This Row],[Part]],PartControl!$A$2:$E$564,5,FALSE)</f>
        <v>infasco</v>
      </c>
      <c r="Y2541" s="108">
        <f>IF(OtherClients[[#This Row],[Re-certified or New]]&lt;&gt;"Re-certified",IF(OtherClients[[#This Row],[Client]]="infasco",VLOOKUP(OtherClients[[#This Row],[Part]],PartControl!$A$2:$E$564,2,FALSE),OtherClients[[#This Row],[Total Quantity]]*VLOOKUP(OtherClients[[#This Row],[Part]],PartControl!$A$2:$E$564,2,FALSE)),0)</f>
        <v>106.94</v>
      </c>
      <c r="Z2541" s="108">
        <f>IF(OtherClients[[#This Row],[Re-certified or New]]&lt;&gt;"Re-certified",IF(OtherClients[[#This Row],[Client]]="infasco",VLOOKUP(OtherClients[[#This Row],[Part]],PartControl!$A$2:$E$564,2,FALSE),OtherClients[[#This Row],[Total Quantity]]*VLOOKUP(OtherClients[[#This Row],[Part]],PartControl!$A$2:$E$564,2,FALSE)),0)</f>
        <v>106.94</v>
      </c>
    </row>
    <row r="2542" spans="1:26" ht="25.15" hidden="1" customHeight="1" x14ac:dyDescent="0.25">
      <c r="A2542" s="112">
        <v>46269</v>
      </c>
      <c r="B2542" s="5" t="s">
        <v>624</v>
      </c>
      <c r="C2542" s="5" t="s">
        <v>705</v>
      </c>
      <c r="D2542" s="5">
        <v>716367</v>
      </c>
      <c r="E2542" s="33">
        <v>20</v>
      </c>
      <c r="F2542" s="60">
        <v>450</v>
      </c>
      <c r="G2542" s="60">
        <f>+OtherClients[[#This Row],[Boxes / Pieces]]*OtherClients[[#This Row],[Unit Quantity]]</f>
        <v>9000</v>
      </c>
      <c r="H2542" s="60">
        <v>292</v>
      </c>
      <c r="I2542" s="130" t="s">
        <v>278</v>
      </c>
      <c r="J2542" s="131"/>
      <c r="K2542" s="33" t="s">
        <v>278</v>
      </c>
      <c r="L2542" s="132"/>
      <c r="M2542" s="33" t="s">
        <v>278</v>
      </c>
      <c r="N2542" s="132"/>
      <c r="O2542" s="33" t="s">
        <v>278</v>
      </c>
      <c r="P2542" s="132"/>
      <c r="Q2542" s="33" t="s">
        <v>587</v>
      </c>
      <c r="R2542" s="132"/>
      <c r="S2542" s="33" t="s">
        <v>278</v>
      </c>
      <c r="T2542" s="132"/>
      <c r="U2542" s="33" t="s">
        <v>278</v>
      </c>
      <c r="V2542" s="132"/>
      <c r="W2542" s="59" t="s">
        <v>633</v>
      </c>
      <c r="X2542" s="33" t="str">
        <f>+VLOOKUP(OtherClients[[#This Row],[Part]],PartControl!$A$2:$E$564,5,FALSE)</f>
        <v>infasco</v>
      </c>
      <c r="Y2542" s="108">
        <f>IF(OtherClients[[#This Row],[Re-certified or New]]&lt;&gt;"Re-certified",IF(OtherClients[[#This Row],[Client]]="infasco",VLOOKUP(OtherClients[[#This Row],[Part]],PartControl!$A$2:$E$564,2,FALSE),OtherClients[[#This Row],[Total Quantity]]*VLOOKUP(OtherClients[[#This Row],[Part]],PartControl!$A$2:$E$564,2,FALSE)),0)</f>
        <v>0</v>
      </c>
      <c r="Z2542" s="108">
        <f>IF(OtherClients[[#This Row],[Re-certified or New]]&lt;&gt;"Re-certified",IF(OtherClients[[#This Row],[Client]]="infasco",VLOOKUP(OtherClients[[#This Row],[Part]],PartControl!$A$2:$E$564,2,FALSE),OtherClients[[#This Row],[Total Quantity]]*VLOOKUP(OtherClients[[#This Row],[Part]],PartControl!$A$2:$E$564,2,FALSE)),0)</f>
        <v>0</v>
      </c>
    </row>
    <row r="2543" spans="1:26" ht="25.15" hidden="1" customHeight="1" x14ac:dyDescent="0.25">
      <c r="A2543" s="112">
        <v>46269</v>
      </c>
      <c r="B2543" s="5" t="s">
        <v>243</v>
      </c>
      <c r="C2543" s="5" t="s">
        <v>719</v>
      </c>
      <c r="D2543" s="5">
        <v>718123</v>
      </c>
      <c r="E2543" s="33">
        <f>36-6</f>
        <v>30</v>
      </c>
      <c r="F2543" s="60">
        <v>2150</v>
      </c>
      <c r="G2543" s="60">
        <f>+OtherClients[[#This Row],[Boxes / Pieces]]*OtherClients[[#This Row],[Unit Quantity]]</f>
        <v>64500</v>
      </c>
      <c r="H2543" s="60">
        <v>292</v>
      </c>
      <c r="I2543" s="130" t="s">
        <v>278</v>
      </c>
      <c r="J2543" s="131"/>
      <c r="K2543" s="33" t="s">
        <v>278</v>
      </c>
      <c r="L2543" s="132"/>
      <c r="M2543" s="33" t="s">
        <v>278</v>
      </c>
      <c r="N2543" s="132"/>
      <c r="O2543" s="33" t="s">
        <v>278</v>
      </c>
      <c r="P2543" s="132"/>
      <c r="Q2543" s="33" t="s">
        <v>587</v>
      </c>
      <c r="R2543" s="132"/>
      <c r="S2543" s="33" t="s">
        <v>278</v>
      </c>
      <c r="T2543" s="132"/>
      <c r="U2543" s="33" t="s">
        <v>278</v>
      </c>
      <c r="V2543" s="132"/>
      <c r="W2543" s="59" t="s">
        <v>548</v>
      </c>
      <c r="X2543" s="33" t="str">
        <f>+VLOOKUP(OtherClients[[#This Row],[Part]],PartControl!$A$2:$E$564,5,FALSE)</f>
        <v>infasco</v>
      </c>
      <c r="Y2543" s="108">
        <f>IF(OtherClients[[#This Row],[Re-certified or New]]&lt;&gt;"Re-certified",IF(OtherClients[[#This Row],[Client]]="infasco",VLOOKUP(OtherClients[[#This Row],[Part]],PartControl!$A$2:$E$564,2,FALSE),OtherClients[[#This Row],[Total Quantity]]*VLOOKUP(OtherClients[[#This Row],[Part]],PartControl!$A$2:$E$564,2,FALSE)),0)</f>
        <v>106.94</v>
      </c>
      <c r="Z2543" s="108">
        <f>IF(OtherClients[[#This Row],[Re-certified or New]]&lt;&gt;"Re-certified",IF(OtherClients[[#This Row],[Client]]="infasco",VLOOKUP(OtherClients[[#This Row],[Part]],PartControl!$A$2:$E$564,2,FALSE),OtherClients[[#This Row],[Total Quantity]]*VLOOKUP(OtherClients[[#This Row],[Part]],PartControl!$A$2:$E$564,2,FALSE)),0)</f>
        <v>106.94</v>
      </c>
    </row>
    <row r="2544" spans="1:26" ht="25.15" hidden="1" customHeight="1" x14ac:dyDescent="0.25">
      <c r="A2544" s="112">
        <v>46269</v>
      </c>
      <c r="B2544" s="5" t="s">
        <v>243</v>
      </c>
      <c r="C2544" s="5">
        <v>11546377</v>
      </c>
      <c r="D2544" s="5">
        <v>718137</v>
      </c>
      <c r="E2544" s="33">
        <v>15</v>
      </c>
      <c r="F2544" s="60">
        <v>2150</v>
      </c>
      <c r="G2544" s="60">
        <f>+OtherClients[[#This Row],[Boxes / Pieces]]*OtherClients[[#This Row],[Unit Quantity]]</f>
        <v>32250</v>
      </c>
      <c r="H2544" s="60">
        <v>292</v>
      </c>
      <c r="I2544" s="130" t="s">
        <v>278</v>
      </c>
      <c r="J2544" s="131"/>
      <c r="K2544" s="33" t="s">
        <v>278</v>
      </c>
      <c r="L2544" s="132"/>
      <c r="M2544" s="33" t="s">
        <v>278</v>
      </c>
      <c r="N2544" s="132"/>
      <c r="O2544" s="33" t="s">
        <v>278</v>
      </c>
      <c r="P2544" s="132"/>
      <c r="Q2544" s="33" t="s">
        <v>587</v>
      </c>
      <c r="R2544" s="132"/>
      <c r="S2544" s="33" t="s">
        <v>278</v>
      </c>
      <c r="T2544" s="132"/>
      <c r="U2544" s="33" t="s">
        <v>278</v>
      </c>
      <c r="V2544" s="132"/>
      <c r="W2544" s="59" t="s">
        <v>633</v>
      </c>
      <c r="X2544" s="33" t="str">
        <f>+VLOOKUP(OtherClients[[#This Row],[Part]],PartControl!$A$2:$E$564,5,FALSE)</f>
        <v>INFASCO</v>
      </c>
      <c r="Y2544" s="108">
        <f>IF(OtherClients[[#This Row],[Re-certified or New]]&lt;&gt;"Re-certified",IF(OtherClients[[#This Row],[Client]]="infasco",VLOOKUP(OtherClients[[#This Row],[Part]],PartControl!$A$2:$E$564,2,FALSE),OtherClients[[#This Row],[Total Quantity]]*VLOOKUP(OtherClients[[#This Row],[Part]],PartControl!$A$2:$E$564,2,FALSE)),0)</f>
        <v>0</v>
      </c>
      <c r="Z2544" s="108">
        <f>IF(OtherClients[[#This Row],[Re-certified or New]]&lt;&gt;"Re-certified",IF(OtherClients[[#This Row],[Client]]="infasco",VLOOKUP(OtherClients[[#This Row],[Part]],PartControl!$A$2:$E$564,2,FALSE),OtherClients[[#This Row],[Total Quantity]]*VLOOKUP(OtherClients[[#This Row],[Part]],PartControl!$A$2:$E$564,2,FALSE)),0)</f>
        <v>0</v>
      </c>
    </row>
    <row r="2545" spans="1:26" ht="25.15" hidden="1" customHeight="1" x14ac:dyDescent="0.25">
      <c r="A2545" s="112">
        <v>46269</v>
      </c>
      <c r="B2545" s="5" t="s">
        <v>834</v>
      </c>
      <c r="C2545" s="5" t="s">
        <v>719</v>
      </c>
      <c r="D2545" s="5">
        <v>718121</v>
      </c>
      <c r="E2545" s="33">
        <v>35</v>
      </c>
      <c r="F2545" s="60">
        <v>2150</v>
      </c>
      <c r="G2545" s="60">
        <f>+OtherClients[[#This Row],[Boxes / Pieces]]*OtherClients[[#This Row],[Unit Quantity]]</f>
        <v>75250</v>
      </c>
      <c r="H2545" s="60">
        <v>280</v>
      </c>
      <c r="I2545" s="130" t="s">
        <v>278</v>
      </c>
      <c r="J2545" s="131"/>
      <c r="K2545" s="33" t="s">
        <v>278</v>
      </c>
      <c r="L2545" s="132"/>
      <c r="M2545" s="33" t="s">
        <v>278</v>
      </c>
      <c r="N2545" s="132"/>
      <c r="O2545" s="33" t="s">
        <v>278</v>
      </c>
      <c r="P2545" s="132"/>
      <c r="Q2545" s="33" t="s">
        <v>587</v>
      </c>
      <c r="R2545" s="132"/>
      <c r="S2545" s="33" t="s">
        <v>278</v>
      </c>
      <c r="T2545" s="132"/>
      <c r="U2545" s="33" t="s">
        <v>278</v>
      </c>
      <c r="V2545" s="132"/>
      <c r="W2545" s="59" t="s">
        <v>548</v>
      </c>
      <c r="X2545" s="33" t="str">
        <f>+VLOOKUP(OtherClients[[#This Row],[Part]],PartControl!$A$2:$E$564,5,FALSE)</f>
        <v>infasco</v>
      </c>
      <c r="Y2545" s="108">
        <f>IF(OtherClients[[#This Row],[Re-certified or New]]&lt;&gt;"Re-certified",IF(OtherClients[[#This Row],[Client]]="infasco",VLOOKUP(OtherClients[[#This Row],[Part]],PartControl!$A$2:$E$564,2,FALSE),OtherClients[[#This Row],[Total Quantity]]*VLOOKUP(OtherClients[[#This Row],[Part]],PartControl!$A$2:$E$564,2,FALSE)),0)</f>
        <v>106.94</v>
      </c>
      <c r="Z2545" s="108">
        <f>IF(OtherClients[[#This Row],[Re-certified or New]]&lt;&gt;"Re-certified",IF(OtherClients[[#This Row],[Client]]="infasco",VLOOKUP(OtherClients[[#This Row],[Part]],PartControl!$A$2:$E$564,2,FALSE),OtherClients[[#This Row],[Total Quantity]]*VLOOKUP(OtherClients[[#This Row],[Part]],PartControl!$A$2:$E$564,2,FALSE)),0)</f>
        <v>106.94</v>
      </c>
    </row>
    <row r="2546" spans="1:26" ht="25.15" hidden="1" customHeight="1" x14ac:dyDescent="0.25">
      <c r="A2546" s="112">
        <v>46269</v>
      </c>
      <c r="B2546" s="5" t="s">
        <v>636</v>
      </c>
      <c r="C2546" s="5" t="s">
        <v>15</v>
      </c>
      <c r="D2546" s="5">
        <v>717532</v>
      </c>
      <c r="E2546" s="33">
        <v>27</v>
      </c>
      <c r="F2546" s="60">
        <v>1200</v>
      </c>
      <c r="G2546" s="60">
        <f>+OtherClients[[#This Row],[Boxes / Pieces]]*OtherClients[[#This Row],[Unit Quantity]]</f>
        <v>32400</v>
      </c>
      <c r="H2546" s="60">
        <v>280</v>
      </c>
      <c r="I2546" s="130" t="s">
        <v>278</v>
      </c>
      <c r="J2546" s="131"/>
      <c r="K2546" s="33" t="s">
        <v>278</v>
      </c>
      <c r="L2546" s="132"/>
      <c r="M2546" s="33" t="s">
        <v>278</v>
      </c>
      <c r="N2546" s="132"/>
      <c r="O2546" s="33" t="s">
        <v>278</v>
      </c>
      <c r="P2546" s="132"/>
      <c r="Q2546" s="33" t="s">
        <v>587</v>
      </c>
      <c r="R2546" s="132"/>
      <c r="S2546" s="33" t="s">
        <v>278</v>
      </c>
      <c r="T2546" s="132"/>
      <c r="U2546" s="33" t="s">
        <v>278</v>
      </c>
      <c r="V2546" s="132"/>
      <c r="W2546" s="59" t="s">
        <v>633</v>
      </c>
      <c r="X2546" s="33" t="str">
        <f>+VLOOKUP(OtherClients[[#This Row],[Part]],PartControl!$A$2:$E$564,5,FALSE)</f>
        <v>infasco</v>
      </c>
      <c r="Y2546" s="108">
        <f>IF(OtherClients[[#This Row],[Re-certified or New]]&lt;&gt;"Re-certified",IF(OtherClients[[#This Row],[Client]]="infasco",VLOOKUP(OtherClients[[#This Row],[Part]],PartControl!$A$2:$E$564,2,FALSE),OtherClients[[#This Row],[Total Quantity]]*VLOOKUP(OtherClients[[#This Row],[Part]],PartControl!$A$2:$E$564,2,FALSE)),0)</f>
        <v>0</v>
      </c>
      <c r="Z2546" s="108">
        <f>IF(OtherClients[[#This Row],[Re-certified or New]]&lt;&gt;"Re-certified",IF(OtherClients[[#This Row],[Client]]="infasco",VLOOKUP(OtherClients[[#This Row],[Part]],PartControl!$A$2:$E$564,2,FALSE),OtherClients[[#This Row],[Total Quantity]]*VLOOKUP(OtherClients[[#This Row],[Part]],PartControl!$A$2:$E$564,2,FALSE)),0)</f>
        <v>0</v>
      </c>
    </row>
    <row r="2547" spans="1:26" ht="25.15" hidden="1" customHeight="1" x14ac:dyDescent="0.25">
      <c r="A2547" s="112">
        <v>46269</v>
      </c>
      <c r="B2547" s="5" t="s">
        <v>634</v>
      </c>
      <c r="C2547" s="5" t="s">
        <v>721</v>
      </c>
      <c r="D2547" s="5">
        <v>717650</v>
      </c>
      <c r="E2547" s="33">
        <f>33-14</f>
        <v>19</v>
      </c>
      <c r="F2547" s="60">
        <v>4500</v>
      </c>
      <c r="G2547" s="60">
        <f>+OtherClients[[#This Row],[Boxes / Pieces]]*OtherClients[[#This Row],[Unit Quantity]]</f>
        <v>85500</v>
      </c>
      <c r="H2547" s="60">
        <v>280</v>
      </c>
      <c r="I2547" s="130" t="s">
        <v>278</v>
      </c>
      <c r="J2547" s="131"/>
      <c r="K2547" s="33" t="s">
        <v>278</v>
      </c>
      <c r="L2547" s="132"/>
      <c r="M2547" s="33" t="s">
        <v>278</v>
      </c>
      <c r="N2547" s="132"/>
      <c r="O2547" s="33" t="s">
        <v>278</v>
      </c>
      <c r="P2547" s="132"/>
      <c r="Q2547" s="33" t="s">
        <v>587</v>
      </c>
      <c r="R2547" s="132"/>
      <c r="S2547" s="33" t="s">
        <v>278</v>
      </c>
      <c r="T2547" s="132"/>
      <c r="U2547" s="33" t="s">
        <v>278</v>
      </c>
      <c r="V2547" s="132"/>
      <c r="W2547" s="59" t="s">
        <v>548</v>
      </c>
      <c r="X2547" s="33" t="str">
        <f>+VLOOKUP(OtherClients[[#This Row],[Part]],PartControl!$A$2:$E$564,5,FALSE)</f>
        <v>Infasco</v>
      </c>
      <c r="Y2547" s="108">
        <f>IF(OtherClients[[#This Row],[Re-certified or New]]&lt;&gt;"Re-certified",IF(OtherClients[[#This Row],[Client]]="infasco",VLOOKUP(OtherClients[[#This Row],[Part]],PartControl!$A$2:$E$564,2,FALSE),OtherClients[[#This Row],[Total Quantity]]*VLOOKUP(OtherClients[[#This Row],[Part]],PartControl!$A$2:$E$564,2,FALSE)),0)</f>
        <v>106.94</v>
      </c>
      <c r="Z2547" s="108">
        <f>IF(OtherClients[[#This Row],[Re-certified or New]]&lt;&gt;"Re-certified",IF(OtherClients[[#This Row],[Client]]="infasco",VLOOKUP(OtherClients[[#This Row],[Part]],PartControl!$A$2:$E$564,2,FALSE),OtherClients[[#This Row],[Total Quantity]]*VLOOKUP(OtherClients[[#This Row],[Part]],PartControl!$A$2:$E$564,2,FALSE)),0)</f>
        <v>106.94</v>
      </c>
    </row>
    <row r="2548" spans="1:26" ht="25.15" hidden="1" customHeight="1" x14ac:dyDescent="0.25">
      <c r="A2548" s="112">
        <v>46269</v>
      </c>
      <c r="B2548" s="5" t="s">
        <v>634</v>
      </c>
      <c r="C2548" s="5" t="s">
        <v>848</v>
      </c>
      <c r="D2548" s="5">
        <v>717764</v>
      </c>
      <c r="E2548" s="33">
        <v>16</v>
      </c>
      <c r="F2548" s="60">
        <v>3200</v>
      </c>
      <c r="G2548" s="60">
        <f>+OtherClients[[#This Row],[Boxes / Pieces]]*OtherClients[[#This Row],[Unit Quantity]]</f>
        <v>51200</v>
      </c>
      <c r="H2548" s="60">
        <v>280</v>
      </c>
      <c r="I2548" s="130" t="s">
        <v>278</v>
      </c>
      <c r="J2548" s="131"/>
      <c r="K2548" s="33" t="s">
        <v>278</v>
      </c>
      <c r="L2548" s="132"/>
      <c r="M2548" s="33" t="s">
        <v>278</v>
      </c>
      <c r="N2548" s="132"/>
      <c r="O2548" s="33" t="s">
        <v>278</v>
      </c>
      <c r="P2548" s="132"/>
      <c r="Q2548" s="33" t="s">
        <v>587</v>
      </c>
      <c r="R2548" s="132"/>
      <c r="S2548" s="33" t="s">
        <v>278</v>
      </c>
      <c r="T2548" s="132"/>
      <c r="U2548" s="33" t="s">
        <v>278</v>
      </c>
      <c r="V2548" s="132"/>
      <c r="W2548" s="59" t="s">
        <v>633</v>
      </c>
      <c r="X2548" s="33" t="str">
        <f>+VLOOKUP(OtherClients[[#This Row],[Part]],PartControl!$A$2:$E$564,5,FALSE)</f>
        <v>infasco</v>
      </c>
      <c r="Y2548" s="108">
        <f>IF(OtherClients[[#This Row],[Re-certified or New]]&lt;&gt;"Re-certified",IF(OtherClients[[#This Row],[Client]]="infasco",VLOOKUP(OtherClients[[#This Row],[Part]],PartControl!$A$2:$E$564,2,FALSE),OtherClients[[#This Row],[Total Quantity]]*VLOOKUP(OtherClients[[#This Row],[Part]],PartControl!$A$2:$E$564,2,FALSE)),0)</f>
        <v>0</v>
      </c>
      <c r="Z2548" s="108">
        <f>IF(OtherClients[[#This Row],[Re-certified or New]]&lt;&gt;"Re-certified",IF(OtherClients[[#This Row],[Client]]="infasco",VLOOKUP(OtherClients[[#This Row],[Part]],PartControl!$A$2:$E$564,2,FALSE),OtherClients[[#This Row],[Total Quantity]]*VLOOKUP(OtherClients[[#This Row],[Part]],PartControl!$A$2:$E$564,2,FALSE)),0)</f>
        <v>0</v>
      </c>
    </row>
    <row r="2549" spans="1:26" ht="25.15" hidden="1" customHeight="1" x14ac:dyDescent="0.25">
      <c r="A2549" s="112">
        <v>46269</v>
      </c>
      <c r="B2549" s="5" t="s">
        <v>637</v>
      </c>
      <c r="C2549" s="5" t="s">
        <v>718</v>
      </c>
      <c r="D2549" s="5">
        <v>717537</v>
      </c>
      <c r="E2549" s="33">
        <v>36</v>
      </c>
      <c r="F2549" s="60">
        <v>3500</v>
      </c>
      <c r="G2549" s="60">
        <f>+OtherClients[[#This Row],[Boxes / Pieces]]*OtherClients[[#This Row],[Unit Quantity]]</f>
        <v>126000</v>
      </c>
      <c r="H2549" s="60">
        <v>280</v>
      </c>
      <c r="I2549" s="130" t="s">
        <v>278</v>
      </c>
      <c r="J2549" s="131"/>
      <c r="K2549" s="33" t="s">
        <v>278</v>
      </c>
      <c r="L2549" s="132"/>
      <c r="M2549" s="33" t="s">
        <v>278</v>
      </c>
      <c r="N2549" s="132"/>
      <c r="O2549" s="33" t="s">
        <v>278</v>
      </c>
      <c r="P2549" s="132"/>
      <c r="Q2549" s="33" t="s">
        <v>587</v>
      </c>
      <c r="R2549" s="132"/>
      <c r="S2549" s="33" t="s">
        <v>278</v>
      </c>
      <c r="T2549" s="132"/>
      <c r="U2549" s="33" t="s">
        <v>278</v>
      </c>
      <c r="V2549" s="132"/>
      <c r="W2549" s="59" t="s">
        <v>548</v>
      </c>
      <c r="X2549" s="33" t="str">
        <f>+VLOOKUP(OtherClients[[#This Row],[Part]],PartControl!$A$2:$E$564,5,FALSE)</f>
        <v>infasco</v>
      </c>
      <c r="Y2549" s="108">
        <f>IF(OtherClients[[#This Row],[Re-certified or New]]&lt;&gt;"Re-certified",IF(OtherClients[[#This Row],[Client]]="infasco",VLOOKUP(OtherClients[[#This Row],[Part]],PartControl!$A$2:$E$564,2,FALSE),OtherClients[[#This Row],[Total Quantity]]*VLOOKUP(OtherClients[[#This Row],[Part]],PartControl!$A$2:$E$564,2,FALSE)),0)</f>
        <v>106.94</v>
      </c>
      <c r="Z2549" s="108">
        <f>IF(OtherClients[[#This Row],[Re-certified or New]]&lt;&gt;"Re-certified",IF(OtherClients[[#This Row],[Client]]="infasco",VLOOKUP(OtherClients[[#This Row],[Part]],PartControl!$A$2:$E$564,2,FALSE),OtherClients[[#This Row],[Total Quantity]]*VLOOKUP(OtherClients[[#This Row],[Part]],PartControl!$A$2:$E$564,2,FALSE)),0)</f>
        <v>106.94</v>
      </c>
    </row>
    <row r="2550" spans="1:26" ht="25.15" hidden="1" customHeight="1" x14ac:dyDescent="0.25">
      <c r="A2550" s="112">
        <v>46269</v>
      </c>
      <c r="B2550" s="5" t="s">
        <v>637</v>
      </c>
      <c r="C2550" s="5" t="s">
        <v>718</v>
      </c>
      <c r="D2550" s="5">
        <v>717538</v>
      </c>
      <c r="E2550" s="33">
        <v>23</v>
      </c>
      <c r="F2550" s="60">
        <v>3500</v>
      </c>
      <c r="G2550" s="60">
        <f>+OtherClients[[#This Row],[Boxes / Pieces]]*OtherClients[[#This Row],[Unit Quantity]]</f>
        <v>80500</v>
      </c>
      <c r="H2550" s="60">
        <v>280</v>
      </c>
      <c r="I2550" s="130" t="s">
        <v>278</v>
      </c>
      <c r="J2550" s="131"/>
      <c r="K2550" s="33" t="s">
        <v>278</v>
      </c>
      <c r="L2550" s="132"/>
      <c r="M2550" s="33" t="s">
        <v>278</v>
      </c>
      <c r="N2550" s="132"/>
      <c r="O2550" s="33" t="s">
        <v>278</v>
      </c>
      <c r="P2550" s="132"/>
      <c r="Q2550" s="33" t="s">
        <v>587</v>
      </c>
      <c r="R2550" s="132"/>
      <c r="S2550" s="33" t="s">
        <v>278</v>
      </c>
      <c r="T2550" s="132"/>
      <c r="U2550" s="33" t="s">
        <v>278</v>
      </c>
      <c r="V2550" s="132"/>
      <c r="W2550" s="59" t="s">
        <v>548</v>
      </c>
      <c r="X2550" s="33" t="str">
        <f>+VLOOKUP(OtherClients[[#This Row],[Part]],PartControl!$A$2:$E$564,5,FALSE)</f>
        <v>infasco</v>
      </c>
      <c r="Y2550" s="108">
        <f>IF(OtherClients[[#This Row],[Re-certified or New]]&lt;&gt;"Re-certified",IF(OtherClients[[#This Row],[Client]]="infasco",VLOOKUP(OtherClients[[#This Row],[Part]],PartControl!$A$2:$E$564,2,FALSE),OtherClients[[#This Row],[Total Quantity]]*VLOOKUP(OtherClients[[#This Row],[Part]],PartControl!$A$2:$E$564,2,FALSE)),0)</f>
        <v>106.94</v>
      </c>
      <c r="Z2550" s="108">
        <f>IF(OtherClients[[#This Row],[Re-certified or New]]&lt;&gt;"Re-certified",IF(OtherClients[[#This Row],[Client]]="infasco",VLOOKUP(OtherClients[[#This Row],[Part]],PartControl!$A$2:$E$564,2,FALSE),OtherClients[[#This Row],[Total Quantity]]*VLOOKUP(OtherClients[[#This Row],[Part]],PartControl!$A$2:$E$564,2,FALSE)),0)</f>
        <v>106.94</v>
      </c>
    </row>
    <row r="2551" spans="1:26" ht="25.15" hidden="1" customHeight="1" x14ac:dyDescent="0.25">
      <c r="A2551" s="112">
        <v>46269</v>
      </c>
      <c r="B2551" s="5" t="s">
        <v>635</v>
      </c>
      <c r="C2551" s="5" t="s">
        <v>848</v>
      </c>
      <c r="D2551" s="5">
        <v>717767</v>
      </c>
      <c r="E2551" s="33">
        <f>20-4</f>
        <v>16</v>
      </c>
      <c r="F2551" s="60">
        <v>3200</v>
      </c>
      <c r="G2551" s="60">
        <f>+OtherClients[[#This Row],[Boxes / Pieces]]*OtherClients[[#This Row],[Unit Quantity]]</f>
        <v>51200</v>
      </c>
      <c r="H2551" s="60">
        <v>280</v>
      </c>
      <c r="I2551" s="130" t="s">
        <v>278</v>
      </c>
      <c r="J2551" s="131"/>
      <c r="K2551" s="33" t="s">
        <v>278</v>
      </c>
      <c r="L2551" s="132"/>
      <c r="M2551" s="33" t="s">
        <v>278</v>
      </c>
      <c r="N2551" s="132"/>
      <c r="O2551" s="33" t="s">
        <v>278</v>
      </c>
      <c r="P2551" s="132"/>
      <c r="Q2551" s="33" t="s">
        <v>587</v>
      </c>
      <c r="R2551" s="132"/>
      <c r="S2551" s="33" t="s">
        <v>278</v>
      </c>
      <c r="T2551" s="132"/>
      <c r="U2551" s="33" t="s">
        <v>278</v>
      </c>
      <c r="V2551" s="132"/>
      <c r="W2551" s="59" t="s">
        <v>633</v>
      </c>
      <c r="X2551" s="33" t="str">
        <f>+VLOOKUP(OtherClients[[#This Row],[Part]],PartControl!$A$2:$E$564,5,FALSE)</f>
        <v>infasco</v>
      </c>
      <c r="Y2551" s="108">
        <f>IF(OtherClients[[#This Row],[Re-certified or New]]&lt;&gt;"Re-certified",IF(OtherClients[[#This Row],[Client]]="infasco",VLOOKUP(OtherClients[[#This Row],[Part]],PartControl!$A$2:$E$564,2,FALSE),OtherClients[[#This Row],[Total Quantity]]*VLOOKUP(OtherClients[[#This Row],[Part]],PartControl!$A$2:$E$564,2,FALSE)),0)</f>
        <v>0</v>
      </c>
      <c r="Z2551" s="108">
        <f>IF(OtherClients[[#This Row],[Re-certified or New]]&lt;&gt;"Re-certified",IF(OtherClients[[#This Row],[Client]]="infasco",VLOOKUP(OtherClients[[#This Row],[Part]],PartControl!$A$2:$E$564,2,FALSE),OtherClients[[#This Row],[Total Quantity]]*VLOOKUP(OtherClients[[#This Row],[Part]],PartControl!$A$2:$E$564,2,FALSE)),0)</f>
        <v>0</v>
      </c>
    </row>
    <row r="2552" spans="1:26" ht="25.15" hidden="1" customHeight="1" x14ac:dyDescent="0.25">
      <c r="A2552" s="112">
        <v>46269</v>
      </c>
      <c r="B2552" s="5" t="s">
        <v>357</v>
      </c>
      <c r="C2552" s="5" t="s">
        <v>663</v>
      </c>
      <c r="D2552" s="5">
        <v>716237</v>
      </c>
      <c r="E2552" s="33">
        <f>41-32</f>
        <v>9</v>
      </c>
      <c r="F2552" s="60">
        <v>3000</v>
      </c>
      <c r="G2552" s="60">
        <f>+OtherClients[[#This Row],[Boxes / Pieces]]*OtherClients[[#This Row],[Unit Quantity]]</f>
        <v>27000</v>
      </c>
      <c r="H2552" s="60">
        <v>280</v>
      </c>
      <c r="I2552" s="130" t="s">
        <v>278</v>
      </c>
      <c r="J2552" s="131"/>
      <c r="K2552" s="33" t="s">
        <v>278</v>
      </c>
      <c r="L2552" s="132"/>
      <c r="M2552" s="33" t="s">
        <v>278</v>
      </c>
      <c r="N2552" s="132"/>
      <c r="O2552" s="33" t="s">
        <v>278</v>
      </c>
      <c r="P2552" s="132"/>
      <c r="Q2552" s="33" t="s">
        <v>587</v>
      </c>
      <c r="R2552" s="132"/>
      <c r="S2552" s="33" t="s">
        <v>278</v>
      </c>
      <c r="T2552" s="132"/>
      <c r="U2552" s="33" t="s">
        <v>278</v>
      </c>
      <c r="V2552" s="132"/>
      <c r="W2552" s="59" t="s">
        <v>548</v>
      </c>
      <c r="X2552" s="33" t="str">
        <f>+VLOOKUP(OtherClients[[#This Row],[Part]],PartControl!$A$2:$E$564,5,FALSE)</f>
        <v>infasco</v>
      </c>
      <c r="Y2552" s="108">
        <f>IF(OtherClients[[#This Row],[Re-certified or New]]&lt;&gt;"Re-certified",IF(OtherClients[[#This Row],[Client]]="infasco",VLOOKUP(OtherClients[[#This Row],[Part]],PartControl!$A$2:$E$564,2,FALSE),OtherClients[[#This Row],[Total Quantity]]*VLOOKUP(OtherClients[[#This Row],[Part]],PartControl!$A$2:$E$564,2,FALSE)),0)</f>
        <v>106.94</v>
      </c>
      <c r="Z2552" s="108">
        <f>IF(OtherClients[[#This Row],[Re-certified or New]]&lt;&gt;"Re-certified",IF(OtherClients[[#This Row],[Client]]="infasco",VLOOKUP(OtherClients[[#This Row],[Part]],PartControl!$A$2:$E$564,2,FALSE),OtherClients[[#This Row],[Total Quantity]]*VLOOKUP(OtherClients[[#This Row],[Part]],PartControl!$A$2:$E$564,2,FALSE)),0)</f>
        <v>106.94</v>
      </c>
    </row>
    <row r="2553" spans="1:26" ht="25.15" hidden="1" customHeight="1" x14ac:dyDescent="0.25">
      <c r="A2553" s="112">
        <v>46269</v>
      </c>
      <c r="B2553" s="5" t="s">
        <v>357</v>
      </c>
      <c r="C2553" s="5">
        <v>11546545</v>
      </c>
      <c r="D2553" s="5">
        <v>718231</v>
      </c>
      <c r="E2553" s="33">
        <v>24</v>
      </c>
      <c r="F2553" s="60">
        <v>2500</v>
      </c>
      <c r="G2553" s="60">
        <f>+OtherClients[[#This Row],[Boxes / Pieces]]*OtherClients[[#This Row],[Unit Quantity]]</f>
        <v>60000</v>
      </c>
      <c r="H2553" s="60">
        <v>280</v>
      </c>
      <c r="I2553" s="130" t="s">
        <v>278</v>
      </c>
      <c r="J2553" s="131"/>
      <c r="K2553" s="33" t="s">
        <v>278</v>
      </c>
      <c r="L2553" s="132"/>
      <c r="M2553" s="33" t="s">
        <v>278</v>
      </c>
      <c r="N2553" s="132"/>
      <c r="O2553" s="33" t="s">
        <v>278</v>
      </c>
      <c r="P2553" s="132"/>
      <c r="Q2553" s="33" t="s">
        <v>587</v>
      </c>
      <c r="R2553" s="132"/>
      <c r="S2553" s="33" t="s">
        <v>278</v>
      </c>
      <c r="T2553" s="132"/>
      <c r="U2553" s="33" t="s">
        <v>278</v>
      </c>
      <c r="V2553" s="132"/>
      <c r="W2553" s="59" t="s">
        <v>633</v>
      </c>
      <c r="X2553" s="33" t="str">
        <f>+VLOOKUP(OtherClients[[#This Row],[Part]],PartControl!$A$2:$E$564,5,FALSE)</f>
        <v>infasco</v>
      </c>
      <c r="Y2553" s="108">
        <f>IF(OtherClients[[#This Row],[Re-certified or New]]&lt;&gt;"Re-certified",IF(OtherClients[[#This Row],[Client]]="infasco",VLOOKUP(OtherClients[[#This Row],[Part]],PartControl!$A$2:$E$564,2,FALSE),OtherClients[[#This Row],[Total Quantity]]*VLOOKUP(OtherClients[[#This Row],[Part]],PartControl!$A$2:$E$564,2,FALSE)),0)</f>
        <v>0</v>
      </c>
      <c r="Z2553" s="108">
        <f>IF(OtherClients[[#This Row],[Re-certified or New]]&lt;&gt;"Re-certified",IF(OtherClients[[#This Row],[Client]]="infasco",VLOOKUP(OtherClients[[#This Row],[Part]],PartControl!$A$2:$E$564,2,FALSE),OtherClients[[#This Row],[Total Quantity]]*VLOOKUP(OtherClients[[#This Row],[Part]],PartControl!$A$2:$E$564,2,FALSE)),0)</f>
        <v>0</v>
      </c>
    </row>
    <row r="2554" spans="1:26" ht="25.15" hidden="1" customHeight="1" x14ac:dyDescent="0.25">
      <c r="A2554" s="112">
        <v>46269</v>
      </c>
      <c r="B2554" s="5" t="s">
        <v>249</v>
      </c>
      <c r="C2554" s="5">
        <v>11612078</v>
      </c>
      <c r="D2554" s="5">
        <v>710174</v>
      </c>
      <c r="E2554" s="33">
        <v>7</v>
      </c>
      <c r="F2554" s="60">
        <v>1850</v>
      </c>
      <c r="G2554" s="60">
        <f>+OtherClients[[#This Row],[Boxes / Pieces]]*OtherClients[[#This Row],[Unit Quantity]]</f>
        <v>12950</v>
      </c>
      <c r="H2554" s="60">
        <v>4</v>
      </c>
      <c r="I2554" s="130" t="s">
        <v>278</v>
      </c>
      <c r="J2554" s="131"/>
      <c r="K2554" s="33" t="s">
        <v>278</v>
      </c>
      <c r="L2554" s="132"/>
      <c r="M2554" s="33" t="s">
        <v>278</v>
      </c>
      <c r="N2554" s="132"/>
      <c r="O2554" s="33" t="s">
        <v>278</v>
      </c>
      <c r="P2554" s="132"/>
      <c r="Q2554" s="33" t="s">
        <v>587</v>
      </c>
      <c r="R2554" s="132"/>
      <c r="S2554" s="33" t="s">
        <v>278</v>
      </c>
      <c r="T2554" s="132"/>
      <c r="U2554" s="33" t="s">
        <v>278</v>
      </c>
      <c r="V2554" s="132"/>
      <c r="W2554" s="59" t="s">
        <v>548</v>
      </c>
      <c r="X2554" s="33" t="str">
        <f>+VLOOKUP(OtherClients[[#This Row],[Part]],PartControl!$A$2:$E$564,5,FALSE)</f>
        <v>infasco</v>
      </c>
      <c r="Y2554" s="108">
        <f>IF(OtherClients[[#This Row],[Re-certified or New]]&lt;&gt;"Re-certified",IF(OtherClients[[#This Row],[Client]]="infasco",VLOOKUP(OtherClients[[#This Row],[Part]],PartControl!$A$2:$E$564,2,FALSE),OtherClients[[#This Row],[Total Quantity]]*VLOOKUP(OtherClients[[#This Row],[Part]],PartControl!$A$2:$E$564,2,FALSE)),0)</f>
        <v>247.64</v>
      </c>
      <c r="Z2554" s="108">
        <f>IF(OtherClients[[#This Row],[Re-certified or New]]&lt;&gt;"Re-certified",IF(OtherClients[[#This Row],[Client]]="infasco",VLOOKUP(OtherClients[[#This Row],[Part]],PartControl!$A$2:$E$564,2,FALSE),OtherClients[[#This Row],[Total Quantity]]*VLOOKUP(OtherClients[[#This Row],[Part]],PartControl!$A$2:$E$564,2,FALSE)),0)</f>
        <v>247.64</v>
      </c>
    </row>
    <row r="2555" spans="1:26" ht="25.15" hidden="1" customHeight="1" x14ac:dyDescent="0.25">
      <c r="A2555" s="112">
        <v>46269</v>
      </c>
      <c r="B2555" s="5" t="s">
        <v>249</v>
      </c>
      <c r="C2555" s="5">
        <v>11612078</v>
      </c>
      <c r="D2555" s="5">
        <v>705988</v>
      </c>
      <c r="E2555" s="33">
        <v>9</v>
      </c>
      <c r="F2555" s="60">
        <v>1850</v>
      </c>
      <c r="G2555" s="60">
        <f>+OtherClients[[#This Row],[Boxes / Pieces]]*OtherClients[[#This Row],[Unit Quantity]]</f>
        <v>16650</v>
      </c>
      <c r="H2555" s="60">
        <v>4</v>
      </c>
      <c r="I2555" s="130" t="s">
        <v>278</v>
      </c>
      <c r="J2555" s="131"/>
      <c r="K2555" s="33" t="s">
        <v>278</v>
      </c>
      <c r="L2555" s="132"/>
      <c r="M2555" s="33" t="s">
        <v>278</v>
      </c>
      <c r="N2555" s="132"/>
      <c r="O2555" s="33" t="s">
        <v>278</v>
      </c>
      <c r="P2555" s="132"/>
      <c r="Q2555" s="33" t="s">
        <v>587</v>
      </c>
      <c r="R2555" s="132"/>
      <c r="S2555" s="33" t="s">
        <v>278</v>
      </c>
      <c r="T2555" s="132"/>
      <c r="U2555" s="33" t="s">
        <v>278</v>
      </c>
      <c r="V2555" s="132"/>
      <c r="W2555" s="59" t="s">
        <v>633</v>
      </c>
      <c r="X2555" s="33" t="str">
        <f>+VLOOKUP(OtherClients[[#This Row],[Part]],PartControl!$A$2:$E$564,5,FALSE)</f>
        <v>infasco</v>
      </c>
      <c r="Y2555" s="108">
        <f>IF(OtherClients[[#This Row],[Re-certified or New]]&lt;&gt;"Re-certified",IF(OtherClients[[#This Row],[Client]]="infasco",VLOOKUP(OtherClients[[#This Row],[Part]],PartControl!$A$2:$E$564,2,FALSE),OtherClients[[#This Row],[Total Quantity]]*VLOOKUP(OtherClients[[#This Row],[Part]],PartControl!$A$2:$E$564,2,FALSE)),0)</f>
        <v>0</v>
      </c>
      <c r="Z2555" s="108">
        <f>IF(OtherClients[[#This Row],[Re-certified or New]]&lt;&gt;"Re-certified",IF(OtherClients[[#This Row],[Client]]="infasco",VLOOKUP(OtherClients[[#This Row],[Part]],PartControl!$A$2:$E$564,2,FALSE),OtherClients[[#This Row],[Total Quantity]]*VLOOKUP(OtherClients[[#This Row],[Part]],PartControl!$A$2:$E$564,2,FALSE)),0)</f>
        <v>0</v>
      </c>
    </row>
    <row r="2556" spans="1:26" ht="25.15" hidden="1" customHeight="1" x14ac:dyDescent="0.25">
      <c r="A2556" s="112">
        <v>46269</v>
      </c>
      <c r="B2556" s="5" t="s">
        <v>342</v>
      </c>
      <c r="C2556" s="5" t="s">
        <v>906</v>
      </c>
      <c r="D2556" s="5">
        <v>710204</v>
      </c>
      <c r="E2556" s="33">
        <v>2</v>
      </c>
      <c r="F2556" s="60">
        <v>1450</v>
      </c>
      <c r="G2556" s="60">
        <f>+OtherClients[[#This Row],[Boxes / Pieces]]*OtherClients[[#This Row],[Unit Quantity]]</f>
        <v>2900</v>
      </c>
      <c r="H2556" s="60" t="s">
        <v>893</v>
      </c>
      <c r="I2556" s="130" t="s">
        <v>278</v>
      </c>
      <c r="J2556" s="131"/>
      <c r="K2556" s="33" t="s">
        <v>278</v>
      </c>
      <c r="L2556" s="132"/>
      <c r="M2556" s="33" t="s">
        <v>278</v>
      </c>
      <c r="N2556" s="132"/>
      <c r="O2556" s="33" t="s">
        <v>278</v>
      </c>
      <c r="P2556" s="132"/>
      <c r="Q2556" s="33" t="s">
        <v>587</v>
      </c>
      <c r="R2556" s="132"/>
      <c r="S2556" s="33" t="s">
        <v>278</v>
      </c>
      <c r="T2556" s="132"/>
      <c r="U2556" s="33" t="s">
        <v>278</v>
      </c>
      <c r="V2556" s="132"/>
      <c r="W2556" s="59" t="s">
        <v>548</v>
      </c>
      <c r="X2556" s="33" t="str">
        <f>+VLOOKUP(OtherClients[[#This Row],[Part]],PartControl!$A$2:$E$564,5,FALSE)</f>
        <v>infasco</v>
      </c>
      <c r="Y2556" s="108">
        <f>IF(OtherClients[[#This Row],[Re-certified or New]]&lt;&gt;"Re-certified",IF(OtherClients[[#This Row],[Client]]="infasco",VLOOKUP(OtherClients[[#This Row],[Part]],PartControl!$A$2:$E$564,2,FALSE),OtherClients[[#This Row],[Total Quantity]]*VLOOKUP(OtherClients[[#This Row],[Part]],PartControl!$A$2:$E$564,2,FALSE)),0)</f>
        <v>106.94</v>
      </c>
      <c r="Z2556" s="108">
        <f>IF(OtherClients[[#This Row],[Re-certified or New]]&lt;&gt;"Re-certified",IF(OtherClients[[#This Row],[Client]]="infasco",VLOOKUP(OtherClients[[#This Row],[Part]],PartControl!$A$2:$E$564,2,FALSE),OtherClients[[#This Row],[Total Quantity]]*VLOOKUP(OtherClients[[#This Row],[Part]],PartControl!$A$2:$E$564,2,FALSE)),0)</f>
        <v>106.94</v>
      </c>
    </row>
    <row r="2557" spans="1:26" ht="25.15" hidden="1" customHeight="1" x14ac:dyDescent="0.25">
      <c r="A2557" s="112">
        <v>46269</v>
      </c>
      <c r="B2557" s="5" t="s">
        <v>342</v>
      </c>
      <c r="C2557" s="5">
        <v>11611122</v>
      </c>
      <c r="D2557" s="5">
        <v>715994</v>
      </c>
      <c r="E2557" s="33">
        <v>26</v>
      </c>
      <c r="F2557" s="60">
        <v>1850</v>
      </c>
      <c r="G2557" s="60">
        <f>+OtherClients[[#This Row],[Boxes / Pieces]]*OtherClients[[#This Row],[Unit Quantity]]</f>
        <v>48100</v>
      </c>
      <c r="H2557" s="60" t="s">
        <v>893</v>
      </c>
      <c r="I2557" s="130" t="s">
        <v>278</v>
      </c>
      <c r="J2557" s="131"/>
      <c r="K2557" s="33" t="s">
        <v>278</v>
      </c>
      <c r="L2557" s="132"/>
      <c r="M2557" s="33" t="s">
        <v>278</v>
      </c>
      <c r="N2557" s="132"/>
      <c r="O2557" s="33" t="s">
        <v>278</v>
      </c>
      <c r="P2557" s="132"/>
      <c r="Q2557" s="33" t="s">
        <v>587</v>
      </c>
      <c r="R2557" s="132"/>
      <c r="S2557" s="33" t="s">
        <v>278</v>
      </c>
      <c r="T2557" s="132"/>
      <c r="U2557" s="33" t="s">
        <v>278</v>
      </c>
      <c r="V2557" s="132"/>
      <c r="W2557" s="59" t="s">
        <v>548</v>
      </c>
      <c r="X2557" s="33" t="str">
        <f>+VLOOKUP(OtherClients[[#This Row],[Part]],PartControl!$A$2:$E$564,5,FALSE)</f>
        <v>INFASCO</v>
      </c>
      <c r="Y2557" s="108">
        <f>IF(OtherClients[[#This Row],[Re-certified or New]]&lt;&gt;"Re-certified",IF(OtherClients[[#This Row],[Client]]="infasco",VLOOKUP(OtherClients[[#This Row],[Part]],PartControl!$A$2:$E$564,2,FALSE),OtherClients[[#This Row],[Total Quantity]]*VLOOKUP(OtherClients[[#This Row],[Part]],PartControl!$A$2:$E$564,2,FALSE)),0)</f>
        <v>135.07999999999998</v>
      </c>
      <c r="Z2557" s="108">
        <f>IF(OtherClients[[#This Row],[Re-certified or New]]&lt;&gt;"Re-certified",IF(OtherClients[[#This Row],[Client]]="infasco",VLOOKUP(OtherClients[[#This Row],[Part]],PartControl!$A$2:$E$564,2,FALSE),OtherClients[[#This Row],[Total Quantity]]*VLOOKUP(OtherClients[[#This Row],[Part]],PartControl!$A$2:$E$564,2,FALSE)),0)</f>
        <v>135.07999999999998</v>
      </c>
    </row>
    <row r="2558" spans="1:26" ht="25.15" hidden="1" customHeight="1" x14ac:dyDescent="0.25">
      <c r="A2558" s="112">
        <v>46269</v>
      </c>
      <c r="B2558" s="5" t="s">
        <v>342</v>
      </c>
      <c r="C2558" s="5" t="s">
        <v>649</v>
      </c>
      <c r="D2558" s="5">
        <v>717108</v>
      </c>
      <c r="E2558" s="33">
        <v>35</v>
      </c>
      <c r="F2558" s="60">
        <v>1250</v>
      </c>
      <c r="G2558" s="60">
        <f>+OtherClients[[#This Row],[Boxes / Pieces]]*OtherClients[[#This Row],[Unit Quantity]]</f>
        <v>43750</v>
      </c>
      <c r="H2558" s="60" t="s">
        <v>893</v>
      </c>
      <c r="I2558" s="130" t="s">
        <v>278</v>
      </c>
      <c r="J2558" s="131"/>
      <c r="K2558" s="33" t="s">
        <v>278</v>
      </c>
      <c r="L2558" s="132"/>
      <c r="M2558" s="33" t="s">
        <v>278</v>
      </c>
      <c r="N2558" s="132"/>
      <c r="O2558" s="33" t="s">
        <v>278</v>
      </c>
      <c r="P2558" s="132"/>
      <c r="Q2558" s="33" t="s">
        <v>587</v>
      </c>
      <c r="R2558" s="132"/>
      <c r="S2558" s="33" t="s">
        <v>278</v>
      </c>
      <c r="T2558" s="132"/>
      <c r="U2558" s="33" t="s">
        <v>278</v>
      </c>
      <c r="V2558" s="132"/>
      <c r="W2558" s="59" t="s">
        <v>548</v>
      </c>
      <c r="X2558" s="33" t="str">
        <f>+VLOOKUP(OtherClients[[#This Row],[Part]],PartControl!$A$2:$E$564,5,FALSE)</f>
        <v>infasco</v>
      </c>
      <c r="Y2558" s="108">
        <f>IF(OtherClients[[#This Row],[Re-certified or New]]&lt;&gt;"Re-certified",IF(OtherClients[[#This Row],[Client]]="infasco",VLOOKUP(OtherClients[[#This Row],[Part]],PartControl!$A$2:$E$564,2,FALSE),OtherClients[[#This Row],[Total Quantity]]*VLOOKUP(OtherClients[[#This Row],[Part]],PartControl!$A$2:$E$564,2,FALSE)),0)</f>
        <v>135.07999999999998</v>
      </c>
      <c r="Z2558" s="108">
        <f>IF(OtherClients[[#This Row],[Re-certified or New]]&lt;&gt;"Re-certified",IF(OtherClients[[#This Row],[Client]]="infasco",VLOOKUP(OtherClients[[#This Row],[Part]],PartControl!$A$2:$E$564,2,FALSE),OtherClients[[#This Row],[Total Quantity]]*VLOOKUP(OtherClients[[#This Row],[Part]],PartControl!$A$2:$E$564,2,FALSE)),0)</f>
        <v>135.07999999999998</v>
      </c>
    </row>
    <row r="2559" spans="1:26" ht="25.15" hidden="1" customHeight="1" x14ac:dyDescent="0.25">
      <c r="A2559" s="112">
        <v>46269</v>
      </c>
      <c r="B2559" s="5" t="s">
        <v>342</v>
      </c>
      <c r="C2559" s="5" t="s">
        <v>824</v>
      </c>
      <c r="D2559" s="5">
        <v>717828</v>
      </c>
      <c r="E2559" s="33">
        <v>1</v>
      </c>
      <c r="F2559" s="60">
        <v>4700</v>
      </c>
      <c r="G2559" s="60">
        <f>+OtherClients[[#This Row],[Boxes / Pieces]]*OtherClients[[#This Row],[Unit Quantity]]</f>
        <v>4700</v>
      </c>
      <c r="H2559" s="60" t="s">
        <v>893</v>
      </c>
      <c r="I2559" s="130" t="s">
        <v>278</v>
      </c>
      <c r="J2559" s="131"/>
      <c r="K2559" s="33" t="s">
        <v>278</v>
      </c>
      <c r="L2559" s="132"/>
      <c r="M2559" s="33" t="s">
        <v>278</v>
      </c>
      <c r="N2559" s="132"/>
      <c r="O2559" s="33" t="s">
        <v>278</v>
      </c>
      <c r="P2559" s="132"/>
      <c r="Q2559" s="33" t="s">
        <v>587</v>
      </c>
      <c r="R2559" s="132"/>
      <c r="S2559" s="33" t="s">
        <v>278</v>
      </c>
      <c r="T2559" s="132"/>
      <c r="U2559" s="33" t="s">
        <v>278</v>
      </c>
      <c r="V2559" s="132"/>
      <c r="W2559" s="59" t="s">
        <v>548</v>
      </c>
      <c r="X2559" s="33" t="str">
        <f>+VLOOKUP(OtherClients[[#This Row],[Part]],PartControl!$A$2:$E$564,5,FALSE)</f>
        <v>Infasco</v>
      </c>
      <c r="Y2559" s="108">
        <f>IF(OtherClients[[#This Row],[Re-certified or New]]&lt;&gt;"Re-certified",IF(OtherClients[[#This Row],[Client]]="infasco",VLOOKUP(OtherClients[[#This Row],[Part]],PartControl!$A$2:$E$564,2,FALSE),OtherClients[[#This Row],[Total Quantity]]*VLOOKUP(OtherClients[[#This Row],[Part]],PartControl!$A$2:$E$564,2,FALSE)),0)</f>
        <v>129.44999999999999</v>
      </c>
      <c r="Z2559" s="108">
        <f>IF(OtherClients[[#This Row],[Re-certified or New]]&lt;&gt;"Re-certified",IF(OtherClients[[#This Row],[Client]]="infasco",VLOOKUP(OtherClients[[#This Row],[Part]],PartControl!$A$2:$E$564,2,FALSE),OtherClients[[#This Row],[Total Quantity]]*VLOOKUP(OtherClients[[#This Row],[Part]],PartControl!$A$2:$E$564,2,FALSE)),0)</f>
        <v>129.44999999999999</v>
      </c>
    </row>
    <row r="2560" spans="1:26" ht="25.15" hidden="1" customHeight="1" x14ac:dyDescent="0.25">
      <c r="A2560" s="112">
        <v>46269</v>
      </c>
      <c r="B2560" s="5" t="s">
        <v>342</v>
      </c>
      <c r="C2560" s="5" t="s">
        <v>824</v>
      </c>
      <c r="D2560" s="5">
        <v>717827</v>
      </c>
      <c r="E2560" s="33">
        <v>1</v>
      </c>
      <c r="F2560" s="60">
        <v>4700</v>
      </c>
      <c r="G2560" s="60">
        <f>+OtherClients[[#This Row],[Boxes / Pieces]]*OtherClients[[#This Row],[Unit Quantity]]</f>
        <v>4700</v>
      </c>
      <c r="H2560" s="60" t="s">
        <v>893</v>
      </c>
      <c r="I2560" s="130" t="s">
        <v>278</v>
      </c>
      <c r="J2560" s="131"/>
      <c r="K2560" s="33" t="s">
        <v>278</v>
      </c>
      <c r="L2560" s="132"/>
      <c r="M2560" s="33" t="s">
        <v>278</v>
      </c>
      <c r="N2560" s="132"/>
      <c r="O2560" s="33" t="s">
        <v>278</v>
      </c>
      <c r="P2560" s="132"/>
      <c r="Q2560" s="33" t="s">
        <v>587</v>
      </c>
      <c r="R2560" s="132"/>
      <c r="S2560" s="33" t="s">
        <v>278</v>
      </c>
      <c r="T2560" s="132"/>
      <c r="U2560" s="33" t="s">
        <v>278</v>
      </c>
      <c r="V2560" s="132"/>
      <c r="W2560" s="59" t="s">
        <v>548</v>
      </c>
      <c r="X2560" s="33" t="str">
        <f>+VLOOKUP(OtherClients[[#This Row],[Part]],PartControl!$A$2:$E$564,5,FALSE)</f>
        <v>Infasco</v>
      </c>
      <c r="Y2560" s="108">
        <f>IF(OtherClients[[#This Row],[Re-certified or New]]&lt;&gt;"Re-certified",IF(OtherClients[[#This Row],[Client]]="infasco",VLOOKUP(OtherClients[[#This Row],[Part]],PartControl!$A$2:$E$564,2,FALSE),OtherClients[[#This Row],[Total Quantity]]*VLOOKUP(OtherClients[[#This Row],[Part]],PartControl!$A$2:$E$564,2,FALSE)),0)</f>
        <v>129.44999999999999</v>
      </c>
      <c r="Z2560" s="108">
        <f>IF(OtherClients[[#This Row],[Re-certified or New]]&lt;&gt;"Re-certified",IF(OtherClients[[#This Row],[Client]]="infasco",VLOOKUP(OtherClients[[#This Row],[Part]],PartControl!$A$2:$E$564,2,FALSE),OtherClients[[#This Row],[Total Quantity]]*VLOOKUP(OtherClients[[#This Row],[Part]],PartControl!$A$2:$E$564,2,FALSE)),0)</f>
        <v>129.44999999999999</v>
      </c>
    </row>
    <row r="2561" spans="1:26" ht="25.15" hidden="1" customHeight="1" x14ac:dyDescent="0.25">
      <c r="A2561" s="112">
        <v>46269</v>
      </c>
      <c r="B2561" s="5" t="s">
        <v>342</v>
      </c>
      <c r="C2561" s="5" t="s">
        <v>824</v>
      </c>
      <c r="D2561" s="5">
        <v>717830</v>
      </c>
      <c r="E2561" s="33">
        <v>1</v>
      </c>
      <c r="F2561" s="60">
        <v>4700</v>
      </c>
      <c r="G2561" s="60">
        <f>+OtherClients[[#This Row],[Boxes / Pieces]]*OtherClients[[#This Row],[Unit Quantity]]</f>
        <v>4700</v>
      </c>
      <c r="H2561" s="60" t="s">
        <v>893</v>
      </c>
      <c r="I2561" s="130" t="s">
        <v>278</v>
      </c>
      <c r="J2561" s="131"/>
      <c r="K2561" s="33" t="s">
        <v>278</v>
      </c>
      <c r="L2561" s="132"/>
      <c r="M2561" s="33" t="s">
        <v>278</v>
      </c>
      <c r="N2561" s="132"/>
      <c r="O2561" s="33" t="s">
        <v>278</v>
      </c>
      <c r="P2561" s="132"/>
      <c r="Q2561" s="33" t="s">
        <v>587</v>
      </c>
      <c r="R2561" s="132"/>
      <c r="S2561" s="33" t="s">
        <v>278</v>
      </c>
      <c r="T2561" s="132"/>
      <c r="U2561" s="33" t="s">
        <v>278</v>
      </c>
      <c r="V2561" s="132"/>
      <c r="W2561" s="59" t="s">
        <v>548</v>
      </c>
      <c r="X2561" s="33" t="str">
        <f>+VLOOKUP(OtherClients[[#This Row],[Part]],PartControl!$A$2:$E$564,5,FALSE)</f>
        <v>Infasco</v>
      </c>
      <c r="Y2561" s="108">
        <f>IF(OtherClients[[#This Row],[Re-certified or New]]&lt;&gt;"Re-certified",IF(OtherClients[[#This Row],[Client]]="infasco",VLOOKUP(OtherClients[[#This Row],[Part]],PartControl!$A$2:$E$564,2,FALSE),OtherClients[[#This Row],[Total Quantity]]*VLOOKUP(OtherClients[[#This Row],[Part]],PartControl!$A$2:$E$564,2,FALSE)),0)</f>
        <v>129.44999999999999</v>
      </c>
      <c r="Z2561" s="108">
        <f>IF(OtherClients[[#This Row],[Re-certified or New]]&lt;&gt;"Re-certified",IF(OtherClients[[#This Row],[Client]]="infasco",VLOOKUP(OtherClients[[#This Row],[Part]],PartControl!$A$2:$E$564,2,FALSE),OtherClients[[#This Row],[Total Quantity]]*VLOOKUP(OtherClients[[#This Row],[Part]],PartControl!$A$2:$E$564,2,FALSE)),0)</f>
        <v>129.44999999999999</v>
      </c>
    </row>
    <row r="2562" spans="1:26" ht="25.15" hidden="1" customHeight="1" x14ac:dyDescent="0.25">
      <c r="A2562" s="112">
        <v>46269</v>
      </c>
      <c r="B2562" s="5" t="s">
        <v>342</v>
      </c>
      <c r="C2562" s="5" t="s">
        <v>824</v>
      </c>
      <c r="D2562" s="5">
        <v>717825</v>
      </c>
      <c r="E2562" s="33">
        <v>1</v>
      </c>
      <c r="F2562" s="60">
        <v>4700</v>
      </c>
      <c r="G2562" s="60">
        <f>+OtherClients[[#This Row],[Boxes / Pieces]]*OtherClients[[#This Row],[Unit Quantity]]</f>
        <v>4700</v>
      </c>
      <c r="H2562" s="60" t="s">
        <v>893</v>
      </c>
      <c r="I2562" s="130" t="s">
        <v>278</v>
      </c>
      <c r="J2562" s="131"/>
      <c r="K2562" s="33" t="s">
        <v>278</v>
      </c>
      <c r="L2562" s="132"/>
      <c r="M2562" s="33" t="s">
        <v>278</v>
      </c>
      <c r="N2562" s="132"/>
      <c r="O2562" s="33" t="s">
        <v>278</v>
      </c>
      <c r="P2562" s="132"/>
      <c r="Q2562" s="33" t="s">
        <v>587</v>
      </c>
      <c r="R2562" s="132"/>
      <c r="S2562" s="33" t="s">
        <v>278</v>
      </c>
      <c r="T2562" s="132"/>
      <c r="U2562" s="33" t="s">
        <v>278</v>
      </c>
      <c r="V2562" s="132"/>
      <c r="W2562" s="59" t="s">
        <v>548</v>
      </c>
      <c r="X2562" s="33" t="str">
        <f>+VLOOKUP(OtherClients[[#This Row],[Part]],PartControl!$A$2:$E$564,5,FALSE)</f>
        <v>Infasco</v>
      </c>
      <c r="Y2562" s="108">
        <f>IF(OtherClients[[#This Row],[Re-certified or New]]&lt;&gt;"Re-certified",IF(OtherClients[[#This Row],[Client]]="infasco",VLOOKUP(OtherClients[[#This Row],[Part]],PartControl!$A$2:$E$564,2,FALSE),OtherClients[[#This Row],[Total Quantity]]*VLOOKUP(OtherClients[[#This Row],[Part]],PartControl!$A$2:$E$564,2,FALSE)),0)</f>
        <v>129.44999999999999</v>
      </c>
      <c r="Z2562" s="108">
        <f>IF(OtherClients[[#This Row],[Re-certified or New]]&lt;&gt;"Re-certified",IF(OtherClients[[#This Row],[Client]]="infasco",VLOOKUP(OtherClients[[#This Row],[Part]],PartControl!$A$2:$E$564,2,FALSE),OtherClients[[#This Row],[Total Quantity]]*VLOOKUP(OtherClients[[#This Row],[Part]],PartControl!$A$2:$E$564,2,FALSE)),0)</f>
        <v>129.44999999999999</v>
      </c>
    </row>
    <row r="2563" spans="1:26" ht="25.15" hidden="1" customHeight="1" x14ac:dyDescent="0.25">
      <c r="A2563" s="112">
        <v>46269</v>
      </c>
      <c r="B2563" s="5" t="s">
        <v>342</v>
      </c>
      <c r="C2563" s="5" t="s">
        <v>824</v>
      </c>
      <c r="D2563" s="5">
        <v>717823</v>
      </c>
      <c r="E2563" s="33">
        <v>1</v>
      </c>
      <c r="F2563" s="60">
        <v>5522</v>
      </c>
      <c r="G2563" s="60">
        <f>+OtherClients[[#This Row],[Boxes / Pieces]]*OtherClients[[#This Row],[Unit Quantity]]</f>
        <v>5522</v>
      </c>
      <c r="H2563" s="60" t="s">
        <v>893</v>
      </c>
      <c r="I2563" s="130" t="s">
        <v>278</v>
      </c>
      <c r="J2563" s="131"/>
      <c r="K2563" s="33" t="s">
        <v>278</v>
      </c>
      <c r="L2563" s="132"/>
      <c r="M2563" s="33" t="s">
        <v>278</v>
      </c>
      <c r="N2563" s="132"/>
      <c r="O2563" s="33" t="s">
        <v>278</v>
      </c>
      <c r="P2563" s="132"/>
      <c r="Q2563" s="33" t="s">
        <v>587</v>
      </c>
      <c r="R2563" s="132"/>
      <c r="S2563" s="33" t="s">
        <v>278</v>
      </c>
      <c r="T2563" s="132"/>
      <c r="U2563" s="33" t="s">
        <v>278</v>
      </c>
      <c r="V2563" s="132"/>
      <c r="W2563" s="59" t="s">
        <v>548</v>
      </c>
      <c r="X2563" s="33" t="str">
        <f>+VLOOKUP(OtherClients[[#This Row],[Part]],PartControl!$A$2:$E$564,5,FALSE)</f>
        <v>Infasco</v>
      </c>
      <c r="Y2563" s="108">
        <f>IF(OtherClients[[#This Row],[Re-certified or New]]&lt;&gt;"Re-certified",IF(OtherClients[[#This Row],[Client]]="infasco",VLOOKUP(OtherClients[[#This Row],[Part]],PartControl!$A$2:$E$564,2,FALSE),OtherClients[[#This Row],[Total Quantity]]*VLOOKUP(OtherClients[[#This Row],[Part]],PartControl!$A$2:$E$564,2,FALSE)),0)</f>
        <v>129.44999999999999</v>
      </c>
      <c r="Z2563" s="108">
        <f>IF(OtherClients[[#This Row],[Re-certified or New]]&lt;&gt;"Re-certified",IF(OtherClients[[#This Row],[Client]]="infasco",VLOOKUP(OtherClients[[#This Row],[Part]],PartControl!$A$2:$E$564,2,FALSE),OtherClients[[#This Row],[Total Quantity]]*VLOOKUP(OtherClients[[#This Row],[Part]],PartControl!$A$2:$E$564,2,FALSE)),0)</f>
        <v>129.44999999999999</v>
      </c>
    </row>
    <row r="2564" spans="1:26" ht="25.15" hidden="1" customHeight="1" x14ac:dyDescent="0.25">
      <c r="A2564" s="112">
        <v>46269</v>
      </c>
      <c r="B2564" s="5" t="s">
        <v>342</v>
      </c>
      <c r="C2564" s="5">
        <v>11549204</v>
      </c>
      <c r="D2564" s="5">
        <v>716940</v>
      </c>
      <c r="E2564" s="33">
        <f>36+2</f>
        <v>38</v>
      </c>
      <c r="F2564" s="60">
        <v>210</v>
      </c>
      <c r="G2564" s="60">
        <f>+OtherClients[[#This Row],[Boxes / Pieces]]*OtherClients[[#This Row],[Unit Quantity]]</f>
        <v>7980</v>
      </c>
      <c r="H2564" s="60" t="s">
        <v>893</v>
      </c>
      <c r="I2564" s="130" t="s">
        <v>278</v>
      </c>
      <c r="J2564" s="131"/>
      <c r="K2564" s="33" t="s">
        <v>278</v>
      </c>
      <c r="L2564" s="132"/>
      <c r="M2564" s="33" t="s">
        <v>278</v>
      </c>
      <c r="N2564" s="132"/>
      <c r="O2564" s="33" t="s">
        <v>278</v>
      </c>
      <c r="P2564" s="132"/>
      <c r="Q2564" s="33" t="s">
        <v>587</v>
      </c>
      <c r="R2564" s="132"/>
      <c r="S2564" s="33" t="s">
        <v>278</v>
      </c>
      <c r="T2564" s="132"/>
      <c r="U2564" s="33" t="s">
        <v>278</v>
      </c>
      <c r="V2564" s="132"/>
      <c r="W2564" s="59" t="s">
        <v>548</v>
      </c>
      <c r="X2564" s="33" t="str">
        <f>+VLOOKUP(OtherClients[[#This Row],[Part]],PartControl!$A$2:$E$564,5,FALSE)</f>
        <v>INFASCO</v>
      </c>
      <c r="Y2564" s="108">
        <f>IF(OtherClients[[#This Row],[Re-certified or New]]&lt;&gt;"Re-certified",IF(OtherClients[[#This Row],[Client]]="infasco",VLOOKUP(OtherClients[[#This Row],[Part]],PartControl!$A$2:$E$564,2,FALSE),OtherClients[[#This Row],[Total Quantity]]*VLOOKUP(OtherClients[[#This Row],[Part]],PartControl!$A$2:$E$564,2,FALSE)),0)</f>
        <v>106.94</v>
      </c>
      <c r="Z2564" s="108">
        <f>IF(OtherClients[[#This Row],[Re-certified or New]]&lt;&gt;"Re-certified",IF(OtherClients[[#This Row],[Client]]="infasco",VLOOKUP(OtherClients[[#This Row],[Part]],PartControl!$A$2:$E$564,2,FALSE),OtherClients[[#This Row],[Total Quantity]]*VLOOKUP(OtherClients[[#This Row],[Part]],PartControl!$A$2:$E$564,2,FALSE)),0)</f>
        <v>106.94</v>
      </c>
    </row>
    <row r="2565" spans="1:26" ht="25.15" hidden="1" customHeight="1" x14ac:dyDescent="0.25">
      <c r="A2565" s="112">
        <v>46269</v>
      </c>
      <c r="B2565" s="5" t="s">
        <v>342</v>
      </c>
      <c r="C2565" s="113" t="s">
        <v>915</v>
      </c>
      <c r="D2565" s="113">
        <v>713803</v>
      </c>
      <c r="E2565" s="114">
        <v>1</v>
      </c>
      <c r="F2565" s="115">
        <v>1250</v>
      </c>
      <c r="G2565" s="115">
        <f>+OtherClients[[#This Row],[Boxes / Pieces]]*OtherClients[[#This Row],[Unit Quantity]]</f>
        <v>1250</v>
      </c>
      <c r="H2565" s="60">
        <v>297</v>
      </c>
      <c r="I2565" s="130" t="s">
        <v>278</v>
      </c>
      <c r="J2565" s="131"/>
      <c r="K2565" s="33" t="s">
        <v>278</v>
      </c>
      <c r="L2565" s="132"/>
      <c r="M2565" s="33" t="s">
        <v>278</v>
      </c>
      <c r="N2565" s="132"/>
      <c r="O2565" s="33" t="s">
        <v>278</v>
      </c>
      <c r="P2565" s="132"/>
      <c r="Q2565" s="33" t="s">
        <v>587</v>
      </c>
      <c r="R2565" s="132"/>
      <c r="S2565" s="33" t="s">
        <v>278</v>
      </c>
      <c r="T2565" s="132"/>
      <c r="U2565" s="33" t="s">
        <v>278</v>
      </c>
      <c r="V2565" s="132"/>
      <c r="W2565" s="59" t="s">
        <v>633</v>
      </c>
      <c r="X2565" s="33" t="e">
        <f>+VLOOKUP(OtherClients[[#This Row],[Part]],PartControl!$A$2:$E$564,5,FALSE)</f>
        <v>#N/A</v>
      </c>
      <c r="Y2565" s="108">
        <f>IF(OtherClients[[#This Row],[Re-certified or New]]&lt;&gt;"Re-certified",IF(OtherClients[[#This Row],[Client]]="infasco",VLOOKUP(OtherClients[[#This Row],[Part]],PartControl!$A$2:$E$564,2,FALSE),OtherClients[[#This Row],[Total Quantity]]*VLOOKUP(OtherClients[[#This Row],[Part]],PartControl!$A$2:$E$564,2,FALSE)),0)</f>
        <v>0</v>
      </c>
      <c r="Z2565" s="108">
        <f>IF(OtherClients[[#This Row],[Re-certified or New]]&lt;&gt;"Re-certified",IF(OtherClients[[#This Row],[Client]]="infasco",VLOOKUP(OtherClients[[#This Row],[Part]],PartControl!$A$2:$E$564,2,FALSE),OtherClients[[#This Row],[Total Quantity]]*VLOOKUP(OtherClients[[#This Row],[Part]],PartControl!$A$2:$E$564,2,FALSE)),0)</f>
        <v>0</v>
      </c>
    </row>
    <row r="2566" spans="1:26" ht="25.15" hidden="1" customHeight="1" x14ac:dyDescent="0.25">
      <c r="A2566" s="112">
        <v>46269</v>
      </c>
      <c r="B2566" s="5" t="s">
        <v>343</v>
      </c>
      <c r="C2566" s="5" t="s">
        <v>906</v>
      </c>
      <c r="D2566" s="5">
        <v>710203</v>
      </c>
      <c r="E2566" s="33">
        <v>2</v>
      </c>
      <c r="F2566" s="60">
        <v>1450</v>
      </c>
      <c r="G2566" s="60">
        <f>+OtherClients[[#This Row],[Boxes / Pieces]]*OtherClients[[#This Row],[Unit Quantity]]</f>
        <v>2900</v>
      </c>
      <c r="H2566" s="60" t="s">
        <v>899</v>
      </c>
      <c r="I2566" s="130" t="s">
        <v>278</v>
      </c>
      <c r="J2566" s="131"/>
      <c r="K2566" s="33" t="s">
        <v>278</v>
      </c>
      <c r="L2566" s="132"/>
      <c r="M2566" s="33" t="s">
        <v>278</v>
      </c>
      <c r="N2566" s="132"/>
      <c r="O2566" s="33" t="s">
        <v>278</v>
      </c>
      <c r="P2566" s="132"/>
      <c r="Q2566" s="33" t="s">
        <v>587</v>
      </c>
      <c r="R2566" s="132"/>
      <c r="S2566" s="33" t="s">
        <v>278</v>
      </c>
      <c r="T2566" s="132"/>
      <c r="U2566" s="33" t="s">
        <v>278</v>
      </c>
      <c r="V2566" s="132"/>
      <c r="W2566" s="59" t="s">
        <v>633</v>
      </c>
      <c r="X2566" s="33" t="str">
        <f>+VLOOKUP(OtherClients[[#This Row],[Part]],PartControl!$A$2:$E$564,5,FALSE)</f>
        <v>infasco</v>
      </c>
      <c r="Y2566" s="108">
        <f>IF(OtherClients[[#This Row],[Re-certified or New]]&lt;&gt;"Re-certified",IF(OtherClients[[#This Row],[Client]]="infasco",VLOOKUP(OtherClients[[#This Row],[Part]],PartControl!$A$2:$E$564,2,FALSE),OtherClients[[#This Row],[Total Quantity]]*VLOOKUP(OtherClients[[#This Row],[Part]],PartControl!$A$2:$E$564,2,FALSE)),0)</f>
        <v>0</v>
      </c>
      <c r="Z2566" s="108">
        <f>IF(OtherClients[[#This Row],[Re-certified or New]]&lt;&gt;"Re-certified",IF(OtherClients[[#This Row],[Client]]="infasco",VLOOKUP(OtherClients[[#This Row],[Part]],PartControl!$A$2:$E$564,2,FALSE),OtherClients[[#This Row],[Total Quantity]]*VLOOKUP(OtherClients[[#This Row],[Part]],PartControl!$A$2:$E$564,2,FALSE)),0)</f>
        <v>0</v>
      </c>
    </row>
    <row r="2567" spans="1:26" ht="25.15" hidden="1" customHeight="1" x14ac:dyDescent="0.25">
      <c r="A2567" s="112">
        <v>46269</v>
      </c>
      <c r="B2567" s="5" t="s">
        <v>343</v>
      </c>
      <c r="C2567" s="5" t="s">
        <v>650</v>
      </c>
      <c r="D2567" s="5">
        <v>717494</v>
      </c>
      <c r="E2567" s="33">
        <v>31</v>
      </c>
      <c r="F2567" s="60">
        <v>380</v>
      </c>
      <c r="G2567" s="60">
        <f>+OtherClients[[#This Row],[Boxes / Pieces]]*OtherClients[[#This Row],[Unit Quantity]]</f>
        <v>11780</v>
      </c>
      <c r="H2567" s="60" t="s">
        <v>899</v>
      </c>
      <c r="I2567" s="130" t="s">
        <v>278</v>
      </c>
      <c r="J2567" s="131"/>
      <c r="K2567" s="33" t="s">
        <v>278</v>
      </c>
      <c r="L2567" s="132"/>
      <c r="M2567" s="33" t="s">
        <v>278</v>
      </c>
      <c r="N2567" s="132"/>
      <c r="O2567" s="33" t="s">
        <v>278</v>
      </c>
      <c r="P2567" s="132"/>
      <c r="Q2567" s="33" t="s">
        <v>587</v>
      </c>
      <c r="R2567" s="132"/>
      <c r="S2567" s="33" t="s">
        <v>278</v>
      </c>
      <c r="T2567" s="132"/>
      <c r="U2567" s="33" t="s">
        <v>278</v>
      </c>
      <c r="V2567" s="132"/>
      <c r="W2567" s="59" t="s">
        <v>548</v>
      </c>
      <c r="X2567" s="33" t="str">
        <f>+VLOOKUP(OtherClients[[#This Row],[Part]],PartControl!$A$2:$E$564,5,FALSE)</f>
        <v>infasco</v>
      </c>
      <c r="Y2567" s="108">
        <f>IF(OtherClients[[#This Row],[Re-certified or New]]&lt;&gt;"Re-certified",IF(OtherClients[[#This Row],[Client]]="infasco",VLOOKUP(OtherClients[[#This Row],[Part]],PartControl!$A$2:$E$564,2,FALSE),OtherClients[[#This Row],[Total Quantity]]*VLOOKUP(OtherClients[[#This Row],[Part]],PartControl!$A$2:$E$564,2,FALSE)),0)</f>
        <v>135.07999999999998</v>
      </c>
      <c r="Z2567" s="108">
        <f>IF(OtherClients[[#This Row],[Re-certified or New]]&lt;&gt;"Re-certified",IF(OtherClients[[#This Row],[Client]]="infasco",VLOOKUP(OtherClients[[#This Row],[Part]],PartControl!$A$2:$E$564,2,FALSE),OtherClients[[#This Row],[Total Quantity]]*VLOOKUP(OtherClients[[#This Row],[Part]],PartControl!$A$2:$E$564,2,FALSE)),0)</f>
        <v>135.07999999999998</v>
      </c>
    </row>
    <row r="2568" spans="1:26" ht="25.15" hidden="1" customHeight="1" x14ac:dyDescent="0.25">
      <c r="A2568" s="112">
        <v>46269</v>
      </c>
      <c r="B2568" s="5" t="s">
        <v>343</v>
      </c>
      <c r="C2568" s="5" t="s">
        <v>908</v>
      </c>
      <c r="D2568" s="5">
        <v>711388</v>
      </c>
      <c r="E2568" s="33">
        <v>14</v>
      </c>
      <c r="F2568" s="60">
        <v>180</v>
      </c>
      <c r="G2568" s="60">
        <f>+OtherClients[[#This Row],[Boxes / Pieces]]*OtherClients[[#This Row],[Unit Quantity]]</f>
        <v>2520</v>
      </c>
      <c r="H2568" s="60" t="s">
        <v>899</v>
      </c>
      <c r="I2568" s="130" t="s">
        <v>278</v>
      </c>
      <c r="J2568" s="131"/>
      <c r="K2568" s="33" t="s">
        <v>278</v>
      </c>
      <c r="L2568" s="132"/>
      <c r="M2568" s="33" t="s">
        <v>278</v>
      </c>
      <c r="N2568" s="132"/>
      <c r="O2568" s="33" t="s">
        <v>278</v>
      </c>
      <c r="P2568" s="132"/>
      <c r="Q2568" s="33" t="s">
        <v>587</v>
      </c>
      <c r="R2568" s="132"/>
      <c r="S2568" s="33" t="s">
        <v>278</v>
      </c>
      <c r="T2568" s="132"/>
      <c r="U2568" s="33" t="s">
        <v>278</v>
      </c>
      <c r="V2568" s="132"/>
      <c r="W2568" s="59" t="s">
        <v>548</v>
      </c>
      <c r="X2568" s="33" t="str">
        <f>+VLOOKUP(OtherClients[[#This Row],[Part]],PartControl!$A$2:$E$564,5,FALSE)</f>
        <v>infasco</v>
      </c>
      <c r="Y2568" s="108">
        <f>IF(OtherClients[[#This Row],[Re-certified or New]]&lt;&gt;"Re-certified",IF(OtherClients[[#This Row],[Client]]="infasco",VLOOKUP(OtherClients[[#This Row],[Part]],PartControl!$A$2:$E$564,2,FALSE),OtherClients[[#This Row],[Total Quantity]]*VLOOKUP(OtherClients[[#This Row],[Part]],PartControl!$A$2:$E$564,2,FALSE)),0)</f>
        <v>270.16000000000003</v>
      </c>
      <c r="Z2568" s="108">
        <f>IF(OtherClients[[#This Row],[Re-certified or New]]&lt;&gt;"Re-certified",IF(OtherClients[[#This Row],[Client]]="infasco",VLOOKUP(OtherClients[[#This Row],[Part]],PartControl!$A$2:$E$564,2,FALSE),OtherClients[[#This Row],[Total Quantity]]*VLOOKUP(OtherClients[[#This Row],[Part]],PartControl!$A$2:$E$564,2,FALSE)),0)</f>
        <v>270.16000000000003</v>
      </c>
    </row>
    <row r="2569" spans="1:26" ht="25.15" hidden="1" customHeight="1" x14ac:dyDescent="0.25">
      <c r="A2569" s="112">
        <v>46269</v>
      </c>
      <c r="B2569" s="5" t="s">
        <v>343</v>
      </c>
      <c r="C2569" s="5" t="s">
        <v>911</v>
      </c>
      <c r="D2569" s="5">
        <v>713791</v>
      </c>
      <c r="E2569" s="33">
        <v>1</v>
      </c>
      <c r="F2569" s="60">
        <v>12336</v>
      </c>
      <c r="G2569" s="60">
        <f>+OtherClients[[#This Row],[Boxes / Pieces]]*OtherClients[[#This Row],[Unit Quantity]]</f>
        <v>12336</v>
      </c>
      <c r="H2569" s="60" t="s">
        <v>899</v>
      </c>
      <c r="I2569" s="130" t="s">
        <v>278</v>
      </c>
      <c r="J2569" s="131"/>
      <c r="K2569" s="33" t="s">
        <v>278</v>
      </c>
      <c r="L2569" s="132"/>
      <c r="M2569" s="33" t="s">
        <v>278</v>
      </c>
      <c r="N2569" s="132"/>
      <c r="O2569" s="33" t="s">
        <v>278</v>
      </c>
      <c r="P2569" s="132"/>
      <c r="Q2569" s="33" t="s">
        <v>587</v>
      </c>
      <c r="R2569" s="132"/>
      <c r="S2569" s="33" t="s">
        <v>278</v>
      </c>
      <c r="T2569" s="132"/>
      <c r="U2569" s="33" t="s">
        <v>278</v>
      </c>
      <c r="V2569" s="132"/>
      <c r="W2569" s="59" t="s">
        <v>548</v>
      </c>
      <c r="X2569" s="33" t="str">
        <f>+VLOOKUP(OtherClients[[#This Row],[Part]],PartControl!$A$2:$E$564,5,FALSE)</f>
        <v>infasco</v>
      </c>
      <c r="Y2569" s="108">
        <f>IF(OtherClients[[#This Row],[Re-certified or New]]&lt;&gt;"Re-certified",IF(OtherClients[[#This Row],[Client]]="infasco",VLOOKUP(OtherClients[[#This Row],[Part]],PartControl!$A$2:$E$564,2,FALSE),OtherClients[[#This Row],[Total Quantity]]*VLOOKUP(OtherClients[[#This Row],[Part]],PartControl!$A$2:$E$564,2,FALSE)),0)</f>
        <v>129.44999999999999</v>
      </c>
      <c r="Z2569" s="108">
        <f>IF(OtherClients[[#This Row],[Re-certified or New]]&lt;&gt;"Re-certified",IF(OtherClients[[#This Row],[Client]]="infasco",VLOOKUP(OtherClients[[#This Row],[Part]],PartControl!$A$2:$E$564,2,FALSE),OtherClients[[#This Row],[Total Quantity]]*VLOOKUP(OtherClients[[#This Row],[Part]],PartControl!$A$2:$E$564,2,FALSE)),0)</f>
        <v>129.44999999999999</v>
      </c>
    </row>
    <row r="2570" spans="1:26" ht="25.15" hidden="1" customHeight="1" x14ac:dyDescent="0.25">
      <c r="A2570" s="112">
        <v>46269</v>
      </c>
      <c r="B2570" s="5" t="s">
        <v>343</v>
      </c>
      <c r="C2570" s="5">
        <v>11549204</v>
      </c>
      <c r="D2570" s="5">
        <v>716942</v>
      </c>
      <c r="E2570" s="33">
        <f>36+4</f>
        <v>40</v>
      </c>
      <c r="F2570" s="60">
        <v>210</v>
      </c>
      <c r="G2570" s="60">
        <f>+OtherClients[[#This Row],[Boxes / Pieces]]*OtherClients[[#This Row],[Unit Quantity]]</f>
        <v>8400</v>
      </c>
      <c r="H2570" s="60" t="s">
        <v>899</v>
      </c>
      <c r="I2570" s="130" t="s">
        <v>278</v>
      </c>
      <c r="J2570" s="131"/>
      <c r="K2570" s="33" t="s">
        <v>278</v>
      </c>
      <c r="L2570" s="132"/>
      <c r="M2570" s="33" t="s">
        <v>278</v>
      </c>
      <c r="N2570" s="132"/>
      <c r="O2570" s="33" t="s">
        <v>278</v>
      </c>
      <c r="P2570" s="132"/>
      <c r="Q2570" s="33" t="s">
        <v>587</v>
      </c>
      <c r="R2570" s="132"/>
      <c r="S2570" s="33" t="s">
        <v>278</v>
      </c>
      <c r="T2570" s="132"/>
      <c r="U2570" s="33" t="s">
        <v>278</v>
      </c>
      <c r="V2570" s="132"/>
      <c r="W2570" s="59" t="s">
        <v>548</v>
      </c>
      <c r="X2570" s="33" t="str">
        <f>+VLOOKUP(OtherClients[[#This Row],[Part]],PartControl!$A$2:$E$564,5,FALSE)</f>
        <v>INFASCO</v>
      </c>
      <c r="Y2570" s="108">
        <f>IF(OtherClients[[#This Row],[Re-certified or New]]&lt;&gt;"Re-certified",IF(OtherClients[[#This Row],[Client]]="infasco",VLOOKUP(OtherClients[[#This Row],[Part]],PartControl!$A$2:$E$564,2,FALSE),OtherClients[[#This Row],[Total Quantity]]*VLOOKUP(OtherClients[[#This Row],[Part]],PartControl!$A$2:$E$564,2,FALSE)),0)</f>
        <v>106.94</v>
      </c>
      <c r="Z2570" s="108">
        <f>IF(OtherClients[[#This Row],[Re-certified or New]]&lt;&gt;"Re-certified",IF(OtherClients[[#This Row],[Client]]="infasco",VLOOKUP(OtherClients[[#This Row],[Part]],PartControl!$A$2:$E$564,2,FALSE),OtherClients[[#This Row],[Total Quantity]]*VLOOKUP(OtherClients[[#This Row],[Part]],PartControl!$A$2:$E$564,2,FALSE)),0)</f>
        <v>106.94</v>
      </c>
    </row>
    <row r="2571" spans="1:26" ht="25.15" hidden="1" customHeight="1" x14ac:dyDescent="0.25">
      <c r="A2571" s="112">
        <v>46269</v>
      </c>
      <c r="B2571" s="5" t="s">
        <v>343</v>
      </c>
      <c r="C2571" s="5" t="s">
        <v>916</v>
      </c>
      <c r="D2571" s="5">
        <v>716953</v>
      </c>
      <c r="E2571" s="33">
        <v>36</v>
      </c>
      <c r="F2571" s="60">
        <v>300</v>
      </c>
      <c r="G2571" s="60">
        <f>+OtherClients[[#This Row],[Boxes / Pieces]]*OtherClients[[#This Row],[Unit Quantity]]</f>
        <v>10800</v>
      </c>
      <c r="H2571" s="60" t="s">
        <v>899</v>
      </c>
      <c r="I2571" s="130" t="s">
        <v>278</v>
      </c>
      <c r="J2571" s="131"/>
      <c r="K2571" s="33" t="s">
        <v>278</v>
      </c>
      <c r="L2571" s="132"/>
      <c r="M2571" s="33" t="s">
        <v>278</v>
      </c>
      <c r="N2571" s="132"/>
      <c r="O2571" s="33" t="s">
        <v>278</v>
      </c>
      <c r="P2571" s="132"/>
      <c r="Q2571" s="33" t="s">
        <v>587</v>
      </c>
      <c r="R2571" s="132"/>
      <c r="S2571" s="33" t="s">
        <v>278</v>
      </c>
      <c r="T2571" s="132"/>
      <c r="U2571" s="33" t="s">
        <v>278</v>
      </c>
      <c r="V2571" s="132"/>
      <c r="W2571" s="59" t="s">
        <v>548</v>
      </c>
      <c r="X2571" s="33" t="str">
        <f>+VLOOKUP(OtherClients[[#This Row],[Part]],PartControl!$A$2:$E$564,5,FALSE)</f>
        <v>infasco</v>
      </c>
      <c r="Y2571" s="108">
        <f>IF(OtherClients[[#This Row],[Re-certified or New]]&lt;&gt;"Re-certified",IF(OtherClients[[#This Row],[Client]]="infasco",VLOOKUP(OtherClients[[#This Row],[Part]],PartControl!$A$2:$E$564,2,FALSE),OtherClients[[#This Row],[Total Quantity]]*VLOOKUP(OtherClients[[#This Row],[Part]],PartControl!$A$2:$E$564,2,FALSE)),0)</f>
        <v>106.94</v>
      </c>
      <c r="Z2571" s="108">
        <f>IF(OtherClients[[#This Row],[Re-certified or New]]&lt;&gt;"Re-certified",IF(OtherClients[[#This Row],[Client]]="infasco",VLOOKUP(OtherClients[[#This Row],[Part]],PartControl!$A$2:$E$564,2,FALSE),OtherClients[[#This Row],[Total Quantity]]*VLOOKUP(OtherClients[[#This Row],[Part]],PartControl!$A$2:$E$564,2,FALSE)),0)</f>
        <v>106.94</v>
      </c>
    </row>
    <row r="2572" spans="1:26" ht="25.15" hidden="1" customHeight="1" x14ac:dyDescent="0.25">
      <c r="A2572" s="112">
        <v>46269</v>
      </c>
      <c r="B2572" s="5" t="s">
        <v>343</v>
      </c>
      <c r="C2572" s="5" t="s">
        <v>916</v>
      </c>
      <c r="D2572" s="5">
        <v>716979</v>
      </c>
      <c r="E2572" s="33">
        <v>16</v>
      </c>
      <c r="F2572" s="60">
        <v>300</v>
      </c>
      <c r="G2572" s="60">
        <f>+OtherClients[[#This Row],[Boxes / Pieces]]*OtherClients[[#This Row],[Unit Quantity]]</f>
        <v>4800</v>
      </c>
      <c r="H2572" s="60" t="s">
        <v>899</v>
      </c>
      <c r="I2572" s="130" t="s">
        <v>278</v>
      </c>
      <c r="J2572" s="131"/>
      <c r="K2572" s="33" t="s">
        <v>278</v>
      </c>
      <c r="L2572" s="132"/>
      <c r="M2572" s="33" t="s">
        <v>278</v>
      </c>
      <c r="N2572" s="132"/>
      <c r="O2572" s="33" t="s">
        <v>278</v>
      </c>
      <c r="P2572" s="132"/>
      <c r="Q2572" s="33" t="s">
        <v>587</v>
      </c>
      <c r="R2572" s="132"/>
      <c r="S2572" s="33" t="s">
        <v>278</v>
      </c>
      <c r="T2572" s="132"/>
      <c r="U2572" s="33" t="s">
        <v>278</v>
      </c>
      <c r="V2572" s="132"/>
      <c r="W2572" s="59" t="s">
        <v>548</v>
      </c>
      <c r="X2572" s="33" t="str">
        <f>+VLOOKUP(OtherClients[[#This Row],[Part]],PartControl!$A$2:$E$564,5,FALSE)</f>
        <v>infasco</v>
      </c>
      <c r="Y2572" s="108">
        <f>IF(OtherClients[[#This Row],[Re-certified or New]]&lt;&gt;"Re-certified",IF(OtherClients[[#This Row],[Client]]="infasco",VLOOKUP(OtherClients[[#This Row],[Part]],PartControl!$A$2:$E$564,2,FALSE),OtherClients[[#This Row],[Total Quantity]]*VLOOKUP(OtherClients[[#This Row],[Part]],PartControl!$A$2:$E$564,2,FALSE)),0)</f>
        <v>106.94</v>
      </c>
      <c r="Z2572" s="108">
        <f>IF(OtherClients[[#This Row],[Re-certified or New]]&lt;&gt;"Re-certified",IF(OtherClients[[#This Row],[Client]]="infasco",VLOOKUP(OtherClients[[#This Row],[Part]],PartControl!$A$2:$E$564,2,FALSE),OtherClients[[#This Row],[Total Quantity]]*VLOOKUP(OtherClients[[#This Row],[Part]],PartControl!$A$2:$E$564,2,FALSE)),0)</f>
        <v>106.94</v>
      </c>
    </row>
    <row r="2573" spans="1:26" ht="25.15" hidden="1" customHeight="1" x14ac:dyDescent="0.25">
      <c r="A2573" s="112">
        <v>46269</v>
      </c>
      <c r="B2573" s="5" t="s">
        <v>343</v>
      </c>
      <c r="C2573" s="5">
        <v>11549204</v>
      </c>
      <c r="D2573" s="5">
        <v>716395</v>
      </c>
      <c r="E2573" s="33">
        <v>33</v>
      </c>
      <c r="F2573" s="60">
        <v>210</v>
      </c>
      <c r="G2573" s="60">
        <f>+OtherClients[[#This Row],[Boxes / Pieces]]*OtherClients[[#This Row],[Unit Quantity]]</f>
        <v>6930</v>
      </c>
      <c r="H2573" s="60" t="s">
        <v>899</v>
      </c>
      <c r="I2573" s="130" t="s">
        <v>278</v>
      </c>
      <c r="J2573" s="131"/>
      <c r="K2573" s="33" t="s">
        <v>278</v>
      </c>
      <c r="L2573" s="132"/>
      <c r="M2573" s="33" t="s">
        <v>278</v>
      </c>
      <c r="N2573" s="132"/>
      <c r="O2573" s="33" t="s">
        <v>278</v>
      </c>
      <c r="P2573" s="132"/>
      <c r="Q2573" s="33" t="s">
        <v>587</v>
      </c>
      <c r="R2573" s="132"/>
      <c r="S2573" s="33" t="s">
        <v>278</v>
      </c>
      <c r="T2573" s="132"/>
      <c r="U2573" s="33" t="s">
        <v>278</v>
      </c>
      <c r="V2573" s="132"/>
      <c r="W2573" s="59" t="s">
        <v>548</v>
      </c>
      <c r="X2573" s="33" t="str">
        <f>+VLOOKUP(OtherClients[[#This Row],[Part]],PartControl!$A$2:$E$564,5,FALSE)</f>
        <v>INFASCO</v>
      </c>
      <c r="Y2573" s="108">
        <f>IF(OtherClients[[#This Row],[Re-certified or New]]&lt;&gt;"Re-certified",IF(OtherClients[[#This Row],[Client]]="infasco",VLOOKUP(OtherClients[[#This Row],[Part]],PartControl!$A$2:$E$564,2,FALSE),OtherClients[[#This Row],[Total Quantity]]*VLOOKUP(OtherClients[[#This Row],[Part]],PartControl!$A$2:$E$564,2,FALSE)),0)</f>
        <v>106.94</v>
      </c>
      <c r="Z2573" s="108">
        <f>IF(OtherClients[[#This Row],[Re-certified or New]]&lt;&gt;"Re-certified",IF(OtherClients[[#This Row],[Client]]="infasco",VLOOKUP(OtherClients[[#This Row],[Part]],PartControl!$A$2:$E$564,2,FALSE),OtherClients[[#This Row],[Total Quantity]]*VLOOKUP(OtherClients[[#This Row],[Part]],PartControl!$A$2:$E$564,2,FALSE)),0)</f>
        <v>106.94</v>
      </c>
    </row>
    <row r="2574" spans="1:26" ht="25.15" hidden="1" customHeight="1" x14ac:dyDescent="0.25">
      <c r="A2574" s="112">
        <v>46269</v>
      </c>
      <c r="B2574" s="5" t="s">
        <v>344</v>
      </c>
      <c r="C2574" s="5" t="s">
        <v>691</v>
      </c>
      <c r="D2574" s="5">
        <v>714569</v>
      </c>
      <c r="E2574" s="33">
        <f>33-9</f>
        <v>24</v>
      </c>
      <c r="F2574" s="60">
        <v>1800</v>
      </c>
      <c r="G2574" s="60">
        <f>+OtherClients[[#This Row],[Boxes / Pieces]]*OtherClients[[#This Row],[Unit Quantity]]</f>
        <v>43200</v>
      </c>
      <c r="H2574" s="60" t="s">
        <v>816</v>
      </c>
      <c r="I2574" s="130" t="s">
        <v>278</v>
      </c>
      <c r="J2574" s="131"/>
      <c r="K2574" s="33" t="s">
        <v>278</v>
      </c>
      <c r="L2574" s="132"/>
      <c r="M2574" s="33" t="s">
        <v>278</v>
      </c>
      <c r="N2574" s="132"/>
      <c r="O2574" s="33" t="s">
        <v>278</v>
      </c>
      <c r="P2574" s="132"/>
      <c r="Q2574" s="33" t="s">
        <v>587</v>
      </c>
      <c r="R2574" s="132"/>
      <c r="S2574" s="33" t="s">
        <v>278</v>
      </c>
      <c r="T2574" s="132"/>
      <c r="U2574" s="33" t="s">
        <v>278</v>
      </c>
      <c r="V2574" s="132"/>
      <c r="W2574" s="59" t="s">
        <v>548</v>
      </c>
      <c r="X2574" s="33" t="str">
        <f>+VLOOKUP(OtherClients[[#This Row],[Part]],PartControl!$A$2:$E$564,5,FALSE)</f>
        <v>infasco</v>
      </c>
      <c r="Y2574" s="108">
        <f>IF(OtherClients[[#This Row],[Re-certified or New]]&lt;&gt;"Re-certified",IF(OtherClients[[#This Row],[Client]]="infasco",VLOOKUP(OtherClients[[#This Row],[Part]],PartControl!$A$2:$E$564,2,FALSE),OtherClients[[#This Row],[Total Quantity]]*VLOOKUP(OtherClients[[#This Row],[Part]],PartControl!$A$2:$E$564,2,FALSE)),0)</f>
        <v>106.94</v>
      </c>
      <c r="Z2574" s="108">
        <f>IF(OtherClients[[#This Row],[Re-certified or New]]&lt;&gt;"Re-certified",IF(OtherClients[[#This Row],[Client]]="infasco",VLOOKUP(OtherClients[[#This Row],[Part]],PartControl!$A$2:$E$564,2,FALSE),OtherClients[[#This Row],[Total Quantity]]*VLOOKUP(OtherClients[[#This Row],[Part]],PartControl!$A$2:$E$564,2,FALSE)),0)</f>
        <v>106.94</v>
      </c>
    </row>
    <row r="2575" spans="1:26" ht="25.15" hidden="1" customHeight="1" x14ac:dyDescent="0.25">
      <c r="A2575" s="112">
        <v>46269</v>
      </c>
      <c r="B2575" s="5" t="s">
        <v>344</v>
      </c>
      <c r="C2575" s="5" t="s">
        <v>824</v>
      </c>
      <c r="D2575" s="5">
        <v>717829</v>
      </c>
      <c r="E2575" s="33">
        <v>1</v>
      </c>
      <c r="F2575" s="60">
        <v>5270</v>
      </c>
      <c r="G2575" s="60">
        <f>+OtherClients[[#This Row],[Boxes / Pieces]]*OtherClients[[#This Row],[Unit Quantity]]</f>
        <v>5270</v>
      </c>
      <c r="H2575" s="60" t="s">
        <v>816</v>
      </c>
      <c r="I2575" s="130" t="s">
        <v>278</v>
      </c>
      <c r="J2575" s="131"/>
      <c r="K2575" s="33" t="s">
        <v>278</v>
      </c>
      <c r="L2575" s="132"/>
      <c r="M2575" s="33" t="s">
        <v>278</v>
      </c>
      <c r="N2575" s="132"/>
      <c r="O2575" s="33" t="s">
        <v>278</v>
      </c>
      <c r="P2575" s="132"/>
      <c r="Q2575" s="33" t="s">
        <v>587</v>
      </c>
      <c r="R2575" s="132"/>
      <c r="S2575" s="33" t="s">
        <v>278</v>
      </c>
      <c r="T2575" s="132"/>
      <c r="U2575" s="33" t="s">
        <v>278</v>
      </c>
      <c r="V2575" s="132"/>
      <c r="W2575" s="59" t="s">
        <v>548</v>
      </c>
      <c r="X2575" s="33" t="str">
        <f>+VLOOKUP(OtherClients[[#This Row],[Part]],PartControl!$A$2:$E$564,5,FALSE)</f>
        <v>Infasco</v>
      </c>
      <c r="Y2575" s="108">
        <f>IF(OtherClients[[#This Row],[Re-certified or New]]&lt;&gt;"Re-certified",IF(OtherClients[[#This Row],[Client]]="infasco",VLOOKUP(OtherClients[[#This Row],[Part]],PartControl!$A$2:$E$564,2,FALSE),OtherClients[[#This Row],[Total Quantity]]*VLOOKUP(OtherClients[[#This Row],[Part]],PartControl!$A$2:$E$564,2,FALSE)),0)</f>
        <v>129.44999999999999</v>
      </c>
      <c r="Z2575" s="108">
        <f>IF(OtherClients[[#This Row],[Re-certified or New]]&lt;&gt;"Re-certified",IF(OtherClients[[#This Row],[Client]]="infasco",VLOOKUP(OtherClients[[#This Row],[Part]],PartControl!$A$2:$E$564,2,FALSE),OtherClients[[#This Row],[Total Quantity]]*VLOOKUP(OtherClients[[#This Row],[Part]],PartControl!$A$2:$E$564,2,FALSE)),0)</f>
        <v>129.44999999999999</v>
      </c>
    </row>
    <row r="2576" spans="1:26" ht="25.15" hidden="1" customHeight="1" x14ac:dyDescent="0.25">
      <c r="A2576" s="112">
        <v>46269</v>
      </c>
      <c r="B2576" s="5" t="s">
        <v>344</v>
      </c>
      <c r="C2576" s="5">
        <v>11549204</v>
      </c>
      <c r="D2576" s="5">
        <v>716941</v>
      </c>
      <c r="E2576" s="33">
        <v>36</v>
      </c>
      <c r="F2576" s="60">
        <v>210</v>
      </c>
      <c r="G2576" s="60">
        <f>+OtherClients[[#This Row],[Boxes / Pieces]]*OtherClients[[#This Row],[Unit Quantity]]</f>
        <v>7560</v>
      </c>
      <c r="H2576" s="60" t="s">
        <v>816</v>
      </c>
      <c r="I2576" s="130" t="s">
        <v>278</v>
      </c>
      <c r="J2576" s="131"/>
      <c r="K2576" s="33" t="s">
        <v>278</v>
      </c>
      <c r="L2576" s="132"/>
      <c r="M2576" s="33" t="s">
        <v>278</v>
      </c>
      <c r="N2576" s="132"/>
      <c r="O2576" s="33" t="s">
        <v>278</v>
      </c>
      <c r="P2576" s="132"/>
      <c r="Q2576" s="33" t="s">
        <v>587</v>
      </c>
      <c r="R2576" s="132"/>
      <c r="S2576" s="33" t="s">
        <v>278</v>
      </c>
      <c r="T2576" s="132"/>
      <c r="U2576" s="33" t="s">
        <v>278</v>
      </c>
      <c r="V2576" s="132"/>
      <c r="W2576" s="59" t="s">
        <v>548</v>
      </c>
      <c r="X2576" s="33" t="str">
        <f>+VLOOKUP(OtherClients[[#This Row],[Part]],PartControl!$A$2:$E$564,5,FALSE)</f>
        <v>INFASCO</v>
      </c>
      <c r="Y2576" s="108">
        <f>IF(OtherClients[[#This Row],[Re-certified or New]]&lt;&gt;"Re-certified",IF(OtherClients[[#This Row],[Client]]="infasco",VLOOKUP(OtherClients[[#This Row],[Part]],PartControl!$A$2:$E$564,2,FALSE),OtherClients[[#This Row],[Total Quantity]]*VLOOKUP(OtherClients[[#This Row],[Part]],PartControl!$A$2:$E$564,2,FALSE)),0)</f>
        <v>106.94</v>
      </c>
      <c r="Z2576" s="108">
        <f>IF(OtherClients[[#This Row],[Re-certified or New]]&lt;&gt;"Re-certified",IF(OtherClients[[#This Row],[Client]]="infasco",VLOOKUP(OtherClients[[#This Row],[Part]],PartControl!$A$2:$E$564,2,FALSE),OtherClients[[#This Row],[Total Quantity]]*VLOOKUP(OtherClients[[#This Row],[Part]],PartControl!$A$2:$E$564,2,FALSE)),0)</f>
        <v>106.94</v>
      </c>
    </row>
    <row r="2577" spans="1:26" ht="25.15" hidden="1" customHeight="1" x14ac:dyDescent="0.25">
      <c r="A2577" s="112">
        <v>46269</v>
      </c>
      <c r="B2577" s="5" t="s">
        <v>344</v>
      </c>
      <c r="C2577" s="5">
        <v>11549204</v>
      </c>
      <c r="D2577" s="5">
        <v>717478</v>
      </c>
      <c r="E2577" s="33">
        <v>43</v>
      </c>
      <c r="F2577" s="60">
        <v>210</v>
      </c>
      <c r="G2577" s="60">
        <f>+OtherClients[[#This Row],[Boxes / Pieces]]*OtherClients[[#This Row],[Unit Quantity]]</f>
        <v>9030</v>
      </c>
      <c r="H2577" s="60" t="s">
        <v>816</v>
      </c>
      <c r="I2577" s="130" t="s">
        <v>278</v>
      </c>
      <c r="J2577" s="131"/>
      <c r="K2577" s="33" t="s">
        <v>278</v>
      </c>
      <c r="L2577" s="132"/>
      <c r="M2577" s="33" t="s">
        <v>278</v>
      </c>
      <c r="N2577" s="132"/>
      <c r="O2577" s="33" t="s">
        <v>278</v>
      </c>
      <c r="P2577" s="132"/>
      <c r="Q2577" s="33" t="s">
        <v>587</v>
      </c>
      <c r="R2577" s="132"/>
      <c r="S2577" s="33" t="s">
        <v>278</v>
      </c>
      <c r="T2577" s="132"/>
      <c r="U2577" s="33" t="s">
        <v>278</v>
      </c>
      <c r="V2577" s="132"/>
      <c r="W2577" s="59" t="s">
        <v>548</v>
      </c>
      <c r="X2577" s="33" t="str">
        <f>+VLOOKUP(OtherClients[[#This Row],[Part]],PartControl!$A$2:$E$564,5,FALSE)</f>
        <v>INFASCO</v>
      </c>
      <c r="Y2577" s="108">
        <f>IF(OtherClients[[#This Row],[Re-certified or New]]&lt;&gt;"Re-certified",IF(OtherClients[[#This Row],[Client]]="infasco",VLOOKUP(OtherClients[[#This Row],[Part]],PartControl!$A$2:$E$564,2,FALSE),OtherClients[[#This Row],[Total Quantity]]*VLOOKUP(OtherClients[[#This Row],[Part]],PartControl!$A$2:$E$564,2,FALSE)),0)</f>
        <v>106.94</v>
      </c>
      <c r="Z2577" s="108">
        <f>IF(OtherClients[[#This Row],[Re-certified or New]]&lt;&gt;"Re-certified",IF(OtherClients[[#This Row],[Client]]="infasco",VLOOKUP(OtherClients[[#This Row],[Part]],PartControl!$A$2:$E$564,2,FALSE),OtherClients[[#This Row],[Total Quantity]]*VLOOKUP(OtherClients[[#This Row],[Part]],PartControl!$A$2:$E$564,2,FALSE)),0)</f>
        <v>106.94</v>
      </c>
    </row>
    <row r="2578" spans="1:26" ht="25.15" hidden="1" customHeight="1" x14ac:dyDescent="0.25">
      <c r="A2578" s="112">
        <v>46269</v>
      </c>
      <c r="B2578" s="5" t="s">
        <v>344</v>
      </c>
      <c r="C2578" s="5" t="s">
        <v>916</v>
      </c>
      <c r="D2578" s="5">
        <v>716973</v>
      </c>
      <c r="E2578" s="33">
        <v>34</v>
      </c>
      <c r="F2578" s="60">
        <v>300</v>
      </c>
      <c r="G2578" s="60">
        <f>+OtherClients[[#This Row],[Boxes / Pieces]]*OtherClients[[#This Row],[Unit Quantity]]</f>
        <v>10200</v>
      </c>
      <c r="H2578" s="60" t="s">
        <v>816</v>
      </c>
      <c r="I2578" s="130" t="s">
        <v>278</v>
      </c>
      <c r="J2578" s="131"/>
      <c r="K2578" s="33" t="s">
        <v>278</v>
      </c>
      <c r="L2578" s="132"/>
      <c r="M2578" s="33" t="s">
        <v>278</v>
      </c>
      <c r="N2578" s="132"/>
      <c r="O2578" s="33" t="s">
        <v>278</v>
      </c>
      <c r="P2578" s="132"/>
      <c r="Q2578" s="33" t="s">
        <v>587</v>
      </c>
      <c r="R2578" s="132"/>
      <c r="S2578" s="33" t="s">
        <v>278</v>
      </c>
      <c r="T2578" s="132"/>
      <c r="U2578" s="33" t="s">
        <v>278</v>
      </c>
      <c r="V2578" s="132"/>
      <c r="W2578" s="59" t="s">
        <v>548</v>
      </c>
      <c r="X2578" s="33" t="str">
        <f>+VLOOKUP(OtherClients[[#This Row],[Part]],PartControl!$A$2:$E$564,5,FALSE)</f>
        <v>infasco</v>
      </c>
      <c r="Y2578" s="108">
        <f>IF(OtherClients[[#This Row],[Re-certified or New]]&lt;&gt;"Re-certified",IF(OtherClients[[#This Row],[Client]]="infasco",VLOOKUP(OtherClients[[#This Row],[Part]],PartControl!$A$2:$E$564,2,FALSE),OtherClients[[#This Row],[Total Quantity]]*VLOOKUP(OtherClients[[#This Row],[Part]],PartControl!$A$2:$E$564,2,FALSE)),0)</f>
        <v>106.94</v>
      </c>
      <c r="Z2578" s="108">
        <f>IF(OtherClients[[#This Row],[Re-certified or New]]&lt;&gt;"Re-certified",IF(OtherClients[[#This Row],[Client]]="infasco",VLOOKUP(OtherClients[[#This Row],[Part]],PartControl!$A$2:$E$564,2,FALSE),OtherClients[[#This Row],[Total Quantity]]*VLOOKUP(OtherClients[[#This Row],[Part]],PartControl!$A$2:$E$564,2,FALSE)),0)</f>
        <v>106.94</v>
      </c>
    </row>
    <row r="2579" spans="1:26" ht="25.15" hidden="1" customHeight="1" x14ac:dyDescent="0.25">
      <c r="A2579" s="112">
        <v>46269</v>
      </c>
      <c r="B2579" s="5" t="s">
        <v>344</v>
      </c>
      <c r="C2579" s="5" t="s">
        <v>915</v>
      </c>
      <c r="D2579" s="5">
        <v>716605</v>
      </c>
      <c r="E2579" s="33">
        <v>30</v>
      </c>
      <c r="F2579" s="60">
        <v>1250</v>
      </c>
      <c r="G2579" s="60">
        <f>+OtherClients[[#This Row],[Boxes / Pieces]]*OtherClients[[#This Row],[Unit Quantity]]</f>
        <v>37500</v>
      </c>
      <c r="H2579" s="60" t="s">
        <v>816</v>
      </c>
      <c r="I2579" s="130" t="s">
        <v>278</v>
      </c>
      <c r="J2579" s="131"/>
      <c r="K2579" s="33" t="s">
        <v>278</v>
      </c>
      <c r="L2579" s="132"/>
      <c r="M2579" s="33" t="s">
        <v>278</v>
      </c>
      <c r="N2579" s="132"/>
      <c r="O2579" s="33" t="s">
        <v>278</v>
      </c>
      <c r="P2579" s="132"/>
      <c r="Q2579" s="33" t="s">
        <v>587</v>
      </c>
      <c r="R2579" s="132"/>
      <c r="S2579" s="33" t="s">
        <v>278</v>
      </c>
      <c r="T2579" s="132"/>
      <c r="U2579" s="33" t="s">
        <v>278</v>
      </c>
      <c r="V2579" s="132"/>
      <c r="W2579" s="59" t="s">
        <v>633</v>
      </c>
      <c r="X2579" s="33" t="e">
        <f>+VLOOKUP(OtherClients[[#This Row],[Part]],PartControl!$A$2:$E$564,5,FALSE)</f>
        <v>#N/A</v>
      </c>
      <c r="Y2579" s="108">
        <f>IF(OtherClients[[#This Row],[Re-certified or New]]&lt;&gt;"Re-certified",IF(OtherClients[[#This Row],[Client]]="infasco",VLOOKUP(OtherClients[[#This Row],[Part]],PartControl!$A$2:$E$564,2,FALSE),OtherClients[[#This Row],[Total Quantity]]*VLOOKUP(OtherClients[[#This Row],[Part]],PartControl!$A$2:$E$564,2,FALSE)),0)</f>
        <v>0</v>
      </c>
      <c r="Z2579" s="108">
        <f>IF(OtherClients[[#This Row],[Re-certified or New]]&lt;&gt;"Re-certified",IF(OtherClients[[#This Row],[Client]]="infasco",VLOOKUP(OtherClients[[#This Row],[Part]],PartControl!$A$2:$E$564,2,FALSE),OtherClients[[#This Row],[Total Quantity]]*VLOOKUP(OtherClients[[#This Row],[Part]],PartControl!$A$2:$E$564,2,FALSE)),0)</f>
        <v>0</v>
      </c>
    </row>
    <row r="2580" spans="1:26" ht="25.15" hidden="1" customHeight="1" x14ac:dyDescent="0.25">
      <c r="A2580" s="112">
        <v>46269</v>
      </c>
      <c r="B2580" s="5" t="s">
        <v>345</v>
      </c>
      <c r="C2580" s="5" t="s">
        <v>650</v>
      </c>
      <c r="D2580" s="5">
        <v>717493</v>
      </c>
      <c r="E2580" s="33">
        <v>33</v>
      </c>
      <c r="F2580" s="60">
        <v>380</v>
      </c>
      <c r="G2580" s="60">
        <f>+OtherClients[[#This Row],[Boxes / Pieces]]*OtherClients[[#This Row],[Unit Quantity]]</f>
        <v>12540</v>
      </c>
      <c r="H2580" s="60" t="s">
        <v>896</v>
      </c>
      <c r="I2580" s="130" t="s">
        <v>278</v>
      </c>
      <c r="J2580" s="131"/>
      <c r="K2580" s="33" t="s">
        <v>278</v>
      </c>
      <c r="L2580" s="132"/>
      <c r="M2580" s="33" t="s">
        <v>278</v>
      </c>
      <c r="N2580" s="132"/>
      <c r="O2580" s="33" t="s">
        <v>278</v>
      </c>
      <c r="P2580" s="132"/>
      <c r="Q2580" s="33" t="s">
        <v>587</v>
      </c>
      <c r="R2580" s="132"/>
      <c r="S2580" s="33" t="s">
        <v>278</v>
      </c>
      <c r="T2580" s="132"/>
      <c r="U2580" s="33" t="s">
        <v>278</v>
      </c>
      <c r="V2580" s="132"/>
      <c r="W2580" s="59" t="s">
        <v>548</v>
      </c>
      <c r="X2580" s="33" t="str">
        <f>+VLOOKUP(OtherClients[[#This Row],[Part]],PartControl!$A$2:$E$564,5,FALSE)</f>
        <v>infasco</v>
      </c>
      <c r="Y2580" s="108">
        <f>IF(OtherClients[[#This Row],[Re-certified or New]]&lt;&gt;"Re-certified",IF(OtherClients[[#This Row],[Client]]="infasco",VLOOKUP(OtherClients[[#This Row],[Part]],PartControl!$A$2:$E$564,2,FALSE),OtherClients[[#This Row],[Total Quantity]]*VLOOKUP(OtherClients[[#This Row],[Part]],PartControl!$A$2:$E$564,2,FALSE)),0)</f>
        <v>135.07999999999998</v>
      </c>
      <c r="Z2580" s="108">
        <f>IF(OtherClients[[#This Row],[Re-certified or New]]&lt;&gt;"Re-certified",IF(OtherClients[[#This Row],[Client]]="infasco",VLOOKUP(OtherClients[[#This Row],[Part]],PartControl!$A$2:$E$564,2,FALSE),OtherClients[[#This Row],[Total Quantity]]*VLOOKUP(OtherClients[[#This Row],[Part]],PartControl!$A$2:$E$564,2,FALSE)),0)</f>
        <v>135.07999999999998</v>
      </c>
    </row>
    <row r="2581" spans="1:26" ht="25.15" hidden="1" customHeight="1" x14ac:dyDescent="0.25">
      <c r="A2581" s="112">
        <v>46269</v>
      </c>
      <c r="B2581" s="5" t="s">
        <v>345</v>
      </c>
      <c r="C2581" s="5" t="s">
        <v>908</v>
      </c>
      <c r="D2581" s="5">
        <v>711387</v>
      </c>
      <c r="E2581" s="33">
        <v>6</v>
      </c>
      <c r="F2581" s="60">
        <v>180</v>
      </c>
      <c r="G2581" s="60">
        <f>+OtherClients[[#This Row],[Boxes / Pieces]]*OtherClients[[#This Row],[Unit Quantity]]</f>
        <v>1080</v>
      </c>
      <c r="H2581" s="60" t="s">
        <v>896</v>
      </c>
      <c r="I2581" s="130" t="s">
        <v>278</v>
      </c>
      <c r="J2581" s="131"/>
      <c r="K2581" s="33" t="s">
        <v>278</v>
      </c>
      <c r="L2581" s="132"/>
      <c r="M2581" s="33" t="s">
        <v>278</v>
      </c>
      <c r="N2581" s="132"/>
      <c r="O2581" s="33" t="s">
        <v>278</v>
      </c>
      <c r="P2581" s="132"/>
      <c r="Q2581" s="33" t="s">
        <v>587</v>
      </c>
      <c r="R2581" s="132"/>
      <c r="S2581" s="33" t="s">
        <v>278</v>
      </c>
      <c r="T2581" s="132"/>
      <c r="U2581" s="33" t="s">
        <v>278</v>
      </c>
      <c r="V2581" s="132"/>
      <c r="W2581" s="59" t="s">
        <v>548</v>
      </c>
      <c r="X2581" s="33" t="str">
        <f>+VLOOKUP(OtherClients[[#This Row],[Part]],PartControl!$A$2:$E$564,5,FALSE)</f>
        <v>infasco</v>
      </c>
      <c r="Y2581" s="108">
        <f>IF(OtherClients[[#This Row],[Re-certified or New]]&lt;&gt;"Re-certified",IF(OtherClients[[#This Row],[Client]]="infasco",VLOOKUP(OtherClients[[#This Row],[Part]],PartControl!$A$2:$E$564,2,FALSE),OtherClients[[#This Row],[Total Quantity]]*VLOOKUP(OtherClients[[#This Row],[Part]],PartControl!$A$2:$E$564,2,FALSE)),0)</f>
        <v>270.16000000000003</v>
      </c>
      <c r="Z2581" s="108">
        <f>IF(OtherClients[[#This Row],[Re-certified or New]]&lt;&gt;"Re-certified",IF(OtherClients[[#This Row],[Client]]="infasco",VLOOKUP(OtherClients[[#This Row],[Part]],PartControl!$A$2:$E$564,2,FALSE),OtherClients[[#This Row],[Total Quantity]]*VLOOKUP(OtherClients[[#This Row],[Part]],PartControl!$A$2:$E$564,2,FALSE)),0)</f>
        <v>270.16000000000003</v>
      </c>
    </row>
    <row r="2582" spans="1:26" ht="25.15" hidden="1" customHeight="1" x14ac:dyDescent="0.25">
      <c r="A2582" s="112">
        <v>46269</v>
      </c>
      <c r="B2582" s="5" t="s">
        <v>345</v>
      </c>
      <c r="C2582" s="5" t="s">
        <v>720</v>
      </c>
      <c r="D2582" s="5">
        <v>713048</v>
      </c>
      <c r="E2582" s="33">
        <v>24</v>
      </c>
      <c r="F2582" s="60">
        <v>200</v>
      </c>
      <c r="G2582" s="60">
        <f>+OtherClients[[#This Row],[Boxes / Pieces]]*OtherClients[[#This Row],[Unit Quantity]]</f>
        <v>4800</v>
      </c>
      <c r="H2582" s="60" t="s">
        <v>896</v>
      </c>
      <c r="I2582" s="130" t="s">
        <v>278</v>
      </c>
      <c r="J2582" s="131"/>
      <c r="K2582" s="33" t="s">
        <v>278</v>
      </c>
      <c r="L2582" s="132"/>
      <c r="M2582" s="33" t="s">
        <v>278</v>
      </c>
      <c r="N2582" s="132"/>
      <c r="O2582" s="33" t="s">
        <v>278</v>
      </c>
      <c r="P2582" s="132"/>
      <c r="Q2582" s="33" t="s">
        <v>587</v>
      </c>
      <c r="R2582" s="132"/>
      <c r="S2582" s="33" t="s">
        <v>278</v>
      </c>
      <c r="T2582" s="132"/>
      <c r="U2582" s="33" t="s">
        <v>278</v>
      </c>
      <c r="V2582" s="132"/>
      <c r="W2582" s="59" t="s">
        <v>548</v>
      </c>
      <c r="X2582" s="33" t="str">
        <f>+VLOOKUP(OtherClients[[#This Row],[Part]],PartControl!$A$2:$E$564,5,FALSE)</f>
        <v>infasco</v>
      </c>
      <c r="Y2582" s="108">
        <f>IF(OtherClients[[#This Row],[Re-certified or New]]&lt;&gt;"Re-certified",IF(OtherClients[[#This Row],[Client]]="infasco",VLOOKUP(OtherClients[[#This Row],[Part]],PartControl!$A$2:$E$564,2,FALSE),OtherClients[[#This Row],[Total Quantity]]*VLOOKUP(OtherClients[[#This Row],[Part]],PartControl!$A$2:$E$564,2,FALSE)),0)</f>
        <v>129.44999999999999</v>
      </c>
      <c r="Z2582" s="108">
        <f>IF(OtherClients[[#This Row],[Re-certified or New]]&lt;&gt;"Re-certified",IF(OtherClients[[#This Row],[Client]]="infasco",VLOOKUP(OtherClients[[#This Row],[Part]],PartControl!$A$2:$E$564,2,FALSE),OtherClients[[#This Row],[Total Quantity]]*VLOOKUP(OtherClients[[#This Row],[Part]],PartControl!$A$2:$E$564,2,FALSE)),0)</f>
        <v>129.44999999999999</v>
      </c>
    </row>
    <row r="2583" spans="1:26" ht="25.15" hidden="1" customHeight="1" x14ac:dyDescent="0.25">
      <c r="A2583" s="112">
        <v>46269</v>
      </c>
      <c r="B2583" s="5" t="s">
        <v>345</v>
      </c>
      <c r="C2583" s="5" t="s">
        <v>720</v>
      </c>
      <c r="D2583" s="5">
        <v>714252</v>
      </c>
      <c r="E2583" s="33">
        <v>24</v>
      </c>
      <c r="F2583" s="60">
        <v>200</v>
      </c>
      <c r="G2583" s="60">
        <f>+OtherClients[[#This Row],[Boxes / Pieces]]*OtherClients[[#This Row],[Unit Quantity]]</f>
        <v>4800</v>
      </c>
      <c r="H2583" s="60" t="s">
        <v>896</v>
      </c>
      <c r="I2583" s="130" t="s">
        <v>278</v>
      </c>
      <c r="J2583" s="131"/>
      <c r="K2583" s="33" t="s">
        <v>278</v>
      </c>
      <c r="L2583" s="132"/>
      <c r="M2583" s="33" t="s">
        <v>278</v>
      </c>
      <c r="N2583" s="132"/>
      <c r="O2583" s="33" t="s">
        <v>278</v>
      </c>
      <c r="P2583" s="132"/>
      <c r="Q2583" s="33" t="s">
        <v>587</v>
      </c>
      <c r="R2583" s="132"/>
      <c r="S2583" s="33" t="s">
        <v>278</v>
      </c>
      <c r="T2583" s="132"/>
      <c r="U2583" s="33" t="s">
        <v>278</v>
      </c>
      <c r="V2583" s="132"/>
      <c r="W2583" s="59" t="s">
        <v>548</v>
      </c>
      <c r="X2583" s="33" t="str">
        <f>+VLOOKUP(OtherClients[[#This Row],[Part]],PartControl!$A$2:$E$564,5,FALSE)</f>
        <v>infasco</v>
      </c>
      <c r="Y2583" s="108">
        <f>IF(OtherClients[[#This Row],[Re-certified or New]]&lt;&gt;"Re-certified",IF(OtherClients[[#This Row],[Client]]="infasco",VLOOKUP(OtherClients[[#This Row],[Part]],PartControl!$A$2:$E$564,2,FALSE),OtherClients[[#This Row],[Total Quantity]]*VLOOKUP(OtherClients[[#This Row],[Part]],PartControl!$A$2:$E$564,2,FALSE)),0)</f>
        <v>129.44999999999999</v>
      </c>
      <c r="Z2583" s="108">
        <f>IF(OtherClients[[#This Row],[Re-certified or New]]&lt;&gt;"Re-certified",IF(OtherClients[[#This Row],[Client]]="infasco",VLOOKUP(OtherClients[[#This Row],[Part]],PartControl!$A$2:$E$564,2,FALSE),OtherClients[[#This Row],[Total Quantity]]*VLOOKUP(OtherClients[[#This Row],[Part]],PartControl!$A$2:$E$564,2,FALSE)),0)</f>
        <v>129.44999999999999</v>
      </c>
    </row>
    <row r="2584" spans="1:26" ht="25.15" hidden="1" customHeight="1" x14ac:dyDescent="0.25">
      <c r="A2584" s="112">
        <v>46269</v>
      </c>
      <c r="B2584" s="5" t="s">
        <v>345</v>
      </c>
      <c r="C2584" s="5" t="s">
        <v>824</v>
      </c>
      <c r="D2584" s="5">
        <v>717822</v>
      </c>
      <c r="E2584" s="33">
        <v>1</v>
      </c>
      <c r="F2584" s="60">
        <v>4700</v>
      </c>
      <c r="G2584" s="60">
        <f>+OtherClients[[#This Row],[Boxes / Pieces]]*OtherClients[[#This Row],[Unit Quantity]]</f>
        <v>4700</v>
      </c>
      <c r="H2584" s="60" t="s">
        <v>896</v>
      </c>
      <c r="I2584" s="130" t="s">
        <v>278</v>
      </c>
      <c r="J2584" s="131"/>
      <c r="K2584" s="33" t="s">
        <v>278</v>
      </c>
      <c r="L2584" s="132"/>
      <c r="M2584" s="33" t="s">
        <v>278</v>
      </c>
      <c r="N2584" s="132"/>
      <c r="O2584" s="33" t="s">
        <v>278</v>
      </c>
      <c r="P2584" s="132"/>
      <c r="Q2584" s="33" t="s">
        <v>587</v>
      </c>
      <c r="R2584" s="132"/>
      <c r="S2584" s="33" t="s">
        <v>278</v>
      </c>
      <c r="T2584" s="132"/>
      <c r="U2584" s="33" t="s">
        <v>278</v>
      </c>
      <c r="V2584" s="132"/>
      <c r="W2584" s="59" t="s">
        <v>548</v>
      </c>
      <c r="X2584" s="33" t="str">
        <f>+VLOOKUP(OtherClients[[#This Row],[Part]],PartControl!$A$2:$E$564,5,FALSE)</f>
        <v>Infasco</v>
      </c>
      <c r="Y2584" s="108">
        <f>IF(OtherClients[[#This Row],[Re-certified or New]]&lt;&gt;"Re-certified",IF(OtherClients[[#This Row],[Client]]="infasco",VLOOKUP(OtherClients[[#This Row],[Part]],PartControl!$A$2:$E$564,2,FALSE),OtherClients[[#This Row],[Total Quantity]]*VLOOKUP(OtherClients[[#This Row],[Part]],PartControl!$A$2:$E$564,2,FALSE)),0)</f>
        <v>129.44999999999999</v>
      </c>
      <c r="Z2584" s="108">
        <f>IF(OtherClients[[#This Row],[Re-certified or New]]&lt;&gt;"Re-certified",IF(OtherClients[[#This Row],[Client]]="infasco",VLOOKUP(OtherClients[[#This Row],[Part]],PartControl!$A$2:$E$564,2,FALSE),OtherClients[[#This Row],[Total Quantity]]*VLOOKUP(OtherClients[[#This Row],[Part]],PartControl!$A$2:$E$564,2,FALSE)),0)</f>
        <v>129.44999999999999</v>
      </c>
    </row>
    <row r="2585" spans="1:26" ht="25.15" hidden="1" customHeight="1" x14ac:dyDescent="0.25">
      <c r="A2585" s="112">
        <v>46269</v>
      </c>
      <c r="B2585" s="5" t="s">
        <v>345</v>
      </c>
      <c r="C2585" s="5" t="s">
        <v>824</v>
      </c>
      <c r="D2585" s="5">
        <v>717826</v>
      </c>
      <c r="E2585" s="33">
        <v>1</v>
      </c>
      <c r="F2585" s="60">
        <v>4700</v>
      </c>
      <c r="G2585" s="60">
        <f>+OtherClients[[#This Row],[Boxes / Pieces]]*OtherClients[[#This Row],[Unit Quantity]]</f>
        <v>4700</v>
      </c>
      <c r="H2585" s="60" t="s">
        <v>896</v>
      </c>
      <c r="I2585" s="130" t="s">
        <v>278</v>
      </c>
      <c r="J2585" s="131"/>
      <c r="K2585" s="33" t="s">
        <v>278</v>
      </c>
      <c r="L2585" s="132"/>
      <c r="M2585" s="33" t="s">
        <v>278</v>
      </c>
      <c r="N2585" s="132"/>
      <c r="O2585" s="33" t="s">
        <v>278</v>
      </c>
      <c r="P2585" s="132"/>
      <c r="Q2585" s="33" t="s">
        <v>587</v>
      </c>
      <c r="R2585" s="132"/>
      <c r="S2585" s="33" t="s">
        <v>278</v>
      </c>
      <c r="T2585" s="132"/>
      <c r="U2585" s="33" t="s">
        <v>278</v>
      </c>
      <c r="V2585" s="132"/>
      <c r="W2585" s="59" t="s">
        <v>548</v>
      </c>
      <c r="X2585" s="33" t="str">
        <f>+VLOOKUP(OtherClients[[#This Row],[Part]],PartControl!$A$2:$E$564,5,FALSE)</f>
        <v>Infasco</v>
      </c>
      <c r="Y2585" s="108">
        <f>IF(OtherClients[[#This Row],[Re-certified or New]]&lt;&gt;"Re-certified",IF(OtherClients[[#This Row],[Client]]="infasco",VLOOKUP(OtherClients[[#This Row],[Part]],PartControl!$A$2:$E$564,2,FALSE),OtherClients[[#This Row],[Total Quantity]]*VLOOKUP(OtherClients[[#This Row],[Part]],PartControl!$A$2:$E$564,2,FALSE)),0)</f>
        <v>129.44999999999999</v>
      </c>
      <c r="Z2585" s="108">
        <f>IF(OtherClients[[#This Row],[Re-certified or New]]&lt;&gt;"Re-certified",IF(OtherClients[[#This Row],[Client]]="infasco",VLOOKUP(OtherClients[[#This Row],[Part]],PartControl!$A$2:$E$564,2,FALSE),OtherClients[[#This Row],[Total Quantity]]*VLOOKUP(OtherClients[[#This Row],[Part]],PartControl!$A$2:$E$564,2,FALSE)),0)</f>
        <v>129.44999999999999</v>
      </c>
    </row>
    <row r="2586" spans="1:26" ht="25.15" hidden="1" customHeight="1" x14ac:dyDescent="0.25">
      <c r="A2586" s="112">
        <v>46269</v>
      </c>
      <c r="B2586" s="5" t="s">
        <v>345</v>
      </c>
      <c r="C2586" s="5" t="s">
        <v>824</v>
      </c>
      <c r="D2586" s="5">
        <v>717824</v>
      </c>
      <c r="E2586" s="33">
        <v>1</v>
      </c>
      <c r="F2586" s="60">
        <v>4700</v>
      </c>
      <c r="G2586" s="60">
        <f>+OtherClients[[#This Row],[Boxes / Pieces]]*OtherClients[[#This Row],[Unit Quantity]]</f>
        <v>4700</v>
      </c>
      <c r="H2586" s="60" t="s">
        <v>896</v>
      </c>
      <c r="I2586" s="130" t="s">
        <v>278</v>
      </c>
      <c r="J2586" s="131"/>
      <c r="K2586" s="33" t="s">
        <v>278</v>
      </c>
      <c r="L2586" s="132"/>
      <c r="M2586" s="33" t="s">
        <v>278</v>
      </c>
      <c r="N2586" s="132"/>
      <c r="O2586" s="33" t="s">
        <v>278</v>
      </c>
      <c r="P2586" s="132"/>
      <c r="Q2586" s="33" t="s">
        <v>587</v>
      </c>
      <c r="R2586" s="132"/>
      <c r="S2586" s="33" t="s">
        <v>278</v>
      </c>
      <c r="T2586" s="132"/>
      <c r="U2586" s="33" t="s">
        <v>278</v>
      </c>
      <c r="V2586" s="132"/>
      <c r="W2586" s="59" t="s">
        <v>548</v>
      </c>
      <c r="X2586" s="33" t="str">
        <f>+VLOOKUP(OtherClients[[#This Row],[Part]],PartControl!$A$2:$E$564,5,FALSE)</f>
        <v>Infasco</v>
      </c>
      <c r="Y2586" s="108">
        <f>IF(OtherClients[[#This Row],[Re-certified or New]]&lt;&gt;"Re-certified",IF(OtherClients[[#This Row],[Client]]="infasco",VLOOKUP(OtherClients[[#This Row],[Part]],PartControl!$A$2:$E$564,2,FALSE),OtherClients[[#This Row],[Total Quantity]]*VLOOKUP(OtherClients[[#This Row],[Part]],PartControl!$A$2:$E$564,2,FALSE)),0)</f>
        <v>129.44999999999999</v>
      </c>
      <c r="Z2586" s="108">
        <f>IF(OtherClients[[#This Row],[Re-certified or New]]&lt;&gt;"Re-certified",IF(OtherClients[[#This Row],[Client]]="infasco",VLOOKUP(OtherClients[[#This Row],[Part]],PartControl!$A$2:$E$564,2,FALSE),OtherClients[[#This Row],[Total Quantity]]*VLOOKUP(OtherClients[[#This Row],[Part]],PartControl!$A$2:$E$564,2,FALSE)),0)</f>
        <v>129.44999999999999</v>
      </c>
    </row>
    <row r="2587" spans="1:26" ht="25.15" hidden="1" customHeight="1" x14ac:dyDescent="0.25">
      <c r="A2587" s="112">
        <v>46269</v>
      </c>
      <c r="B2587" s="5" t="s">
        <v>345</v>
      </c>
      <c r="C2587" s="5" t="s">
        <v>824</v>
      </c>
      <c r="D2587" s="5">
        <v>717831</v>
      </c>
      <c r="E2587" s="33">
        <v>1</v>
      </c>
      <c r="F2587" s="60">
        <v>5900</v>
      </c>
      <c r="G2587" s="60">
        <f>+OtherClients[[#This Row],[Boxes / Pieces]]*OtherClients[[#This Row],[Unit Quantity]]</f>
        <v>5900</v>
      </c>
      <c r="H2587" s="60" t="s">
        <v>896</v>
      </c>
      <c r="I2587" s="130" t="s">
        <v>278</v>
      </c>
      <c r="J2587" s="131"/>
      <c r="K2587" s="33" t="s">
        <v>278</v>
      </c>
      <c r="L2587" s="132"/>
      <c r="M2587" s="33" t="s">
        <v>278</v>
      </c>
      <c r="N2587" s="132"/>
      <c r="O2587" s="33" t="s">
        <v>278</v>
      </c>
      <c r="P2587" s="132"/>
      <c r="Q2587" s="33" t="s">
        <v>587</v>
      </c>
      <c r="R2587" s="132"/>
      <c r="S2587" s="33" t="s">
        <v>278</v>
      </c>
      <c r="T2587" s="132"/>
      <c r="U2587" s="33" t="s">
        <v>278</v>
      </c>
      <c r="V2587" s="132"/>
      <c r="W2587" s="59" t="s">
        <v>548</v>
      </c>
      <c r="X2587" s="33" t="str">
        <f>+VLOOKUP(OtherClients[[#This Row],[Part]],PartControl!$A$2:$E$564,5,FALSE)</f>
        <v>Infasco</v>
      </c>
      <c r="Y2587" s="108">
        <f>IF(OtherClients[[#This Row],[Re-certified or New]]&lt;&gt;"Re-certified",IF(OtherClients[[#This Row],[Client]]="infasco",VLOOKUP(OtherClients[[#This Row],[Part]],PartControl!$A$2:$E$564,2,FALSE),OtherClients[[#This Row],[Total Quantity]]*VLOOKUP(OtherClients[[#This Row],[Part]],PartControl!$A$2:$E$564,2,FALSE)),0)</f>
        <v>129.44999999999999</v>
      </c>
      <c r="Z2587" s="108">
        <f>IF(OtherClients[[#This Row],[Re-certified or New]]&lt;&gt;"Re-certified",IF(OtherClients[[#This Row],[Client]]="infasco",VLOOKUP(OtherClients[[#This Row],[Part]],PartControl!$A$2:$E$564,2,FALSE),OtherClients[[#This Row],[Total Quantity]]*VLOOKUP(OtherClients[[#This Row],[Part]],PartControl!$A$2:$E$564,2,FALSE)),0)</f>
        <v>129.44999999999999</v>
      </c>
    </row>
    <row r="2588" spans="1:26" ht="25.15" hidden="1" customHeight="1" x14ac:dyDescent="0.25">
      <c r="A2588" s="112">
        <v>46269</v>
      </c>
      <c r="B2588" s="5" t="s">
        <v>345</v>
      </c>
      <c r="C2588" s="5">
        <v>11549204</v>
      </c>
      <c r="D2588" s="5">
        <v>717552</v>
      </c>
      <c r="E2588" s="33">
        <v>36</v>
      </c>
      <c r="F2588" s="60">
        <v>210</v>
      </c>
      <c r="G2588" s="60">
        <f>+OtherClients[[#This Row],[Boxes / Pieces]]*OtherClients[[#This Row],[Unit Quantity]]</f>
        <v>7560</v>
      </c>
      <c r="H2588" s="60" t="s">
        <v>896</v>
      </c>
      <c r="I2588" s="130" t="s">
        <v>278</v>
      </c>
      <c r="J2588" s="131"/>
      <c r="K2588" s="33" t="s">
        <v>278</v>
      </c>
      <c r="L2588" s="132"/>
      <c r="M2588" s="33" t="s">
        <v>278</v>
      </c>
      <c r="N2588" s="132"/>
      <c r="O2588" s="33" t="s">
        <v>278</v>
      </c>
      <c r="P2588" s="132"/>
      <c r="Q2588" s="33" t="s">
        <v>587</v>
      </c>
      <c r="R2588" s="132"/>
      <c r="S2588" s="33" t="s">
        <v>278</v>
      </c>
      <c r="T2588" s="132"/>
      <c r="U2588" s="33" t="s">
        <v>278</v>
      </c>
      <c r="V2588" s="132"/>
      <c r="W2588" s="59" t="s">
        <v>548</v>
      </c>
      <c r="X2588" s="33" t="str">
        <f>+VLOOKUP(OtherClients[[#This Row],[Part]],PartControl!$A$2:$E$564,5,FALSE)</f>
        <v>INFASCO</v>
      </c>
      <c r="Y2588" s="108">
        <f>IF(OtherClients[[#This Row],[Re-certified or New]]&lt;&gt;"Re-certified",IF(OtherClients[[#This Row],[Client]]="infasco",VLOOKUP(OtherClients[[#This Row],[Part]],PartControl!$A$2:$E$564,2,FALSE),OtherClients[[#This Row],[Total Quantity]]*VLOOKUP(OtherClients[[#This Row],[Part]],PartControl!$A$2:$E$564,2,FALSE)),0)</f>
        <v>106.94</v>
      </c>
      <c r="Z2588" s="108">
        <f>IF(OtherClients[[#This Row],[Re-certified or New]]&lt;&gt;"Re-certified",IF(OtherClients[[#This Row],[Client]]="infasco",VLOOKUP(OtherClients[[#This Row],[Part]],PartControl!$A$2:$E$564,2,FALSE),OtherClients[[#This Row],[Total Quantity]]*VLOOKUP(OtherClients[[#This Row],[Part]],PartControl!$A$2:$E$564,2,FALSE)),0)</f>
        <v>106.94</v>
      </c>
    </row>
    <row r="2589" spans="1:26" ht="25.15" hidden="1" customHeight="1" x14ac:dyDescent="0.25">
      <c r="A2589" s="112">
        <v>46269</v>
      </c>
      <c r="B2589" s="5" t="s">
        <v>345</v>
      </c>
      <c r="C2589" s="5">
        <v>11549204</v>
      </c>
      <c r="D2589" s="5">
        <v>716944</v>
      </c>
      <c r="E2589" s="33">
        <v>32</v>
      </c>
      <c r="F2589" s="60">
        <v>210</v>
      </c>
      <c r="G2589" s="60">
        <f>+OtherClients[[#This Row],[Boxes / Pieces]]*OtherClients[[#This Row],[Unit Quantity]]</f>
        <v>6720</v>
      </c>
      <c r="H2589" s="60" t="s">
        <v>896</v>
      </c>
      <c r="I2589" s="130" t="s">
        <v>278</v>
      </c>
      <c r="J2589" s="131"/>
      <c r="K2589" s="33" t="s">
        <v>278</v>
      </c>
      <c r="L2589" s="132"/>
      <c r="M2589" s="33" t="s">
        <v>278</v>
      </c>
      <c r="N2589" s="132"/>
      <c r="O2589" s="33" t="s">
        <v>278</v>
      </c>
      <c r="P2589" s="132"/>
      <c r="Q2589" s="33" t="s">
        <v>587</v>
      </c>
      <c r="R2589" s="132"/>
      <c r="S2589" s="33" t="s">
        <v>278</v>
      </c>
      <c r="T2589" s="132"/>
      <c r="U2589" s="33" t="s">
        <v>278</v>
      </c>
      <c r="V2589" s="132"/>
      <c r="W2589" s="59" t="s">
        <v>548</v>
      </c>
      <c r="X2589" s="33" t="str">
        <f>+VLOOKUP(OtherClients[[#This Row],[Part]],PartControl!$A$2:$E$564,5,FALSE)</f>
        <v>INFASCO</v>
      </c>
      <c r="Y2589" s="108">
        <f>IF(OtherClients[[#This Row],[Re-certified or New]]&lt;&gt;"Re-certified",IF(OtherClients[[#This Row],[Client]]="infasco",VLOOKUP(OtherClients[[#This Row],[Part]],PartControl!$A$2:$E$564,2,FALSE),OtherClients[[#This Row],[Total Quantity]]*VLOOKUP(OtherClients[[#This Row],[Part]],PartControl!$A$2:$E$564,2,FALSE)),0)</f>
        <v>106.94</v>
      </c>
      <c r="Z2589" s="108">
        <f>IF(OtherClients[[#This Row],[Re-certified or New]]&lt;&gt;"Re-certified",IF(OtherClients[[#This Row],[Client]]="infasco",VLOOKUP(OtherClients[[#This Row],[Part]],PartControl!$A$2:$E$564,2,FALSE),OtherClients[[#This Row],[Total Quantity]]*VLOOKUP(OtherClients[[#This Row],[Part]],PartControl!$A$2:$E$564,2,FALSE)),0)</f>
        <v>106.94</v>
      </c>
    </row>
    <row r="2590" spans="1:26" ht="25.15" hidden="1" customHeight="1" x14ac:dyDescent="0.25">
      <c r="A2590" s="112">
        <v>46269</v>
      </c>
      <c r="B2590" s="5" t="s">
        <v>345</v>
      </c>
      <c r="C2590" s="5" t="s">
        <v>916</v>
      </c>
      <c r="D2590" s="5">
        <v>716981</v>
      </c>
      <c r="E2590" s="33">
        <v>38</v>
      </c>
      <c r="F2590" s="60">
        <v>300</v>
      </c>
      <c r="G2590" s="60">
        <f>+OtherClients[[#This Row],[Boxes / Pieces]]*OtherClients[[#This Row],[Unit Quantity]]</f>
        <v>11400</v>
      </c>
      <c r="H2590" s="60" t="s">
        <v>896</v>
      </c>
      <c r="I2590" s="130" t="s">
        <v>278</v>
      </c>
      <c r="J2590" s="131"/>
      <c r="K2590" s="33" t="s">
        <v>278</v>
      </c>
      <c r="L2590" s="132"/>
      <c r="M2590" s="33" t="s">
        <v>278</v>
      </c>
      <c r="N2590" s="132"/>
      <c r="O2590" s="33" t="s">
        <v>278</v>
      </c>
      <c r="P2590" s="132"/>
      <c r="Q2590" s="33" t="s">
        <v>587</v>
      </c>
      <c r="R2590" s="132"/>
      <c r="S2590" s="33" t="s">
        <v>278</v>
      </c>
      <c r="T2590" s="132"/>
      <c r="U2590" s="33" t="s">
        <v>278</v>
      </c>
      <c r="V2590" s="132"/>
      <c r="W2590" s="59" t="s">
        <v>548</v>
      </c>
      <c r="X2590" s="33" t="str">
        <f>+VLOOKUP(OtherClients[[#This Row],[Part]],PartControl!$A$2:$E$564,5,FALSE)</f>
        <v>infasco</v>
      </c>
      <c r="Y2590" s="108">
        <f>IF(OtherClients[[#This Row],[Re-certified or New]]&lt;&gt;"Re-certified",IF(OtherClients[[#This Row],[Client]]="infasco",VLOOKUP(OtherClients[[#This Row],[Part]],PartControl!$A$2:$E$564,2,FALSE),OtherClients[[#This Row],[Total Quantity]]*VLOOKUP(OtherClients[[#This Row],[Part]],PartControl!$A$2:$E$564,2,FALSE)),0)</f>
        <v>106.94</v>
      </c>
      <c r="Z2590" s="108">
        <f>IF(OtherClients[[#This Row],[Re-certified or New]]&lt;&gt;"Re-certified",IF(OtherClients[[#This Row],[Client]]="infasco",VLOOKUP(OtherClients[[#This Row],[Part]],PartControl!$A$2:$E$564,2,FALSE),OtherClients[[#This Row],[Total Quantity]]*VLOOKUP(OtherClients[[#This Row],[Part]],PartControl!$A$2:$E$564,2,FALSE)),0)</f>
        <v>106.94</v>
      </c>
    </row>
    <row r="2591" spans="1:26" ht="25.15" hidden="1" customHeight="1" x14ac:dyDescent="0.25">
      <c r="A2591" s="112">
        <v>46269</v>
      </c>
      <c r="B2591" s="5" t="s">
        <v>345</v>
      </c>
      <c r="C2591" s="5" t="s">
        <v>916</v>
      </c>
      <c r="D2591" s="5">
        <v>716975</v>
      </c>
      <c r="E2591" s="33">
        <v>34</v>
      </c>
      <c r="F2591" s="60">
        <v>300</v>
      </c>
      <c r="G2591" s="60">
        <f>+OtherClients[[#This Row],[Boxes / Pieces]]*OtherClients[[#This Row],[Unit Quantity]]</f>
        <v>10200</v>
      </c>
      <c r="H2591" s="60" t="s">
        <v>896</v>
      </c>
      <c r="I2591" s="130" t="s">
        <v>278</v>
      </c>
      <c r="J2591" s="131"/>
      <c r="K2591" s="33" t="s">
        <v>278</v>
      </c>
      <c r="L2591" s="132"/>
      <c r="M2591" s="33" t="s">
        <v>278</v>
      </c>
      <c r="N2591" s="132"/>
      <c r="O2591" s="33" t="s">
        <v>278</v>
      </c>
      <c r="P2591" s="132"/>
      <c r="Q2591" s="33" t="s">
        <v>587</v>
      </c>
      <c r="R2591" s="132"/>
      <c r="S2591" s="33" t="s">
        <v>278</v>
      </c>
      <c r="T2591" s="132"/>
      <c r="U2591" s="33" t="s">
        <v>278</v>
      </c>
      <c r="V2591" s="132"/>
      <c r="W2591" s="59" t="s">
        <v>548</v>
      </c>
      <c r="X2591" s="33" t="str">
        <f>+VLOOKUP(OtherClients[[#This Row],[Part]],PartControl!$A$2:$E$564,5,FALSE)</f>
        <v>infasco</v>
      </c>
      <c r="Y2591" s="108">
        <f>IF(OtherClients[[#This Row],[Re-certified or New]]&lt;&gt;"Re-certified",IF(OtherClients[[#This Row],[Client]]="infasco",VLOOKUP(OtherClients[[#This Row],[Part]],PartControl!$A$2:$E$564,2,FALSE),OtherClients[[#This Row],[Total Quantity]]*VLOOKUP(OtherClients[[#This Row],[Part]],PartControl!$A$2:$E$564,2,FALSE)),0)</f>
        <v>106.94</v>
      </c>
      <c r="Z2591" s="108">
        <f>IF(OtherClients[[#This Row],[Re-certified or New]]&lt;&gt;"Re-certified",IF(OtherClients[[#This Row],[Client]]="infasco",VLOOKUP(OtherClients[[#This Row],[Part]],PartControl!$A$2:$E$564,2,FALSE),OtherClients[[#This Row],[Total Quantity]]*VLOOKUP(OtherClients[[#This Row],[Part]],PartControl!$A$2:$E$564,2,FALSE)),0)</f>
        <v>106.94</v>
      </c>
    </row>
    <row r="2592" spans="1:26" ht="25.15" hidden="1" customHeight="1" x14ac:dyDescent="0.25">
      <c r="A2592" s="112">
        <v>46269</v>
      </c>
      <c r="B2592" s="5" t="s">
        <v>345</v>
      </c>
      <c r="C2592" s="5" t="s">
        <v>720</v>
      </c>
      <c r="D2592" s="5">
        <v>714607</v>
      </c>
      <c r="E2592" s="33">
        <v>24</v>
      </c>
      <c r="F2592" s="60">
        <v>200</v>
      </c>
      <c r="G2592" s="60">
        <f>+OtherClients[[#This Row],[Boxes / Pieces]]*OtherClients[[#This Row],[Unit Quantity]]</f>
        <v>4800</v>
      </c>
      <c r="H2592" s="60" t="s">
        <v>896</v>
      </c>
      <c r="I2592" s="130" t="s">
        <v>278</v>
      </c>
      <c r="J2592" s="131"/>
      <c r="K2592" s="33" t="s">
        <v>278</v>
      </c>
      <c r="L2592" s="132"/>
      <c r="M2592" s="33" t="s">
        <v>278</v>
      </c>
      <c r="N2592" s="132"/>
      <c r="O2592" s="33" t="s">
        <v>278</v>
      </c>
      <c r="P2592" s="132"/>
      <c r="Q2592" s="33" t="s">
        <v>587</v>
      </c>
      <c r="R2592" s="132"/>
      <c r="S2592" s="33" t="s">
        <v>278</v>
      </c>
      <c r="T2592" s="132"/>
      <c r="U2592" s="33" t="s">
        <v>278</v>
      </c>
      <c r="V2592" s="132"/>
      <c r="W2592" s="59" t="s">
        <v>548</v>
      </c>
      <c r="X2592" s="33" t="str">
        <f>+VLOOKUP(OtherClients[[#This Row],[Part]],PartControl!$A$2:$E$564,5,FALSE)</f>
        <v>infasco</v>
      </c>
      <c r="Y2592" s="108">
        <f>IF(OtherClients[[#This Row],[Re-certified or New]]&lt;&gt;"Re-certified",IF(OtherClients[[#This Row],[Client]]="infasco",VLOOKUP(OtherClients[[#This Row],[Part]],PartControl!$A$2:$E$564,2,FALSE),OtherClients[[#This Row],[Total Quantity]]*VLOOKUP(OtherClients[[#This Row],[Part]],PartControl!$A$2:$E$564,2,FALSE)),0)</f>
        <v>129.44999999999999</v>
      </c>
      <c r="Z2592" s="108">
        <f>IF(OtherClients[[#This Row],[Re-certified or New]]&lt;&gt;"Re-certified",IF(OtherClients[[#This Row],[Client]]="infasco",VLOOKUP(OtherClients[[#This Row],[Part]],PartControl!$A$2:$E$564,2,FALSE),OtherClients[[#This Row],[Total Quantity]]*VLOOKUP(OtherClients[[#This Row],[Part]],PartControl!$A$2:$E$564,2,FALSE)),0)</f>
        <v>129.44999999999999</v>
      </c>
    </row>
    <row r="2593" spans="1:26" ht="25.15" hidden="1" customHeight="1" x14ac:dyDescent="0.25">
      <c r="A2593" s="112">
        <v>46269</v>
      </c>
      <c r="B2593" s="5" t="s">
        <v>346</v>
      </c>
      <c r="C2593" s="5" t="s">
        <v>794</v>
      </c>
      <c r="D2593" s="5">
        <v>715832</v>
      </c>
      <c r="E2593" s="33">
        <f>24-13</f>
        <v>11</v>
      </c>
      <c r="F2593" s="60">
        <v>195</v>
      </c>
      <c r="G2593" s="60">
        <f>+OtherClients[[#This Row],[Boxes / Pieces]]*OtherClients[[#This Row],[Unit Quantity]]</f>
        <v>2145</v>
      </c>
      <c r="H2593" s="60">
        <v>285</v>
      </c>
      <c r="I2593" s="130" t="s">
        <v>278</v>
      </c>
      <c r="J2593" s="131"/>
      <c r="K2593" s="33" t="s">
        <v>278</v>
      </c>
      <c r="L2593" s="132"/>
      <c r="M2593" s="33" t="s">
        <v>278</v>
      </c>
      <c r="N2593" s="132"/>
      <c r="O2593" s="33" t="s">
        <v>278</v>
      </c>
      <c r="P2593" s="132"/>
      <c r="Q2593" s="33" t="s">
        <v>587</v>
      </c>
      <c r="R2593" s="132"/>
      <c r="S2593" s="33" t="s">
        <v>278</v>
      </c>
      <c r="T2593" s="132"/>
      <c r="U2593" s="33" t="s">
        <v>278</v>
      </c>
      <c r="V2593" s="132"/>
      <c r="W2593" s="59" t="s">
        <v>548</v>
      </c>
      <c r="X2593" s="33" t="str">
        <f>+VLOOKUP(OtherClients[[#This Row],[Part]],PartControl!$A$2:$E$564,5,FALSE)</f>
        <v>infasco</v>
      </c>
      <c r="Y2593" s="108">
        <f>IF(OtherClients[[#This Row],[Re-certified or New]]&lt;&gt;"Re-certified",IF(OtherClients[[#This Row],[Client]]="infasco",VLOOKUP(OtherClients[[#This Row],[Part]],PartControl!$A$2:$E$564,2,FALSE),OtherClients[[#This Row],[Total Quantity]]*VLOOKUP(OtherClients[[#This Row],[Part]],PartControl!$A$2:$E$564,2,FALSE)),0)</f>
        <v>51.78</v>
      </c>
      <c r="Z2593" s="108">
        <f>IF(OtherClients[[#This Row],[Re-certified or New]]&lt;&gt;"Re-certified",IF(OtherClients[[#This Row],[Client]]="infasco",VLOOKUP(OtherClients[[#This Row],[Part]],PartControl!$A$2:$E$564,2,FALSE),OtherClients[[#This Row],[Total Quantity]]*VLOOKUP(OtherClients[[#This Row],[Part]],PartControl!$A$2:$E$564,2,FALSE)),0)</f>
        <v>51.78</v>
      </c>
    </row>
    <row r="2594" spans="1:26" ht="25.15" hidden="1" customHeight="1" x14ac:dyDescent="0.25">
      <c r="A2594" s="112">
        <v>46269</v>
      </c>
      <c r="B2594" s="5" t="s">
        <v>346</v>
      </c>
      <c r="C2594" s="5" t="s">
        <v>794</v>
      </c>
      <c r="D2594" s="5">
        <v>716406</v>
      </c>
      <c r="E2594" s="33">
        <v>5</v>
      </c>
      <c r="F2594" s="60">
        <v>195</v>
      </c>
      <c r="G2594" s="60">
        <f>+OtherClients[[#This Row],[Boxes / Pieces]]*OtherClients[[#This Row],[Unit Quantity]]</f>
        <v>975</v>
      </c>
      <c r="H2594" s="60">
        <v>285</v>
      </c>
      <c r="I2594" s="130" t="s">
        <v>278</v>
      </c>
      <c r="J2594" s="131"/>
      <c r="K2594" s="33" t="s">
        <v>278</v>
      </c>
      <c r="L2594" s="132"/>
      <c r="M2594" s="33" t="s">
        <v>278</v>
      </c>
      <c r="N2594" s="132"/>
      <c r="O2594" s="33" t="s">
        <v>278</v>
      </c>
      <c r="P2594" s="132"/>
      <c r="Q2594" s="33" t="s">
        <v>587</v>
      </c>
      <c r="R2594" s="132"/>
      <c r="S2594" s="33" t="s">
        <v>278</v>
      </c>
      <c r="T2594" s="132"/>
      <c r="U2594" s="33" t="s">
        <v>278</v>
      </c>
      <c r="V2594" s="132"/>
      <c r="W2594" s="59" t="s">
        <v>633</v>
      </c>
      <c r="X2594" s="33" t="str">
        <f>+VLOOKUP(OtherClients[[#This Row],[Part]],PartControl!$A$2:$E$564,5,FALSE)</f>
        <v>infasco</v>
      </c>
      <c r="Y2594" s="108">
        <f>IF(OtherClients[[#This Row],[Re-certified or New]]&lt;&gt;"Re-certified",IF(OtherClients[[#This Row],[Client]]="infasco",VLOOKUP(OtherClients[[#This Row],[Part]],PartControl!$A$2:$E$564,2,FALSE),OtherClients[[#This Row],[Total Quantity]]*VLOOKUP(OtherClients[[#This Row],[Part]],PartControl!$A$2:$E$564,2,FALSE)),0)</f>
        <v>0</v>
      </c>
      <c r="Z2594" s="108">
        <f>IF(OtherClients[[#This Row],[Re-certified or New]]&lt;&gt;"Re-certified",IF(OtherClients[[#This Row],[Client]]="infasco",VLOOKUP(OtherClients[[#This Row],[Part]],PartControl!$A$2:$E$564,2,FALSE),OtherClients[[#This Row],[Total Quantity]]*VLOOKUP(OtherClients[[#This Row],[Part]],PartControl!$A$2:$E$564,2,FALSE)),0)</f>
        <v>0</v>
      </c>
    </row>
    <row r="2595" spans="1:26" ht="25.15" hidden="1" customHeight="1" x14ac:dyDescent="0.25">
      <c r="A2595" s="112">
        <v>46270.626319444447</v>
      </c>
      <c r="B2595" s="5" t="s">
        <v>249</v>
      </c>
      <c r="C2595" s="5">
        <v>11612078</v>
      </c>
      <c r="D2595" s="5">
        <v>705988</v>
      </c>
      <c r="E2595" s="33">
        <v>12</v>
      </c>
      <c r="F2595" s="60">
        <v>1850</v>
      </c>
      <c r="G2595" s="60">
        <v>22200</v>
      </c>
      <c r="H2595" s="60">
        <v>4</v>
      </c>
      <c r="I2595" s="130" t="s">
        <v>278</v>
      </c>
      <c r="J2595" s="131"/>
      <c r="K2595" s="33" t="s">
        <v>278</v>
      </c>
      <c r="L2595" s="132"/>
      <c r="M2595" s="33" t="s">
        <v>278</v>
      </c>
      <c r="N2595" s="132"/>
      <c r="O2595" s="33" t="s">
        <v>278</v>
      </c>
      <c r="P2595" s="132"/>
      <c r="Q2595" s="33" t="s">
        <v>587</v>
      </c>
      <c r="R2595" s="132"/>
      <c r="S2595" s="33" t="s">
        <v>278</v>
      </c>
      <c r="T2595" s="132"/>
      <c r="U2595" s="33" t="s">
        <v>278</v>
      </c>
      <c r="V2595" s="132"/>
      <c r="W2595" s="133" t="s">
        <v>633</v>
      </c>
      <c r="X2595" s="33" t="str">
        <f>+VLOOKUP(OtherClients[[#This Row],[Part]],PartControl!$A$2:$E$564,5,FALSE)</f>
        <v>infasco</v>
      </c>
      <c r="Y2595" s="132">
        <v>247.64</v>
      </c>
      <c r="Z2595" s="108">
        <f>IF(OtherClients[[#This Row],[Re-certified or New]]&lt;&gt;"Re-certified",IF(OtherClients[[#This Row],[Client]]="infasco",VLOOKUP(OtherClients[[#This Row],[Part]],PartControl!$A$2:$E$564,2,FALSE),OtherClients[[#This Row],[Total Quantity]]*VLOOKUP(OtherClients[[#This Row],[Part]],PartControl!$A$2:$E$564,2,FALSE)),0)</f>
        <v>0</v>
      </c>
    </row>
    <row r="2596" spans="1:26" ht="25.15" hidden="1" customHeight="1" x14ac:dyDescent="0.25">
      <c r="A2596" s="112">
        <v>46270.626319444447</v>
      </c>
      <c r="B2596" s="5" t="s">
        <v>242</v>
      </c>
      <c r="C2596" s="5" t="s">
        <v>705</v>
      </c>
      <c r="D2596" s="5">
        <v>717522</v>
      </c>
      <c r="E2596" s="33">
        <f>36-16</f>
        <v>20</v>
      </c>
      <c r="F2596" s="60">
        <v>450</v>
      </c>
      <c r="G2596" s="60">
        <f>+OtherClients[[#This Row],[Boxes / Pieces]]*OtherClients[[#This Row],[Unit Quantity]]</f>
        <v>9000</v>
      </c>
      <c r="H2596" s="60">
        <v>275</v>
      </c>
      <c r="I2596" s="130" t="s">
        <v>278</v>
      </c>
      <c r="J2596" s="131"/>
      <c r="K2596" s="33" t="s">
        <v>278</v>
      </c>
      <c r="L2596" s="132"/>
      <c r="M2596" s="33" t="s">
        <v>278</v>
      </c>
      <c r="N2596" s="132"/>
      <c r="O2596" s="33" t="s">
        <v>278</v>
      </c>
      <c r="P2596" s="132"/>
      <c r="Q2596" s="33" t="s">
        <v>587</v>
      </c>
      <c r="R2596" s="132"/>
      <c r="S2596" s="33" t="s">
        <v>278</v>
      </c>
      <c r="T2596" s="132"/>
      <c r="U2596" s="33" t="s">
        <v>278</v>
      </c>
      <c r="V2596" s="132"/>
      <c r="W2596" s="59" t="s">
        <v>548</v>
      </c>
      <c r="X2596" s="33" t="str">
        <f>+VLOOKUP(OtherClients[[#This Row],[Part]],PartControl!$A$2:$E$564,5,FALSE)</f>
        <v>infasco</v>
      </c>
      <c r="Y2596" s="108">
        <f>IF(OtherClients[[#This Row],[Re-certified or New]]&lt;&gt;"Re-certified",IF(OtherClients[[#This Row],[Client]]="infasco",VLOOKUP(OtherClients[[#This Row],[Part]],PartControl!$A$2:$E$564,2,FALSE),OtherClients[[#This Row],[Total Quantity]]*VLOOKUP(OtherClients[[#This Row],[Part]],PartControl!$A$2:$E$564,2,FALSE)),0)</f>
        <v>106.94</v>
      </c>
      <c r="Z2596" s="108">
        <f>IF(OtherClients[[#This Row],[Re-certified or New]]&lt;&gt;"Re-certified",IF(OtherClients[[#This Row],[Client]]="infasco",VLOOKUP(OtherClients[[#This Row],[Part]],PartControl!$A$2:$E$564,2,FALSE),OtherClients[[#This Row],[Total Quantity]]*VLOOKUP(OtherClients[[#This Row],[Part]],PartControl!$A$2:$E$564,2,FALSE)),0)</f>
        <v>106.94</v>
      </c>
    </row>
    <row r="2597" spans="1:26" ht="25.15" hidden="1" customHeight="1" x14ac:dyDescent="0.25">
      <c r="A2597" s="112">
        <v>46270.626319444447</v>
      </c>
      <c r="B2597" s="5" t="s">
        <v>242</v>
      </c>
      <c r="C2597" s="5" t="s">
        <v>705</v>
      </c>
      <c r="D2597" s="5">
        <v>717521</v>
      </c>
      <c r="E2597" s="33">
        <v>35</v>
      </c>
      <c r="F2597" s="60">
        <v>450</v>
      </c>
      <c r="G2597" s="60">
        <f>+OtherClients[[#This Row],[Boxes / Pieces]]*OtherClients[[#This Row],[Unit Quantity]]</f>
        <v>15750</v>
      </c>
      <c r="H2597" s="60">
        <v>275</v>
      </c>
      <c r="I2597" s="130" t="s">
        <v>278</v>
      </c>
      <c r="J2597" s="131"/>
      <c r="K2597" s="33" t="s">
        <v>278</v>
      </c>
      <c r="L2597" s="132"/>
      <c r="M2597" s="33" t="s">
        <v>278</v>
      </c>
      <c r="N2597" s="132"/>
      <c r="O2597" s="33" t="s">
        <v>278</v>
      </c>
      <c r="P2597" s="132"/>
      <c r="Q2597" s="33" t="s">
        <v>587</v>
      </c>
      <c r="R2597" s="132"/>
      <c r="S2597" s="33" t="s">
        <v>278</v>
      </c>
      <c r="T2597" s="132"/>
      <c r="U2597" s="33" t="s">
        <v>278</v>
      </c>
      <c r="V2597" s="132"/>
      <c r="W2597" s="59" t="s">
        <v>548</v>
      </c>
      <c r="X2597" s="33" t="str">
        <f>+VLOOKUP(OtherClients[[#This Row],[Part]],PartControl!$A$2:$E$564,5,FALSE)</f>
        <v>infasco</v>
      </c>
      <c r="Y2597" s="108">
        <f>IF(OtherClients[[#This Row],[Re-certified or New]]&lt;&gt;"Re-certified",IF(OtherClients[[#This Row],[Client]]="infasco",VLOOKUP(OtherClients[[#This Row],[Part]],PartControl!$A$2:$E$564,2,FALSE),OtherClients[[#This Row],[Total Quantity]]*VLOOKUP(OtherClients[[#This Row],[Part]],PartControl!$A$2:$E$564,2,FALSE)),0)</f>
        <v>106.94</v>
      </c>
      <c r="Z2597" s="108">
        <f>IF(OtherClients[[#This Row],[Re-certified or New]]&lt;&gt;"Re-certified",IF(OtherClients[[#This Row],[Client]]="infasco",VLOOKUP(OtherClients[[#This Row],[Part]],PartControl!$A$2:$E$564,2,FALSE),OtherClients[[#This Row],[Total Quantity]]*VLOOKUP(OtherClients[[#This Row],[Part]],PartControl!$A$2:$E$564,2,FALSE)),0)</f>
        <v>106.94</v>
      </c>
    </row>
    <row r="2598" spans="1:26" ht="25.15" hidden="1" customHeight="1" x14ac:dyDescent="0.25">
      <c r="A2598" s="112">
        <v>46270.626319444447</v>
      </c>
      <c r="B2598" s="5" t="s">
        <v>242</v>
      </c>
      <c r="C2598" s="5" t="s">
        <v>705</v>
      </c>
      <c r="D2598" s="5">
        <v>717516</v>
      </c>
      <c r="E2598" s="33">
        <v>6</v>
      </c>
      <c r="F2598" s="60">
        <v>450</v>
      </c>
      <c r="G2598" s="60">
        <f>+OtherClients[[#This Row],[Boxes / Pieces]]*OtherClients[[#This Row],[Unit Quantity]]</f>
        <v>2700</v>
      </c>
      <c r="H2598" s="60">
        <v>275</v>
      </c>
      <c r="I2598" s="130" t="s">
        <v>278</v>
      </c>
      <c r="J2598" s="131"/>
      <c r="K2598" s="33" t="s">
        <v>278</v>
      </c>
      <c r="L2598" s="132"/>
      <c r="M2598" s="33" t="s">
        <v>278</v>
      </c>
      <c r="N2598" s="132"/>
      <c r="O2598" s="33" t="s">
        <v>278</v>
      </c>
      <c r="P2598" s="132"/>
      <c r="Q2598" s="33" t="s">
        <v>587</v>
      </c>
      <c r="R2598" s="132"/>
      <c r="S2598" s="33" t="s">
        <v>278</v>
      </c>
      <c r="T2598" s="132"/>
      <c r="U2598" s="33" t="s">
        <v>278</v>
      </c>
      <c r="V2598" s="132"/>
      <c r="W2598" s="59" t="s">
        <v>633</v>
      </c>
      <c r="X2598" s="33" t="str">
        <f>+VLOOKUP(OtherClients[[#This Row],[Part]],PartControl!$A$2:$E$564,5,FALSE)</f>
        <v>infasco</v>
      </c>
      <c r="Y2598" s="108">
        <f>IF(OtherClients[[#This Row],[Re-certified or New]]&lt;&gt;"Re-certified",IF(OtherClients[[#This Row],[Client]]="infasco",VLOOKUP(OtherClients[[#This Row],[Part]],PartControl!$A$2:$E$564,2,FALSE),OtherClients[[#This Row],[Total Quantity]]*VLOOKUP(OtherClients[[#This Row],[Part]],PartControl!$A$2:$E$564,2,FALSE)),0)</f>
        <v>0</v>
      </c>
      <c r="Z2598" s="108">
        <f>IF(OtherClients[[#This Row],[Re-certified or New]]&lt;&gt;"Re-certified",IF(OtherClients[[#This Row],[Client]]="infasco",VLOOKUP(OtherClients[[#This Row],[Part]],PartControl!$A$2:$E$564,2,FALSE),OtherClients[[#This Row],[Total Quantity]]*VLOOKUP(OtherClients[[#This Row],[Part]],PartControl!$A$2:$E$564,2,FALSE)),0)</f>
        <v>0</v>
      </c>
    </row>
    <row r="2599" spans="1:26" ht="25.15" hidden="1" customHeight="1" x14ac:dyDescent="0.25">
      <c r="A2599" s="112">
        <v>46270.626319444447</v>
      </c>
      <c r="B2599" s="5" t="s">
        <v>252</v>
      </c>
      <c r="C2599" s="5">
        <v>11546545</v>
      </c>
      <c r="D2599" s="5">
        <v>718233</v>
      </c>
      <c r="E2599" s="33">
        <f>36-7</f>
        <v>29</v>
      </c>
      <c r="F2599" s="60">
        <v>2500</v>
      </c>
      <c r="G2599" s="60">
        <f>+OtherClients[[#This Row],[Boxes / Pieces]]*OtherClients[[#This Row],[Unit Quantity]]</f>
        <v>72500</v>
      </c>
      <c r="H2599" s="60">
        <v>275</v>
      </c>
      <c r="I2599" s="130" t="s">
        <v>278</v>
      </c>
      <c r="J2599" s="131"/>
      <c r="K2599" s="33" t="s">
        <v>278</v>
      </c>
      <c r="L2599" s="132"/>
      <c r="M2599" s="33" t="s">
        <v>278</v>
      </c>
      <c r="N2599" s="132"/>
      <c r="O2599" s="33" t="s">
        <v>278</v>
      </c>
      <c r="P2599" s="132"/>
      <c r="Q2599" s="33" t="s">
        <v>587</v>
      </c>
      <c r="R2599" s="132"/>
      <c r="S2599" s="33" t="s">
        <v>278</v>
      </c>
      <c r="T2599" s="132"/>
      <c r="U2599" s="33" t="s">
        <v>278</v>
      </c>
      <c r="V2599" s="132"/>
      <c r="W2599" s="59" t="s">
        <v>548</v>
      </c>
      <c r="X2599" s="33" t="str">
        <f>+VLOOKUP(OtherClients[[#This Row],[Part]],PartControl!$A$2:$E$564,5,FALSE)</f>
        <v>infasco</v>
      </c>
      <c r="Y2599" s="108">
        <f>IF(OtherClients[[#This Row],[Re-certified or New]]&lt;&gt;"Re-certified",IF(OtherClients[[#This Row],[Client]]="infasco",VLOOKUP(OtherClients[[#This Row],[Part]],PartControl!$A$2:$E$564,2,FALSE),OtherClients[[#This Row],[Total Quantity]]*VLOOKUP(OtherClients[[#This Row],[Part]],PartControl!$A$2:$E$564,2,FALSE)),0)</f>
        <v>106.94</v>
      </c>
      <c r="Z2599" s="108">
        <f>IF(OtherClients[[#This Row],[Re-certified or New]]&lt;&gt;"Re-certified",IF(OtherClients[[#This Row],[Client]]="infasco",VLOOKUP(OtherClients[[#This Row],[Part]],PartControl!$A$2:$E$564,2,FALSE),OtherClients[[#This Row],[Total Quantity]]*VLOOKUP(OtherClients[[#This Row],[Part]],PartControl!$A$2:$E$564,2,FALSE)),0)</f>
        <v>106.94</v>
      </c>
    </row>
    <row r="2600" spans="1:26" ht="25.15" hidden="1" customHeight="1" x14ac:dyDescent="0.25">
      <c r="A2600" s="112">
        <v>46270.626319444447</v>
      </c>
      <c r="B2600" s="5" t="s">
        <v>252</v>
      </c>
      <c r="C2600" s="5">
        <v>11546545</v>
      </c>
      <c r="D2600" s="5">
        <v>717757</v>
      </c>
      <c r="E2600" s="33">
        <v>9</v>
      </c>
      <c r="F2600" s="60">
        <v>2500</v>
      </c>
      <c r="G2600" s="60">
        <f>+OtherClients[[#This Row],[Boxes / Pieces]]*OtherClients[[#This Row],[Unit Quantity]]</f>
        <v>22500</v>
      </c>
      <c r="H2600" s="60">
        <v>275</v>
      </c>
      <c r="I2600" s="130" t="s">
        <v>278</v>
      </c>
      <c r="J2600" s="131"/>
      <c r="K2600" s="33" t="s">
        <v>278</v>
      </c>
      <c r="L2600" s="132"/>
      <c r="M2600" s="33" t="s">
        <v>278</v>
      </c>
      <c r="N2600" s="132"/>
      <c r="O2600" s="33" t="s">
        <v>278</v>
      </c>
      <c r="P2600" s="132"/>
      <c r="Q2600" s="33" t="s">
        <v>587</v>
      </c>
      <c r="R2600" s="132"/>
      <c r="S2600" s="33" t="s">
        <v>278</v>
      </c>
      <c r="T2600" s="132"/>
      <c r="U2600" s="33" t="s">
        <v>278</v>
      </c>
      <c r="V2600" s="132"/>
      <c r="W2600" s="59" t="s">
        <v>633</v>
      </c>
      <c r="X2600" s="33" t="str">
        <f>+VLOOKUP(OtherClients[[#This Row],[Part]],PartControl!$A$2:$E$564,5,FALSE)</f>
        <v>infasco</v>
      </c>
      <c r="Y2600" s="108">
        <f>IF(OtherClients[[#This Row],[Re-certified or New]]&lt;&gt;"Re-certified",IF(OtherClients[[#This Row],[Client]]="infasco",VLOOKUP(OtherClients[[#This Row],[Part]],PartControl!$A$2:$E$564,2,FALSE),OtherClients[[#This Row],[Total Quantity]]*VLOOKUP(OtherClients[[#This Row],[Part]],PartControl!$A$2:$E$564,2,FALSE)),0)</f>
        <v>0</v>
      </c>
      <c r="Z2600" s="108">
        <f>IF(OtherClients[[#This Row],[Re-certified or New]]&lt;&gt;"Re-certified",IF(OtherClients[[#This Row],[Client]]="infasco",VLOOKUP(OtherClients[[#This Row],[Part]],PartControl!$A$2:$E$564,2,FALSE),OtherClients[[#This Row],[Total Quantity]]*VLOOKUP(OtherClients[[#This Row],[Part]],PartControl!$A$2:$E$564,2,FALSE)),0)</f>
        <v>0</v>
      </c>
    </row>
    <row r="2601" spans="1:26" ht="25.15" hidden="1" customHeight="1" x14ac:dyDescent="0.25">
      <c r="A2601" s="112">
        <v>46270.626319444447</v>
      </c>
      <c r="B2601" s="5" t="s">
        <v>232</v>
      </c>
      <c r="C2601" s="5">
        <v>11546545</v>
      </c>
      <c r="D2601" s="5">
        <v>718230</v>
      </c>
      <c r="E2601" s="33">
        <f>36-27</f>
        <v>9</v>
      </c>
      <c r="F2601" s="60">
        <v>2500</v>
      </c>
      <c r="G2601" s="60">
        <f>+OtherClients[[#This Row],[Boxes / Pieces]]*OtherClients[[#This Row],[Unit Quantity]]</f>
        <v>22500</v>
      </c>
      <c r="H2601" s="60">
        <v>275</v>
      </c>
      <c r="I2601" s="130" t="s">
        <v>278</v>
      </c>
      <c r="J2601" s="131"/>
      <c r="K2601" s="33" t="s">
        <v>278</v>
      </c>
      <c r="L2601" s="132"/>
      <c r="M2601" s="33" t="s">
        <v>278</v>
      </c>
      <c r="N2601" s="132"/>
      <c r="O2601" s="33" t="s">
        <v>278</v>
      </c>
      <c r="P2601" s="132"/>
      <c r="Q2601" s="33" t="s">
        <v>587</v>
      </c>
      <c r="R2601" s="132"/>
      <c r="S2601" s="33" t="s">
        <v>278</v>
      </c>
      <c r="T2601" s="132"/>
      <c r="U2601" s="33" t="s">
        <v>278</v>
      </c>
      <c r="V2601" s="132"/>
      <c r="W2601" s="59" t="s">
        <v>548</v>
      </c>
      <c r="X2601" s="33" t="str">
        <f>+VLOOKUP(OtherClients[[#This Row],[Part]],PartControl!$A$2:$E$564,5,FALSE)</f>
        <v>infasco</v>
      </c>
      <c r="Y2601" s="108">
        <f>IF(OtherClients[[#This Row],[Re-certified or New]]&lt;&gt;"Re-certified",IF(OtherClients[[#This Row],[Client]]="infasco",VLOOKUP(OtherClients[[#This Row],[Part]],PartControl!$A$2:$E$564,2,FALSE),OtherClients[[#This Row],[Total Quantity]]*VLOOKUP(OtherClients[[#This Row],[Part]],PartControl!$A$2:$E$564,2,FALSE)),0)</f>
        <v>106.94</v>
      </c>
      <c r="Z2601" s="108">
        <f>IF(OtherClients[[#This Row],[Re-certified or New]]&lt;&gt;"Re-certified",IF(OtherClients[[#This Row],[Client]]="infasco",VLOOKUP(OtherClients[[#This Row],[Part]],PartControl!$A$2:$E$564,2,FALSE),OtherClients[[#This Row],[Total Quantity]]*VLOOKUP(OtherClients[[#This Row],[Part]],PartControl!$A$2:$E$564,2,FALSE)),0)</f>
        <v>106.94</v>
      </c>
    </row>
    <row r="2602" spans="1:26" ht="25.15" hidden="1" customHeight="1" x14ac:dyDescent="0.25">
      <c r="A2602" s="112">
        <v>46270.626319444447</v>
      </c>
      <c r="B2602" s="5" t="s">
        <v>232</v>
      </c>
      <c r="C2602" s="5">
        <v>11546545</v>
      </c>
      <c r="D2602" s="5">
        <v>718238</v>
      </c>
      <c r="E2602" s="33">
        <v>29</v>
      </c>
      <c r="F2602" s="60">
        <v>2500</v>
      </c>
      <c r="G2602" s="60">
        <f>+OtherClients[[#This Row],[Boxes / Pieces]]*OtherClients[[#This Row],[Unit Quantity]]</f>
        <v>72500</v>
      </c>
      <c r="H2602" s="60">
        <v>275</v>
      </c>
      <c r="I2602" s="130" t="s">
        <v>278</v>
      </c>
      <c r="J2602" s="131"/>
      <c r="K2602" s="33" t="s">
        <v>278</v>
      </c>
      <c r="L2602" s="132"/>
      <c r="M2602" s="33" t="s">
        <v>278</v>
      </c>
      <c r="N2602" s="132"/>
      <c r="O2602" s="33" t="s">
        <v>278</v>
      </c>
      <c r="P2602" s="132"/>
      <c r="Q2602" s="33" t="s">
        <v>587</v>
      </c>
      <c r="R2602" s="132"/>
      <c r="S2602" s="33" t="s">
        <v>278</v>
      </c>
      <c r="T2602" s="132"/>
      <c r="U2602" s="33" t="s">
        <v>278</v>
      </c>
      <c r="V2602" s="132"/>
      <c r="W2602" s="59" t="s">
        <v>633</v>
      </c>
      <c r="X2602" s="33" t="str">
        <f>+VLOOKUP(OtherClients[[#This Row],[Part]],PartControl!$A$2:$E$564,5,FALSE)</f>
        <v>infasco</v>
      </c>
      <c r="Y2602" s="108">
        <f>IF(OtherClients[[#This Row],[Re-certified or New]]&lt;&gt;"Re-certified",IF(OtherClients[[#This Row],[Client]]="infasco",VLOOKUP(OtherClients[[#This Row],[Part]],PartControl!$A$2:$E$564,2,FALSE),OtherClients[[#This Row],[Total Quantity]]*VLOOKUP(OtherClients[[#This Row],[Part]],PartControl!$A$2:$E$564,2,FALSE)),0)</f>
        <v>0</v>
      </c>
      <c r="Z2602" s="108">
        <f>IF(OtherClients[[#This Row],[Re-certified or New]]&lt;&gt;"Re-certified",IF(OtherClients[[#This Row],[Client]]="infasco",VLOOKUP(OtherClients[[#This Row],[Part]],PartControl!$A$2:$E$564,2,FALSE),OtherClients[[#This Row],[Total Quantity]]*VLOOKUP(OtherClients[[#This Row],[Part]],PartControl!$A$2:$E$564,2,FALSE)),0)</f>
        <v>0</v>
      </c>
    </row>
    <row r="2603" spans="1:26" ht="25.15" hidden="1" customHeight="1" x14ac:dyDescent="0.25">
      <c r="A2603" s="112">
        <v>46270.626319444447</v>
      </c>
      <c r="B2603" s="5" t="s">
        <v>234</v>
      </c>
      <c r="C2603" s="5">
        <v>11546545</v>
      </c>
      <c r="D2603" s="5">
        <v>718235</v>
      </c>
      <c r="E2603" s="33">
        <f>36-15</f>
        <v>21</v>
      </c>
      <c r="F2603" s="60">
        <v>2500</v>
      </c>
      <c r="G2603" s="60">
        <f>+OtherClients[[#This Row],[Boxes / Pieces]]*OtherClients[[#This Row],[Unit Quantity]]</f>
        <v>52500</v>
      </c>
      <c r="H2603" s="60">
        <v>275</v>
      </c>
      <c r="I2603" s="130" t="s">
        <v>278</v>
      </c>
      <c r="J2603" s="131"/>
      <c r="K2603" s="33" t="s">
        <v>278</v>
      </c>
      <c r="L2603" s="132"/>
      <c r="M2603" s="33" t="s">
        <v>278</v>
      </c>
      <c r="N2603" s="132"/>
      <c r="O2603" s="33" t="s">
        <v>278</v>
      </c>
      <c r="P2603" s="132"/>
      <c r="Q2603" s="33" t="s">
        <v>587</v>
      </c>
      <c r="R2603" s="132"/>
      <c r="S2603" s="33" t="s">
        <v>278</v>
      </c>
      <c r="T2603" s="132"/>
      <c r="U2603" s="33" t="s">
        <v>278</v>
      </c>
      <c r="V2603" s="132"/>
      <c r="W2603" s="59" t="s">
        <v>548</v>
      </c>
      <c r="X2603" s="33" t="str">
        <f>+VLOOKUP(OtherClients[[#This Row],[Part]],PartControl!$A$2:$E$564,5,FALSE)</f>
        <v>infasco</v>
      </c>
      <c r="Y2603" s="108">
        <f>IF(OtherClients[[#This Row],[Re-certified or New]]&lt;&gt;"Re-certified",IF(OtherClients[[#This Row],[Client]]="infasco",VLOOKUP(OtherClients[[#This Row],[Part]],PartControl!$A$2:$E$564,2,FALSE),OtherClients[[#This Row],[Total Quantity]]*VLOOKUP(OtherClients[[#This Row],[Part]],PartControl!$A$2:$E$564,2,FALSE)),0)</f>
        <v>106.94</v>
      </c>
      <c r="Z2603" s="108">
        <f>IF(OtherClients[[#This Row],[Re-certified or New]]&lt;&gt;"Re-certified",IF(OtherClients[[#This Row],[Client]]="infasco",VLOOKUP(OtherClients[[#This Row],[Part]],PartControl!$A$2:$E$564,2,FALSE),OtherClients[[#This Row],[Total Quantity]]*VLOOKUP(OtherClients[[#This Row],[Part]],PartControl!$A$2:$E$564,2,FALSE)),0)</f>
        <v>106.94</v>
      </c>
    </row>
    <row r="2604" spans="1:26" ht="25.15" hidden="1" customHeight="1" x14ac:dyDescent="0.25">
      <c r="A2604" s="112">
        <v>46270.626319444447</v>
      </c>
      <c r="B2604" s="5" t="s">
        <v>234</v>
      </c>
      <c r="C2604" s="5">
        <v>11546545</v>
      </c>
      <c r="D2604" s="5">
        <v>717758</v>
      </c>
      <c r="E2604" s="33">
        <v>15</v>
      </c>
      <c r="F2604" s="60">
        <v>2500</v>
      </c>
      <c r="G2604" s="60">
        <f>+OtherClients[[#This Row],[Boxes / Pieces]]*OtherClients[[#This Row],[Unit Quantity]]</f>
        <v>37500</v>
      </c>
      <c r="H2604" s="60">
        <v>275</v>
      </c>
      <c r="I2604" s="130" t="s">
        <v>278</v>
      </c>
      <c r="J2604" s="131"/>
      <c r="K2604" s="33" t="s">
        <v>278</v>
      </c>
      <c r="L2604" s="132"/>
      <c r="M2604" s="33" t="s">
        <v>278</v>
      </c>
      <c r="N2604" s="132"/>
      <c r="O2604" s="33" t="s">
        <v>278</v>
      </c>
      <c r="P2604" s="132"/>
      <c r="Q2604" s="33" t="s">
        <v>587</v>
      </c>
      <c r="R2604" s="132"/>
      <c r="S2604" s="33" t="s">
        <v>278</v>
      </c>
      <c r="T2604" s="132"/>
      <c r="U2604" s="33" t="s">
        <v>278</v>
      </c>
      <c r="V2604" s="132"/>
      <c r="W2604" s="59" t="s">
        <v>633</v>
      </c>
      <c r="X2604" s="33" t="str">
        <f>+VLOOKUP(OtherClients[[#This Row],[Part]],PartControl!$A$2:$E$564,5,FALSE)</f>
        <v>infasco</v>
      </c>
      <c r="Y2604" s="108">
        <f>IF(OtherClients[[#This Row],[Re-certified or New]]&lt;&gt;"Re-certified",IF(OtherClients[[#This Row],[Client]]="infasco",VLOOKUP(OtherClients[[#This Row],[Part]],PartControl!$A$2:$E$564,2,FALSE),OtherClients[[#This Row],[Total Quantity]]*VLOOKUP(OtherClients[[#This Row],[Part]],PartControl!$A$2:$E$564,2,FALSE)),0)</f>
        <v>0</v>
      </c>
      <c r="Z2604" s="108">
        <f>IF(OtherClients[[#This Row],[Re-certified or New]]&lt;&gt;"Re-certified",IF(OtherClients[[#This Row],[Client]]="infasco",VLOOKUP(OtherClients[[#This Row],[Part]],PartControl!$A$2:$E$564,2,FALSE),OtherClients[[#This Row],[Total Quantity]]*VLOOKUP(OtherClients[[#This Row],[Part]],PartControl!$A$2:$E$564,2,FALSE)),0)</f>
        <v>0</v>
      </c>
    </row>
    <row r="2605" spans="1:26" ht="25.15" hidden="1" customHeight="1" x14ac:dyDescent="0.25">
      <c r="A2605" s="112">
        <v>46270.626319444447</v>
      </c>
      <c r="B2605" s="5" t="s">
        <v>233</v>
      </c>
      <c r="C2605" s="5">
        <v>11546545</v>
      </c>
      <c r="D2605" s="5">
        <v>718234</v>
      </c>
      <c r="E2605" s="33">
        <f>36-5</f>
        <v>31</v>
      </c>
      <c r="F2605" s="60">
        <v>2500</v>
      </c>
      <c r="G2605" s="60">
        <f>+OtherClients[[#This Row],[Boxes / Pieces]]*OtherClients[[#This Row],[Unit Quantity]]</f>
        <v>77500</v>
      </c>
      <c r="H2605" s="60">
        <v>275</v>
      </c>
      <c r="I2605" s="130" t="s">
        <v>278</v>
      </c>
      <c r="J2605" s="131"/>
      <c r="K2605" s="33" t="s">
        <v>278</v>
      </c>
      <c r="L2605" s="132"/>
      <c r="M2605" s="33" t="s">
        <v>278</v>
      </c>
      <c r="N2605" s="132"/>
      <c r="O2605" s="33" t="s">
        <v>278</v>
      </c>
      <c r="P2605" s="132"/>
      <c r="Q2605" s="33" t="s">
        <v>587</v>
      </c>
      <c r="R2605" s="132"/>
      <c r="S2605" s="33" t="s">
        <v>278</v>
      </c>
      <c r="T2605" s="132"/>
      <c r="U2605" s="33" t="s">
        <v>278</v>
      </c>
      <c r="V2605" s="132"/>
      <c r="W2605" s="59" t="s">
        <v>548</v>
      </c>
      <c r="X2605" s="33" t="str">
        <f>+VLOOKUP(OtherClients[[#This Row],[Part]],PartControl!$A$2:$E$564,5,FALSE)</f>
        <v>infasco</v>
      </c>
      <c r="Y2605" s="108">
        <f>IF(OtherClients[[#This Row],[Re-certified or New]]&lt;&gt;"Re-certified",IF(OtherClients[[#This Row],[Client]]="infasco",VLOOKUP(OtherClients[[#This Row],[Part]],PartControl!$A$2:$E$564,2,FALSE),OtherClients[[#This Row],[Total Quantity]]*VLOOKUP(OtherClients[[#This Row],[Part]],PartControl!$A$2:$E$564,2,FALSE)),0)</f>
        <v>106.94</v>
      </c>
      <c r="Z2605" s="108">
        <f>IF(OtherClients[[#This Row],[Re-certified or New]]&lt;&gt;"Re-certified",IF(OtherClients[[#This Row],[Client]]="infasco",VLOOKUP(OtherClients[[#This Row],[Part]],PartControl!$A$2:$E$564,2,FALSE),OtherClients[[#This Row],[Total Quantity]]*VLOOKUP(OtherClients[[#This Row],[Part]],PartControl!$A$2:$E$564,2,FALSE)),0)</f>
        <v>106.94</v>
      </c>
    </row>
    <row r="2606" spans="1:26" ht="25.15" hidden="1" customHeight="1" x14ac:dyDescent="0.25">
      <c r="A2606" s="112">
        <v>46270.626319444447</v>
      </c>
      <c r="B2606" s="5" t="s">
        <v>233</v>
      </c>
      <c r="C2606" s="5">
        <v>11546545</v>
      </c>
      <c r="D2606" s="5">
        <v>717756</v>
      </c>
      <c r="E2606" s="33">
        <v>5</v>
      </c>
      <c r="F2606" s="60">
        <v>2500</v>
      </c>
      <c r="G2606" s="60">
        <f>+OtherClients[[#This Row],[Boxes / Pieces]]*OtherClients[[#This Row],[Unit Quantity]]</f>
        <v>12500</v>
      </c>
      <c r="H2606" s="60">
        <v>275</v>
      </c>
      <c r="I2606" s="130" t="s">
        <v>278</v>
      </c>
      <c r="J2606" s="131"/>
      <c r="K2606" s="33" t="s">
        <v>278</v>
      </c>
      <c r="L2606" s="132"/>
      <c r="M2606" s="33" t="s">
        <v>278</v>
      </c>
      <c r="N2606" s="132"/>
      <c r="O2606" s="33" t="s">
        <v>278</v>
      </c>
      <c r="P2606" s="132"/>
      <c r="Q2606" s="33" t="s">
        <v>587</v>
      </c>
      <c r="R2606" s="132"/>
      <c r="S2606" s="33" t="s">
        <v>278</v>
      </c>
      <c r="T2606" s="132"/>
      <c r="U2606" s="33" t="s">
        <v>278</v>
      </c>
      <c r="V2606" s="132"/>
      <c r="W2606" s="59" t="s">
        <v>633</v>
      </c>
      <c r="X2606" s="33" t="str">
        <f>+VLOOKUP(OtherClients[[#This Row],[Part]],PartControl!$A$2:$E$564,5,FALSE)</f>
        <v>infasco</v>
      </c>
      <c r="Y2606" s="108">
        <f>IF(OtherClients[[#This Row],[Re-certified or New]]&lt;&gt;"Re-certified",IF(OtherClients[[#This Row],[Client]]="infasco",VLOOKUP(OtherClients[[#This Row],[Part]],PartControl!$A$2:$E$564,2,FALSE),OtherClients[[#This Row],[Total Quantity]]*VLOOKUP(OtherClients[[#This Row],[Part]],PartControl!$A$2:$E$564,2,FALSE)),0)</f>
        <v>0</v>
      </c>
      <c r="Z2606" s="108">
        <f>IF(OtherClients[[#This Row],[Re-certified or New]]&lt;&gt;"Re-certified",IF(OtherClients[[#This Row],[Client]]="infasco",VLOOKUP(OtherClients[[#This Row],[Part]],PartControl!$A$2:$E$564,2,FALSE),OtherClients[[#This Row],[Total Quantity]]*VLOOKUP(OtherClients[[#This Row],[Part]],PartControl!$A$2:$E$564,2,FALSE)),0)</f>
        <v>0</v>
      </c>
    </row>
    <row r="2607" spans="1:26" ht="25.15" hidden="1" customHeight="1" x14ac:dyDescent="0.25">
      <c r="A2607" s="112">
        <v>46270.626319444447</v>
      </c>
      <c r="B2607" s="5" t="s">
        <v>238</v>
      </c>
      <c r="C2607" s="5" t="s">
        <v>705</v>
      </c>
      <c r="D2607" s="5">
        <v>717015</v>
      </c>
      <c r="E2607" s="33">
        <v>36</v>
      </c>
      <c r="F2607" s="60">
        <v>450</v>
      </c>
      <c r="G2607" s="60">
        <f>+OtherClients[[#This Row],[Boxes / Pieces]]*OtherClients[[#This Row],[Unit Quantity]]</f>
        <v>16200</v>
      </c>
      <c r="H2607" s="60">
        <v>275</v>
      </c>
      <c r="I2607" s="130" t="s">
        <v>278</v>
      </c>
      <c r="J2607" s="131"/>
      <c r="K2607" s="33" t="s">
        <v>278</v>
      </c>
      <c r="L2607" s="132"/>
      <c r="M2607" s="33" t="s">
        <v>278</v>
      </c>
      <c r="N2607" s="132"/>
      <c r="O2607" s="33" t="s">
        <v>278</v>
      </c>
      <c r="P2607" s="132"/>
      <c r="Q2607" s="33" t="s">
        <v>587</v>
      </c>
      <c r="R2607" s="132"/>
      <c r="S2607" s="33" t="s">
        <v>278</v>
      </c>
      <c r="T2607" s="132"/>
      <c r="U2607" s="33" t="s">
        <v>278</v>
      </c>
      <c r="V2607" s="132"/>
      <c r="W2607" s="59" t="s">
        <v>548</v>
      </c>
      <c r="X2607" s="33" t="str">
        <f>+VLOOKUP(OtherClients[[#This Row],[Part]],PartControl!$A$2:$E$564,5,FALSE)</f>
        <v>infasco</v>
      </c>
      <c r="Y2607" s="108">
        <f>IF(OtherClients[[#This Row],[Re-certified or New]]&lt;&gt;"Re-certified",IF(OtherClients[[#This Row],[Client]]="infasco",VLOOKUP(OtherClients[[#This Row],[Part]],PartControl!$A$2:$E$564,2,FALSE),OtherClients[[#This Row],[Total Quantity]]*VLOOKUP(OtherClients[[#This Row],[Part]],PartControl!$A$2:$E$564,2,FALSE)),0)</f>
        <v>106.94</v>
      </c>
      <c r="Z2607" s="108">
        <f>IF(OtherClients[[#This Row],[Re-certified or New]]&lt;&gt;"Re-certified",IF(OtherClients[[#This Row],[Client]]="infasco",VLOOKUP(OtherClients[[#This Row],[Part]],PartControl!$A$2:$E$564,2,FALSE),OtherClients[[#This Row],[Total Quantity]]*VLOOKUP(OtherClients[[#This Row],[Part]],PartControl!$A$2:$E$564,2,FALSE)),0)</f>
        <v>106.94</v>
      </c>
    </row>
    <row r="2608" spans="1:26" ht="25.15" hidden="1" customHeight="1" x14ac:dyDescent="0.25">
      <c r="A2608" s="112">
        <v>46270.626319444447</v>
      </c>
      <c r="B2608" s="5" t="s">
        <v>238</v>
      </c>
      <c r="C2608" s="5" t="s">
        <v>705</v>
      </c>
      <c r="D2608" s="5">
        <v>717018</v>
      </c>
      <c r="E2608" s="33">
        <v>12</v>
      </c>
      <c r="F2608" s="60">
        <v>450</v>
      </c>
      <c r="G2608" s="60">
        <f>+OtherClients[[#This Row],[Boxes / Pieces]]*OtherClients[[#This Row],[Unit Quantity]]</f>
        <v>5400</v>
      </c>
      <c r="H2608" s="60">
        <v>275</v>
      </c>
      <c r="I2608" s="130" t="s">
        <v>278</v>
      </c>
      <c r="J2608" s="131"/>
      <c r="K2608" s="33" t="s">
        <v>278</v>
      </c>
      <c r="L2608" s="132"/>
      <c r="M2608" s="33" t="s">
        <v>278</v>
      </c>
      <c r="N2608" s="132"/>
      <c r="O2608" s="33" t="s">
        <v>278</v>
      </c>
      <c r="P2608" s="132"/>
      <c r="Q2608" s="33" t="s">
        <v>587</v>
      </c>
      <c r="R2608" s="132"/>
      <c r="S2608" s="33" t="s">
        <v>278</v>
      </c>
      <c r="T2608" s="132"/>
      <c r="U2608" s="33" t="s">
        <v>278</v>
      </c>
      <c r="V2608" s="132"/>
      <c r="W2608" s="59" t="s">
        <v>633</v>
      </c>
      <c r="X2608" s="33" t="str">
        <f>+VLOOKUP(OtherClients[[#This Row],[Part]],PartControl!$A$2:$E$564,5,FALSE)</f>
        <v>infasco</v>
      </c>
      <c r="Y2608" s="108">
        <f>IF(OtherClients[[#This Row],[Re-certified or New]]&lt;&gt;"Re-certified",IF(OtherClients[[#This Row],[Client]]="infasco",VLOOKUP(OtherClients[[#This Row],[Part]],PartControl!$A$2:$E$564,2,FALSE),OtherClients[[#This Row],[Total Quantity]]*VLOOKUP(OtherClients[[#This Row],[Part]],PartControl!$A$2:$E$564,2,FALSE)),0)</f>
        <v>0</v>
      </c>
      <c r="Z2608" s="108">
        <f>IF(OtherClients[[#This Row],[Re-certified or New]]&lt;&gt;"Re-certified",IF(OtherClients[[#This Row],[Client]]="infasco",VLOOKUP(OtherClients[[#This Row],[Part]],PartControl!$A$2:$E$564,2,FALSE),OtherClients[[#This Row],[Total Quantity]]*VLOOKUP(OtherClients[[#This Row],[Part]],PartControl!$A$2:$E$564,2,FALSE)),0)</f>
        <v>0</v>
      </c>
    </row>
    <row r="2609" spans="1:26" ht="25.15" hidden="1" customHeight="1" x14ac:dyDescent="0.25">
      <c r="A2609" s="112">
        <v>46270.626319444447</v>
      </c>
      <c r="B2609" s="5" t="s">
        <v>250</v>
      </c>
      <c r="C2609" s="5">
        <v>11549170</v>
      </c>
      <c r="D2609" s="5">
        <v>716937</v>
      </c>
      <c r="E2609" s="33">
        <f>36-18</f>
        <v>18</v>
      </c>
      <c r="F2609" s="60">
        <v>400</v>
      </c>
      <c r="G2609" s="60">
        <f>+OtherClients[[#This Row],[Boxes / Pieces]]*OtherClients[[#This Row],[Unit Quantity]]</f>
        <v>7200</v>
      </c>
      <c r="H2609" s="60">
        <v>290</v>
      </c>
      <c r="I2609" s="130" t="s">
        <v>278</v>
      </c>
      <c r="J2609" s="131"/>
      <c r="K2609" s="33" t="s">
        <v>278</v>
      </c>
      <c r="L2609" s="132"/>
      <c r="M2609" s="33" t="s">
        <v>278</v>
      </c>
      <c r="N2609" s="132"/>
      <c r="O2609" s="33" t="s">
        <v>278</v>
      </c>
      <c r="P2609" s="132"/>
      <c r="Q2609" s="33" t="s">
        <v>587</v>
      </c>
      <c r="R2609" s="132"/>
      <c r="S2609" s="33" t="s">
        <v>278</v>
      </c>
      <c r="T2609" s="132"/>
      <c r="U2609" s="33" t="s">
        <v>278</v>
      </c>
      <c r="V2609" s="132"/>
      <c r="W2609" s="59" t="s">
        <v>548</v>
      </c>
      <c r="X2609" s="33" t="str">
        <f>+VLOOKUP(OtherClients[[#This Row],[Part]],PartControl!$A$2:$E$564,5,FALSE)</f>
        <v>INFASCO</v>
      </c>
      <c r="Y2609" s="108">
        <f>IF(OtherClients[[#This Row],[Re-certified or New]]&lt;&gt;"Re-certified",IF(OtherClients[[#This Row],[Client]]="infasco",VLOOKUP(OtherClients[[#This Row],[Part]],PartControl!$A$2:$E$564,2,FALSE),OtherClients[[#This Row],[Total Quantity]]*VLOOKUP(OtherClients[[#This Row],[Part]],PartControl!$A$2:$E$564,2,FALSE)),0)</f>
        <v>106.94</v>
      </c>
      <c r="Z2609" s="108">
        <f>IF(OtherClients[[#This Row],[Re-certified or New]]&lt;&gt;"Re-certified",IF(OtherClients[[#This Row],[Client]]="infasco",VLOOKUP(OtherClients[[#This Row],[Part]],PartControl!$A$2:$E$564,2,FALSE),OtherClients[[#This Row],[Total Quantity]]*VLOOKUP(OtherClients[[#This Row],[Part]],PartControl!$A$2:$E$564,2,FALSE)),0)</f>
        <v>106.94</v>
      </c>
    </row>
    <row r="2610" spans="1:26" ht="25.15" hidden="1" customHeight="1" x14ac:dyDescent="0.25">
      <c r="A2610" s="112">
        <v>46270.626319444447</v>
      </c>
      <c r="B2610" s="5" t="s">
        <v>250</v>
      </c>
      <c r="C2610" s="5">
        <v>11549170</v>
      </c>
      <c r="D2610" s="5">
        <v>717366</v>
      </c>
      <c r="E2610" s="33">
        <v>39</v>
      </c>
      <c r="F2610" s="60">
        <v>400</v>
      </c>
      <c r="G2610" s="60">
        <f>+OtherClients[[#This Row],[Boxes / Pieces]]*OtherClients[[#This Row],[Unit Quantity]]</f>
        <v>15600</v>
      </c>
      <c r="H2610" s="60">
        <v>290</v>
      </c>
      <c r="I2610" s="130" t="s">
        <v>278</v>
      </c>
      <c r="J2610" s="131"/>
      <c r="K2610" s="33" t="s">
        <v>278</v>
      </c>
      <c r="L2610" s="132"/>
      <c r="M2610" s="33" t="s">
        <v>278</v>
      </c>
      <c r="N2610" s="132"/>
      <c r="O2610" s="33" t="s">
        <v>278</v>
      </c>
      <c r="P2610" s="132"/>
      <c r="Q2610" s="33" t="s">
        <v>587</v>
      </c>
      <c r="R2610" s="132"/>
      <c r="S2610" s="33" t="s">
        <v>278</v>
      </c>
      <c r="T2610" s="132"/>
      <c r="U2610" s="33" t="s">
        <v>278</v>
      </c>
      <c r="V2610" s="132"/>
      <c r="W2610" s="59" t="s">
        <v>548</v>
      </c>
      <c r="X2610" s="33" t="str">
        <f>+VLOOKUP(OtherClients[[#This Row],[Part]],PartControl!$A$2:$E$564,5,FALSE)</f>
        <v>INFASCO</v>
      </c>
      <c r="Y2610" s="108">
        <f>IF(OtherClients[[#This Row],[Re-certified or New]]&lt;&gt;"Re-certified",IF(OtherClients[[#This Row],[Client]]="infasco",VLOOKUP(OtherClients[[#This Row],[Part]],PartControl!$A$2:$E$564,2,FALSE),OtherClients[[#This Row],[Total Quantity]]*VLOOKUP(OtherClients[[#This Row],[Part]],PartControl!$A$2:$E$564,2,FALSE)),0)</f>
        <v>106.94</v>
      </c>
      <c r="Z2610" s="108">
        <f>IF(OtherClients[[#This Row],[Re-certified or New]]&lt;&gt;"Re-certified",IF(OtherClients[[#This Row],[Client]]="infasco",VLOOKUP(OtherClients[[#This Row],[Part]],PartControl!$A$2:$E$564,2,FALSE),OtherClients[[#This Row],[Total Quantity]]*VLOOKUP(OtherClients[[#This Row],[Part]],PartControl!$A$2:$E$564,2,FALSE)),0)</f>
        <v>106.94</v>
      </c>
    </row>
    <row r="2611" spans="1:26" ht="25.15" hidden="1" customHeight="1" x14ac:dyDescent="0.25">
      <c r="A2611" s="112">
        <v>46270.626319444447</v>
      </c>
      <c r="B2611" s="5" t="s">
        <v>250</v>
      </c>
      <c r="C2611" s="5" t="s">
        <v>705</v>
      </c>
      <c r="D2611" s="5">
        <v>717515</v>
      </c>
      <c r="E2611" s="33">
        <v>3</v>
      </c>
      <c r="F2611" s="60">
        <v>450</v>
      </c>
      <c r="G2611" s="60">
        <f>+OtherClients[[#This Row],[Boxes / Pieces]]*OtherClients[[#This Row],[Unit Quantity]]</f>
        <v>1350</v>
      </c>
      <c r="H2611" s="60">
        <v>290</v>
      </c>
      <c r="I2611" s="130" t="s">
        <v>278</v>
      </c>
      <c r="J2611" s="131"/>
      <c r="K2611" s="33" t="s">
        <v>278</v>
      </c>
      <c r="L2611" s="132"/>
      <c r="M2611" s="33" t="s">
        <v>278</v>
      </c>
      <c r="N2611" s="132"/>
      <c r="O2611" s="33" t="s">
        <v>278</v>
      </c>
      <c r="P2611" s="132"/>
      <c r="Q2611" s="33" t="s">
        <v>587</v>
      </c>
      <c r="R2611" s="132"/>
      <c r="S2611" s="33" t="s">
        <v>278</v>
      </c>
      <c r="T2611" s="132"/>
      <c r="U2611" s="33" t="s">
        <v>278</v>
      </c>
      <c r="V2611" s="132"/>
      <c r="W2611" s="59" t="s">
        <v>633</v>
      </c>
      <c r="X2611" s="33" t="str">
        <f>+VLOOKUP(OtherClients[[#This Row],[Part]],PartControl!$A$2:$E$564,5,FALSE)</f>
        <v>infasco</v>
      </c>
      <c r="Y2611" s="108">
        <f>IF(OtherClients[[#This Row],[Re-certified or New]]&lt;&gt;"Re-certified",IF(OtherClients[[#This Row],[Client]]="infasco",VLOOKUP(OtherClients[[#This Row],[Part]],PartControl!$A$2:$E$564,2,FALSE),OtherClients[[#This Row],[Total Quantity]]*VLOOKUP(OtherClients[[#This Row],[Part]],PartControl!$A$2:$E$564,2,FALSE)),0)</f>
        <v>0</v>
      </c>
      <c r="Z2611" s="108">
        <f>IF(OtherClients[[#This Row],[Re-certified or New]]&lt;&gt;"Re-certified",IF(OtherClients[[#This Row],[Client]]="infasco",VLOOKUP(OtherClients[[#This Row],[Part]],PartControl!$A$2:$E$564,2,FALSE),OtherClients[[#This Row],[Total Quantity]]*VLOOKUP(OtherClients[[#This Row],[Part]],PartControl!$A$2:$E$564,2,FALSE)),0)</f>
        <v>0</v>
      </c>
    </row>
    <row r="2612" spans="1:26" ht="25.15" hidden="1" customHeight="1" x14ac:dyDescent="0.25">
      <c r="A2612" s="112">
        <v>46270.626319444447</v>
      </c>
      <c r="B2612" s="5" t="s">
        <v>237</v>
      </c>
      <c r="C2612" s="5">
        <v>11549168</v>
      </c>
      <c r="D2612" s="5">
        <v>717371</v>
      </c>
      <c r="E2612" s="33">
        <v>36</v>
      </c>
      <c r="F2612" s="60">
        <v>1000</v>
      </c>
      <c r="G2612" s="60">
        <f>+OtherClients[[#This Row],[Boxes / Pieces]]*OtherClients[[#This Row],[Unit Quantity]]</f>
        <v>36000</v>
      </c>
      <c r="H2612" s="60">
        <v>290</v>
      </c>
      <c r="I2612" s="130" t="s">
        <v>278</v>
      </c>
      <c r="J2612" s="131"/>
      <c r="K2612" s="33" t="s">
        <v>278</v>
      </c>
      <c r="L2612" s="132"/>
      <c r="M2612" s="33" t="s">
        <v>278</v>
      </c>
      <c r="N2612" s="132"/>
      <c r="O2612" s="33" t="s">
        <v>278</v>
      </c>
      <c r="P2612" s="132"/>
      <c r="Q2612" s="33" t="s">
        <v>587</v>
      </c>
      <c r="R2612" s="132"/>
      <c r="S2612" s="33" t="s">
        <v>278</v>
      </c>
      <c r="T2612" s="132"/>
      <c r="U2612" s="33" t="s">
        <v>278</v>
      </c>
      <c r="V2612" s="132"/>
      <c r="W2612" s="59" t="s">
        <v>548</v>
      </c>
      <c r="X2612" s="33" t="str">
        <f>+VLOOKUP(OtherClients[[#This Row],[Part]],PartControl!$A$2:$E$564,5,FALSE)</f>
        <v>INFASCO</v>
      </c>
      <c r="Y2612" s="108">
        <f>IF(OtherClients[[#This Row],[Re-certified or New]]&lt;&gt;"Re-certified",IF(OtherClients[[#This Row],[Client]]="infasco",VLOOKUP(OtherClients[[#This Row],[Part]],PartControl!$A$2:$E$564,2,FALSE),OtherClients[[#This Row],[Total Quantity]]*VLOOKUP(OtherClients[[#This Row],[Part]],PartControl!$A$2:$E$564,2,FALSE)),0)</f>
        <v>106.94</v>
      </c>
      <c r="Z2612" s="108">
        <f>IF(OtherClients[[#This Row],[Re-certified or New]]&lt;&gt;"Re-certified",IF(OtherClients[[#This Row],[Client]]="infasco",VLOOKUP(OtherClients[[#This Row],[Part]],PartControl!$A$2:$E$564,2,FALSE),OtherClients[[#This Row],[Total Quantity]]*VLOOKUP(OtherClients[[#This Row],[Part]],PartControl!$A$2:$E$564,2,FALSE)),0)</f>
        <v>106.94</v>
      </c>
    </row>
    <row r="2613" spans="1:26" ht="25.15" hidden="1" customHeight="1" x14ac:dyDescent="0.25">
      <c r="A2613" s="112">
        <v>46270.626319444447</v>
      </c>
      <c r="B2613" s="5" t="s">
        <v>237</v>
      </c>
      <c r="C2613" s="5">
        <v>11549168</v>
      </c>
      <c r="D2613" s="5">
        <v>717372</v>
      </c>
      <c r="E2613" s="33">
        <v>13</v>
      </c>
      <c r="F2613" s="60">
        <v>1000</v>
      </c>
      <c r="G2613" s="60">
        <f>+OtherClients[[#This Row],[Boxes / Pieces]]*OtherClients[[#This Row],[Unit Quantity]]</f>
        <v>13000</v>
      </c>
      <c r="H2613" s="60">
        <v>290</v>
      </c>
      <c r="I2613" s="130" t="s">
        <v>278</v>
      </c>
      <c r="J2613" s="131"/>
      <c r="K2613" s="33" t="s">
        <v>278</v>
      </c>
      <c r="L2613" s="132"/>
      <c r="M2613" s="33" t="s">
        <v>278</v>
      </c>
      <c r="N2613" s="132"/>
      <c r="O2613" s="33" t="s">
        <v>278</v>
      </c>
      <c r="P2613" s="132"/>
      <c r="Q2613" s="33" t="s">
        <v>587</v>
      </c>
      <c r="R2613" s="132"/>
      <c r="S2613" s="33" t="s">
        <v>278</v>
      </c>
      <c r="T2613" s="132"/>
      <c r="U2613" s="33" t="s">
        <v>278</v>
      </c>
      <c r="V2613" s="132"/>
      <c r="W2613" s="59" t="s">
        <v>633</v>
      </c>
      <c r="X2613" s="33" t="str">
        <f>+VLOOKUP(OtherClients[[#This Row],[Part]],PartControl!$A$2:$E$564,5,FALSE)</f>
        <v>INFASCO</v>
      </c>
      <c r="Y2613" s="108">
        <f>IF(OtherClients[[#This Row],[Re-certified or New]]&lt;&gt;"Re-certified",IF(OtherClients[[#This Row],[Client]]="infasco",VLOOKUP(OtherClients[[#This Row],[Part]],PartControl!$A$2:$E$564,2,FALSE),OtherClients[[#This Row],[Total Quantity]]*VLOOKUP(OtherClients[[#This Row],[Part]],PartControl!$A$2:$E$564,2,FALSE)),0)</f>
        <v>0</v>
      </c>
      <c r="Z2613" s="108">
        <f>IF(OtherClients[[#This Row],[Re-certified or New]]&lt;&gt;"Re-certified",IF(OtherClients[[#This Row],[Client]]="infasco",VLOOKUP(OtherClients[[#This Row],[Part]],PartControl!$A$2:$E$564,2,FALSE),OtherClients[[#This Row],[Total Quantity]]*VLOOKUP(OtherClients[[#This Row],[Part]],PartControl!$A$2:$E$564,2,FALSE)),0)</f>
        <v>0</v>
      </c>
    </row>
    <row r="2614" spans="1:26" ht="25.15" hidden="1" customHeight="1" x14ac:dyDescent="0.25">
      <c r="A2614" s="112">
        <v>46270.626319444447</v>
      </c>
      <c r="B2614" s="5" t="s">
        <v>240</v>
      </c>
      <c r="C2614" s="5" t="s">
        <v>15</v>
      </c>
      <c r="D2614" s="5">
        <v>717529</v>
      </c>
      <c r="E2614" s="33">
        <f>40-6</f>
        <v>34</v>
      </c>
      <c r="F2614" s="60">
        <v>1200</v>
      </c>
      <c r="G2614" s="60">
        <f>+OtherClients[[#This Row],[Boxes / Pieces]]*OtherClients[[#This Row],[Unit Quantity]]</f>
        <v>40800</v>
      </c>
      <c r="H2614" s="60">
        <v>290</v>
      </c>
      <c r="I2614" s="130" t="s">
        <v>278</v>
      </c>
      <c r="J2614" s="131"/>
      <c r="K2614" s="33" t="s">
        <v>278</v>
      </c>
      <c r="L2614" s="132"/>
      <c r="M2614" s="33" t="s">
        <v>278</v>
      </c>
      <c r="N2614" s="132"/>
      <c r="O2614" s="33" t="s">
        <v>278</v>
      </c>
      <c r="P2614" s="132"/>
      <c r="Q2614" s="33" t="s">
        <v>587</v>
      </c>
      <c r="R2614" s="132"/>
      <c r="S2614" s="33" t="s">
        <v>278</v>
      </c>
      <c r="T2614" s="132"/>
      <c r="U2614" s="33" t="s">
        <v>278</v>
      </c>
      <c r="V2614" s="132"/>
      <c r="W2614" s="59" t="s">
        <v>548</v>
      </c>
      <c r="X2614" s="33" t="str">
        <f>+VLOOKUP(OtherClients[[#This Row],[Part]],PartControl!$A$2:$E$564,5,FALSE)</f>
        <v>infasco</v>
      </c>
      <c r="Y2614" s="108">
        <f>IF(OtherClients[[#This Row],[Re-certified or New]]&lt;&gt;"Re-certified",IF(OtherClients[[#This Row],[Client]]="infasco",VLOOKUP(OtherClients[[#This Row],[Part]],PartControl!$A$2:$E$564,2,FALSE),OtherClients[[#This Row],[Total Quantity]]*VLOOKUP(OtherClients[[#This Row],[Part]],PartControl!$A$2:$E$564,2,FALSE)),0)</f>
        <v>106.94</v>
      </c>
      <c r="Z2614" s="108">
        <f>IF(OtherClients[[#This Row],[Re-certified or New]]&lt;&gt;"Re-certified",IF(OtherClients[[#This Row],[Client]]="infasco",VLOOKUP(OtherClients[[#This Row],[Part]],PartControl!$A$2:$E$564,2,FALSE),OtherClients[[#This Row],[Total Quantity]]*VLOOKUP(OtherClients[[#This Row],[Part]],PartControl!$A$2:$E$564,2,FALSE)),0)</f>
        <v>106.94</v>
      </c>
    </row>
    <row r="2615" spans="1:26" ht="25.15" hidden="1" customHeight="1" x14ac:dyDescent="0.25">
      <c r="A2615" s="112">
        <v>46270.626319444447</v>
      </c>
      <c r="B2615" s="5" t="s">
        <v>240</v>
      </c>
      <c r="C2615" s="5">
        <v>11549168</v>
      </c>
      <c r="D2615" s="5">
        <v>717369</v>
      </c>
      <c r="E2615" s="33">
        <v>36</v>
      </c>
      <c r="F2615" s="60">
        <v>1000</v>
      </c>
      <c r="G2615" s="60">
        <f>+OtherClients[[#This Row],[Boxes / Pieces]]*OtherClients[[#This Row],[Unit Quantity]]</f>
        <v>36000</v>
      </c>
      <c r="H2615" s="60">
        <v>290</v>
      </c>
      <c r="I2615" s="130" t="s">
        <v>278</v>
      </c>
      <c r="J2615" s="131"/>
      <c r="K2615" s="33" t="s">
        <v>278</v>
      </c>
      <c r="L2615" s="132"/>
      <c r="M2615" s="33" t="s">
        <v>278</v>
      </c>
      <c r="N2615" s="132"/>
      <c r="O2615" s="33" t="s">
        <v>278</v>
      </c>
      <c r="P2615" s="132"/>
      <c r="Q2615" s="33" t="s">
        <v>587</v>
      </c>
      <c r="R2615" s="132"/>
      <c r="S2615" s="33" t="s">
        <v>278</v>
      </c>
      <c r="T2615" s="132"/>
      <c r="U2615" s="33" t="s">
        <v>278</v>
      </c>
      <c r="V2615" s="132"/>
      <c r="W2615" s="59" t="s">
        <v>548</v>
      </c>
      <c r="X2615" s="33" t="str">
        <f>+VLOOKUP(OtherClients[[#This Row],[Part]],PartControl!$A$2:$E$564,5,FALSE)</f>
        <v>INFASCO</v>
      </c>
      <c r="Y2615" s="108">
        <f>IF(OtherClients[[#This Row],[Re-certified or New]]&lt;&gt;"Re-certified",IF(OtherClients[[#This Row],[Client]]="infasco",VLOOKUP(OtherClients[[#This Row],[Part]],PartControl!$A$2:$E$564,2,FALSE),OtherClients[[#This Row],[Total Quantity]]*VLOOKUP(OtherClients[[#This Row],[Part]],PartControl!$A$2:$E$564,2,FALSE)),0)</f>
        <v>106.94</v>
      </c>
      <c r="Z2615" s="108">
        <f>IF(OtherClients[[#This Row],[Re-certified or New]]&lt;&gt;"Re-certified",IF(OtherClients[[#This Row],[Client]]="infasco",VLOOKUP(OtherClients[[#This Row],[Part]],PartControl!$A$2:$E$564,2,FALSE),OtherClients[[#This Row],[Total Quantity]]*VLOOKUP(OtherClients[[#This Row],[Part]],PartControl!$A$2:$E$564,2,FALSE)),0)</f>
        <v>106.94</v>
      </c>
    </row>
    <row r="2616" spans="1:26" ht="25.15" hidden="1" customHeight="1" x14ac:dyDescent="0.25">
      <c r="A2616" s="112">
        <v>46270.626319444447</v>
      </c>
      <c r="B2616" s="5" t="s">
        <v>240</v>
      </c>
      <c r="C2616" s="5">
        <v>11549168</v>
      </c>
      <c r="D2616" s="5">
        <v>717377</v>
      </c>
      <c r="E2616" s="33">
        <v>12</v>
      </c>
      <c r="F2616" s="60">
        <v>1000</v>
      </c>
      <c r="G2616" s="60">
        <f>+OtherClients[[#This Row],[Boxes / Pieces]]*OtherClients[[#This Row],[Unit Quantity]]</f>
        <v>12000</v>
      </c>
      <c r="H2616" s="60">
        <v>290</v>
      </c>
      <c r="I2616" s="130" t="s">
        <v>278</v>
      </c>
      <c r="J2616" s="131"/>
      <c r="K2616" s="33" t="s">
        <v>278</v>
      </c>
      <c r="L2616" s="132"/>
      <c r="M2616" s="33" t="s">
        <v>278</v>
      </c>
      <c r="N2616" s="132"/>
      <c r="O2616" s="33" t="s">
        <v>278</v>
      </c>
      <c r="P2616" s="132"/>
      <c r="Q2616" s="33" t="s">
        <v>587</v>
      </c>
      <c r="R2616" s="132"/>
      <c r="S2616" s="33" t="s">
        <v>278</v>
      </c>
      <c r="T2616" s="132"/>
      <c r="U2616" s="33" t="s">
        <v>278</v>
      </c>
      <c r="V2616" s="132"/>
      <c r="W2616" s="59" t="s">
        <v>633</v>
      </c>
      <c r="X2616" s="33" t="str">
        <f>+VLOOKUP(OtherClients[[#This Row],[Part]],PartControl!$A$2:$E$564,5,FALSE)</f>
        <v>INFASCO</v>
      </c>
      <c r="Y2616" s="108">
        <f>IF(OtherClients[[#This Row],[Re-certified or New]]&lt;&gt;"Re-certified",IF(OtherClients[[#This Row],[Client]]="infasco",VLOOKUP(OtherClients[[#This Row],[Part]],PartControl!$A$2:$E$564,2,FALSE),OtherClients[[#This Row],[Total Quantity]]*VLOOKUP(OtherClients[[#This Row],[Part]],PartControl!$A$2:$E$564,2,FALSE)),0)</f>
        <v>0</v>
      </c>
      <c r="Z2616" s="108">
        <f>IF(OtherClients[[#This Row],[Re-certified or New]]&lt;&gt;"Re-certified",IF(OtherClients[[#This Row],[Client]]="infasco",VLOOKUP(OtherClients[[#This Row],[Part]],PartControl!$A$2:$E$564,2,FALSE),OtherClients[[#This Row],[Total Quantity]]*VLOOKUP(OtherClients[[#This Row],[Part]],PartControl!$A$2:$E$564,2,FALSE)),0)</f>
        <v>0</v>
      </c>
    </row>
    <row r="2617" spans="1:26" ht="25.15" hidden="1" customHeight="1" x14ac:dyDescent="0.25">
      <c r="A2617" s="112">
        <v>46270.626319444447</v>
      </c>
      <c r="B2617" s="113" t="s">
        <v>235</v>
      </c>
      <c r="C2617" s="113">
        <v>11546571</v>
      </c>
      <c r="D2617" s="113">
        <v>717161</v>
      </c>
      <c r="E2617" s="114">
        <f>26-20</f>
        <v>6</v>
      </c>
      <c r="F2617" s="115">
        <v>1550</v>
      </c>
      <c r="G2617" s="115">
        <f>+OtherClients[[#This Row],[Boxes / Pieces]]*OtherClients[[#This Row],[Unit Quantity]]</f>
        <v>9300</v>
      </c>
      <c r="H2617" s="60">
        <v>290</v>
      </c>
      <c r="I2617" s="130" t="s">
        <v>278</v>
      </c>
      <c r="J2617" s="131"/>
      <c r="K2617" s="33" t="s">
        <v>278</v>
      </c>
      <c r="L2617" s="132"/>
      <c r="M2617" s="33" t="s">
        <v>278</v>
      </c>
      <c r="N2617" s="132"/>
      <c r="O2617" s="33" t="s">
        <v>278</v>
      </c>
      <c r="P2617" s="132"/>
      <c r="Q2617" s="33" t="s">
        <v>587</v>
      </c>
      <c r="R2617" s="132"/>
      <c r="S2617" s="33" t="s">
        <v>278</v>
      </c>
      <c r="T2617" s="132"/>
      <c r="U2617" s="33" t="s">
        <v>278</v>
      </c>
      <c r="V2617" s="132"/>
      <c r="W2617" s="59" t="s">
        <v>548</v>
      </c>
      <c r="X2617" s="33" t="str">
        <f>+VLOOKUP(OtherClients[[#This Row],[Part]],PartControl!$A$2:$E$564,5,FALSE)</f>
        <v>infasco</v>
      </c>
      <c r="Y2617" s="108">
        <f>IF(OtherClients[[#This Row],[Re-certified or New]]&lt;&gt;"Re-certified",IF(OtherClients[[#This Row],[Client]]="infasco",VLOOKUP(OtherClients[[#This Row],[Part]],PartControl!$A$2:$E$564,2,FALSE),OtherClients[[#This Row],[Total Quantity]]*VLOOKUP(OtherClients[[#This Row],[Part]],PartControl!$A$2:$E$564,2,FALSE)),0)</f>
        <v>135.07999999999998</v>
      </c>
      <c r="Z2617" s="108">
        <f>IF(OtherClients[[#This Row],[Re-certified or New]]&lt;&gt;"Re-certified",IF(OtherClients[[#This Row],[Client]]="infasco",VLOOKUP(OtherClients[[#This Row],[Part]],PartControl!$A$2:$E$564,2,FALSE),OtherClients[[#This Row],[Total Quantity]]*VLOOKUP(OtherClients[[#This Row],[Part]],PartControl!$A$2:$E$564,2,FALSE)),0)</f>
        <v>135.07999999999998</v>
      </c>
    </row>
    <row r="2618" spans="1:26" ht="25.15" hidden="1" customHeight="1" x14ac:dyDescent="0.25">
      <c r="A2618" s="112">
        <v>46270.626319444447</v>
      </c>
      <c r="B2618" s="5" t="s">
        <v>239</v>
      </c>
      <c r="C2618" s="5" t="s">
        <v>705</v>
      </c>
      <c r="D2618" s="5">
        <v>717523</v>
      </c>
      <c r="E2618" s="33">
        <f>36-1</f>
        <v>35</v>
      </c>
      <c r="F2618" s="60">
        <v>450</v>
      </c>
      <c r="G2618" s="60">
        <f>+OtherClients[[#This Row],[Boxes / Pieces]]*OtherClients[[#This Row],[Unit Quantity]]</f>
        <v>15750</v>
      </c>
      <c r="H2618" s="60">
        <v>290</v>
      </c>
      <c r="I2618" s="130" t="s">
        <v>278</v>
      </c>
      <c r="J2618" s="131"/>
      <c r="K2618" s="33" t="s">
        <v>278</v>
      </c>
      <c r="L2618" s="132"/>
      <c r="M2618" s="33" t="s">
        <v>278</v>
      </c>
      <c r="N2618" s="132"/>
      <c r="O2618" s="33" t="s">
        <v>278</v>
      </c>
      <c r="P2618" s="132"/>
      <c r="Q2618" s="33" t="s">
        <v>587</v>
      </c>
      <c r="R2618" s="132"/>
      <c r="S2618" s="33" t="s">
        <v>278</v>
      </c>
      <c r="T2618" s="132"/>
      <c r="U2618" s="33" t="s">
        <v>278</v>
      </c>
      <c r="V2618" s="132"/>
      <c r="W2618" s="59" t="s">
        <v>548</v>
      </c>
      <c r="X2618" s="33" t="str">
        <f>+VLOOKUP(OtherClients[[#This Row],[Part]],PartControl!$A$2:$E$564,5,FALSE)</f>
        <v>infasco</v>
      </c>
      <c r="Y2618" s="108">
        <f>IF(OtherClients[[#This Row],[Re-certified or New]]&lt;&gt;"Re-certified",IF(OtherClients[[#This Row],[Client]]="infasco",VLOOKUP(OtherClients[[#This Row],[Part]],PartControl!$A$2:$E$564,2,FALSE),OtherClients[[#This Row],[Total Quantity]]*VLOOKUP(OtherClients[[#This Row],[Part]],PartControl!$A$2:$E$564,2,FALSE)),0)</f>
        <v>106.94</v>
      </c>
      <c r="Z2618" s="108">
        <f>IF(OtherClients[[#This Row],[Re-certified or New]]&lt;&gt;"Re-certified",IF(OtherClients[[#This Row],[Client]]="infasco",VLOOKUP(OtherClients[[#This Row],[Part]],PartControl!$A$2:$E$564,2,FALSE),OtherClients[[#This Row],[Total Quantity]]*VLOOKUP(OtherClients[[#This Row],[Part]],PartControl!$A$2:$E$564,2,FALSE)),0)</f>
        <v>106.94</v>
      </c>
    </row>
    <row r="2619" spans="1:26" ht="25.15" hidden="1" customHeight="1" x14ac:dyDescent="0.25">
      <c r="A2619" s="112">
        <v>46270.626319444447</v>
      </c>
      <c r="B2619" s="5" t="s">
        <v>239</v>
      </c>
      <c r="C2619" s="5" t="s">
        <v>705</v>
      </c>
      <c r="D2619" s="5">
        <v>717511</v>
      </c>
      <c r="E2619" s="33">
        <v>36</v>
      </c>
      <c r="F2619" s="60">
        <v>450</v>
      </c>
      <c r="G2619" s="60">
        <f>+OtherClients[[#This Row],[Boxes / Pieces]]*OtherClients[[#This Row],[Unit Quantity]]</f>
        <v>16200</v>
      </c>
      <c r="H2619" s="60">
        <v>290</v>
      </c>
      <c r="I2619" s="130" t="s">
        <v>278</v>
      </c>
      <c r="J2619" s="131"/>
      <c r="K2619" s="33" t="s">
        <v>278</v>
      </c>
      <c r="L2619" s="132"/>
      <c r="M2619" s="33" t="s">
        <v>278</v>
      </c>
      <c r="N2619" s="132"/>
      <c r="O2619" s="33" t="s">
        <v>278</v>
      </c>
      <c r="P2619" s="132"/>
      <c r="Q2619" s="33" t="s">
        <v>587</v>
      </c>
      <c r="R2619" s="132"/>
      <c r="S2619" s="33" t="s">
        <v>278</v>
      </c>
      <c r="T2619" s="132"/>
      <c r="U2619" s="33" t="s">
        <v>278</v>
      </c>
      <c r="V2619" s="132"/>
      <c r="W2619" s="59" t="s">
        <v>548</v>
      </c>
      <c r="X2619" s="33" t="str">
        <f>+VLOOKUP(OtherClients[[#This Row],[Part]],PartControl!$A$2:$E$564,5,FALSE)</f>
        <v>infasco</v>
      </c>
      <c r="Y2619" s="108">
        <f>IF(OtherClients[[#This Row],[Re-certified or New]]&lt;&gt;"Re-certified",IF(OtherClients[[#This Row],[Client]]="infasco",VLOOKUP(OtherClients[[#This Row],[Part]],PartControl!$A$2:$E$564,2,FALSE),OtherClients[[#This Row],[Total Quantity]]*VLOOKUP(OtherClients[[#This Row],[Part]],PartControl!$A$2:$E$564,2,FALSE)),0)</f>
        <v>106.94</v>
      </c>
      <c r="Z2619" s="108">
        <f>IF(OtherClients[[#This Row],[Re-certified or New]]&lt;&gt;"Re-certified",IF(OtherClients[[#This Row],[Client]]="infasco",VLOOKUP(OtherClients[[#This Row],[Part]],PartControl!$A$2:$E$564,2,FALSE),OtherClients[[#This Row],[Total Quantity]]*VLOOKUP(OtherClients[[#This Row],[Part]],PartControl!$A$2:$E$564,2,FALSE)),0)</f>
        <v>106.94</v>
      </c>
    </row>
    <row r="2620" spans="1:26" ht="25.15" hidden="1" customHeight="1" x14ac:dyDescent="0.25">
      <c r="A2620" s="112">
        <v>46270.626319444447</v>
      </c>
      <c r="B2620" s="5" t="s">
        <v>239</v>
      </c>
      <c r="C2620" s="5" t="s">
        <v>705</v>
      </c>
      <c r="D2620" s="5">
        <v>717526</v>
      </c>
      <c r="E2620" s="33">
        <v>36</v>
      </c>
      <c r="F2620" s="60">
        <v>450</v>
      </c>
      <c r="G2620" s="60">
        <f>+OtherClients[[#This Row],[Boxes / Pieces]]*OtherClients[[#This Row],[Unit Quantity]]</f>
        <v>16200</v>
      </c>
      <c r="H2620" s="60">
        <v>290</v>
      </c>
      <c r="I2620" s="130" t="s">
        <v>278</v>
      </c>
      <c r="J2620" s="131"/>
      <c r="K2620" s="33" t="s">
        <v>278</v>
      </c>
      <c r="L2620" s="132"/>
      <c r="M2620" s="33" t="s">
        <v>278</v>
      </c>
      <c r="N2620" s="132"/>
      <c r="O2620" s="33" t="s">
        <v>278</v>
      </c>
      <c r="P2620" s="132"/>
      <c r="Q2620" s="33" t="s">
        <v>587</v>
      </c>
      <c r="R2620" s="132"/>
      <c r="S2620" s="33" t="s">
        <v>278</v>
      </c>
      <c r="T2620" s="132"/>
      <c r="U2620" s="33" t="s">
        <v>278</v>
      </c>
      <c r="V2620" s="132"/>
      <c r="W2620" s="59" t="s">
        <v>548</v>
      </c>
      <c r="X2620" s="33" t="str">
        <f>+VLOOKUP(OtherClients[[#This Row],[Part]],PartControl!$A$2:$E$564,5,FALSE)</f>
        <v>infasco</v>
      </c>
      <c r="Y2620" s="108">
        <f>IF(OtherClients[[#This Row],[Re-certified or New]]&lt;&gt;"Re-certified",IF(OtherClients[[#This Row],[Client]]="infasco",VLOOKUP(OtherClients[[#This Row],[Part]],PartControl!$A$2:$E$564,2,FALSE),OtherClients[[#This Row],[Total Quantity]]*VLOOKUP(OtherClients[[#This Row],[Part]],PartControl!$A$2:$E$564,2,FALSE)),0)</f>
        <v>106.94</v>
      </c>
      <c r="Z2620" s="108">
        <f>IF(OtherClients[[#This Row],[Re-certified or New]]&lt;&gt;"Re-certified",IF(OtherClients[[#This Row],[Client]]="infasco",VLOOKUP(OtherClients[[#This Row],[Part]],PartControl!$A$2:$E$564,2,FALSE),OtherClients[[#This Row],[Total Quantity]]*VLOOKUP(OtherClients[[#This Row],[Part]],PartControl!$A$2:$E$564,2,FALSE)),0)</f>
        <v>106.94</v>
      </c>
    </row>
    <row r="2621" spans="1:26" ht="25.15" hidden="1" customHeight="1" x14ac:dyDescent="0.25">
      <c r="A2621" s="112">
        <v>46270.626319444447</v>
      </c>
      <c r="B2621" s="5" t="s">
        <v>239</v>
      </c>
      <c r="C2621" s="5" t="s">
        <v>705</v>
      </c>
      <c r="D2621" s="5">
        <v>717519</v>
      </c>
      <c r="E2621" s="33">
        <v>10</v>
      </c>
      <c r="F2621" s="60">
        <v>450</v>
      </c>
      <c r="G2621" s="60">
        <f>+OtherClients[[#This Row],[Boxes / Pieces]]*OtherClients[[#This Row],[Unit Quantity]]</f>
        <v>4500</v>
      </c>
      <c r="H2621" s="60">
        <v>290</v>
      </c>
      <c r="I2621" s="130" t="s">
        <v>278</v>
      </c>
      <c r="J2621" s="131"/>
      <c r="K2621" s="33" t="s">
        <v>278</v>
      </c>
      <c r="L2621" s="132"/>
      <c r="M2621" s="33" t="s">
        <v>278</v>
      </c>
      <c r="N2621" s="132"/>
      <c r="O2621" s="33" t="s">
        <v>278</v>
      </c>
      <c r="P2621" s="132"/>
      <c r="Q2621" s="33" t="s">
        <v>587</v>
      </c>
      <c r="R2621" s="132"/>
      <c r="S2621" s="33" t="s">
        <v>278</v>
      </c>
      <c r="T2621" s="132"/>
      <c r="U2621" s="33" t="s">
        <v>278</v>
      </c>
      <c r="V2621" s="132"/>
      <c r="W2621" s="59" t="s">
        <v>633</v>
      </c>
      <c r="X2621" s="33" t="str">
        <f>+VLOOKUP(OtherClients[[#This Row],[Part]],PartControl!$A$2:$E$564,5,FALSE)</f>
        <v>infasco</v>
      </c>
      <c r="Y2621" s="108">
        <f>IF(OtherClients[[#This Row],[Re-certified or New]]&lt;&gt;"Re-certified",IF(OtherClients[[#This Row],[Client]]="infasco",VLOOKUP(OtherClients[[#This Row],[Part]],PartControl!$A$2:$E$564,2,FALSE),OtherClients[[#This Row],[Total Quantity]]*VLOOKUP(OtherClients[[#This Row],[Part]],PartControl!$A$2:$E$564,2,FALSE)),0)</f>
        <v>0</v>
      </c>
      <c r="Z2621" s="108">
        <f>IF(OtherClients[[#This Row],[Re-certified or New]]&lt;&gt;"Re-certified",IF(OtherClients[[#This Row],[Client]]="infasco",VLOOKUP(OtherClients[[#This Row],[Part]],PartControl!$A$2:$E$564,2,FALSE),OtherClients[[#This Row],[Total Quantity]]*VLOOKUP(OtherClients[[#This Row],[Part]],PartControl!$A$2:$E$564,2,FALSE)),0)</f>
        <v>0</v>
      </c>
    </row>
    <row r="2622" spans="1:26" ht="25.15" hidden="1" customHeight="1" x14ac:dyDescent="0.25">
      <c r="A2622" s="112">
        <v>46270.626319444447</v>
      </c>
      <c r="B2622" s="5" t="s">
        <v>236</v>
      </c>
      <c r="C2622" s="5" t="s">
        <v>848</v>
      </c>
      <c r="D2622" s="5">
        <v>717766</v>
      </c>
      <c r="E2622" s="33">
        <f>36-28</f>
        <v>8</v>
      </c>
      <c r="F2622" s="60">
        <v>3200</v>
      </c>
      <c r="G2622" s="60">
        <f>+OtherClients[[#This Row],[Boxes / Pieces]]*OtherClients[[#This Row],[Unit Quantity]]</f>
        <v>25600</v>
      </c>
      <c r="H2622" s="60">
        <v>290</v>
      </c>
      <c r="I2622" s="130" t="s">
        <v>278</v>
      </c>
      <c r="J2622" s="131"/>
      <c r="K2622" s="33" t="s">
        <v>278</v>
      </c>
      <c r="L2622" s="132"/>
      <c r="M2622" s="33" t="s">
        <v>278</v>
      </c>
      <c r="N2622" s="132"/>
      <c r="O2622" s="33" t="s">
        <v>278</v>
      </c>
      <c r="P2622" s="132"/>
      <c r="Q2622" s="33" t="s">
        <v>587</v>
      </c>
      <c r="R2622" s="132"/>
      <c r="S2622" s="33" t="s">
        <v>278</v>
      </c>
      <c r="T2622" s="132"/>
      <c r="U2622" s="33" t="s">
        <v>278</v>
      </c>
      <c r="V2622" s="132"/>
      <c r="W2622" s="59" t="s">
        <v>548</v>
      </c>
      <c r="X2622" s="33" t="str">
        <f>+VLOOKUP(OtherClients[[#This Row],[Part]],PartControl!$A$2:$E$564,5,FALSE)</f>
        <v>infasco</v>
      </c>
      <c r="Y2622" s="108">
        <f>IF(OtherClients[[#This Row],[Re-certified or New]]&lt;&gt;"Re-certified",IF(OtherClients[[#This Row],[Client]]="infasco",VLOOKUP(OtherClients[[#This Row],[Part]],PartControl!$A$2:$E$564,2,FALSE),OtherClients[[#This Row],[Total Quantity]]*VLOOKUP(OtherClients[[#This Row],[Part]],PartControl!$A$2:$E$564,2,FALSE)),0)</f>
        <v>106.94</v>
      </c>
      <c r="Z2622" s="108">
        <f>IF(OtherClients[[#This Row],[Re-certified or New]]&lt;&gt;"Re-certified",IF(OtherClients[[#This Row],[Client]]="infasco",VLOOKUP(OtherClients[[#This Row],[Part]],PartControl!$A$2:$E$564,2,FALSE),OtherClients[[#This Row],[Total Quantity]]*VLOOKUP(OtherClients[[#This Row],[Part]],PartControl!$A$2:$E$564,2,FALSE)),0)</f>
        <v>106.94</v>
      </c>
    </row>
    <row r="2623" spans="1:26" ht="25.15" hidden="1" customHeight="1" x14ac:dyDescent="0.25">
      <c r="A2623" s="112">
        <v>46270.626319444447</v>
      </c>
      <c r="B2623" s="5" t="s">
        <v>236</v>
      </c>
      <c r="C2623" s="5">
        <v>11546545</v>
      </c>
      <c r="D2623" s="5">
        <v>717759</v>
      </c>
      <c r="E2623" s="33">
        <v>13</v>
      </c>
      <c r="F2623" s="60">
        <v>2500</v>
      </c>
      <c r="G2623" s="60">
        <f>+OtherClients[[#This Row],[Boxes / Pieces]]*OtherClients[[#This Row],[Unit Quantity]]</f>
        <v>32500</v>
      </c>
      <c r="H2623" s="60">
        <v>290</v>
      </c>
      <c r="I2623" s="130" t="s">
        <v>278</v>
      </c>
      <c r="J2623" s="131"/>
      <c r="K2623" s="33" t="s">
        <v>278</v>
      </c>
      <c r="L2623" s="132"/>
      <c r="M2623" s="33" t="s">
        <v>278</v>
      </c>
      <c r="N2623" s="132"/>
      <c r="O2623" s="33" t="s">
        <v>278</v>
      </c>
      <c r="P2623" s="132"/>
      <c r="Q2623" s="33" t="s">
        <v>587</v>
      </c>
      <c r="R2623" s="132"/>
      <c r="S2623" s="33" t="s">
        <v>278</v>
      </c>
      <c r="T2623" s="132"/>
      <c r="U2623" s="33" t="s">
        <v>278</v>
      </c>
      <c r="V2623" s="132"/>
      <c r="W2623" s="59" t="s">
        <v>633</v>
      </c>
      <c r="X2623" s="33" t="str">
        <f>+VLOOKUP(OtherClients[[#This Row],[Part]],PartControl!$A$2:$E$564,5,FALSE)</f>
        <v>infasco</v>
      </c>
      <c r="Y2623" s="108">
        <f>IF(OtherClients[[#This Row],[Re-certified or New]]&lt;&gt;"Re-certified",IF(OtherClients[[#This Row],[Client]]="infasco",VLOOKUP(OtherClients[[#This Row],[Part]],PartControl!$A$2:$E$564,2,FALSE),OtherClients[[#This Row],[Total Quantity]]*VLOOKUP(OtherClients[[#This Row],[Part]],PartControl!$A$2:$E$564,2,FALSE)),0)</f>
        <v>0</v>
      </c>
      <c r="Z2623" s="108">
        <f>IF(OtherClients[[#This Row],[Re-certified or New]]&lt;&gt;"Re-certified",IF(OtherClients[[#This Row],[Client]]="infasco",VLOOKUP(OtherClients[[#This Row],[Part]],PartControl!$A$2:$E$564,2,FALSE),OtherClients[[#This Row],[Total Quantity]]*VLOOKUP(OtherClients[[#This Row],[Part]],PartControl!$A$2:$E$564,2,FALSE)),0)</f>
        <v>0</v>
      </c>
    </row>
    <row r="2624" spans="1:26" ht="25.15" hidden="1" customHeight="1" x14ac:dyDescent="0.25">
      <c r="A2624" s="112">
        <v>46270.626319444447</v>
      </c>
      <c r="B2624" s="5" t="s">
        <v>244</v>
      </c>
      <c r="C2624" s="5">
        <v>11546377</v>
      </c>
      <c r="D2624" s="5">
        <v>718138</v>
      </c>
      <c r="E2624" s="33">
        <f>36-20</f>
        <v>16</v>
      </c>
      <c r="F2624" s="60">
        <v>2150</v>
      </c>
      <c r="G2624" s="60">
        <f>+OtherClients[[#This Row],[Boxes / Pieces]]*OtherClients[[#This Row],[Unit Quantity]]</f>
        <v>34400</v>
      </c>
      <c r="H2624" s="60">
        <v>292</v>
      </c>
      <c r="I2624" s="130" t="s">
        <v>278</v>
      </c>
      <c r="J2624" s="131"/>
      <c r="K2624" s="33" t="s">
        <v>278</v>
      </c>
      <c r="L2624" s="132"/>
      <c r="M2624" s="33" t="s">
        <v>278</v>
      </c>
      <c r="N2624" s="132"/>
      <c r="O2624" s="33" t="s">
        <v>278</v>
      </c>
      <c r="P2624" s="132"/>
      <c r="Q2624" s="33" t="s">
        <v>587</v>
      </c>
      <c r="R2624" s="132"/>
      <c r="S2624" s="33" t="s">
        <v>278</v>
      </c>
      <c r="T2624" s="132"/>
      <c r="U2624" s="33" t="s">
        <v>278</v>
      </c>
      <c r="V2624" s="132"/>
      <c r="W2624" s="59" t="s">
        <v>548</v>
      </c>
      <c r="X2624" s="33" t="str">
        <f>+VLOOKUP(OtherClients[[#This Row],[Part]],PartControl!$A$2:$E$564,5,FALSE)</f>
        <v>INFASCO</v>
      </c>
      <c r="Y2624" s="108">
        <f>IF(OtherClients[[#This Row],[Re-certified or New]]&lt;&gt;"Re-certified",IF(OtherClients[[#This Row],[Client]]="infasco",VLOOKUP(OtherClients[[#This Row],[Part]],PartControl!$A$2:$E$564,2,FALSE),OtherClients[[#This Row],[Total Quantity]]*VLOOKUP(OtherClients[[#This Row],[Part]],PartControl!$A$2:$E$564,2,FALSE)),0)</f>
        <v>106.94</v>
      </c>
      <c r="Z2624" s="108">
        <f>IF(OtherClients[[#This Row],[Re-certified or New]]&lt;&gt;"Re-certified",IF(OtherClients[[#This Row],[Client]]="infasco",VLOOKUP(OtherClients[[#This Row],[Part]],PartControl!$A$2:$E$564,2,FALSE),OtherClients[[#This Row],[Total Quantity]]*VLOOKUP(OtherClients[[#This Row],[Part]],PartControl!$A$2:$E$564,2,FALSE)),0)</f>
        <v>106.94</v>
      </c>
    </row>
    <row r="2625" spans="1:26" ht="25.15" hidden="1" customHeight="1" x14ac:dyDescent="0.25">
      <c r="A2625" s="112">
        <v>46270.626319444447</v>
      </c>
      <c r="B2625" s="5" t="s">
        <v>245</v>
      </c>
      <c r="C2625" s="5">
        <v>11546545</v>
      </c>
      <c r="D2625" s="5">
        <v>718232</v>
      </c>
      <c r="E2625" s="33">
        <f>30-12</f>
        <v>18</v>
      </c>
      <c r="F2625" s="60">
        <v>2500</v>
      </c>
      <c r="G2625" s="60">
        <f>+OtherClients[[#This Row],[Boxes / Pieces]]*OtherClients[[#This Row],[Unit Quantity]]</f>
        <v>45000</v>
      </c>
      <c r="H2625" s="60">
        <v>292</v>
      </c>
      <c r="I2625" s="130" t="s">
        <v>278</v>
      </c>
      <c r="J2625" s="131"/>
      <c r="K2625" s="33" t="s">
        <v>278</v>
      </c>
      <c r="L2625" s="132"/>
      <c r="M2625" s="33" t="s">
        <v>278</v>
      </c>
      <c r="N2625" s="132"/>
      <c r="O2625" s="33" t="s">
        <v>278</v>
      </c>
      <c r="P2625" s="132"/>
      <c r="Q2625" s="33" t="s">
        <v>587</v>
      </c>
      <c r="R2625" s="132"/>
      <c r="S2625" s="33" t="s">
        <v>278</v>
      </c>
      <c r="T2625" s="132"/>
      <c r="U2625" s="33" t="s">
        <v>278</v>
      </c>
      <c r="V2625" s="132"/>
      <c r="W2625" s="59" t="s">
        <v>633</v>
      </c>
      <c r="X2625" s="33" t="str">
        <f>+VLOOKUP(OtherClients[[#This Row],[Part]],PartControl!$A$2:$E$564,5,FALSE)</f>
        <v>infasco</v>
      </c>
      <c r="Y2625" s="108">
        <f>IF(OtherClients[[#This Row],[Re-certified or New]]&lt;&gt;"Re-certified",IF(OtherClients[[#This Row],[Client]]="infasco",VLOOKUP(OtherClients[[#This Row],[Part]],PartControl!$A$2:$E$564,2,FALSE),OtherClients[[#This Row],[Total Quantity]]*VLOOKUP(OtherClients[[#This Row],[Part]],PartControl!$A$2:$E$564,2,FALSE)),0)</f>
        <v>0</v>
      </c>
      <c r="Z2625" s="108">
        <f>IF(OtherClients[[#This Row],[Re-certified or New]]&lt;&gt;"Re-certified",IF(OtherClients[[#This Row],[Client]]="infasco",VLOOKUP(OtherClients[[#This Row],[Part]],PartControl!$A$2:$E$564,2,FALSE),OtherClients[[#This Row],[Total Quantity]]*VLOOKUP(OtherClients[[#This Row],[Part]],PartControl!$A$2:$E$564,2,FALSE)),0)</f>
        <v>0</v>
      </c>
    </row>
    <row r="2626" spans="1:26" ht="25.15" hidden="1" customHeight="1" x14ac:dyDescent="0.25">
      <c r="A2626" s="112">
        <v>46270.626319444447</v>
      </c>
      <c r="B2626" s="5" t="s">
        <v>251</v>
      </c>
      <c r="C2626" s="5">
        <v>11546462</v>
      </c>
      <c r="D2626" s="5">
        <v>718222</v>
      </c>
      <c r="E2626" s="33">
        <f>20-10</f>
        <v>10</v>
      </c>
      <c r="F2626" s="60">
        <v>650</v>
      </c>
      <c r="G2626" s="60">
        <f>+OtherClients[[#This Row],[Boxes / Pieces]]*OtherClients[[#This Row],[Unit Quantity]]</f>
        <v>6500</v>
      </c>
      <c r="H2626" s="60">
        <v>292</v>
      </c>
      <c r="I2626" s="130" t="s">
        <v>278</v>
      </c>
      <c r="J2626" s="131"/>
      <c r="K2626" s="33" t="s">
        <v>278</v>
      </c>
      <c r="L2626" s="132"/>
      <c r="M2626" s="33" t="s">
        <v>278</v>
      </c>
      <c r="N2626" s="132"/>
      <c r="O2626" s="33" t="s">
        <v>278</v>
      </c>
      <c r="P2626" s="132"/>
      <c r="Q2626" s="33" t="s">
        <v>587</v>
      </c>
      <c r="R2626" s="132"/>
      <c r="S2626" s="33" t="s">
        <v>278</v>
      </c>
      <c r="T2626" s="132"/>
      <c r="U2626" s="33" t="s">
        <v>278</v>
      </c>
      <c r="V2626" s="132"/>
      <c r="W2626" s="59" t="s">
        <v>548</v>
      </c>
      <c r="X2626" s="33" t="str">
        <f>+VLOOKUP(OtherClients[[#This Row],[Part]],PartControl!$A$2:$E$564,5,FALSE)</f>
        <v>INFASCO</v>
      </c>
      <c r="Y2626" s="108">
        <f>IF(OtherClients[[#This Row],[Re-certified or New]]&lt;&gt;"Re-certified",IF(OtherClients[[#This Row],[Client]]="infasco",VLOOKUP(OtherClients[[#This Row],[Part]],PartControl!$A$2:$E$564,2,FALSE),OtherClients[[#This Row],[Total Quantity]]*VLOOKUP(OtherClients[[#This Row],[Part]],PartControl!$A$2:$E$564,2,FALSE)),0)</f>
        <v>106.94</v>
      </c>
      <c r="Z2626" s="108">
        <f>IF(OtherClients[[#This Row],[Re-certified or New]]&lt;&gt;"Re-certified",IF(OtherClients[[#This Row],[Client]]="infasco",VLOOKUP(OtherClients[[#This Row],[Part]],PartControl!$A$2:$E$564,2,FALSE),OtherClients[[#This Row],[Total Quantity]]*VLOOKUP(OtherClients[[#This Row],[Part]],PartControl!$A$2:$E$564,2,FALSE)),0)</f>
        <v>106.94</v>
      </c>
    </row>
    <row r="2627" spans="1:26" ht="25.15" hidden="1" customHeight="1" x14ac:dyDescent="0.25">
      <c r="A2627" s="112">
        <v>46270.626319444447</v>
      </c>
      <c r="B2627" s="5" t="s">
        <v>251</v>
      </c>
      <c r="C2627" s="5">
        <v>11546462</v>
      </c>
      <c r="D2627" s="5">
        <v>718224</v>
      </c>
      <c r="E2627" s="33">
        <f>28+16</f>
        <v>44</v>
      </c>
      <c r="F2627" s="60">
        <v>650</v>
      </c>
      <c r="G2627" s="60">
        <f>+OtherClients[[#This Row],[Boxes / Pieces]]*OtherClients[[#This Row],[Unit Quantity]]</f>
        <v>28600</v>
      </c>
      <c r="H2627" s="60">
        <v>292</v>
      </c>
      <c r="I2627" s="130" t="s">
        <v>278</v>
      </c>
      <c r="J2627" s="131"/>
      <c r="K2627" s="33" t="s">
        <v>278</v>
      </c>
      <c r="L2627" s="132"/>
      <c r="M2627" s="33" t="s">
        <v>278</v>
      </c>
      <c r="N2627" s="132"/>
      <c r="O2627" s="33" t="s">
        <v>278</v>
      </c>
      <c r="P2627" s="132"/>
      <c r="Q2627" s="33" t="s">
        <v>587</v>
      </c>
      <c r="R2627" s="132"/>
      <c r="S2627" s="33" t="s">
        <v>278</v>
      </c>
      <c r="T2627" s="132"/>
      <c r="U2627" s="33" t="s">
        <v>278</v>
      </c>
      <c r="V2627" s="132"/>
      <c r="W2627" s="59" t="s">
        <v>548</v>
      </c>
      <c r="X2627" s="33" t="str">
        <f>+VLOOKUP(OtherClients[[#This Row],[Part]],PartControl!$A$2:$E$564,5,FALSE)</f>
        <v>INFASCO</v>
      </c>
      <c r="Y2627" s="108">
        <f>IF(OtherClients[[#This Row],[Re-certified or New]]&lt;&gt;"Re-certified",IF(OtherClients[[#This Row],[Client]]="infasco",VLOOKUP(OtherClients[[#This Row],[Part]],PartControl!$A$2:$E$564,2,FALSE),OtherClients[[#This Row],[Total Quantity]]*VLOOKUP(OtherClients[[#This Row],[Part]],PartControl!$A$2:$E$564,2,FALSE)),0)</f>
        <v>106.94</v>
      </c>
      <c r="Z2627" s="108">
        <f>IF(OtherClients[[#This Row],[Re-certified or New]]&lt;&gt;"Re-certified",IF(OtherClients[[#This Row],[Client]]="infasco",VLOOKUP(OtherClients[[#This Row],[Part]],PartControl!$A$2:$E$564,2,FALSE),OtherClients[[#This Row],[Total Quantity]]*VLOOKUP(OtherClients[[#This Row],[Part]],PartControl!$A$2:$E$564,2,FALSE)),0)</f>
        <v>106.94</v>
      </c>
    </row>
    <row r="2628" spans="1:26" ht="25.15" hidden="1" customHeight="1" x14ac:dyDescent="0.25">
      <c r="A2628" s="112">
        <v>46270.626319444447</v>
      </c>
      <c r="B2628" s="5" t="s">
        <v>251</v>
      </c>
      <c r="C2628" s="5">
        <v>11546462</v>
      </c>
      <c r="D2628" s="5">
        <v>718227</v>
      </c>
      <c r="E2628" s="33">
        <v>3</v>
      </c>
      <c r="F2628" s="60">
        <v>650</v>
      </c>
      <c r="G2628" s="60">
        <f>+OtherClients[[#This Row],[Boxes / Pieces]]*OtherClients[[#This Row],[Unit Quantity]]</f>
        <v>1950</v>
      </c>
      <c r="H2628" s="60">
        <v>292</v>
      </c>
      <c r="I2628" s="130" t="s">
        <v>278</v>
      </c>
      <c r="J2628" s="131"/>
      <c r="K2628" s="33" t="s">
        <v>278</v>
      </c>
      <c r="L2628" s="132"/>
      <c r="M2628" s="33" t="s">
        <v>278</v>
      </c>
      <c r="N2628" s="132"/>
      <c r="O2628" s="33" t="s">
        <v>278</v>
      </c>
      <c r="P2628" s="132"/>
      <c r="Q2628" s="33" t="s">
        <v>587</v>
      </c>
      <c r="R2628" s="132"/>
      <c r="S2628" s="33" t="s">
        <v>278</v>
      </c>
      <c r="T2628" s="132"/>
      <c r="U2628" s="33" t="s">
        <v>278</v>
      </c>
      <c r="V2628" s="132"/>
      <c r="W2628" s="59" t="s">
        <v>633</v>
      </c>
      <c r="X2628" s="33" t="str">
        <f>+VLOOKUP(OtherClients[[#This Row],[Part]],PartControl!$A$2:$E$564,5,FALSE)</f>
        <v>INFASCO</v>
      </c>
      <c r="Y2628" s="108">
        <f>IF(OtherClients[[#This Row],[Re-certified or New]]&lt;&gt;"Re-certified",IF(OtherClients[[#This Row],[Client]]="infasco",VLOOKUP(OtherClients[[#This Row],[Part]],PartControl!$A$2:$E$564,2,FALSE),OtherClients[[#This Row],[Total Quantity]]*VLOOKUP(OtherClients[[#This Row],[Part]],PartControl!$A$2:$E$564,2,FALSE)),0)</f>
        <v>0</v>
      </c>
      <c r="Z2628" s="108">
        <f>IF(OtherClients[[#This Row],[Re-certified or New]]&lt;&gt;"Re-certified",IF(OtherClients[[#This Row],[Client]]="infasco",VLOOKUP(OtherClients[[#This Row],[Part]],PartControl!$A$2:$E$564,2,FALSE),OtherClients[[#This Row],[Total Quantity]]*VLOOKUP(OtherClients[[#This Row],[Part]],PartControl!$A$2:$E$564,2,FALSE)),0)</f>
        <v>0</v>
      </c>
    </row>
    <row r="2629" spans="1:26" ht="25.15" hidden="1" customHeight="1" x14ac:dyDescent="0.25">
      <c r="A2629" s="112">
        <v>46270.626319444447</v>
      </c>
      <c r="B2629" s="5" t="s">
        <v>243</v>
      </c>
      <c r="C2629" s="5">
        <v>11546377</v>
      </c>
      <c r="D2629" s="5">
        <v>718137</v>
      </c>
      <c r="E2629" s="33">
        <f>34-15</f>
        <v>19</v>
      </c>
      <c r="F2629" s="60">
        <v>2150</v>
      </c>
      <c r="G2629" s="60">
        <f>+OtherClients[[#This Row],[Boxes / Pieces]]*OtherClients[[#This Row],[Unit Quantity]]</f>
        <v>40850</v>
      </c>
      <c r="H2629" s="60">
        <v>292</v>
      </c>
      <c r="I2629" s="130" t="s">
        <v>278</v>
      </c>
      <c r="J2629" s="131"/>
      <c r="K2629" s="33" t="s">
        <v>278</v>
      </c>
      <c r="L2629" s="132"/>
      <c r="M2629" s="33" t="s">
        <v>278</v>
      </c>
      <c r="N2629" s="132"/>
      <c r="O2629" s="33" t="s">
        <v>278</v>
      </c>
      <c r="P2629" s="132"/>
      <c r="Q2629" s="33" t="s">
        <v>587</v>
      </c>
      <c r="R2629" s="132"/>
      <c r="S2629" s="33" t="s">
        <v>278</v>
      </c>
      <c r="T2629" s="132"/>
      <c r="U2629" s="33" t="s">
        <v>278</v>
      </c>
      <c r="V2629" s="132"/>
      <c r="W2629" s="59" t="s">
        <v>548</v>
      </c>
      <c r="X2629" s="33" t="str">
        <f>+VLOOKUP(OtherClients[[#This Row],[Part]],PartControl!$A$2:$E$564,5,FALSE)</f>
        <v>INFASCO</v>
      </c>
      <c r="Y2629" s="108">
        <f>IF(OtherClients[[#This Row],[Re-certified or New]]&lt;&gt;"Re-certified",IF(OtherClients[[#This Row],[Client]]="infasco",VLOOKUP(OtherClients[[#This Row],[Part]],PartControl!$A$2:$E$564,2,FALSE),OtherClients[[#This Row],[Total Quantity]]*VLOOKUP(OtherClients[[#This Row],[Part]],PartControl!$A$2:$E$564,2,FALSE)),0)</f>
        <v>106.94</v>
      </c>
      <c r="Z2629" s="108">
        <f>IF(OtherClients[[#This Row],[Re-certified or New]]&lt;&gt;"Re-certified",IF(OtherClients[[#This Row],[Client]]="infasco",VLOOKUP(OtherClients[[#This Row],[Part]],PartControl!$A$2:$E$564,2,FALSE),OtherClients[[#This Row],[Total Quantity]]*VLOOKUP(OtherClients[[#This Row],[Part]],PartControl!$A$2:$E$564,2,FALSE)),0)</f>
        <v>106.94</v>
      </c>
    </row>
    <row r="2630" spans="1:26" ht="25.15" hidden="1" customHeight="1" x14ac:dyDescent="0.25">
      <c r="A2630" s="112">
        <v>46270.626319444447</v>
      </c>
      <c r="B2630" s="5" t="s">
        <v>623</v>
      </c>
      <c r="C2630" s="5" t="s">
        <v>814</v>
      </c>
      <c r="D2630" s="5">
        <v>717560</v>
      </c>
      <c r="E2630" s="33">
        <f>28-20</f>
        <v>8</v>
      </c>
      <c r="F2630" s="60">
        <v>2500</v>
      </c>
      <c r="G2630" s="60">
        <f>+OtherClients[[#This Row],[Boxes / Pieces]]*OtherClients[[#This Row],[Unit Quantity]]</f>
        <v>20000</v>
      </c>
      <c r="H2630" s="60">
        <v>292</v>
      </c>
      <c r="I2630" s="130" t="s">
        <v>278</v>
      </c>
      <c r="J2630" s="131"/>
      <c r="K2630" s="33" t="s">
        <v>278</v>
      </c>
      <c r="L2630" s="132"/>
      <c r="M2630" s="33" t="s">
        <v>278</v>
      </c>
      <c r="N2630" s="132"/>
      <c r="O2630" s="33" t="s">
        <v>278</v>
      </c>
      <c r="P2630" s="132"/>
      <c r="Q2630" s="33" t="s">
        <v>587</v>
      </c>
      <c r="R2630" s="132"/>
      <c r="S2630" s="33" t="s">
        <v>278</v>
      </c>
      <c r="T2630" s="132"/>
      <c r="U2630" s="33" t="s">
        <v>278</v>
      </c>
      <c r="V2630" s="132"/>
      <c r="W2630" s="59" t="s">
        <v>548</v>
      </c>
      <c r="X2630" s="33" t="str">
        <f>+VLOOKUP(OtherClients[[#This Row],[Part]],PartControl!$A$2:$E$564,5,FALSE)</f>
        <v>Infasco</v>
      </c>
      <c r="Y2630" s="108">
        <f>IF(OtherClients[[#This Row],[Re-certified or New]]&lt;&gt;"Re-certified",IF(OtherClients[[#This Row],[Client]]="infasco",VLOOKUP(OtherClients[[#This Row],[Part]],PartControl!$A$2:$E$564,2,FALSE),OtherClients[[#This Row],[Total Quantity]]*VLOOKUP(OtherClients[[#This Row],[Part]],PartControl!$A$2:$E$564,2,FALSE)),0)</f>
        <v>106.94</v>
      </c>
      <c r="Z2630" s="108">
        <f>IF(OtherClients[[#This Row],[Re-certified or New]]&lt;&gt;"Re-certified",IF(OtherClients[[#This Row],[Client]]="infasco",VLOOKUP(OtherClients[[#This Row],[Part]],PartControl!$A$2:$E$564,2,FALSE),OtherClients[[#This Row],[Total Quantity]]*VLOOKUP(OtherClients[[#This Row],[Part]],PartControl!$A$2:$E$564,2,FALSE)),0)</f>
        <v>106.94</v>
      </c>
    </row>
    <row r="2631" spans="1:26" ht="25.15" hidden="1" customHeight="1" x14ac:dyDescent="0.25">
      <c r="A2631" s="112">
        <v>46270.626319444447</v>
      </c>
      <c r="B2631" s="5" t="s">
        <v>623</v>
      </c>
      <c r="C2631" s="5" t="s">
        <v>705</v>
      </c>
      <c r="D2631" s="5">
        <v>717019</v>
      </c>
      <c r="E2631" s="33">
        <v>36</v>
      </c>
      <c r="F2631" s="60">
        <v>450</v>
      </c>
      <c r="G2631" s="60">
        <f>+OtherClients[[#This Row],[Boxes / Pieces]]*OtherClients[[#This Row],[Unit Quantity]]</f>
        <v>16200</v>
      </c>
      <c r="H2631" s="60">
        <v>292</v>
      </c>
      <c r="I2631" s="130" t="s">
        <v>278</v>
      </c>
      <c r="J2631" s="131"/>
      <c r="K2631" s="33" t="s">
        <v>278</v>
      </c>
      <c r="L2631" s="132"/>
      <c r="M2631" s="33" t="s">
        <v>278</v>
      </c>
      <c r="N2631" s="132"/>
      <c r="O2631" s="33" t="s">
        <v>278</v>
      </c>
      <c r="P2631" s="132"/>
      <c r="Q2631" s="33" t="s">
        <v>587</v>
      </c>
      <c r="R2631" s="132"/>
      <c r="S2631" s="33" t="s">
        <v>278</v>
      </c>
      <c r="T2631" s="132"/>
      <c r="U2631" s="33" t="s">
        <v>278</v>
      </c>
      <c r="V2631" s="132"/>
      <c r="W2631" s="59" t="s">
        <v>548</v>
      </c>
      <c r="X2631" s="33" t="str">
        <f>+VLOOKUP(OtherClients[[#This Row],[Part]],PartControl!$A$2:$E$564,5,FALSE)</f>
        <v>infasco</v>
      </c>
      <c r="Y2631" s="108">
        <f>IF(OtherClients[[#This Row],[Re-certified or New]]&lt;&gt;"Re-certified",IF(OtherClients[[#This Row],[Client]]="infasco",VLOOKUP(OtherClients[[#This Row],[Part]],PartControl!$A$2:$E$564,2,FALSE),OtherClients[[#This Row],[Total Quantity]]*VLOOKUP(OtherClients[[#This Row],[Part]],PartControl!$A$2:$E$564,2,FALSE)),0)</f>
        <v>106.94</v>
      </c>
      <c r="Z2631" s="108">
        <f>IF(OtherClients[[#This Row],[Re-certified or New]]&lt;&gt;"Re-certified",IF(OtherClients[[#This Row],[Client]]="infasco",VLOOKUP(OtherClients[[#This Row],[Part]],PartControl!$A$2:$E$564,2,FALSE),OtherClients[[#This Row],[Total Quantity]]*VLOOKUP(OtherClients[[#This Row],[Part]],PartControl!$A$2:$E$564,2,FALSE)),0)</f>
        <v>106.94</v>
      </c>
    </row>
    <row r="2632" spans="1:26" ht="25.15" hidden="1" customHeight="1" x14ac:dyDescent="0.25">
      <c r="A2632" s="112">
        <v>46270.626319444447</v>
      </c>
      <c r="B2632" s="5" t="s">
        <v>623</v>
      </c>
      <c r="C2632" s="5" t="s">
        <v>705</v>
      </c>
      <c r="D2632" s="5">
        <v>717023</v>
      </c>
      <c r="E2632" s="33">
        <v>3</v>
      </c>
      <c r="F2632" s="60">
        <v>450</v>
      </c>
      <c r="G2632" s="60">
        <f>+OtherClients[[#This Row],[Boxes / Pieces]]*OtherClients[[#This Row],[Unit Quantity]]</f>
        <v>1350</v>
      </c>
      <c r="H2632" s="60">
        <v>292</v>
      </c>
      <c r="I2632" s="130" t="s">
        <v>278</v>
      </c>
      <c r="J2632" s="131"/>
      <c r="K2632" s="33" t="s">
        <v>278</v>
      </c>
      <c r="L2632" s="132"/>
      <c r="M2632" s="33" t="s">
        <v>278</v>
      </c>
      <c r="N2632" s="132"/>
      <c r="O2632" s="33" t="s">
        <v>278</v>
      </c>
      <c r="P2632" s="132"/>
      <c r="Q2632" s="33" t="s">
        <v>587</v>
      </c>
      <c r="R2632" s="132"/>
      <c r="S2632" s="33" t="s">
        <v>278</v>
      </c>
      <c r="T2632" s="132"/>
      <c r="U2632" s="33" t="s">
        <v>278</v>
      </c>
      <c r="V2632" s="132"/>
      <c r="W2632" s="59" t="s">
        <v>633</v>
      </c>
      <c r="X2632" s="33" t="str">
        <f>+VLOOKUP(OtherClients[[#This Row],[Part]],PartControl!$A$2:$E$564,5,FALSE)</f>
        <v>infasco</v>
      </c>
      <c r="Y2632" s="108">
        <f>IF(OtherClients[[#This Row],[Re-certified or New]]&lt;&gt;"Re-certified",IF(OtherClients[[#This Row],[Client]]="infasco",VLOOKUP(OtherClients[[#This Row],[Part]],PartControl!$A$2:$E$564,2,FALSE),OtherClients[[#This Row],[Total Quantity]]*VLOOKUP(OtherClients[[#This Row],[Part]],PartControl!$A$2:$E$564,2,FALSE)),0)</f>
        <v>0</v>
      </c>
      <c r="Z2632" s="108">
        <f>IF(OtherClients[[#This Row],[Re-certified or New]]&lt;&gt;"Re-certified",IF(OtherClients[[#This Row],[Client]]="infasco",VLOOKUP(OtherClients[[#This Row],[Part]],PartControl!$A$2:$E$564,2,FALSE),OtherClients[[#This Row],[Total Quantity]]*VLOOKUP(OtherClients[[#This Row],[Part]],PartControl!$A$2:$E$564,2,FALSE)),0)</f>
        <v>0</v>
      </c>
    </row>
    <row r="2633" spans="1:26" ht="25.15" hidden="1" customHeight="1" x14ac:dyDescent="0.25">
      <c r="A2633" s="112">
        <v>46270.626319444447</v>
      </c>
      <c r="B2633" s="5" t="s">
        <v>624</v>
      </c>
      <c r="C2633" s="5" t="s">
        <v>705</v>
      </c>
      <c r="D2633" s="5">
        <v>716367</v>
      </c>
      <c r="E2633" s="33">
        <f>36-20</f>
        <v>16</v>
      </c>
      <c r="F2633" s="60">
        <v>450</v>
      </c>
      <c r="G2633" s="60">
        <f>+OtherClients[[#This Row],[Boxes / Pieces]]*OtherClients[[#This Row],[Unit Quantity]]</f>
        <v>7200</v>
      </c>
      <c r="H2633" s="60">
        <v>292</v>
      </c>
      <c r="I2633" s="130" t="s">
        <v>278</v>
      </c>
      <c r="J2633" s="131"/>
      <c r="K2633" s="33" t="s">
        <v>278</v>
      </c>
      <c r="L2633" s="132"/>
      <c r="M2633" s="33" t="s">
        <v>278</v>
      </c>
      <c r="N2633" s="132"/>
      <c r="O2633" s="33" t="s">
        <v>278</v>
      </c>
      <c r="P2633" s="132"/>
      <c r="Q2633" s="33" t="s">
        <v>587</v>
      </c>
      <c r="R2633" s="132"/>
      <c r="S2633" s="33" t="s">
        <v>278</v>
      </c>
      <c r="T2633" s="132"/>
      <c r="U2633" s="33" t="s">
        <v>278</v>
      </c>
      <c r="V2633" s="132"/>
      <c r="W2633" s="59" t="s">
        <v>548</v>
      </c>
      <c r="X2633" s="33" t="str">
        <f>+VLOOKUP(OtherClients[[#This Row],[Part]],PartControl!$A$2:$E$564,5,FALSE)</f>
        <v>infasco</v>
      </c>
      <c r="Y2633" s="108">
        <f>IF(OtherClients[[#This Row],[Re-certified or New]]&lt;&gt;"Re-certified",IF(OtherClients[[#This Row],[Client]]="infasco",VLOOKUP(OtherClients[[#This Row],[Part]],PartControl!$A$2:$E$564,2,FALSE),OtherClients[[#This Row],[Total Quantity]]*VLOOKUP(OtherClients[[#This Row],[Part]],PartControl!$A$2:$E$564,2,FALSE)),0)</f>
        <v>106.94</v>
      </c>
      <c r="Z2633" s="108">
        <f>IF(OtherClients[[#This Row],[Re-certified or New]]&lt;&gt;"Re-certified",IF(OtherClients[[#This Row],[Client]]="infasco",VLOOKUP(OtherClients[[#This Row],[Part]],PartControl!$A$2:$E$564,2,FALSE),OtherClients[[#This Row],[Total Quantity]]*VLOOKUP(OtherClients[[#This Row],[Part]],PartControl!$A$2:$E$564,2,FALSE)),0)</f>
        <v>106.94</v>
      </c>
    </row>
    <row r="2634" spans="1:26" ht="25.15" hidden="1" customHeight="1" x14ac:dyDescent="0.25">
      <c r="A2634" s="112">
        <v>46270.626319444447</v>
      </c>
      <c r="B2634" s="5" t="s">
        <v>624</v>
      </c>
      <c r="C2634" s="5" t="s">
        <v>705</v>
      </c>
      <c r="D2634" s="5">
        <v>717026</v>
      </c>
      <c r="E2634" s="33">
        <v>39</v>
      </c>
      <c r="F2634" s="60">
        <v>450</v>
      </c>
      <c r="G2634" s="60">
        <f>+OtherClients[[#This Row],[Boxes / Pieces]]*OtherClients[[#This Row],[Unit Quantity]]</f>
        <v>17550</v>
      </c>
      <c r="H2634" s="60">
        <v>292</v>
      </c>
      <c r="I2634" s="130" t="s">
        <v>278</v>
      </c>
      <c r="J2634" s="131"/>
      <c r="K2634" s="33" t="s">
        <v>278</v>
      </c>
      <c r="L2634" s="132"/>
      <c r="M2634" s="33" t="s">
        <v>278</v>
      </c>
      <c r="N2634" s="132"/>
      <c r="O2634" s="33" t="s">
        <v>278</v>
      </c>
      <c r="P2634" s="132"/>
      <c r="Q2634" s="33" t="s">
        <v>587</v>
      </c>
      <c r="R2634" s="132"/>
      <c r="S2634" s="33" t="s">
        <v>278</v>
      </c>
      <c r="T2634" s="132"/>
      <c r="U2634" s="33" t="s">
        <v>278</v>
      </c>
      <c r="V2634" s="132"/>
      <c r="W2634" s="59" t="s">
        <v>548</v>
      </c>
      <c r="X2634" s="33" t="str">
        <f>+VLOOKUP(OtherClients[[#This Row],[Part]],PartControl!$A$2:$E$564,5,FALSE)</f>
        <v>infasco</v>
      </c>
      <c r="Y2634" s="108">
        <f>IF(OtherClients[[#This Row],[Re-certified or New]]&lt;&gt;"Re-certified",IF(OtherClients[[#This Row],[Client]]="infasco",VLOOKUP(OtherClients[[#This Row],[Part]],PartControl!$A$2:$E$564,2,FALSE),OtherClients[[#This Row],[Total Quantity]]*VLOOKUP(OtherClients[[#This Row],[Part]],PartControl!$A$2:$E$564,2,FALSE)),0)</f>
        <v>106.94</v>
      </c>
      <c r="Z2634" s="108">
        <f>IF(OtherClients[[#This Row],[Re-certified or New]]&lt;&gt;"Re-certified",IF(OtherClients[[#This Row],[Client]]="infasco",VLOOKUP(OtherClients[[#This Row],[Part]],PartControl!$A$2:$E$564,2,FALSE),OtherClients[[#This Row],[Total Quantity]]*VLOOKUP(OtherClients[[#This Row],[Part]],PartControl!$A$2:$E$564,2,FALSE)),0)</f>
        <v>106.94</v>
      </c>
    </row>
    <row r="2635" spans="1:26" ht="25.15" hidden="1" customHeight="1" x14ac:dyDescent="0.25">
      <c r="A2635" s="112">
        <v>46270.626319444447</v>
      </c>
      <c r="B2635" s="5" t="s">
        <v>624</v>
      </c>
      <c r="C2635" s="5" t="s">
        <v>705</v>
      </c>
      <c r="D2635" s="5">
        <v>717017</v>
      </c>
      <c r="E2635" s="33">
        <v>36</v>
      </c>
      <c r="F2635" s="60">
        <v>450</v>
      </c>
      <c r="G2635" s="60">
        <f>+OtherClients[[#This Row],[Boxes / Pieces]]*OtherClients[[#This Row],[Unit Quantity]]</f>
        <v>16200</v>
      </c>
      <c r="H2635" s="60">
        <v>292</v>
      </c>
      <c r="I2635" s="130" t="s">
        <v>278</v>
      </c>
      <c r="J2635" s="131"/>
      <c r="K2635" s="33" t="s">
        <v>278</v>
      </c>
      <c r="L2635" s="132"/>
      <c r="M2635" s="33" t="s">
        <v>278</v>
      </c>
      <c r="N2635" s="132"/>
      <c r="O2635" s="33" t="s">
        <v>278</v>
      </c>
      <c r="P2635" s="132"/>
      <c r="Q2635" s="33" t="s">
        <v>587</v>
      </c>
      <c r="R2635" s="132"/>
      <c r="S2635" s="33" t="s">
        <v>278</v>
      </c>
      <c r="T2635" s="132"/>
      <c r="U2635" s="33" t="s">
        <v>278</v>
      </c>
      <c r="V2635" s="132"/>
      <c r="W2635" s="59" t="s">
        <v>548</v>
      </c>
      <c r="X2635" s="33" t="str">
        <f>+VLOOKUP(OtherClients[[#This Row],[Part]],PartControl!$A$2:$E$564,5,FALSE)</f>
        <v>infasco</v>
      </c>
      <c r="Y2635" s="108">
        <f>IF(OtherClients[[#This Row],[Re-certified or New]]&lt;&gt;"Re-certified",IF(OtherClients[[#This Row],[Client]]="infasco",VLOOKUP(OtherClients[[#This Row],[Part]],PartControl!$A$2:$E$564,2,FALSE),OtherClients[[#This Row],[Total Quantity]]*VLOOKUP(OtherClients[[#This Row],[Part]],PartControl!$A$2:$E$564,2,FALSE)),0)</f>
        <v>106.94</v>
      </c>
      <c r="Z2635" s="108">
        <f>IF(OtherClients[[#This Row],[Re-certified or New]]&lt;&gt;"Re-certified",IF(OtherClients[[#This Row],[Client]]="infasco",VLOOKUP(OtherClients[[#This Row],[Part]],PartControl!$A$2:$E$564,2,FALSE),OtherClients[[#This Row],[Total Quantity]]*VLOOKUP(OtherClients[[#This Row],[Part]],PartControl!$A$2:$E$564,2,FALSE)),0)</f>
        <v>106.94</v>
      </c>
    </row>
    <row r="2636" spans="1:26" ht="25.15" hidden="1" customHeight="1" x14ac:dyDescent="0.25">
      <c r="A2636" s="112">
        <v>46270.626319444447</v>
      </c>
      <c r="B2636" s="5" t="s">
        <v>246</v>
      </c>
      <c r="C2636" s="5">
        <v>11546462</v>
      </c>
      <c r="D2636" s="5">
        <v>718225</v>
      </c>
      <c r="E2636" s="33">
        <v>36</v>
      </c>
      <c r="F2636" s="60">
        <v>650</v>
      </c>
      <c r="G2636" s="60">
        <f>+OtherClients[[#This Row],[Boxes / Pieces]]*OtherClients[[#This Row],[Unit Quantity]]</f>
        <v>23400</v>
      </c>
      <c r="H2636" s="60">
        <v>292</v>
      </c>
      <c r="I2636" s="130" t="s">
        <v>278</v>
      </c>
      <c r="J2636" s="131"/>
      <c r="K2636" s="33" t="s">
        <v>278</v>
      </c>
      <c r="L2636" s="132"/>
      <c r="M2636" s="33" t="s">
        <v>278</v>
      </c>
      <c r="N2636" s="132"/>
      <c r="O2636" s="33" t="s">
        <v>278</v>
      </c>
      <c r="P2636" s="132"/>
      <c r="Q2636" s="33" t="s">
        <v>587</v>
      </c>
      <c r="R2636" s="132"/>
      <c r="S2636" s="33" t="s">
        <v>278</v>
      </c>
      <c r="T2636" s="132"/>
      <c r="U2636" s="33" t="s">
        <v>278</v>
      </c>
      <c r="V2636" s="132"/>
      <c r="W2636" s="59" t="s">
        <v>548</v>
      </c>
      <c r="X2636" s="33" t="str">
        <f>+VLOOKUP(OtherClients[[#This Row],[Part]],PartControl!$A$2:$E$564,5,FALSE)</f>
        <v>INFASCO</v>
      </c>
      <c r="Y2636" s="108">
        <f>IF(OtherClients[[#This Row],[Re-certified or New]]&lt;&gt;"Re-certified",IF(OtherClients[[#This Row],[Client]]="infasco",VLOOKUP(OtherClients[[#This Row],[Part]],PartControl!$A$2:$E$564,2,FALSE),OtherClients[[#This Row],[Total Quantity]]*VLOOKUP(OtherClients[[#This Row],[Part]],PartControl!$A$2:$E$564,2,FALSE)),0)</f>
        <v>106.94</v>
      </c>
      <c r="Z2636" s="108">
        <f>IF(OtherClients[[#This Row],[Re-certified or New]]&lt;&gt;"Re-certified",IF(OtherClients[[#This Row],[Client]]="infasco",VLOOKUP(OtherClients[[#This Row],[Part]],PartControl!$A$2:$E$564,2,FALSE),OtherClients[[#This Row],[Total Quantity]]*VLOOKUP(OtherClients[[#This Row],[Part]],PartControl!$A$2:$E$564,2,FALSE)),0)</f>
        <v>106.94</v>
      </c>
    </row>
    <row r="2637" spans="1:26" ht="25.15" hidden="1" customHeight="1" x14ac:dyDescent="0.25">
      <c r="A2637" s="112">
        <v>46270.626319444447</v>
      </c>
      <c r="B2637" s="5" t="s">
        <v>246</v>
      </c>
      <c r="C2637" s="5" t="s">
        <v>732</v>
      </c>
      <c r="D2637" s="5">
        <v>710828</v>
      </c>
      <c r="E2637" s="33">
        <v>9</v>
      </c>
      <c r="F2637" s="60">
        <v>1000</v>
      </c>
      <c r="G2637" s="60">
        <f>+OtherClients[[#This Row],[Boxes / Pieces]]*OtherClients[[#This Row],[Unit Quantity]]</f>
        <v>9000</v>
      </c>
      <c r="H2637" s="60">
        <v>240</v>
      </c>
      <c r="I2637" s="130" t="s">
        <v>278</v>
      </c>
      <c r="J2637" s="131"/>
      <c r="K2637" s="33" t="s">
        <v>278</v>
      </c>
      <c r="L2637" s="132"/>
      <c r="M2637" s="33" t="s">
        <v>278</v>
      </c>
      <c r="N2637" s="132"/>
      <c r="O2637" s="33" t="s">
        <v>278</v>
      </c>
      <c r="P2637" s="132"/>
      <c r="Q2637" s="33" t="s">
        <v>587</v>
      </c>
      <c r="R2637" s="132"/>
      <c r="S2637" s="33" t="s">
        <v>278</v>
      </c>
      <c r="T2637" s="132"/>
      <c r="U2637" s="33" t="s">
        <v>278</v>
      </c>
      <c r="V2637" s="132"/>
      <c r="W2637" s="59" t="s">
        <v>633</v>
      </c>
      <c r="X2637" s="33" t="str">
        <f>+VLOOKUP(OtherClients[[#This Row],[Part]],PartControl!$A$2:$E$564,5,FALSE)</f>
        <v>infasco</v>
      </c>
      <c r="Y2637" s="108">
        <f>IF(OtherClients[[#This Row],[Re-certified or New]]&lt;&gt;"Re-certified",IF(OtherClients[[#This Row],[Client]]="infasco",VLOOKUP(OtherClients[[#This Row],[Part]],PartControl!$A$2:$E$564,2,FALSE),OtherClients[[#This Row],[Total Quantity]]*VLOOKUP(OtherClients[[#This Row],[Part]],PartControl!$A$2:$E$564,2,FALSE)),0)</f>
        <v>0</v>
      </c>
      <c r="Z2637" s="108">
        <f>IF(OtherClients[[#This Row],[Re-certified or New]]&lt;&gt;"Re-certified",IF(OtherClients[[#This Row],[Client]]="infasco",VLOOKUP(OtherClients[[#This Row],[Part]],PartControl!$A$2:$E$564,2,FALSE),OtherClients[[#This Row],[Total Quantity]]*VLOOKUP(OtherClients[[#This Row],[Part]],PartControl!$A$2:$E$564,2,FALSE)),0)</f>
        <v>0</v>
      </c>
    </row>
    <row r="2638" spans="1:26" ht="25.15" hidden="1" customHeight="1" x14ac:dyDescent="0.25">
      <c r="A2638" s="112">
        <v>46270.626319444447</v>
      </c>
      <c r="B2638" s="5" t="s">
        <v>357</v>
      </c>
      <c r="C2638" s="5">
        <v>11546545</v>
      </c>
      <c r="D2638" s="5">
        <v>718231</v>
      </c>
      <c r="E2638" s="33">
        <f>36-24</f>
        <v>12</v>
      </c>
      <c r="F2638" s="60">
        <v>2500</v>
      </c>
      <c r="G2638" s="60">
        <f>+OtherClients[[#This Row],[Boxes / Pieces]]*OtherClients[[#This Row],[Unit Quantity]]</f>
        <v>30000</v>
      </c>
      <c r="H2638" s="60">
        <v>280</v>
      </c>
      <c r="I2638" s="130" t="s">
        <v>278</v>
      </c>
      <c r="J2638" s="131"/>
      <c r="K2638" s="33" t="s">
        <v>278</v>
      </c>
      <c r="L2638" s="132"/>
      <c r="M2638" s="33" t="s">
        <v>278</v>
      </c>
      <c r="N2638" s="132"/>
      <c r="O2638" s="33" t="s">
        <v>278</v>
      </c>
      <c r="P2638" s="132"/>
      <c r="Q2638" s="33" t="s">
        <v>587</v>
      </c>
      <c r="R2638" s="132"/>
      <c r="S2638" s="33" t="s">
        <v>278</v>
      </c>
      <c r="T2638" s="132"/>
      <c r="U2638" s="33" t="s">
        <v>278</v>
      </c>
      <c r="V2638" s="132"/>
      <c r="W2638" s="59" t="s">
        <v>548</v>
      </c>
      <c r="X2638" s="33" t="str">
        <f>+VLOOKUP(OtherClients[[#This Row],[Part]],PartControl!$A$2:$E$564,5,FALSE)</f>
        <v>infasco</v>
      </c>
      <c r="Y2638" s="108">
        <f>IF(OtherClients[[#This Row],[Re-certified or New]]&lt;&gt;"Re-certified",IF(OtherClients[[#This Row],[Client]]="infasco",VLOOKUP(OtherClients[[#This Row],[Part]],PartControl!$A$2:$E$564,2,FALSE),OtherClients[[#This Row],[Total Quantity]]*VLOOKUP(OtherClients[[#This Row],[Part]],PartControl!$A$2:$E$564,2,FALSE)),0)</f>
        <v>106.94</v>
      </c>
      <c r="Z2638" s="108">
        <f>IF(OtherClients[[#This Row],[Re-certified or New]]&lt;&gt;"Re-certified",IF(OtherClients[[#This Row],[Client]]="infasco",VLOOKUP(OtherClients[[#This Row],[Part]],PartControl!$A$2:$E$564,2,FALSE),OtherClients[[#This Row],[Total Quantity]]*VLOOKUP(OtherClients[[#This Row],[Part]],PartControl!$A$2:$E$564,2,FALSE)),0)</f>
        <v>106.94</v>
      </c>
    </row>
    <row r="2639" spans="1:26" ht="25.15" hidden="1" customHeight="1" x14ac:dyDescent="0.25">
      <c r="A2639" s="112">
        <v>46270.626319444447</v>
      </c>
      <c r="B2639" s="5" t="s">
        <v>357</v>
      </c>
      <c r="C2639" s="5">
        <v>11546545</v>
      </c>
      <c r="D2639" s="5">
        <v>718237</v>
      </c>
      <c r="E2639" s="33">
        <v>37</v>
      </c>
      <c r="F2639" s="60">
        <v>2500</v>
      </c>
      <c r="G2639" s="60">
        <f>+OtherClients[[#This Row],[Boxes / Pieces]]*OtherClients[[#This Row],[Unit Quantity]]</f>
        <v>92500</v>
      </c>
      <c r="H2639" s="60">
        <v>280</v>
      </c>
      <c r="I2639" s="130" t="s">
        <v>278</v>
      </c>
      <c r="J2639" s="131"/>
      <c r="K2639" s="33" t="s">
        <v>278</v>
      </c>
      <c r="L2639" s="132"/>
      <c r="M2639" s="33" t="s">
        <v>278</v>
      </c>
      <c r="N2639" s="132"/>
      <c r="O2639" s="33" t="s">
        <v>278</v>
      </c>
      <c r="P2639" s="132"/>
      <c r="Q2639" s="33" t="s">
        <v>587</v>
      </c>
      <c r="R2639" s="132"/>
      <c r="S2639" s="33" t="s">
        <v>278</v>
      </c>
      <c r="T2639" s="132"/>
      <c r="U2639" s="33" t="s">
        <v>278</v>
      </c>
      <c r="V2639" s="132"/>
      <c r="W2639" s="59" t="s">
        <v>548</v>
      </c>
      <c r="X2639" s="33" t="str">
        <f>+VLOOKUP(OtherClients[[#This Row],[Part]],PartControl!$A$2:$E$564,5,FALSE)</f>
        <v>infasco</v>
      </c>
      <c r="Y2639" s="108">
        <f>IF(OtherClients[[#This Row],[Re-certified or New]]&lt;&gt;"Re-certified",IF(OtherClients[[#This Row],[Client]]="infasco",VLOOKUP(OtherClients[[#This Row],[Part]],PartControl!$A$2:$E$564,2,FALSE),OtherClients[[#This Row],[Total Quantity]]*VLOOKUP(OtherClients[[#This Row],[Part]],PartControl!$A$2:$E$564,2,FALSE)),0)</f>
        <v>106.94</v>
      </c>
      <c r="Z2639" s="108">
        <f>IF(OtherClients[[#This Row],[Re-certified or New]]&lt;&gt;"Re-certified",IF(OtherClients[[#This Row],[Client]]="infasco",VLOOKUP(OtherClients[[#This Row],[Part]],PartControl!$A$2:$E$564,2,FALSE),OtherClients[[#This Row],[Total Quantity]]*VLOOKUP(OtherClients[[#This Row],[Part]],PartControl!$A$2:$E$564,2,FALSE)),0)</f>
        <v>106.94</v>
      </c>
    </row>
    <row r="2640" spans="1:26" ht="25.15" hidden="1" customHeight="1" x14ac:dyDescent="0.25">
      <c r="A2640" s="112">
        <v>46270.626319444447</v>
      </c>
      <c r="B2640" s="5" t="s">
        <v>634</v>
      </c>
      <c r="C2640" s="5" t="s">
        <v>848</v>
      </c>
      <c r="D2640" s="5">
        <v>717764</v>
      </c>
      <c r="E2640" s="33">
        <f>29-16</f>
        <v>13</v>
      </c>
      <c r="F2640" s="60">
        <v>3200</v>
      </c>
      <c r="G2640" s="60">
        <f>+OtherClients[[#This Row],[Boxes / Pieces]]*OtherClients[[#This Row],[Unit Quantity]]</f>
        <v>41600</v>
      </c>
      <c r="H2640" s="60">
        <v>280</v>
      </c>
      <c r="I2640" s="130" t="s">
        <v>278</v>
      </c>
      <c r="J2640" s="131"/>
      <c r="K2640" s="33" t="s">
        <v>278</v>
      </c>
      <c r="L2640" s="132"/>
      <c r="M2640" s="33" t="s">
        <v>278</v>
      </c>
      <c r="N2640" s="132"/>
      <c r="O2640" s="33" t="s">
        <v>278</v>
      </c>
      <c r="P2640" s="132"/>
      <c r="Q2640" s="33" t="s">
        <v>587</v>
      </c>
      <c r="R2640" s="132"/>
      <c r="S2640" s="33" t="s">
        <v>278</v>
      </c>
      <c r="T2640" s="132"/>
      <c r="U2640" s="33" t="s">
        <v>278</v>
      </c>
      <c r="V2640" s="132"/>
      <c r="W2640" s="59" t="s">
        <v>633</v>
      </c>
      <c r="X2640" s="33" t="str">
        <f>+VLOOKUP(OtherClients[[#This Row],[Part]],PartControl!$A$2:$E$564,5,FALSE)</f>
        <v>infasco</v>
      </c>
      <c r="Y2640" s="108">
        <f>IF(OtherClients[[#This Row],[Re-certified or New]]&lt;&gt;"Re-certified",IF(OtherClients[[#This Row],[Client]]="infasco",VLOOKUP(OtherClients[[#This Row],[Part]],PartControl!$A$2:$E$564,2,FALSE),OtherClients[[#This Row],[Total Quantity]]*VLOOKUP(OtherClients[[#This Row],[Part]],PartControl!$A$2:$E$564,2,FALSE)),0)</f>
        <v>0</v>
      </c>
      <c r="Z2640" s="108">
        <f>IF(OtherClients[[#This Row],[Re-certified or New]]&lt;&gt;"Re-certified",IF(OtherClients[[#This Row],[Client]]="infasco",VLOOKUP(OtherClients[[#This Row],[Part]],PartControl!$A$2:$E$564,2,FALSE),OtherClients[[#This Row],[Total Quantity]]*VLOOKUP(OtherClients[[#This Row],[Part]],PartControl!$A$2:$E$564,2,FALSE)),0)</f>
        <v>0</v>
      </c>
    </row>
    <row r="2641" spans="1:26" ht="25.15" hidden="1" customHeight="1" x14ac:dyDescent="0.25">
      <c r="A2641" s="112">
        <v>46270.626319444447</v>
      </c>
      <c r="B2641" s="5" t="s">
        <v>635</v>
      </c>
      <c r="C2641" s="5" t="s">
        <v>848</v>
      </c>
      <c r="D2641" s="5">
        <v>717767</v>
      </c>
      <c r="E2641" s="33">
        <f>35-20</f>
        <v>15</v>
      </c>
      <c r="F2641" s="60">
        <v>3200</v>
      </c>
      <c r="G2641" s="60">
        <f>+OtherClients[[#This Row],[Boxes / Pieces]]*OtherClients[[#This Row],[Unit Quantity]]</f>
        <v>48000</v>
      </c>
      <c r="H2641" s="60">
        <v>280</v>
      </c>
      <c r="I2641" s="130" t="s">
        <v>278</v>
      </c>
      <c r="J2641" s="131"/>
      <c r="K2641" s="33" t="s">
        <v>278</v>
      </c>
      <c r="L2641" s="132"/>
      <c r="M2641" s="33" t="s">
        <v>278</v>
      </c>
      <c r="N2641" s="132"/>
      <c r="O2641" s="33" t="s">
        <v>278</v>
      </c>
      <c r="P2641" s="132"/>
      <c r="Q2641" s="33" t="s">
        <v>587</v>
      </c>
      <c r="R2641" s="132"/>
      <c r="S2641" s="33" t="s">
        <v>278</v>
      </c>
      <c r="T2641" s="132"/>
      <c r="U2641" s="33" t="s">
        <v>278</v>
      </c>
      <c r="V2641" s="132"/>
      <c r="W2641" s="59" t="s">
        <v>633</v>
      </c>
      <c r="X2641" s="33" t="str">
        <f>+VLOOKUP(OtherClients[[#This Row],[Part]],PartControl!$A$2:$E$564,5,FALSE)</f>
        <v>infasco</v>
      </c>
      <c r="Y2641" s="108">
        <f>IF(OtherClients[[#This Row],[Re-certified or New]]&lt;&gt;"Re-certified",IF(OtherClients[[#This Row],[Client]]="infasco",VLOOKUP(OtherClients[[#This Row],[Part]],PartControl!$A$2:$E$564,2,FALSE),OtherClients[[#This Row],[Total Quantity]]*VLOOKUP(OtherClients[[#This Row],[Part]],PartControl!$A$2:$E$564,2,FALSE)),0)</f>
        <v>0</v>
      </c>
      <c r="Z2641" s="108">
        <f>IF(OtherClients[[#This Row],[Re-certified or New]]&lt;&gt;"Re-certified",IF(OtherClients[[#This Row],[Client]]="infasco",VLOOKUP(OtherClients[[#This Row],[Part]],PartControl!$A$2:$E$564,2,FALSE),OtherClients[[#This Row],[Total Quantity]]*VLOOKUP(OtherClients[[#This Row],[Part]],PartControl!$A$2:$E$564,2,FALSE)),0)</f>
        <v>0</v>
      </c>
    </row>
    <row r="2642" spans="1:26" ht="25.15" hidden="1" customHeight="1" x14ac:dyDescent="0.25">
      <c r="A2642" s="112">
        <v>46270.626319444447</v>
      </c>
      <c r="B2642" s="5" t="s">
        <v>637</v>
      </c>
      <c r="C2642" s="5">
        <v>11546545</v>
      </c>
      <c r="D2642" s="5">
        <v>718239</v>
      </c>
      <c r="E2642" s="33">
        <v>36</v>
      </c>
      <c r="F2642" s="60">
        <v>2500</v>
      </c>
      <c r="G2642" s="60">
        <f>+OtherClients[[#This Row],[Boxes / Pieces]]*OtherClients[[#This Row],[Unit Quantity]]</f>
        <v>90000</v>
      </c>
      <c r="H2642" s="60">
        <v>280</v>
      </c>
      <c r="I2642" s="130" t="s">
        <v>278</v>
      </c>
      <c r="J2642" s="131"/>
      <c r="K2642" s="33" t="s">
        <v>278</v>
      </c>
      <c r="L2642" s="132"/>
      <c r="M2642" s="33" t="s">
        <v>278</v>
      </c>
      <c r="N2642" s="132"/>
      <c r="O2642" s="33" t="s">
        <v>278</v>
      </c>
      <c r="P2642" s="132"/>
      <c r="Q2642" s="33" t="s">
        <v>587</v>
      </c>
      <c r="R2642" s="132"/>
      <c r="S2642" s="33" t="s">
        <v>278</v>
      </c>
      <c r="T2642" s="132"/>
      <c r="U2642" s="33" t="s">
        <v>278</v>
      </c>
      <c r="V2642" s="132"/>
      <c r="W2642" s="59" t="s">
        <v>548</v>
      </c>
      <c r="X2642" s="33" t="str">
        <f>+VLOOKUP(OtherClients[[#This Row],[Part]],PartControl!$A$2:$E$564,5,FALSE)</f>
        <v>infasco</v>
      </c>
      <c r="Y2642" s="108">
        <f>IF(OtherClients[[#This Row],[Re-certified or New]]&lt;&gt;"Re-certified",IF(OtherClients[[#This Row],[Client]]="infasco",VLOOKUP(OtherClients[[#This Row],[Part]],PartControl!$A$2:$E$564,2,FALSE),OtherClients[[#This Row],[Total Quantity]]*VLOOKUP(OtherClients[[#This Row],[Part]],PartControl!$A$2:$E$564,2,FALSE)),0)</f>
        <v>106.94</v>
      </c>
      <c r="Z2642" s="108">
        <f>IF(OtherClients[[#This Row],[Re-certified or New]]&lt;&gt;"Re-certified",IF(OtherClients[[#This Row],[Client]]="infasco",VLOOKUP(OtherClients[[#This Row],[Part]],PartControl!$A$2:$E$564,2,FALSE),OtherClients[[#This Row],[Total Quantity]]*VLOOKUP(OtherClients[[#This Row],[Part]],PartControl!$A$2:$E$564,2,FALSE)),0)</f>
        <v>106.94</v>
      </c>
    </row>
    <row r="2643" spans="1:26" ht="25.15" hidden="1" customHeight="1" x14ac:dyDescent="0.25">
      <c r="A2643" s="112">
        <v>46270.626319444447</v>
      </c>
      <c r="B2643" s="5" t="s">
        <v>637</v>
      </c>
      <c r="C2643" s="5">
        <v>11546545</v>
      </c>
      <c r="D2643" s="5">
        <v>718236</v>
      </c>
      <c r="E2643" s="33">
        <v>34</v>
      </c>
      <c r="F2643" s="60">
        <v>2500</v>
      </c>
      <c r="G2643" s="60">
        <f>+OtherClients[[#This Row],[Boxes / Pieces]]*OtherClients[[#This Row],[Unit Quantity]]</f>
        <v>85000</v>
      </c>
      <c r="H2643" s="60">
        <v>280</v>
      </c>
      <c r="I2643" s="130" t="s">
        <v>278</v>
      </c>
      <c r="J2643" s="131"/>
      <c r="K2643" s="33" t="s">
        <v>278</v>
      </c>
      <c r="L2643" s="132"/>
      <c r="M2643" s="33" t="s">
        <v>278</v>
      </c>
      <c r="N2643" s="132"/>
      <c r="O2643" s="33" t="s">
        <v>278</v>
      </c>
      <c r="P2643" s="132"/>
      <c r="Q2643" s="33" t="s">
        <v>587</v>
      </c>
      <c r="R2643" s="132"/>
      <c r="S2643" s="33" t="s">
        <v>278</v>
      </c>
      <c r="T2643" s="132"/>
      <c r="U2643" s="33" t="s">
        <v>278</v>
      </c>
      <c r="V2643" s="132"/>
      <c r="W2643" s="59" t="s">
        <v>548</v>
      </c>
      <c r="X2643" s="33" t="str">
        <f>+VLOOKUP(OtherClients[[#This Row],[Part]],PartControl!$A$2:$E$564,5,FALSE)</f>
        <v>infasco</v>
      </c>
      <c r="Y2643" s="108">
        <f>IF(OtherClients[[#This Row],[Re-certified or New]]&lt;&gt;"Re-certified",IF(OtherClients[[#This Row],[Client]]="infasco",VLOOKUP(OtherClients[[#This Row],[Part]],PartControl!$A$2:$E$564,2,FALSE),OtherClients[[#This Row],[Total Quantity]]*VLOOKUP(OtherClients[[#This Row],[Part]],PartControl!$A$2:$E$564,2,FALSE)),0)</f>
        <v>106.94</v>
      </c>
      <c r="Z2643" s="108">
        <f>IF(OtherClients[[#This Row],[Re-certified or New]]&lt;&gt;"Re-certified",IF(OtherClients[[#This Row],[Client]]="infasco",VLOOKUP(OtherClients[[#This Row],[Part]],PartControl!$A$2:$E$564,2,FALSE),OtherClients[[#This Row],[Total Quantity]]*VLOOKUP(OtherClients[[#This Row],[Part]],PartControl!$A$2:$E$564,2,FALSE)),0)</f>
        <v>106.94</v>
      </c>
    </row>
    <row r="2644" spans="1:26" ht="25.15" hidden="1" customHeight="1" x14ac:dyDescent="0.25">
      <c r="A2644" s="112">
        <v>46270.626319444447</v>
      </c>
      <c r="B2644" s="5" t="s">
        <v>636</v>
      </c>
      <c r="C2644" s="5" t="s">
        <v>15</v>
      </c>
      <c r="D2644" s="5">
        <v>717532</v>
      </c>
      <c r="E2644" s="33">
        <f>31-27</f>
        <v>4</v>
      </c>
      <c r="F2644" s="60">
        <v>1200</v>
      </c>
      <c r="G2644" s="60">
        <f>+OtherClients[[#This Row],[Boxes / Pieces]]*OtherClients[[#This Row],[Unit Quantity]]</f>
        <v>4800</v>
      </c>
      <c r="H2644" s="60">
        <v>280</v>
      </c>
      <c r="I2644" s="130" t="s">
        <v>278</v>
      </c>
      <c r="J2644" s="131"/>
      <c r="K2644" s="33" t="s">
        <v>278</v>
      </c>
      <c r="L2644" s="132"/>
      <c r="M2644" s="33" t="s">
        <v>278</v>
      </c>
      <c r="N2644" s="132"/>
      <c r="O2644" s="33" t="s">
        <v>278</v>
      </c>
      <c r="P2644" s="132"/>
      <c r="Q2644" s="33" t="s">
        <v>587</v>
      </c>
      <c r="R2644" s="132"/>
      <c r="S2644" s="33" t="s">
        <v>278</v>
      </c>
      <c r="T2644" s="132"/>
      <c r="U2644" s="33" t="s">
        <v>278</v>
      </c>
      <c r="V2644" s="132"/>
      <c r="W2644" s="59" t="s">
        <v>548</v>
      </c>
      <c r="X2644" s="33" t="str">
        <f>+VLOOKUP(OtherClients[[#This Row],[Part]],PartControl!$A$2:$E$564,5,FALSE)</f>
        <v>infasco</v>
      </c>
      <c r="Y2644" s="108">
        <f>IF(OtherClients[[#This Row],[Re-certified or New]]&lt;&gt;"Re-certified",IF(OtherClients[[#This Row],[Client]]="infasco",VLOOKUP(OtherClients[[#This Row],[Part]],PartControl!$A$2:$E$564,2,FALSE),OtherClients[[#This Row],[Total Quantity]]*VLOOKUP(OtherClients[[#This Row],[Part]],PartControl!$A$2:$E$564,2,FALSE)),0)</f>
        <v>106.94</v>
      </c>
      <c r="Z2644" s="108">
        <f>IF(OtherClients[[#This Row],[Re-certified or New]]&lt;&gt;"Re-certified",IF(OtherClients[[#This Row],[Client]]="infasco",VLOOKUP(OtherClients[[#This Row],[Part]],PartControl!$A$2:$E$564,2,FALSE),OtherClients[[#This Row],[Total Quantity]]*VLOOKUP(OtherClients[[#This Row],[Part]],PartControl!$A$2:$E$564,2,FALSE)),0)</f>
        <v>106.94</v>
      </c>
    </row>
    <row r="2645" spans="1:26" ht="25.15" hidden="1" customHeight="1" x14ac:dyDescent="0.25">
      <c r="A2645" s="112">
        <v>46270.626319444447</v>
      </c>
      <c r="B2645" s="5" t="s">
        <v>636</v>
      </c>
      <c r="C2645" s="5" t="s">
        <v>703</v>
      </c>
      <c r="D2645" s="5">
        <v>716373</v>
      </c>
      <c r="E2645" s="33">
        <v>22</v>
      </c>
      <c r="F2645" s="60">
        <v>700</v>
      </c>
      <c r="G2645" s="60">
        <f>+OtherClients[[#This Row],[Boxes / Pieces]]*OtherClients[[#This Row],[Unit Quantity]]</f>
        <v>15400</v>
      </c>
      <c r="H2645" s="60">
        <v>280</v>
      </c>
      <c r="I2645" s="130" t="s">
        <v>278</v>
      </c>
      <c r="J2645" s="131"/>
      <c r="K2645" s="33" t="s">
        <v>278</v>
      </c>
      <c r="L2645" s="132"/>
      <c r="M2645" s="33" t="s">
        <v>278</v>
      </c>
      <c r="N2645" s="132"/>
      <c r="O2645" s="33" t="s">
        <v>278</v>
      </c>
      <c r="P2645" s="132"/>
      <c r="Q2645" s="33" t="s">
        <v>587</v>
      </c>
      <c r="R2645" s="132"/>
      <c r="S2645" s="33" t="s">
        <v>278</v>
      </c>
      <c r="T2645" s="132"/>
      <c r="U2645" s="33" t="s">
        <v>278</v>
      </c>
      <c r="V2645" s="132"/>
      <c r="W2645" s="59" t="s">
        <v>633</v>
      </c>
      <c r="X2645" s="33" t="str">
        <f>+VLOOKUP(OtherClients[[#This Row],[Part]],PartControl!$A$2:$E$564,5,FALSE)</f>
        <v>infasco</v>
      </c>
      <c r="Y2645" s="108">
        <f>IF(OtherClients[[#This Row],[Re-certified or New]]&lt;&gt;"Re-certified",IF(OtherClients[[#This Row],[Client]]="infasco",VLOOKUP(OtherClients[[#This Row],[Part]],PartControl!$A$2:$E$564,2,FALSE),OtherClients[[#This Row],[Total Quantity]]*VLOOKUP(OtherClients[[#This Row],[Part]],PartControl!$A$2:$E$564,2,FALSE)),0)</f>
        <v>0</v>
      </c>
      <c r="Z2645" s="108">
        <f>IF(OtherClients[[#This Row],[Re-certified or New]]&lt;&gt;"Re-certified",IF(OtherClients[[#This Row],[Client]]="infasco",VLOOKUP(OtherClients[[#This Row],[Part]],PartControl!$A$2:$E$564,2,FALSE),OtherClients[[#This Row],[Total Quantity]]*VLOOKUP(OtherClients[[#This Row],[Part]],PartControl!$A$2:$E$564,2,FALSE)),0)</f>
        <v>0</v>
      </c>
    </row>
    <row r="2646" spans="1:26" ht="25.15" hidden="1" customHeight="1" x14ac:dyDescent="0.25">
      <c r="A2646" s="112">
        <v>46270.626319444447</v>
      </c>
      <c r="B2646" s="5" t="s">
        <v>342</v>
      </c>
      <c r="C2646" s="5" t="s">
        <v>917</v>
      </c>
      <c r="D2646" s="5">
        <v>713803</v>
      </c>
      <c r="E2646" s="33">
        <f>36-1</f>
        <v>35</v>
      </c>
      <c r="F2646" s="60">
        <v>1250</v>
      </c>
      <c r="G2646" s="60">
        <f>+OtherClients[[#This Row],[Boxes / Pieces]]*OtherClients[[#This Row],[Unit Quantity]]</f>
        <v>43750</v>
      </c>
      <c r="H2646" s="60" t="s">
        <v>893</v>
      </c>
      <c r="I2646" s="130" t="s">
        <v>278</v>
      </c>
      <c r="J2646" s="131"/>
      <c r="K2646" s="33" t="s">
        <v>278</v>
      </c>
      <c r="L2646" s="132"/>
      <c r="M2646" s="33" t="s">
        <v>278</v>
      </c>
      <c r="N2646" s="132"/>
      <c r="O2646" s="33" t="s">
        <v>278</v>
      </c>
      <c r="P2646" s="132"/>
      <c r="Q2646" s="33" t="s">
        <v>587</v>
      </c>
      <c r="R2646" s="132"/>
      <c r="S2646" s="33" t="s">
        <v>278</v>
      </c>
      <c r="T2646" s="132"/>
      <c r="U2646" s="33" t="s">
        <v>278</v>
      </c>
      <c r="V2646" s="132"/>
      <c r="W2646" s="59" t="s">
        <v>548</v>
      </c>
      <c r="X2646" s="33" t="str">
        <f>+VLOOKUP(OtherClients[[#This Row],[Part]],PartControl!$A$2:$E$564,5,FALSE)</f>
        <v>infasco</v>
      </c>
      <c r="Y2646" s="108">
        <f>IF(OtherClients[[#This Row],[Re-certified or New]]&lt;&gt;"Re-certified",IF(OtherClients[[#This Row],[Client]]="infasco",VLOOKUP(OtherClients[[#This Row],[Part]],PartControl!$A$2:$E$564,2,FALSE),OtherClients[[#This Row],[Total Quantity]]*VLOOKUP(OtherClients[[#This Row],[Part]],PartControl!$A$2:$E$564,2,FALSE)),0)</f>
        <v>106.94</v>
      </c>
      <c r="Z2646" s="108">
        <f>IF(OtherClients[[#This Row],[Re-certified or New]]&lt;&gt;"Re-certified",IF(OtherClients[[#This Row],[Client]]="infasco",VLOOKUP(OtherClients[[#This Row],[Part]],PartControl!$A$2:$E$564,2,FALSE),OtherClients[[#This Row],[Total Quantity]]*VLOOKUP(OtherClients[[#This Row],[Part]],PartControl!$A$2:$E$564,2,FALSE)),0)</f>
        <v>106.94</v>
      </c>
    </row>
    <row r="2647" spans="1:26" ht="25.15" hidden="1" customHeight="1" x14ac:dyDescent="0.25">
      <c r="A2647" s="112">
        <v>46270.626319444447</v>
      </c>
      <c r="B2647" s="5" t="s">
        <v>342</v>
      </c>
      <c r="C2647" s="5" t="s">
        <v>917</v>
      </c>
      <c r="D2647" s="5">
        <v>713804</v>
      </c>
      <c r="E2647" s="33">
        <v>36</v>
      </c>
      <c r="F2647" s="60">
        <v>1250</v>
      </c>
      <c r="G2647" s="60">
        <f>+OtherClients[[#This Row],[Boxes / Pieces]]*OtherClients[[#This Row],[Unit Quantity]]</f>
        <v>45000</v>
      </c>
      <c r="H2647" s="60" t="s">
        <v>893</v>
      </c>
      <c r="I2647" s="130" t="s">
        <v>278</v>
      </c>
      <c r="J2647" s="131"/>
      <c r="K2647" s="33" t="s">
        <v>278</v>
      </c>
      <c r="L2647" s="132"/>
      <c r="M2647" s="33" t="s">
        <v>278</v>
      </c>
      <c r="N2647" s="132"/>
      <c r="O2647" s="33" t="s">
        <v>278</v>
      </c>
      <c r="P2647" s="132"/>
      <c r="Q2647" s="33" t="s">
        <v>587</v>
      </c>
      <c r="R2647" s="132"/>
      <c r="S2647" s="33" t="s">
        <v>278</v>
      </c>
      <c r="T2647" s="132"/>
      <c r="U2647" s="33" t="s">
        <v>278</v>
      </c>
      <c r="V2647" s="132"/>
      <c r="W2647" s="59" t="s">
        <v>548</v>
      </c>
      <c r="X2647" s="33" t="str">
        <f>+VLOOKUP(OtherClients[[#This Row],[Part]],PartControl!$A$2:$E$564,5,FALSE)</f>
        <v>infasco</v>
      </c>
      <c r="Y2647" s="108">
        <f>IF(OtherClients[[#This Row],[Re-certified or New]]&lt;&gt;"Re-certified",IF(OtherClients[[#This Row],[Client]]="infasco",VLOOKUP(OtherClients[[#This Row],[Part]],PartControl!$A$2:$E$564,2,FALSE),OtherClients[[#This Row],[Total Quantity]]*VLOOKUP(OtherClients[[#This Row],[Part]],PartControl!$A$2:$E$564,2,FALSE)),0)</f>
        <v>106.94</v>
      </c>
      <c r="Z2647" s="108">
        <f>IF(OtherClients[[#This Row],[Re-certified or New]]&lt;&gt;"Re-certified",IF(OtherClients[[#This Row],[Client]]="infasco",VLOOKUP(OtherClients[[#This Row],[Part]],PartControl!$A$2:$E$564,2,FALSE),OtherClients[[#This Row],[Total Quantity]]*VLOOKUP(OtherClients[[#This Row],[Part]],PartControl!$A$2:$E$564,2,FALSE)),0)</f>
        <v>106.94</v>
      </c>
    </row>
    <row r="2648" spans="1:26" ht="25.15" hidden="1" customHeight="1" x14ac:dyDescent="0.25">
      <c r="A2648" s="112">
        <v>46270.626319444447</v>
      </c>
      <c r="B2648" s="5" t="s">
        <v>342</v>
      </c>
      <c r="C2648" s="5" t="s">
        <v>917</v>
      </c>
      <c r="D2648" s="5">
        <v>713802</v>
      </c>
      <c r="E2648" s="33">
        <v>36</v>
      </c>
      <c r="F2648" s="60">
        <v>1250</v>
      </c>
      <c r="G2648" s="60">
        <f>+OtherClients[[#This Row],[Boxes / Pieces]]*OtherClients[[#This Row],[Unit Quantity]]</f>
        <v>45000</v>
      </c>
      <c r="H2648" s="60" t="s">
        <v>893</v>
      </c>
      <c r="I2648" s="130" t="s">
        <v>278</v>
      </c>
      <c r="J2648" s="131"/>
      <c r="K2648" s="33" t="s">
        <v>278</v>
      </c>
      <c r="L2648" s="132"/>
      <c r="M2648" s="33" t="s">
        <v>278</v>
      </c>
      <c r="N2648" s="132"/>
      <c r="O2648" s="33" t="s">
        <v>278</v>
      </c>
      <c r="P2648" s="132"/>
      <c r="Q2648" s="33" t="s">
        <v>587</v>
      </c>
      <c r="R2648" s="132"/>
      <c r="S2648" s="33" t="s">
        <v>278</v>
      </c>
      <c r="T2648" s="132"/>
      <c r="U2648" s="33" t="s">
        <v>278</v>
      </c>
      <c r="V2648" s="132"/>
      <c r="W2648" s="59" t="s">
        <v>548</v>
      </c>
      <c r="X2648" s="33" t="str">
        <f>+VLOOKUP(OtherClients[[#This Row],[Part]],PartControl!$A$2:$E$564,5,FALSE)</f>
        <v>infasco</v>
      </c>
      <c r="Y2648" s="108">
        <f>IF(OtherClients[[#This Row],[Re-certified or New]]&lt;&gt;"Re-certified",IF(OtherClients[[#This Row],[Client]]="infasco",VLOOKUP(OtherClients[[#This Row],[Part]],PartControl!$A$2:$E$564,2,FALSE),OtherClients[[#This Row],[Total Quantity]]*VLOOKUP(OtherClients[[#This Row],[Part]],PartControl!$A$2:$E$564,2,FALSE)),0)</f>
        <v>106.94</v>
      </c>
      <c r="Z2648" s="108">
        <f>IF(OtherClients[[#This Row],[Re-certified or New]]&lt;&gt;"Re-certified",IF(OtherClients[[#This Row],[Client]]="infasco",VLOOKUP(OtherClients[[#This Row],[Part]],PartControl!$A$2:$E$564,2,FALSE),OtherClients[[#This Row],[Total Quantity]]*VLOOKUP(OtherClients[[#This Row],[Part]],PartControl!$A$2:$E$564,2,FALSE)),0)</f>
        <v>106.94</v>
      </c>
    </row>
    <row r="2649" spans="1:26" ht="25.15" hidden="1" customHeight="1" x14ac:dyDescent="0.25">
      <c r="A2649" s="112">
        <v>46270.626319444447</v>
      </c>
      <c r="B2649" s="5" t="s">
        <v>343</v>
      </c>
      <c r="C2649" s="5" t="s">
        <v>792</v>
      </c>
      <c r="D2649" s="5">
        <v>716174</v>
      </c>
      <c r="E2649" s="33">
        <v>27</v>
      </c>
      <c r="F2649" s="60">
        <v>450</v>
      </c>
      <c r="G2649" s="60">
        <f>+OtherClients[[#This Row],[Boxes / Pieces]]*OtherClients[[#This Row],[Unit Quantity]]</f>
        <v>12150</v>
      </c>
      <c r="H2649" s="60" t="s">
        <v>918</v>
      </c>
      <c r="I2649" s="130" t="s">
        <v>278</v>
      </c>
      <c r="J2649" s="131"/>
      <c r="K2649" s="33" t="s">
        <v>278</v>
      </c>
      <c r="L2649" s="132"/>
      <c r="M2649" s="33" t="s">
        <v>278</v>
      </c>
      <c r="N2649" s="132"/>
      <c r="O2649" s="33" t="s">
        <v>278</v>
      </c>
      <c r="P2649" s="132"/>
      <c r="Q2649" s="33" t="s">
        <v>587</v>
      </c>
      <c r="R2649" s="132"/>
      <c r="S2649" s="33" t="s">
        <v>278</v>
      </c>
      <c r="T2649" s="132"/>
      <c r="U2649" s="33" t="s">
        <v>278</v>
      </c>
      <c r="V2649" s="132"/>
      <c r="W2649" s="59" t="s">
        <v>548</v>
      </c>
      <c r="X2649" s="33" t="str">
        <f>+VLOOKUP(OtherClients[[#This Row],[Part]],PartControl!$A$2:$E$564,5,FALSE)</f>
        <v>infasco</v>
      </c>
      <c r="Y2649" s="108">
        <f>IF(OtherClients[[#This Row],[Re-certified or New]]&lt;&gt;"Re-certified",IF(OtherClients[[#This Row],[Client]]="infasco",VLOOKUP(OtherClients[[#This Row],[Part]],PartControl!$A$2:$E$564,2,FALSE),OtherClients[[#This Row],[Total Quantity]]*VLOOKUP(OtherClients[[#This Row],[Part]],PartControl!$A$2:$E$564,2,FALSE)),0)</f>
        <v>106.94</v>
      </c>
      <c r="Z2649" s="108">
        <f>IF(OtherClients[[#This Row],[Re-certified or New]]&lt;&gt;"Re-certified",IF(OtherClients[[#This Row],[Client]]="infasco",VLOOKUP(OtherClients[[#This Row],[Part]],PartControl!$A$2:$E$564,2,FALSE),OtherClients[[#This Row],[Total Quantity]]*VLOOKUP(OtherClients[[#This Row],[Part]],PartControl!$A$2:$E$564,2,FALSE)),0)</f>
        <v>106.94</v>
      </c>
    </row>
    <row r="2650" spans="1:26" ht="25.15" hidden="1" customHeight="1" x14ac:dyDescent="0.25">
      <c r="A2650" s="112">
        <v>46270.626319444447</v>
      </c>
      <c r="B2650" s="5" t="s">
        <v>343</v>
      </c>
      <c r="C2650" s="5" t="s">
        <v>662</v>
      </c>
      <c r="D2650" s="5">
        <v>718794</v>
      </c>
      <c r="E2650" s="33">
        <v>36</v>
      </c>
      <c r="F2650" s="60">
        <v>580</v>
      </c>
      <c r="G2650" s="60">
        <f>+OtherClients[[#This Row],[Boxes / Pieces]]*OtherClients[[#This Row],[Unit Quantity]]</f>
        <v>20880</v>
      </c>
      <c r="H2650" s="60" t="s">
        <v>918</v>
      </c>
      <c r="I2650" s="130" t="s">
        <v>278</v>
      </c>
      <c r="J2650" s="131"/>
      <c r="K2650" s="33" t="s">
        <v>278</v>
      </c>
      <c r="L2650" s="132"/>
      <c r="M2650" s="33" t="s">
        <v>278</v>
      </c>
      <c r="N2650" s="132"/>
      <c r="O2650" s="33" t="s">
        <v>278</v>
      </c>
      <c r="P2650" s="132"/>
      <c r="Q2650" s="33" t="s">
        <v>587</v>
      </c>
      <c r="R2650" s="132"/>
      <c r="S2650" s="33" t="s">
        <v>278</v>
      </c>
      <c r="T2650" s="132"/>
      <c r="U2650" s="33" t="s">
        <v>278</v>
      </c>
      <c r="V2650" s="132"/>
      <c r="W2650" s="59" t="s">
        <v>548</v>
      </c>
      <c r="X2650" s="33" t="str">
        <f>+VLOOKUP(OtherClients[[#This Row],[Part]],PartControl!$A$2:$E$564,5,FALSE)</f>
        <v>infasco</v>
      </c>
      <c r="Y2650" s="108">
        <f>IF(OtherClients[[#This Row],[Re-certified or New]]&lt;&gt;"Re-certified",IF(OtherClients[[#This Row],[Client]]="infasco",VLOOKUP(OtherClients[[#This Row],[Part]],PartControl!$A$2:$E$564,2,FALSE),OtherClients[[#This Row],[Total Quantity]]*VLOOKUP(OtherClients[[#This Row],[Part]],PartControl!$A$2:$E$564,2,FALSE)),0)</f>
        <v>280.15999999999997</v>
      </c>
      <c r="Z2650" s="108">
        <f>IF(OtherClients[[#This Row],[Re-certified or New]]&lt;&gt;"Re-certified",IF(OtherClients[[#This Row],[Client]]="infasco",VLOOKUP(OtherClients[[#This Row],[Part]],PartControl!$A$2:$E$564,2,FALSE),OtherClients[[#This Row],[Total Quantity]]*VLOOKUP(OtherClients[[#This Row],[Part]],PartControl!$A$2:$E$564,2,FALSE)),0)</f>
        <v>280.15999999999997</v>
      </c>
    </row>
    <row r="2651" spans="1:26" ht="25.15" hidden="1" customHeight="1" x14ac:dyDescent="0.25">
      <c r="A2651" s="112">
        <v>46270.626319444447</v>
      </c>
      <c r="B2651" s="5" t="s">
        <v>343</v>
      </c>
      <c r="C2651" s="5" t="s">
        <v>662</v>
      </c>
      <c r="D2651" s="5">
        <v>718795</v>
      </c>
      <c r="E2651" s="33">
        <v>18</v>
      </c>
      <c r="F2651" s="60">
        <v>580</v>
      </c>
      <c r="G2651" s="60">
        <f>+OtherClients[[#This Row],[Boxes / Pieces]]*OtherClients[[#This Row],[Unit Quantity]]</f>
        <v>10440</v>
      </c>
      <c r="H2651" s="60" t="s">
        <v>918</v>
      </c>
      <c r="I2651" s="130" t="s">
        <v>278</v>
      </c>
      <c r="J2651" s="131"/>
      <c r="K2651" s="33" t="s">
        <v>278</v>
      </c>
      <c r="L2651" s="132"/>
      <c r="M2651" s="33" t="s">
        <v>278</v>
      </c>
      <c r="N2651" s="132"/>
      <c r="O2651" s="33" t="s">
        <v>278</v>
      </c>
      <c r="P2651" s="132"/>
      <c r="Q2651" s="33" t="s">
        <v>587</v>
      </c>
      <c r="R2651" s="132"/>
      <c r="S2651" s="33" t="s">
        <v>278</v>
      </c>
      <c r="T2651" s="132"/>
      <c r="U2651" s="33" t="s">
        <v>278</v>
      </c>
      <c r="V2651" s="132"/>
      <c r="W2651" s="59" t="s">
        <v>633</v>
      </c>
      <c r="X2651" s="33" t="str">
        <f>+VLOOKUP(OtherClients[[#This Row],[Part]],PartControl!$A$2:$E$564,5,FALSE)</f>
        <v>infasco</v>
      </c>
      <c r="Y2651" s="108">
        <f>IF(OtherClients[[#This Row],[Re-certified or New]]&lt;&gt;"Re-certified",IF(OtherClients[[#This Row],[Client]]="infasco",VLOOKUP(OtherClients[[#This Row],[Part]],PartControl!$A$2:$E$564,2,FALSE),OtherClients[[#This Row],[Total Quantity]]*VLOOKUP(OtherClients[[#This Row],[Part]],PartControl!$A$2:$E$564,2,FALSE)),0)</f>
        <v>0</v>
      </c>
      <c r="Z2651" s="108">
        <f>IF(OtherClients[[#This Row],[Re-certified or New]]&lt;&gt;"Re-certified",IF(OtherClients[[#This Row],[Client]]="infasco",VLOOKUP(OtherClients[[#This Row],[Part]],PartControl!$A$2:$E$564,2,FALSE),OtherClients[[#This Row],[Total Quantity]]*VLOOKUP(OtherClients[[#This Row],[Part]],PartControl!$A$2:$E$564,2,FALSE)),0)</f>
        <v>0</v>
      </c>
    </row>
    <row r="2652" spans="1:26" ht="25.15" hidden="1" customHeight="1" x14ac:dyDescent="0.25">
      <c r="A2652" s="112">
        <v>46270.626319444447</v>
      </c>
      <c r="B2652" s="5" t="s">
        <v>343</v>
      </c>
      <c r="C2652" s="5">
        <v>11549204</v>
      </c>
      <c r="D2652" s="5">
        <v>716398</v>
      </c>
      <c r="E2652" s="33">
        <v>35</v>
      </c>
      <c r="F2652" s="60">
        <v>210</v>
      </c>
      <c r="G2652" s="60">
        <f>+OtherClients[[#This Row],[Boxes / Pieces]]*OtherClients[[#This Row],[Unit Quantity]]</f>
        <v>7350</v>
      </c>
      <c r="H2652" s="60" t="s">
        <v>918</v>
      </c>
      <c r="I2652" s="130" t="s">
        <v>278</v>
      </c>
      <c r="J2652" s="131"/>
      <c r="K2652" s="33" t="s">
        <v>278</v>
      </c>
      <c r="L2652" s="132"/>
      <c r="M2652" s="33" t="s">
        <v>278</v>
      </c>
      <c r="N2652" s="132"/>
      <c r="O2652" s="33" t="s">
        <v>278</v>
      </c>
      <c r="P2652" s="132"/>
      <c r="Q2652" s="33" t="s">
        <v>587</v>
      </c>
      <c r="R2652" s="132"/>
      <c r="S2652" s="33" t="s">
        <v>278</v>
      </c>
      <c r="T2652" s="132"/>
      <c r="U2652" s="33" t="s">
        <v>278</v>
      </c>
      <c r="V2652" s="132"/>
      <c r="W2652" s="59" t="s">
        <v>548</v>
      </c>
      <c r="X2652" s="33" t="str">
        <f>+VLOOKUP(OtherClients[[#This Row],[Part]],PartControl!$A$2:$E$564,5,FALSE)</f>
        <v>INFASCO</v>
      </c>
      <c r="Y2652" s="108">
        <f>IF(OtherClients[[#This Row],[Re-certified or New]]&lt;&gt;"Re-certified",IF(OtherClients[[#This Row],[Client]]="infasco",VLOOKUP(OtherClients[[#This Row],[Part]],PartControl!$A$2:$E$564,2,FALSE),OtherClients[[#This Row],[Total Quantity]]*VLOOKUP(OtherClients[[#This Row],[Part]],PartControl!$A$2:$E$564,2,FALSE)),0)</f>
        <v>106.94</v>
      </c>
      <c r="Z2652" s="108">
        <f>IF(OtherClients[[#This Row],[Re-certified or New]]&lt;&gt;"Re-certified",IF(OtherClients[[#This Row],[Client]]="infasco",VLOOKUP(OtherClients[[#This Row],[Part]],PartControl!$A$2:$E$564,2,FALSE),OtherClients[[#This Row],[Total Quantity]]*VLOOKUP(OtherClients[[#This Row],[Part]],PartControl!$A$2:$E$564,2,FALSE)),0)</f>
        <v>106.94</v>
      </c>
    </row>
    <row r="2653" spans="1:26" ht="25.15" hidden="1" customHeight="1" x14ac:dyDescent="0.25">
      <c r="A2653" s="112">
        <v>46270.626319444447</v>
      </c>
      <c r="B2653" s="5" t="s">
        <v>343</v>
      </c>
      <c r="C2653" s="5">
        <v>11549204</v>
      </c>
      <c r="D2653" s="5">
        <v>717477</v>
      </c>
      <c r="E2653" s="33">
        <v>36</v>
      </c>
      <c r="F2653" s="60">
        <v>210</v>
      </c>
      <c r="G2653" s="60">
        <f>+OtherClients[[#This Row],[Boxes / Pieces]]*OtherClients[[#This Row],[Unit Quantity]]</f>
        <v>7560</v>
      </c>
      <c r="H2653" s="60" t="s">
        <v>918</v>
      </c>
      <c r="I2653" s="130" t="s">
        <v>278</v>
      </c>
      <c r="J2653" s="131"/>
      <c r="K2653" s="33" t="s">
        <v>278</v>
      </c>
      <c r="L2653" s="132"/>
      <c r="M2653" s="33" t="s">
        <v>278</v>
      </c>
      <c r="N2653" s="132"/>
      <c r="O2653" s="33" t="s">
        <v>278</v>
      </c>
      <c r="P2653" s="132"/>
      <c r="Q2653" s="33" t="s">
        <v>587</v>
      </c>
      <c r="R2653" s="132"/>
      <c r="S2653" s="33" t="s">
        <v>278</v>
      </c>
      <c r="T2653" s="132"/>
      <c r="U2653" s="33" t="s">
        <v>278</v>
      </c>
      <c r="V2653" s="132"/>
      <c r="W2653" s="59" t="s">
        <v>548</v>
      </c>
      <c r="X2653" s="33" t="str">
        <f>+VLOOKUP(OtherClients[[#This Row],[Part]],PartControl!$A$2:$E$564,5,FALSE)</f>
        <v>INFASCO</v>
      </c>
      <c r="Y2653" s="108">
        <f>IF(OtherClients[[#This Row],[Re-certified or New]]&lt;&gt;"Re-certified",IF(OtherClients[[#This Row],[Client]]="infasco",VLOOKUP(OtherClients[[#This Row],[Part]],PartControl!$A$2:$E$564,2,FALSE),OtherClients[[#This Row],[Total Quantity]]*VLOOKUP(OtherClients[[#This Row],[Part]],PartControl!$A$2:$E$564,2,FALSE)),0)</f>
        <v>106.94</v>
      </c>
      <c r="Z2653" s="108">
        <f>IF(OtherClients[[#This Row],[Re-certified or New]]&lt;&gt;"Re-certified",IF(OtherClients[[#This Row],[Client]]="infasco",VLOOKUP(OtherClients[[#This Row],[Part]],PartControl!$A$2:$E$564,2,FALSE),OtherClients[[#This Row],[Total Quantity]]*VLOOKUP(OtherClients[[#This Row],[Part]],PartControl!$A$2:$E$564,2,FALSE)),0)</f>
        <v>106.94</v>
      </c>
    </row>
    <row r="2654" spans="1:26" ht="25.15" hidden="1" customHeight="1" x14ac:dyDescent="0.25">
      <c r="A2654" s="112">
        <v>46270.626319444447</v>
      </c>
      <c r="B2654" s="5" t="s">
        <v>343</v>
      </c>
      <c r="C2654" s="5">
        <v>11549204</v>
      </c>
      <c r="D2654" s="5">
        <v>716943</v>
      </c>
      <c r="E2654" s="33">
        <v>36</v>
      </c>
      <c r="F2654" s="60">
        <v>210</v>
      </c>
      <c r="G2654" s="60">
        <f>+OtherClients[[#This Row],[Boxes / Pieces]]*OtherClients[[#This Row],[Unit Quantity]]</f>
        <v>7560</v>
      </c>
      <c r="H2654" s="60" t="s">
        <v>918</v>
      </c>
      <c r="I2654" s="130" t="s">
        <v>278</v>
      </c>
      <c r="J2654" s="131"/>
      <c r="K2654" s="33" t="s">
        <v>278</v>
      </c>
      <c r="L2654" s="132"/>
      <c r="M2654" s="33" t="s">
        <v>278</v>
      </c>
      <c r="N2654" s="132"/>
      <c r="O2654" s="33" t="s">
        <v>278</v>
      </c>
      <c r="P2654" s="132"/>
      <c r="Q2654" s="33" t="s">
        <v>587</v>
      </c>
      <c r="R2654" s="132"/>
      <c r="S2654" s="33" t="s">
        <v>278</v>
      </c>
      <c r="T2654" s="132"/>
      <c r="U2654" s="33" t="s">
        <v>278</v>
      </c>
      <c r="V2654" s="132"/>
      <c r="W2654" s="59" t="s">
        <v>548</v>
      </c>
      <c r="X2654" s="33" t="str">
        <f>+VLOOKUP(OtherClients[[#This Row],[Part]],PartControl!$A$2:$E$564,5,FALSE)</f>
        <v>INFASCO</v>
      </c>
      <c r="Y2654" s="108">
        <f>IF(OtherClients[[#This Row],[Re-certified or New]]&lt;&gt;"Re-certified",IF(OtherClients[[#This Row],[Client]]="infasco",VLOOKUP(OtherClients[[#This Row],[Part]],PartControl!$A$2:$E$564,2,FALSE),OtherClients[[#This Row],[Total Quantity]]*VLOOKUP(OtherClients[[#This Row],[Part]],PartControl!$A$2:$E$564,2,FALSE)),0)</f>
        <v>106.94</v>
      </c>
      <c r="Z2654" s="108">
        <f>IF(OtherClients[[#This Row],[Re-certified or New]]&lt;&gt;"Re-certified",IF(OtherClients[[#This Row],[Client]]="infasco",VLOOKUP(OtherClients[[#This Row],[Part]],PartControl!$A$2:$E$564,2,FALSE),OtherClients[[#This Row],[Total Quantity]]*VLOOKUP(OtherClients[[#This Row],[Part]],PartControl!$A$2:$E$564,2,FALSE)),0)</f>
        <v>106.94</v>
      </c>
    </row>
    <row r="2655" spans="1:26" ht="25.15" hidden="1" customHeight="1" x14ac:dyDescent="0.25">
      <c r="A2655" s="112">
        <v>46270.626319444447</v>
      </c>
      <c r="B2655" s="5" t="s">
        <v>343</v>
      </c>
      <c r="C2655" s="5">
        <v>11549204</v>
      </c>
      <c r="D2655" s="5">
        <v>716394</v>
      </c>
      <c r="E2655" s="33">
        <v>36</v>
      </c>
      <c r="F2655" s="60">
        <v>210</v>
      </c>
      <c r="G2655" s="60">
        <f>+OtherClients[[#This Row],[Boxes / Pieces]]*OtherClients[[#This Row],[Unit Quantity]]</f>
        <v>7560</v>
      </c>
      <c r="H2655" s="60" t="s">
        <v>918</v>
      </c>
      <c r="I2655" s="130" t="s">
        <v>278</v>
      </c>
      <c r="J2655" s="131"/>
      <c r="K2655" s="33" t="s">
        <v>278</v>
      </c>
      <c r="L2655" s="132"/>
      <c r="M2655" s="33" t="s">
        <v>278</v>
      </c>
      <c r="N2655" s="132"/>
      <c r="O2655" s="33" t="s">
        <v>278</v>
      </c>
      <c r="P2655" s="132"/>
      <c r="Q2655" s="33" t="s">
        <v>587</v>
      </c>
      <c r="R2655" s="132"/>
      <c r="S2655" s="33" t="s">
        <v>278</v>
      </c>
      <c r="T2655" s="132"/>
      <c r="U2655" s="33" t="s">
        <v>278</v>
      </c>
      <c r="V2655" s="132"/>
      <c r="W2655" s="59" t="s">
        <v>548</v>
      </c>
      <c r="X2655" s="33" t="str">
        <f>+VLOOKUP(OtherClients[[#This Row],[Part]],PartControl!$A$2:$E$564,5,FALSE)</f>
        <v>INFASCO</v>
      </c>
      <c r="Y2655" s="108">
        <f>IF(OtherClients[[#This Row],[Re-certified or New]]&lt;&gt;"Re-certified",IF(OtherClients[[#This Row],[Client]]="infasco",VLOOKUP(OtherClients[[#This Row],[Part]],PartControl!$A$2:$E$564,2,FALSE),OtherClients[[#This Row],[Total Quantity]]*VLOOKUP(OtherClients[[#This Row],[Part]],PartControl!$A$2:$E$564,2,FALSE)),0)</f>
        <v>106.94</v>
      </c>
      <c r="Z2655" s="108">
        <f>IF(OtherClients[[#This Row],[Re-certified or New]]&lt;&gt;"Re-certified",IF(OtherClients[[#This Row],[Client]]="infasco",VLOOKUP(OtherClients[[#This Row],[Part]],PartControl!$A$2:$E$564,2,FALSE),OtherClients[[#This Row],[Total Quantity]]*VLOOKUP(OtherClients[[#This Row],[Part]],PartControl!$A$2:$E$564,2,FALSE)),0)</f>
        <v>106.94</v>
      </c>
    </row>
    <row r="2656" spans="1:26" ht="25.15" hidden="1" customHeight="1" x14ac:dyDescent="0.25">
      <c r="A2656" s="112">
        <v>46270.626319444447</v>
      </c>
      <c r="B2656" s="5" t="s">
        <v>343</v>
      </c>
      <c r="C2656" s="5">
        <v>11549204</v>
      </c>
      <c r="D2656" s="5">
        <v>716397</v>
      </c>
      <c r="E2656" s="33">
        <v>48</v>
      </c>
      <c r="F2656" s="60">
        <v>210</v>
      </c>
      <c r="G2656" s="60">
        <f>+OtherClients[[#This Row],[Boxes / Pieces]]*OtherClients[[#This Row],[Unit Quantity]]</f>
        <v>10080</v>
      </c>
      <c r="H2656" s="60" t="s">
        <v>918</v>
      </c>
      <c r="I2656" s="130" t="s">
        <v>278</v>
      </c>
      <c r="J2656" s="131"/>
      <c r="K2656" s="33" t="s">
        <v>278</v>
      </c>
      <c r="L2656" s="132"/>
      <c r="M2656" s="33" t="s">
        <v>278</v>
      </c>
      <c r="N2656" s="132"/>
      <c r="O2656" s="33" t="s">
        <v>278</v>
      </c>
      <c r="P2656" s="132"/>
      <c r="Q2656" s="33" t="s">
        <v>587</v>
      </c>
      <c r="R2656" s="132"/>
      <c r="S2656" s="33" t="s">
        <v>278</v>
      </c>
      <c r="T2656" s="132"/>
      <c r="U2656" s="33" t="s">
        <v>278</v>
      </c>
      <c r="V2656" s="132"/>
      <c r="W2656" s="59" t="s">
        <v>548</v>
      </c>
      <c r="X2656" s="33" t="str">
        <f>+VLOOKUP(OtherClients[[#This Row],[Part]],PartControl!$A$2:$E$564,5,FALSE)</f>
        <v>INFASCO</v>
      </c>
      <c r="Y2656" s="108">
        <f>IF(OtherClients[[#This Row],[Re-certified or New]]&lt;&gt;"Re-certified",IF(OtherClients[[#This Row],[Client]]="infasco",VLOOKUP(OtherClients[[#This Row],[Part]],PartControl!$A$2:$E$564,2,FALSE),OtherClients[[#This Row],[Total Quantity]]*VLOOKUP(OtherClients[[#This Row],[Part]],PartControl!$A$2:$E$564,2,FALSE)),0)</f>
        <v>106.94</v>
      </c>
      <c r="Z2656" s="108">
        <f>IF(OtherClients[[#This Row],[Re-certified or New]]&lt;&gt;"Re-certified",IF(OtherClients[[#This Row],[Client]]="infasco",VLOOKUP(OtherClients[[#This Row],[Part]],PartControl!$A$2:$E$564,2,FALSE),OtherClients[[#This Row],[Total Quantity]]*VLOOKUP(OtherClients[[#This Row],[Part]],PartControl!$A$2:$E$564,2,FALSE)),0)</f>
        <v>106.94</v>
      </c>
    </row>
    <row r="2657" spans="1:26" ht="25.15" hidden="1" customHeight="1" x14ac:dyDescent="0.25">
      <c r="A2657" s="112">
        <v>46270.626319444447</v>
      </c>
      <c r="B2657" s="5" t="s">
        <v>344</v>
      </c>
      <c r="C2657" s="5" t="s">
        <v>917</v>
      </c>
      <c r="D2657" s="5">
        <v>716605</v>
      </c>
      <c r="E2657" s="33">
        <f>33-30</f>
        <v>3</v>
      </c>
      <c r="F2657" s="60">
        <v>1250</v>
      </c>
      <c r="G2657" s="60">
        <f>+OtherClients[[#This Row],[Boxes / Pieces]]*OtherClients[[#This Row],[Unit Quantity]]</f>
        <v>3750</v>
      </c>
      <c r="H2657" s="60" t="s">
        <v>816</v>
      </c>
      <c r="I2657" s="130" t="s">
        <v>278</v>
      </c>
      <c r="J2657" s="131"/>
      <c r="K2657" s="33" t="s">
        <v>278</v>
      </c>
      <c r="L2657" s="132"/>
      <c r="M2657" s="33" t="s">
        <v>278</v>
      </c>
      <c r="N2657" s="132"/>
      <c r="O2657" s="33" t="s">
        <v>278</v>
      </c>
      <c r="P2657" s="132"/>
      <c r="Q2657" s="33" t="s">
        <v>587</v>
      </c>
      <c r="R2657" s="132"/>
      <c r="S2657" s="33" t="s">
        <v>278</v>
      </c>
      <c r="T2657" s="132"/>
      <c r="U2657" s="33" t="s">
        <v>278</v>
      </c>
      <c r="V2657" s="132"/>
      <c r="W2657" s="59" t="s">
        <v>548</v>
      </c>
      <c r="X2657" s="33" t="str">
        <f>+VLOOKUP(OtherClients[[#This Row],[Part]],PartControl!$A$2:$E$564,5,FALSE)</f>
        <v>infasco</v>
      </c>
      <c r="Y2657" s="108">
        <f>IF(OtherClients[[#This Row],[Re-certified or New]]&lt;&gt;"Re-certified",IF(OtherClients[[#This Row],[Client]]="infasco",VLOOKUP(OtherClients[[#This Row],[Part]],PartControl!$A$2:$E$564,2,FALSE),OtherClients[[#This Row],[Total Quantity]]*VLOOKUP(OtherClients[[#This Row],[Part]],PartControl!$A$2:$E$564,2,FALSE)),0)</f>
        <v>106.94</v>
      </c>
      <c r="Z2657" s="108">
        <f>IF(OtherClients[[#This Row],[Re-certified or New]]&lt;&gt;"Re-certified",IF(OtherClients[[#This Row],[Client]]="infasco",VLOOKUP(OtherClients[[#This Row],[Part]],PartControl!$A$2:$E$564,2,FALSE),OtherClients[[#This Row],[Total Quantity]]*VLOOKUP(OtherClients[[#This Row],[Part]],PartControl!$A$2:$E$564,2,FALSE)),0)</f>
        <v>106.94</v>
      </c>
    </row>
    <row r="2658" spans="1:26" ht="25.15" hidden="1" customHeight="1" x14ac:dyDescent="0.25">
      <c r="A2658" s="112">
        <v>46270.626319444447</v>
      </c>
      <c r="B2658" s="5" t="s">
        <v>344</v>
      </c>
      <c r="C2658" s="5">
        <v>11549204</v>
      </c>
      <c r="D2658" s="5">
        <v>716946</v>
      </c>
      <c r="E2658" s="33">
        <v>40</v>
      </c>
      <c r="F2658" s="60">
        <v>210</v>
      </c>
      <c r="G2658" s="60">
        <f>+OtherClients[[#This Row],[Boxes / Pieces]]*OtherClients[[#This Row],[Unit Quantity]]</f>
        <v>8400</v>
      </c>
      <c r="H2658" s="60" t="s">
        <v>816</v>
      </c>
      <c r="I2658" s="130" t="s">
        <v>278</v>
      </c>
      <c r="J2658" s="131"/>
      <c r="K2658" s="33" t="s">
        <v>278</v>
      </c>
      <c r="L2658" s="132"/>
      <c r="M2658" s="33" t="s">
        <v>278</v>
      </c>
      <c r="N2658" s="132"/>
      <c r="O2658" s="33" t="s">
        <v>278</v>
      </c>
      <c r="P2658" s="132"/>
      <c r="Q2658" s="33" t="s">
        <v>587</v>
      </c>
      <c r="R2658" s="132"/>
      <c r="S2658" s="33" t="s">
        <v>278</v>
      </c>
      <c r="T2658" s="132"/>
      <c r="U2658" s="33" t="s">
        <v>278</v>
      </c>
      <c r="V2658" s="132"/>
      <c r="W2658" s="59" t="s">
        <v>548</v>
      </c>
      <c r="X2658" s="33" t="str">
        <f>+VLOOKUP(OtherClients[[#This Row],[Part]],PartControl!$A$2:$E$564,5,FALSE)</f>
        <v>INFASCO</v>
      </c>
      <c r="Y2658" s="108">
        <f>IF(OtherClients[[#This Row],[Re-certified or New]]&lt;&gt;"Re-certified",IF(OtherClients[[#This Row],[Client]]="infasco",VLOOKUP(OtherClients[[#This Row],[Part]],PartControl!$A$2:$E$564,2,FALSE),OtherClients[[#This Row],[Total Quantity]]*VLOOKUP(OtherClients[[#This Row],[Part]],PartControl!$A$2:$E$564,2,FALSE)),0)</f>
        <v>106.94</v>
      </c>
      <c r="Z2658" s="108">
        <f>IF(OtherClients[[#This Row],[Re-certified or New]]&lt;&gt;"Re-certified",IF(OtherClients[[#This Row],[Client]]="infasco",VLOOKUP(OtherClients[[#This Row],[Part]],PartControl!$A$2:$E$564,2,FALSE),OtherClients[[#This Row],[Total Quantity]]*VLOOKUP(OtherClients[[#This Row],[Part]],PartControl!$A$2:$E$564,2,FALSE)),0)</f>
        <v>106.94</v>
      </c>
    </row>
    <row r="2659" spans="1:26" ht="25.15" hidden="1" customHeight="1" x14ac:dyDescent="0.25">
      <c r="A2659" s="112">
        <v>46270.626319444447</v>
      </c>
      <c r="B2659" s="5" t="s">
        <v>344</v>
      </c>
      <c r="C2659" s="5" t="s">
        <v>917</v>
      </c>
      <c r="D2659" s="5">
        <v>713805</v>
      </c>
      <c r="E2659" s="33">
        <v>32</v>
      </c>
      <c r="F2659" s="60">
        <v>1250</v>
      </c>
      <c r="G2659" s="60">
        <f>+OtherClients[[#This Row],[Boxes / Pieces]]*OtherClients[[#This Row],[Unit Quantity]]</f>
        <v>40000</v>
      </c>
      <c r="H2659" s="60" t="s">
        <v>816</v>
      </c>
      <c r="I2659" s="130" t="s">
        <v>278</v>
      </c>
      <c r="J2659" s="131"/>
      <c r="K2659" s="33" t="s">
        <v>278</v>
      </c>
      <c r="L2659" s="132"/>
      <c r="M2659" s="33" t="s">
        <v>278</v>
      </c>
      <c r="N2659" s="132"/>
      <c r="O2659" s="33" t="s">
        <v>278</v>
      </c>
      <c r="P2659" s="132"/>
      <c r="Q2659" s="33" t="s">
        <v>587</v>
      </c>
      <c r="R2659" s="132"/>
      <c r="S2659" s="33" t="s">
        <v>278</v>
      </c>
      <c r="T2659" s="132"/>
      <c r="U2659" s="33" t="s">
        <v>278</v>
      </c>
      <c r="V2659" s="132"/>
      <c r="W2659" s="59" t="s">
        <v>548</v>
      </c>
      <c r="X2659" s="33" t="str">
        <f>+VLOOKUP(OtherClients[[#This Row],[Part]],PartControl!$A$2:$E$564,5,FALSE)</f>
        <v>infasco</v>
      </c>
      <c r="Y2659" s="108">
        <f>IF(OtherClients[[#This Row],[Re-certified or New]]&lt;&gt;"Re-certified",IF(OtherClients[[#This Row],[Client]]="infasco",VLOOKUP(OtherClients[[#This Row],[Part]],PartControl!$A$2:$E$564,2,FALSE),OtherClients[[#This Row],[Total Quantity]]*VLOOKUP(OtherClients[[#This Row],[Part]],PartControl!$A$2:$E$564,2,FALSE)),0)</f>
        <v>106.94</v>
      </c>
      <c r="Z2659" s="108">
        <f>IF(OtherClients[[#This Row],[Re-certified or New]]&lt;&gt;"Re-certified",IF(OtherClients[[#This Row],[Client]]="infasco",VLOOKUP(OtherClients[[#This Row],[Part]],PartControl!$A$2:$E$564,2,FALSE),OtherClients[[#This Row],[Total Quantity]]*VLOOKUP(OtherClients[[#This Row],[Part]],PartControl!$A$2:$E$564,2,FALSE)),0)</f>
        <v>106.94</v>
      </c>
    </row>
    <row r="2660" spans="1:26" ht="25.15" hidden="1" customHeight="1" x14ac:dyDescent="0.25">
      <c r="A2660" s="112">
        <v>46270.626319444447</v>
      </c>
      <c r="B2660" s="5" t="s">
        <v>344</v>
      </c>
      <c r="C2660" s="5" t="s">
        <v>917</v>
      </c>
      <c r="D2660" s="5">
        <v>716603</v>
      </c>
      <c r="E2660" s="33">
        <f>36+3</f>
        <v>39</v>
      </c>
      <c r="F2660" s="60">
        <v>1250</v>
      </c>
      <c r="G2660" s="60">
        <f>+OtherClients[[#This Row],[Boxes / Pieces]]*OtherClients[[#This Row],[Unit Quantity]]</f>
        <v>48750</v>
      </c>
      <c r="H2660" s="60" t="s">
        <v>816</v>
      </c>
      <c r="I2660" s="130" t="s">
        <v>278</v>
      </c>
      <c r="J2660" s="131"/>
      <c r="K2660" s="33" t="s">
        <v>278</v>
      </c>
      <c r="L2660" s="132"/>
      <c r="M2660" s="33" t="s">
        <v>278</v>
      </c>
      <c r="N2660" s="132"/>
      <c r="O2660" s="33" t="s">
        <v>278</v>
      </c>
      <c r="P2660" s="132"/>
      <c r="Q2660" s="33" t="s">
        <v>587</v>
      </c>
      <c r="R2660" s="132"/>
      <c r="S2660" s="33" t="s">
        <v>278</v>
      </c>
      <c r="T2660" s="132"/>
      <c r="U2660" s="33" t="s">
        <v>278</v>
      </c>
      <c r="V2660" s="132"/>
      <c r="W2660" s="59" t="s">
        <v>548</v>
      </c>
      <c r="X2660" s="33" t="str">
        <f>+VLOOKUP(OtherClients[[#This Row],[Part]],PartControl!$A$2:$E$564,5,FALSE)</f>
        <v>infasco</v>
      </c>
      <c r="Y2660" s="108">
        <f>IF(OtherClients[[#This Row],[Re-certified or New]]&lt;&gt;"Re-certified",IF(OtherClients[[#This Row],[Client]]="infasco",VLOOKUP(OtherClients[[#This Row],[Part]],PartControl!$A$2:$E$564,2,FALSE),OtherClients[[#This Row],[Total Quantity]]*VLOOKUP(OtherClients[[#This Row],[Part]],PartControl!$A$2:$E$564,2,FALSE)),0)</f>
        <v>106.94</v>
      </c>
      <c r="Z2660" s="108">
        <f>IF(OtherClients[[#This Row],[Re-certified or New]]&lt;&gt;"Re-certified",IF(OtherClients[[#This Row],[Client]]="infasco",VLOOKUP(OtherClients[[#This Row],[Part]],PartControl!$A$2:$E$564,2,FALSE),OtherClients[[#This Row],[Total Quantity]]*VLOOKUP(OtherClients[[#This Row],[Part]],PartControl!$A$2:$E$564,2,FALSE)),0)</f>
        <v>106.94</v>
      </c>
    </row>
    <row r="2661" spans="1:26" ht="25.15" hidden="1" customHeight="1" x14ac:dyDescent="0.25">
      <c r="A2661" s="112">
        <v>46270.626319444447</v>
      </c>
      <c r="B2661" s="5" t="s">
        <v>345</v>
      </c>
      <c r="C2661" s="5" t="s">
        <v>720</v>
      </c>
      <c r="D2661" s="5">
        <v>714607</v>
      </c>
      <c r="E2661" s="33">
        <v>9</v>
      </c>
      <c r="F2661" s="60">
        <v>200</v>
      </c>
      <c r="G2661" s="60">
        <f>+OtherClients[[#This Row],[Boxes / Pieces]]*OtherClients[[#This Row],[Unit Quantity]]</f>
        <v>1800</v>
      </c>
      <c r="H2661" s="60" t="s">
        <v>892</v>
      </c>
      <c r="I2661" s="130" t="s">
        <v>278</v>
      </c>
      <c r="J2661" s="131"/>
      <c r="K2661" s="33" t="s">
        <v>278</v>
      </c>
      <c r="L2661" s="132"/>
      <c r="M2661" s="33" t="s">
        <v>278</v>
      </c>
      <c r="N2661" s="132"/>
      <c r="O2661" s="33" t="s">
        <v>278</v>
      </c>
      <c r="P2661" s="132"/>
      <c r="Q2661" s="33" t="s">
        <v>587</v>
      </c>
      <c r="R2661" s="132"/>
      <c r="S2661" s="33" t="s">
        <v>278</v>
      </c>
      <c r="T2661" s="132"/>
      <c r="U2661" s="33" t="s">
        <v>278</v>
      </c>
      <c r="V2661" s="132"/>
      <c r="W2661" s="59" t="s">
        <v>633</v>
      </c>
      <c r="X2661" s="33" t="str">
        <f>+VLOOKUP(OtherClients[[#This Row],[Part]],PartControl!$A$2:$E$564,5,FALSE)</f>
        <v>infasco</v>
      </c>
      <c r="Y2661" s="108">
        <f>IF(OtherClients[[#This Row],[Re-certified or New]]&lt;&gt;"Re-certified",IF(OtherClients[[#This Row],[Client]]="infasco",VLOOKUP(OtherClients[[#This Row],[Part]],PartControl!$A$2:$E$564,2,FALSE),OtherClients[[#This Row],[Total Quantity]]*VLOOKUP(OtherClients[[#This Row],[Part]],PartControl!$A$2:$E$564,2,FALSE)),0)</f>
        <v>0</v>
      </c>
      <c r="Z2661" s="108">
        <f>IF(OtherClients[[#This Row],[Re-certified or New]]&lt;&gt;"Re-certified",IF(OtherClients[[#This Row],[Client]]="infasco",VLOOKUP(OtherClients[[#This Row],[Part]],PartControl!$A$2:$E$564,2,FALSE),OtherClients[[#This Row],[Total Quantity]]*VLOOKUP(OtherClients[[#This Row],[Part]],PartControl!$A$2:$E$564,2,FALSE)),0)</f>
        <v>0</v>
      </c>
    </row>
    <row r="2662" spans="1:26" ht="25.15" hidden="1" customHeight="1" x14ac:dyDescent="0.25">
      <c r="A2662" s="112">
        <v>46270.626319444447</v>
      </c>
      <c r="B2662" s="5" t="s">
        <v>345</v>
      </c>
      <c r="C2662" s="5" t="s">
        <v>906</v>
      </c>
      <c r="D2662" s="5">
        <v>710209</v>
      </c>
      <c r="E2662" s="33">
        <v>1</v>
      </c>
      <c r="F2662" s="60">
        <v>55000</v>
      </c>
      <c r="G2662" s="60">
        <f>+OtherClients[[#This Row],[Boxes / Pieces]]*OtherClients[[#This Row],[Unit Quantity]]</f>
        <v>55000</v>
      </c>
      <c r="H2662" s="60" t="s">
        <v>892</v>
      </c>
      <c r="I2662" s="130" t="s">
        <v>278</v>
      </c>
      <c r="J2662" s="131"/>
      <c r="K2662" s="33" t="s">
        <v>278</v>
      </c>
      <c r="L2662" s="132"/>
      <c r="M2662" s="33" t="s">
        <v>278</v>
      </c>
      <c r="N2662" s="132"/>
      <c r="O2662" s="33" t="s">
        <v>278</v>
      </c>
      <c r="P2662" s="132"/>
      <c r="Q2662" s="33" t="s">
        <v>587</v>
      </c>
      <c r="R2662" s="132"/>
      <c r="S2662" s="33" t="s">
        <v>278</v>
      </c>
      <c r="T2662" s="132"/>
      <c r="U2662" s="33" t="s">
        <v>278</v>
      </c>
      <c r="V2662" s="132"/>
      <c r="W2662" s="59" t="s">
        <v>548</v>
      </c>
      <c r="X2662" s="33" t="str">
        <f>+VLOOKUP(OtherClients[[#This Row],[Part]],PartControl!$A$2:$E$564,5,FALSE)</f>
        <v>infasco</v>
      </c>
      <c r="Y2662" s="108">
        <v>77.67</v>
      </c>
      <c r="Z2662" s="134">
        <v>77.67</v>
      </c>
    </row>
    <row r="2663" spans="1:26" ht="25.15" hidden="1" customHeight="1" x14ac:dyDescent="0.25">
      <c r="A2663" s="112">
        <v>46270.626319444447</v>
      </c>
      <c r="B2663" s="5" t="s">
        <v>346</v>
      </c>
      <c r="C2663" s="5" t="s">
        <v>794</v>
      </c>
      <c r="D2663" s="5">
        <v>716406</v>
      </c>
      <c r="E2663" s="33">
        <f>21-5</f>
        <v>16</v>
      </c>
      <c r="F2663" s="60">
        <v>195</v>
      </c>
      <c r="G2663" s="60">
        <f>+OtherClients[[#This Row],[Boxes / Pieces]]*OtherClients[[#This Row],[Unit Quantity]]</f>
        <v>3120</v>
      </c>
      <c r="H2663" s="60">
        <v>285</v>
      </c>
      <c r="I2663" s="130" t="s">
        <v>278</v>
      </c>
      <c r="J2663" s="131"/>
      <c r="K2663" s="33" t="s">
        <v>278</v>
      </c>
      <c r="L2663" s="132"/>
      <c r="M2663" s="33" t="s">
        <v>278</v>
      </c>
      <c r="N2663" s="132"/>
      <c r="O2663" s="33" t="s">
        <v>278</v>
      </c>
      <c r="P2663" s="132"/>
      <c r="Q2663" s="33" t="s">
        <v>587</v>
      </c>
      <c r="R2663" s="132"/>
      <c r="S2663" s="33" t="s">
        <v>278</v>
      </c>
      <c r="T2663" s="132"/>
      <c r="U2663" s="33" t="s">
        <v>278</v>
      </c>
      <c r="V2663" s="132"/>
      <c r="W2663" s="59" t="s">
        <v>548</v>
      </c>
      <c r="X2663" s="33" t="str">
        <f>+VLOOKUP(OtherClients[[#This Row],[Part]],PartControl!$A$2:$E$564,5,FALSE)</f>
        <v>infasco</v>
      </c>
      <c r="Y2663" s="108">
        <f>106.94*3</f>
        <v>320.82</v>
      </c>
      <c r="Z2663" s="134">
        <f>106.94*3</f>
        <v>320.82</v>
      </c>
    </row>
    <row r="2664" spans="1:26" ht="25.15" hidden="1" customHeight="1" x14ac:dyDescent="0.25">
      <c r="A2664" s="112">
        <v>46270.626319444447</v>
      </c>
      <c r="B2664" s="5" t="s">
        <v>347</v>
      </c>
      <c r="C2664" s="5" t="s">
        <v>738</v>
      </c>
      <c r="D2664" s="5">
        <v>718803</v>
      </c>
      <c r="E2664" s="33">
        <v>28</v>
      </c>
      <c r="F2664" s="60">
        <v>100</v>
      </c>
      <c r="G2664" s="60">
        <f>+OtherClients[[#This Row],[Boxes / Pieces]]*OtherClients[[#This Row],[Unit Quantity]]</f>
        <v>2800</v>
      </c>
      <c r="H2664" s="60" t="s">
        <v>919</v>
      </c>
      <c r="I2664" s="130" t="s">
        <v>278</v>
      </c>
      <c r="J2664" s="131"/>
      <c r="K2664" s="33" t="s">
        <v>278</v>
      </c>
      <c r="L2664" s="132"/>
      <c r="M2664" s="33" t="s">
        <v>278</v>
      </c>
      <c r="N2664" s="132"/>
      <c r="O2664" s="33" t="s">
        <v>278</v>
      </c>
      <c r="P2664" s="132"/>
      <c r="Q2664" s="33" t="s">
        <v>587</v>
      </c>
      <c r="R2664" s="132"/>
      <c r="S2664" s="33" t="s">
        <v>278</v>
      </c>
      <c r="T2664" s="132"/>
      <c r="U2664" s="33" t="s">
        <v>278</v>
      </c>
      <c r="V2664" s="132"/>
      <c r="W2664" s="59" t="s">
        <v>548</v>
      </c>
      <c r="X2664" s="33" t="str">
        <f>+VLOOKUP(OtherClients[[#This Row],[Part]],PartControl!$A$2:$E$564,5,FALSE)</f>
        <v>infasco</v>
      </c>
      <c r="Y2664" s="108">
        <f t="shared" ref="Y2664:Y2673" si="0">106.94*3</f>
        <v>320.82</v>
      </c>
      <c r="Z2664" s="108">
        <f>IF(OtherClients[[#This Row],[Re-certified or New]]&lt;&gt;"Re-certified",IF(OtherClients[[#This Row],[Client]]="infasco",VLOOKUP(OtherClients[[#This Row],[Part]],PartControl!$A$2:$E$564,2,FALSE),OtherClients[[#This Row],[Total Quantity]]*VLOOKUP(OtherClients[[#This Row],[Part]],PartControl!$A$2:$E$564,2,FALSE)),0)</f>
        <v>313.92</v>
      </c>
    </row>
    <row r="2665" spans="1:26" ht="25.15" hidden="1" customHeight="1" x14ac:dyDescent="0.25">
      <c r="A2665" s="112">
        <v>46270.626319444447</v>
      </c>
      <c r="B2665" s="5" t="s">
        <v>347</v>
      </c>
      <c r="C2665" s="5" t="s">
        <v>738</v>
      </c>
      <c r="D2665" s="5">
        <v>718804</v>
      </c>
      <c r="E2665" s="33">
        <v>28</v>
      </c>
      <c r="F2665" s="60">
        <v>100</v>
      </c>
      <c r="G2665" s="60">
        <f>+OtherClients[[#This Row],[Boxes / Pieces]]*OtherClients[[#This Row],[Unit Quantity]]</f>
        <v>2800</v>
      </c>
      <c r="H2665" s="60" t="s">
        <v>919</v>
      </c>
      <c r="I2665" s="130" t="s">
        <v>278</v>
      </c>
      <c r="J2665" s="131"/>
      <c r="K2665" s="33" t="s">
        <v>278</v>
      </c>
      <c r="L2665" s="132"/>
      <c r="M2665" s="33" t="s">
        <v>278</v>
      </c>
      <c r="N2665" s="132"/>
      <c r="O2665" s="33" t="s">
        <v>278</v>
      </c>
      <c r="P2665" s="132"/>
      <c r="Q2665" s="33" t="s">
        <v>587</v>
      </c>
      <c r="R2665" s="132"/>
      <c r="S2665" s="33" t="s">
        <v>278</v>
      </c>
      <c r="T2665" s="132"/>
      <c r="U2665" s="33" t="s">
        <v>278</v>
      </c>
      <c r="V2665" s="132"/>
      <c r="W2665" s="59" t="s">
        <v>548</v>
      </c>
      <c r="X2665" s="33" t="str">
        <f>+VLOOKUP(OtherClients[[#This Row],[Part]],PartControl!$A$2:$E$564,5,FALSE)</f>
        <v>infasco</v>
      </c>
      <c r="Y2665" s="108">
        <f t="shared" si="0"/>
        <v>320.82</v>
      </c>
      <c r="Z2665" s="108">
        <f>IF(OtherClients[[#This Row],[Re-certified or New]]&lt;&gt;"Re-certified",IF(OtherClients[[#This Row],[Client]]="infasco",VLOOKUP(OtherClients[[#This Row],[Part]],PartControl!$A$2:$E$564,2,FALSE),OtherClients[[#This Row],[Total Quantity]]*VLOOKUP(OtherClients[[#This Row],[Part]],PartControl!$A$2:$E$564,2,FALSE)),0)</f>
        <v>313.92</v>
      </c>
    </row>
    <row r="2666" spans="1:26" ht="25.15" hidden="1" customHeight="1" x14ac:dyDescent="0.25">
      <c r="A2666" s="112">
        <v>46270.626319444447</v>
      </c>
      <c r="B2666" s="5" t="s">
        <v>347</v>
      </c>
      <c r="C2666" s="5" t="s">
        <v>738</v>
      </c>
      <c r="D2666" s="5">
        <v>718805</v>
      </c>
      <c r="E2666" s="33">
        <v>28</v>
      </c>
      <c r="F2666" s="60">
        <v>100</v>
      </c>
      <c r="G2666" s="60">
        <f>+OtherClients[[#This Row],[Boxes / Pieces]]*OtherClients[[#This Row],[Unit Quantity]]</f>
        <v>2800</v>
      </c>
      <c r="H2666" s="60" t="s">
        <v>919</v>
      </c>
      <c r="I2666" s="130" t="s">
        <v>278</v>
      </c>
      <c r="J2666" s="131"/>
      <c r="K2666" s="33" t="s">
        <v>278</v>
      </c>
      <c r="L2666" s="132"/>
      <c r="M2666" s="33" t="s">
        <v>278</v>
      </c>
      <c r="N2666" s="132"/>
      <c r="O2666" s="33" t="s">
        <v>278</v>
      </c>
      <c r="P2666" s="132"/>
      <c r="Q2666" s="33" t="s">
        <v>587</v>
      </c>
      <c r="R2666" s="132"/>
      <c r="S2666" s="33" t="s">
        <v>278</v>
      </c>
      <c r="T2666" s="132"/>
      <c r="U2666" s="33" t="s">
        <v>278</v>
      </c>
      <c r="V2666" s="132"/>
      <c r="W2666" s="59" t="s">
        <v>548</v>
      </c>
      <c r="X2666" s="33" t="str">
        <f>+VLOOKUP(OtherClients[[#This Row],[Part]],PartControl!$A$2:$E$564,5,FALSE)</f>
        <v>infasco</v>
      </c>
      <c r="Y2666" s="108">
        <f t="shared" si="0"/>
        <v>320.82</v>
      </c>
      <c r="Z2666" s="108">
        <f>IF(OtherClients[[#This Row],[Re-certified or New]]&lt;&gt;"Re-certified",IF(OtherClients[[#This Row],[Client]]="infasco",VLOOKUP(OtherClients[[#This Row],[Part]],PartControl!$A$2:$E$564,2,FALSE),OtherClients[[#This Row],[Total Quantity]]*VLOOKUP(OtherClients[[#This Row],[Part]],PartControl!$A$2:$E$564,2,FALSE)),0)</f>
        <v>313.92</v>
      </c>
    </row>
    <row r="2667" spans="1:26" ht="25.15" hidden="1" customHeight="1" x14ac:dyDescent="0.25">
      <c r="A2667" s="112">
        <v>46270.626319444447</v>
      </c>
      <c r="B2667" s="5" t="s">
        <v>347</v>
      </c>
      <c r="C2667" s="5" t="s">
        <v>738</v>
      </c>
      <c r="D2667" s="5">
        <v>718806</v>
      </c>
      <c r="E2667" s="33">
        <v>28</v>
      </c>
      <c r="F2667" s="60">
        <v>100</v>
      </c>
      <c r="G2667" s="60">
        <f>+OtherClients[[#This Row],[Boxes / Pieces]]*OtherClients[[#This Row],[Unit Quantity]]</f>
        <v>2800</v>
      </c>
      <c r="H2667" s="60" t="s">
        <v>919</v>
      </c>
      <c r="I2667" s="130" t="s">
        <v>278</v>
      </c>
      <c r="J2667" s="131"/>
      <c r="K2667" s="33" t="s">
        <v>278</v>
      </c>
      <c r="L2667" s="132"/>
      <c r="M2667" s="33" t="s">
        <v>278</v>
      </c>
      <c r="N2667" s="132"/>
      <c r="O2667" s="33" t="s">
        <v>278</v>
      </c>
      <c r="P2667" s="132"/>
      <c r="Q2667" s="33" t="s">
        <v>587</v>
      </c>
      <c r="R2667" s="132"/>
      <c r="S2667" s="33" t="s">
        <v>278</v>
      </c>
      <c r="T2667" s="132"/>
      <c r="U2667" s="33" t="s">
        <v>278</v>
      </c>
      <c r="V2667" s="132"/>
      <c r="W2667" s="59" t="s">
        <v>548</v>
      </c>
      <c r="X2667" s="33" t="str">
        <f>+VLOOKUP(OtherClients[[#This Row],[Part]],PartControl!$A$2:$E$564,5,FALSE)</f>
        <v>infasco</v>
      </c>
      <c r="Y2667" s="108">
        <f t="shared" si="0"/>
        <v>320.82</v>
      </c>
      <c r="Z2667" s="108">
        <f>IF(OtherClients[[#This Row],[Re-certified or New]]&lt;&gt;"Re-certified",IF(OtherClients[[#This Row],[Client]]="infasco",VLOOKUP(OtherClients[[#This Row],[Part]],PartControl!$A$2:$E$564,2,FALSE),OtherClients[[#This Row],[Total Quantity]]*VLOOKUP(OtherClients[[#This Row],[Part]],PartControl!$A$2:$E$564,2,FALSE)),0)</f>
        <v>313.92</v>
      </c>
    </row>
    <row r="2668" spans="1:26" ht="25.15" hidden="1" customHeight="1" x14ac:dyDescent="0.25">
      <c r="A2668" s="112">
        <v>46270.626319444447</v>
      </c>
      <c r="B2668" s="5" t="s">
        <v>347</v>
      </c>
      <c r="C2668" s="5" t="s">
        <v>738</v>
      </c>
      <c r="D2668" s="5">
        <v>718807</v>
      </c>
      <c r="E2668" s="33">
        <v>28</v>
      </c>
      <c r="F2668" s="60">
        <v>100</v>
      </c>
      <c r="G2668" s="60">
        <f>+OtherClients[[#This Row],[Boxes / Pieces]]*OtherClients[[#This Row],[Unit Quantity]]</f>
        <v>2800</v>
      </c>
      <c r="H2668" s="60" t="s">
        <v>919</v>
      </c>
      <c r="I2668" s="130" t="s">
        <v>278</v>
      </c>
      <c r="J2668" s="131"/>
      <c r="K2668" s="33" t="s">
        <v>278</v>
      </c>
      <c r="L2668" s="132"/>
      <c r="M2668" s="33" t="s">
        <v>278</v>
      </c>
      <c r="N2668" s="132"/>
      <c r="O2668" s="33" t="s">
        <v>278</v>
      </c>
      <c r="P2668" s="132"/>
      <c r="Q2668" s="33" t="s">
        <v>587</v>
      </c>
      <c r="R2668" s="132"/>
      <c r="S2668" s="33" t="s">
        <v>278</v>
      </c>
      <c r="T2668" s="132"/>
      <c r="U2668" s="33" t="s">
        <v>278</v>
      </c>
      <c r="V2668" s="132"/>
      <c r="W2668" s="59" t="s">
        <v>633</v>
      </c>
      <c r="X2668" s="33" t="str">
        <f>+VLOOKUP(OtherClients[[#This Row],[Part]],PartControl!$A$2:$E$564,5,FALSE)</f>
        <v>infasco</v>
      </c>
      <c r="Y2668" s="108">
        <f t="shared" si="0"/>
        <v>320.82</v>
      </c>
      <c r="Z2668" s="108">
        <f>IF(OtherClients[[#This Row],[Re-certified or New]]&lt;&gt;"Re-certified",IF(OtherClients[[#This Row],[Client]]="infasco",VLOOKUP(OtherClients[[#This Row],[Part]],PartControl!$A$2:$E$564,2,FALSE),OtherClients[[#This Row],[Total Quantity]]*VLOOKUP(OtherClients[[#This Row],[Part]],PartControl!$A$2:$E$564,2,FALSE)),0)</f>
        <v>0</v>
      </c>
    </row>
    <row r="2669" spans="1:26" ht="25.15" hidden="1" customHeight="1" x14ac:dyDescent="0.25">
      <c r="A2669" s="112">
        <v>46270.626319444447</v>
      </c>
      <c r="B2669" s="5" t="s">
        <v>347</v>
      </c>
      <c r="C2669" s="5" t="s">
        <v>738</v>
      </c>
      <c r="D2669" s="5">
        <v>718808</v>
      </c>
      <c r="E2669" s="33">
        <v>28</v>
      </c>
      <c r="F2669" s="60">
        <v>100</v>
      </c>
      <c r="G2669" s="60">
        <f>+OtherClients[[#This Row],[Boxes / Pieces]]*OtherClients[[#This Row],[Unit Quantity]]</f>
        <v>2800</v>
      </c>
      <c r="H2669" s="60" t="s">
        <v>920</v>
      </c>
      <c r="I2669" s="130" t="s">
        <v>278</v>
      </c>
      <c r="J2669" s="131"/>
      <c r="K2669" s="33" t="s">
        <v>278</v>
      </c>
      <c r="L2669" s="132"/>
      <c r="M2669" s="33" t="s">
        <v>278</v>
      </c>
      <c r="N2669" s="132"/>
      <c r="O2669" s="33" t="s">
        <v>278</v>
      </c>
      <c r="P2669" s="132"/>
      <c r="Q2669" s="33" t="s">
        <v>587</v>
      </c>
      <c r="R2669" s="132"/>
      <c r="S2669" s="33" t="s">
        <v>278</v>
      </c>
      <c r="T2669" s="132"/>
      <c r="U2669" s="33" t="s">
        <v>278</v>
      </c>
      <c r="V2669" s="132"/>
      <c r="W2669" s="59" t="s">
        <v>548</v>
      </c>
      <c r="X2669" s="33" t="str">
        <f>+VLOOKUP(OtherClients[[#This Row],[Part]],PartControl!$A$2:$E$564,5,FALSE)</f>
        <v>infasco</v>
      </c>
      <c r="Y2669" s="108">
        <f t="shared" si="0"/>
        <v>320.82</v>
      </c>
      <c r="Z2669" s="108">
        <f>IF(OtherClients[[#This Row],[Re-certified or New]]&lt;&gt;"Re-certified",IF(OtherClients[[#This Row],[Client]]="infasco",VLOOKUP(OtherClients[[#This Row],[Part]],PartControl!$A$2:$E$564,2,FALSE),OtherClients[[#This Row],[Total Quantity]]*VLOOKUP(OtherClients[[#This Row],[Part]],PartControl!$A$2:$E$564,2,FALSE)),0)</f>
        <v>313.92</v>
      </c>
    </row>
    <row r="2670" spans="1:26" ht="25.15" hidden="1" customHeight="1" x14ac:dyDescent="0.25">
      <c r="A2670" s="112">
        <v>46270.626319444447</v>
      </c>
      <c r="B2670" s="5" t="s">
        <v>347</v>
      </c>
      <c r="C2670" s="5" t="s">
        <v>738</v>
      </c>
      <c r="D2670" s="5">
        <v>718809</v>
      </c>
      <c r="E2670" s="33">
        <v>28</v>
      </c>
      <c r="F2670" s="60">
        <v>100</v>
      </c>
      <c r="G2670" s="60">
        <f>+OtherClients[[#This Row],[Boxes / Pieces]]*OtherClients[[#This Row],[Unit Quantity]]</f>
        <v>2800</v>
      </c>
      <c r="H2670" s="60" t="s">
        <v>920</v>
      </c>
      <c r="I2670" s="130" t="s">
        <v>278</v>
      </c>
      <c r="J2670" s="131"/>
      <c r="K2670" s="33" t="s">
        <v>278</v>
      </c>
      <c r="L2670" s="132"/>
      <c r="M2670" s="33" t="s">
        <v>278</v>
      </c>
      <c r="N2670" s="132"/>
      <c r="O2670" s="33" t="s">
        <v>278</v>
      </c>
      <c r="P2670" s="132"/>
      <c r="Q2670" s="33" t="s">
        <v>587</v>
      </c>
      <c r="R2670" s="132"/>
      <c r="S2670" s="33" t="s">
        <v>278</v>
      </c>
      <c r="T2670" s="132"/>
      <c r="U2670" s="33" t="s">
        <v>278</v>
      </c>
      <c r="V2670" s="132"/>
      <c r="W2670" s="59" t="s">
        <v>548</v>
      </c>
      <c r="X2670" s="33" t="str">
        <f>+VLOOKUP(OtherClients[[#This Row],[Part]],PartControl!$A$2:$E$564,5,FALSE)</f>
        <v>infasco</v>
      </c>
      <c r="Y2670" s="108">
        <f t="shared" si="0"/>
        <v>320.82</v>
      </c>
      <c r="Z2670" s="108">
        <f>IF(OtherClients[[#This Row],[Re-certified or New]]&lt;&gt;"Re-certified",IF(OtherClients[[#This Row],[Client]]="infasco",VLOOKUP(OtherClients[[#This Row],[Part]],PartControl!$A$2:$E$564,2,FALSE),OtherClients[[#This Row],[Total Quantity]]*VLOOKUP(OtherClients[[#This Row],[Part]],PartControl!$A$2:$E$564,2,FALSE)),0)</f>
        <v>313.92</v>
      </c>
    </row>
    <row r="2671" spans="1:26" ht="25.15" hidden="1" customHeight="1" x14ac:dyDescent="0.25">
      <c r="A2671" s="112">
        <v>46270.626319444447</v>
      </c>
      <c r="B2671" s="5" t="s">
        <v>347</v>
      </c>
      <c r="C2671" s="5" t="s">
        <v>738</v>
      </c>
      <c r="D2671" s="5">
        <v>718800</v>
      </c>
      <c r="E2671" s="33">
        <v>28</v>
      </c>
      <c r="F2671" s="60">
        <v>100</v>
      </c>
      <c r="G2671" s="60">
        <f>+OtherClients[[#This Row],[Boxes / Pieces]]*OtherClients[[#This Row],[Unit Quantity]]</f>
        <v>2800</v>
      </c>
      <c r="H2671" s="60" t="s">
        <v>920</v>
      </c>
      <c r="I2671" s="130" t="s">
        <v>278</v>
      </c>
      <c r="J2671" s="131"/>
      <c r="K2671" s="33" t="s">
        <v>278</v>
      </c>
      <c r="L2671" s="132"/>
      <c r="M2671" s="33" t="s">
        <v>278</v>
      </c>
      <c r="N2671" s="132"/>
      <c r="O2671" s="33" t="s">
        <v>278</v>
      </c>
      <c r="P2671" s="132"/>
      <c r="Q2671" s="33" t="s">
        <v>587</v>
      </c>
      <c r="R2671" s="132"/>
      <c r="S2671" s="33" t="s">
        <v>278</v>
      </c>
      <c r="T2671" s="132"/>
      <c r="U2671" s="33" t="s">
        <v>278</v>
      </c>
      <c r="V2671" s="132"/>
      <c r="W2671" s="59" t="s">
        <v>548</v>
      </c>
      <c r="X2671" s="33" t="str">
        <f>+VLOOKUP(OtherClients[[#This Row],[Part]],PartControl!$A$2:$E$564,5,FALSE)</f>
        <v>infasco</v>
      </c>
      <c r="Y2671" s="108">
        <f t="shared" si="0"/>
        <v>320.82</v>
      </c>
      <c r="Z2671" s="108">
        <f>IF(OtherClients[[#This Row],[Re-certified or New]]&lt;&gt;"Re-certified",IF(OtherClients[[#This Row],[Client]]="infasco",VLOOKUP(OtherClients[[#This Row],[Part]],PartControl!$A$2:$E$564,2,FALSE),OtherClients[[#This Row],[Total Quantity]]*VLOOKUP(OtherClients[[#This Row],[Part]],PartControl!$A$2:$E$564,2,FALSE)),0)</f>
        <v>313.92</v>
      </c>
    </row>
    <row r="2672" spans="1:26" ht="25.15" hidden="1" customHeight="1" x14ac:dyDescent="0.25">
      <c r="A2672" s="112">
        <v>46270.626319444447</v>
      </c>
      <c r="B2672" s="5" t="s">
        <v>347</v>
      </c>
      <c r="C2672" s="5" t="s">
        <v>738</v>
      </c>
      <c r="D2672" s="5">
        <v>718801</v>
      </c>
      <c r="E2672" s="33">
        <v>28</v>
      </c>
      <c r="F2672" s="60">
        <v>100</v>
      </c>
      <c r="G2672" s="60">
        <f>+OtherClients[[#This Row],[Boxes / Pieces]]*OtherClients[[#This Row],[Unit Quantity]]</f>
        <v>2800</v>
      </c>
      <c r="H2672" s="60" t="s">
        <v>920</v>
      </c>
      <c r="I2672" s="130" t="s">
        <v>278</v>
      </c>
      <c r="J2672" s="131"/>
      <c r="K2672" s="33" t="s">
        <v>278</v>
      </c>
      <c r="L2672" s="132"/>
      <c r="M2672" s="33" t="s">
        <v>278</v>
      </c>
      <c r="N2672" s="132"/>
      <c r="O2672" s="33" t="s">
        <v>278</v>
      </c>
      <c r="P2672" s="132"/>
      <c r="Q2672" s="33" t="s">
        <v>587</v>
      </c>
      <c r="R2672" s="132"/>
      <c r="S2672" s="33" t="s">
        <v>278</v>
      </c>
      <c r="T2672" s="132"/>
      <c r="U2672" s="33" t="s">
        <v>278</v>
      </c>
      <c r="V2672" s="132"/>
      <c r="W2672" s="59" t="s">
        <v>548</v>
      </c>
      <c r="X2672" s="33" t="str">
        <f>+VLOOKUP(OtherClients[[#This Row],[Part]],PartControl!$A$2:$E$564,5,FALSE)</f>
        <v>infasco</v>
      </c>
      <c r="Y2672" s="108">
        <f t="shared" si="0"/>
        <v>320.82</v>
      </c>
      <c r="Z2672" s="108">
        <f>IF(OtherClients[[#This Row],[Re-certified or New]]&lt;&gt;"Re-certified",IF(OtherClients[[#This Row],[Client]]="infasco",VLOOKUP(OtherClients[[#This Row],[Part]],PartControl!$A$2:$E$564,2,FALSE),OtherClients[[#This Row],[Total Quantity]]*VLOOKUP(OtherClients[[#This Row],[Part]],PartControl!$A$2:$E$564,2,FALSE)),0)</f>
        <v>313.92</v>
      </c>
    </row>
    <row r="2673" spans="1:26" ht="25.15" hidden="1" customHeight="1" x14ac:dyDescent="0.25">
      <c r="A2673" s="112">
        <v>46270.626319444447</v>
      </c>
      <c r="B2673" s="5" t="s">
        <v>347</v>
      </c>
      <c r="C2673" s="5" t="s">
        <v>738</v>
      </c>
      <c r="D2673" s="5">
        <v>718802</v>
      </c>
      <c r="E2673" s="33">
        <v>28</v>
      </c>
      <c r="F2673" s="60">
        <v>100</v>
      </c>
      <c r="G2673" s="60">
        <f>+OtherClients[[#This Row],[Boxes / Pieces]]*OtherClients[[#This Row],[Unit Quantity]]</f>
        <v>2800</v>
      </c>
      <c r="H2673" s="60" t="s">
        <v>920</v>
      </c>
      <c r="I2673" s="130" t="s">
        <v>278</v>
      </c>
      <c r="J2673" s="131"/>
      <c r="K2673" s="33" t="s">
        <v>278</v>
      </c>
      <c r="L2673" s="132"/>
      <c r="M2673" s="33" t="s">
        <v>278</v>
      </c>
      <c r="N2673" s="132"/>
      <c r="O2673" s="33" t="s">
        <v>278</v>
      </c>
      <c r="P2673" s="132"/>
      <c r="Q2673" s="33" t="s">
        <v>587</v>
      </c>
      <c r="R2673" s="132"/>
      <c r="S2673" s="33" t="s">
        <v>278</v>
      </c>
      <c r="T2673" s="132"/>
      <c r="U2673" s="33" t="s">
        <v>278</v>
      </c>
      <c r="V2673" s="132"/>
      <c r="W2673" s="59" t="s">
        <v>548</v>
      </c>
      <c r="X2673" s="33" t="str">
        <f>+VLOOKUP(OtherClients[[#This Row],[Part]],PartControl!$A$2:$E$564,5,FALSE)</f>
        <v>infasco</v>
      </c>
      <c r="Y2673" s="108">
        <f t="shared" si="0"/>
        <v>320.82</v>
      </c>
      <c r="Z2673" s="108">
        <f>IF(OtherClients[[#This Row],[Re-certified or New]]&lt;&gt;"Re-certified",IF(OtherClients[[#This Row],[Client]]="infasco",VLOOKUP(OtherClients[[#This Row],[Part]],PartControl!$A$2:$E$564,2,FALSE),OtherClients[[#This Row],[Total Quantity]]*VLOOKUP(OtherClients[[#This Row],[Part]],PartControl!$A$2:$E$564,2,FALSE)),0)</f>
        <v>313.92</v>
      </c>
    </row>
    <row r="2674" spans="1:26" ht="25.15" hidden="1" customHeight="1" x14ac:dyDescent="0.25">
      <c r="A2674" s="112">
        <v>46273.708009259259</v>
      </c>
      <c r="B2674" s="5" t="s">
        <v>624</v>
      </c>
      <c r="C2674" s="5" t="s">
        <v>705</v>
      </c>
      <c r="D2674" s="5">
        <v>717024</v>
      </c>
      <c r="E2674" s="33">
        <v>36</v>
      </c>
      <c r="F2674" s="60">
        <v>450</v>
      </c>
      <c r="G2674" s="60">
        <v>16200</v>
      </c>
      <c r="H2674" s="60">
        <v>292</v>
      </c>
      <c r="I2674" s="60" t="s">
        <v>278</v>
      </c>
      <c r="J2674" s="104"/>
      <c r="K2674" s="33" t="s">
        <v>278</v>
      </c>
      <c r="L2674" s="111"/>
      <c r="M2674" s="33" t="s">
        <v>278</v>
      </c>
      <c r="N2674" s="111"/>
      <c r="O2674" s="33" t="s">
        <v>278</v>
      </c>
      <c r="P2674" s="111"/>
      <c r="Q2674" s="33" t="s">
        <v>587</v>
      </c>
      <c r="R2674" s="111"/>
      <c r="S2674" s="33" t="s">
        <v>278</v>
      </c>
      <c r="T2674" s="111"/>
      <c r="U2674" s="33" t="s">
        <v>278</v>
      </c>
      <c r="V2674" s="111"/>
      <c r="W2674" s="59" t="s">
        <v>548</v>
      </c>
      <c r="X2674" s="33" t="str">
        <f>+VLOOKUP(OtherClients[[#This Row],[Part]],PartControl!$A$2:$E$564,5,FALSE)</f>
        <v>infasco</v>
      </c>
      <c r="Y2674" s="111">
        <v>106.94</v>
      </c>
      <c r="Z2674" s="108">
        <f>IF(OtherClients[[#This Row],[Re-certified or New]]&lt;&gt;"Re-certified",IF(OtherClients[[#This Row],[Client]]="infasco",VLOOKUP(OtherClients[[#This Row],[Part]],PartControl!$A$2:$E$564,2,FALSE),OtherClients[[#This Row],[Total Quantity]]*VLOOKUP(OtherClients[[#This Row],[Part]],PartControl!$A$2:$E$564,2,FALSE)),0)</f>
        <v>106.94</v>
      </c>
    </row>
    <row r="2675" spans="1:26" ht="25.15" hidden="1" customHeight="1" x14ac:dyDescent="0.25">
      <c r="A2675" s="112">
        <v>46273.708009259259</v>
      </c>
      <c r="B2675" s="5" t="s">
        <v>624</v>
      </c>
      <c r="C2675" s="5" t="s">
        <v>705</v>
      </c>
      <c r="D2675" s="5">
        <v>717020</v>
      </c>
      <c r="E2675" s="33">
        <v>36</v>
      </c>
      <c r="F2675" s="60">
        <v>450</v>
      </c>
      <c r="G2675" s="60">
        <f>+OtherClients[[#This Row],[Boxes / Pieces]]*OtherClients[[#This Row],[Unit Quantity]]</f>
        <v>16200</v>
      </c>
      <c r="H2675" s="60">
        <v>292</v>
      </c>
      <c r="I2675" s="60" t="s">
        <v>278</v>
      </c>
      <c r="J2675" s="104"/>
      <c r="K2675" s="33" t="s">
        <v>278</v>
      </c>
      <c r="L2675" s="111"/>
      <c r="M2675" s="33" t="s">
        <v>278</v>
      </c>
      <c r="N2675" s="111"/>
      <c r="O2675" s="33" t="s">
        <v>278</v>
      </c>
      <c r="P2675" s="111"/>
      <c r="Q2675" s="33" t="s">
        <v>587</v>
      </c>
      <c r="R2675" s="111"/>
      <c r="S2675" s="33" t="s">
        <v>278</v>
      </c>
      <c r="T2675" s="111"/>
      <c r="U2675" s="33" t="s">
        <v>278</v>
      </c>
      <c r="V2675" s="111"/>
      <c r="W2675" s="59" t="s">
        <v>548</v>
      </c>
      <c r="X2675" s="33" t="str">
        <f>+VLOOKUP(OtherClients[[#This Row],[Part]],PartControl!$A$2:$E$564,5,FALSE)</f>
        <v>infasco</v>
      </c>
      <c r="Y2675" s="108">
        <f>IF(OtherClients[[#This Row],[Re-certified or New]]&lt;&gt;"Re-certified",IF(OtherClients[[#This Row],[Client]]="infasco",VLOOKUP(OtherClients[[#This Row],[Part]],PartControl!$A$2:$E$564,2,FALSE),OtherClients[[#This Row],[Total Quantity]]*VLOOKUP(OtherClients[[#This Row],[Part]],PartControl!$A$2:$E$564,2,FALSE)),0)</f>
        <v>106.94</v>
      </c>
      <c r="Z2675" s="108">
        <f>IF(OtherClients[[#This Row],[Re-certified or New]]&lt;&gt;"Re-certified",IF(OtherClients[[#This Row],[Client]]="infasco",VLOOKUP(OtherClients[[#This Row],[Part]],PartControl!$A$2:$E$564,2,FALSE),OtherClients[[#This Row],[Total Quantity]]*VLOOKUP(OtherClients[[#This Row],[Part]],PartControl!$A$2:$E$564,2,FALSE)),0)</f>
        <v>106.94</v>
      </c>
    </row>
    <row r="2676" spans="1:26" ht="25.15" hidden="1" customHeight="1" x14ac:dyDescent="0.25">
      <c r="A2676" s="112">
        <v>46273.708009259259</v>
      </c>
      <c r="B2676" s="5" t="s">
        <v>624</v>
      </c>
      <c r="C2676" s="5" t="s">
        <v>705</v>
      </c>
      <c r="D2676" s="5">
        <v>717027</v>
      </c>
      <c r="E2676" s="33">
        <v>36</v>
      </c>
      <c r="F2676" s="60">
        <v>450</v>
      </c>
      <c r="G2676" s="60">
        <f>+OtherClients[[#This Row],[Boxes / Pieces]]*OtherClients[[#This Row],[Unit Quantity]]</f>
        <v>16200</v>
      </c>
      <c r="H2676" s="60">
        <v>292</v>
      </c>
      <c r="I2676" s="60" t="s">
        <v>278</v>
      </c>
      <c r="J2676" s="104"/>
      <c r="K2676" s="33" t="s">
        <v>278</v>
      </c>
      <c r="L2676" s="111"/>
      <c r="M2676" s="33" t="s">
        <v>278</v>
      </c>
      <c r="N2676" s="111"/>
      <c r="O2676" s="33" t="s">
        <v>278</v>
      </c>
      <c r="P2676" s="111"/>
      <c r="Q2676" s="33" t="s">
        <v>587</v>
      </c>
      <c r="R2676" s="111"/>
      <c r="S2676" s="33" t="s">
        <v>278</v>
      </c>
      <c r="T2676" s="111"/>
      <c r="U2676" s="33" t="s">
        <v>278</v>
      </c>
      <c r="V2676" s="111"/>
      <c r="W2676" s="59" t="s">
        <v>548</v>
      </c>
      <c r="X2676" s="33" t="str">
        <f>+VLOOKUP(OtherClients[[#This Row],[Part]],PartControl!$A$2:$E$564,5,FALSE)</f>
        <v>infasco</v>
      </c>
      <c r="Y2676" s="108">
        <f>IF(OtherClients[[#This Row],[Re-certified or New]]&lt;&gt;"Re-certified",IF(OtherClients[[#This Row],[Client]]="infasco",VLOOKUP(OtherClients[[#This Row],[Part]],PartControl!$A$2:$E$564,2,FALSE),OtherClients[[#This Row],[Total Quantity]]*VLOOKUP(OtherClients[[#This Row],[Part]],PartControl!$A$2:$E$564,2,FALSE)),0)</f>
        <v>106.94</v>
      </c>
      <c r="Z2676" s="108">
        <f>IF(OtherClients[[#This Row],[Re-certified or New]]&lt;&gt;"Re-certified",IF(OtherClients[[#This Row],[Client]]="infasco",VLOOKUP(OtherClients[[#This Row],[Part]],PartControl!$A$2:$E$564,2,FALSE),OtherClients[[#This Row],[Total Quantity]]*VLOOKUP(OtherClients[[#This Row],[Part]],PartControl!$A$2:$E$564,2,FALSE)),0)</f>
        <v>106.94</v>
      </c>
    </row>
    <row r="2677" spans="1:26" ht="25.15" hidden="1" customHeight="1" x14ac:dyDescent="0.25">
      <c r="A2677" s="112">
        <v>46273.708009259259</v>
      </c>
      <c r="B2677" s="113" t="s">
        <v>624</v>
      </c>
      <c r="C2677" s="113" t="s">
        <v>705</v>
      </c>
      <c r="D2677" s="113">
        <v>717022</v>
      </c>
      <c r="E2677" s="33">
        <v>30</v>
      </c>
      <c r="F2677" s="60">
        <v>450</v>
      </c>
      <c r="G2677" s="60">
        <f>+OtherClients[[#This Row],[Boxes / Pieces]]*OtherClients[[#This Row],[Unit Quantity]]</f>
        <v>13500</v>
      </c>
      <c r="H2677" s="60">
        <v>292</v>
      </c>
      <c r="I2677" s="60" t="s">
        <v>278</v>
      </c>
      <c r="J2677" s="104"/>
      <c r="K2677" s="33" t="s">
        <v>278</v>
      </c>
      <c r="L2677" s="111"/>
      <c r="M2677" s="33" t="s">
        <v>278</v>
      </c>
      <c r="N2677" s="111"/>
      <c r="O2677" s="33" t="s">
        <v>278</v>
      </c>
      <c r="P2677" s="111"/>
      <c r="Q2677" s="33" t="s">
        <v>587</v>
      </c>
      <c r="R2677" s="111"/>
      <c r="S2677" s="33" t="s">
        <v>278</v>
      </c>
      <c r="T2677" s="111"/>
      <c r="U2677" s="33" t="s">
        <v>278</v>
      </c>
      <c r="V2677" s="111"/>
      <c r="W2677" s="59" t="s">
        <v>548</v>
      </c>
      <c r="X2677" s="33" t="str">
        <f>+VLOOKUP(OtherClients[[#This Row],[Part]],PartControl!$A$2:$E$564,5,FALSE)</f>
        <v>infasco</v>
      </c>
      <c r="Y2677" s="108">
        <f>IF(OtherClients[[#This Row],[Re-certified or New]]&lt;&gt;"Re-certified",IF(OtherClients[[#This Row],[Client]]="infasco",VLOOKUP(OtherClients[[#This Row],[Part]],PartControl!$A$2:$E$564,2,FALSE),OtherClients[[#This Row],[Total Quantity]]*VLOOKUP(OtherClients[[#This Row],[Part]],PartControl!$A$2:$E$564,2,FALSE)),0)</f>
        <v>106.94</v>
      </c>
      <c r="Z2677" s="108">
        <f>IF(OtherClients[[#This Row],[Re-certified or New]]&lt;&gt;"Re-certified",IF(OtherClients[[#This Row],[Client]]="infasco",VLOOKUP(OtherClients[[#This Row],[Part]],PartControl!$A$2:$E$564,2,FALSE),OtherClients[[#This Row],[Total Quantity]]*VLOOKUP(OtherClients[[#This Row],[Part]],PartControl!$A$2:$E$564,2,FALSE)),0)</f>
        <v>106.94</v>
      </c>
    </row>
    <row r="2678" spans="1:26" ht="25.15" hidden="1" customHeight="1" x14ac:dyDescent="0.25">
      <c r="A2678" s="112">
        <v>46273.708009259259</v>
      </c>
      <c r="B2678" s="5" t="s">
        <v>244</v>
      </c>
      <c r="C2678" s="5" t="s">
        <v>845</v>
      </c>
      <c r="D2678" s="5">
        <v>717433</v>
      </c>
      <c r="E2678" s="33">
        <v>25</v>
      </c>
      <c r="F2678" s="60">
        <v>1000</v>
      </c>
      <c r="G2678" s="60">
        <f>+OtherClients[[#This Row],[Boxes / Pieces]]*OtherClients[[#This Row],[Unit Quantity]]</f>
        <v>25000</v>
      </c>
      <c r="H2678" s="60">
        <v>292</v>
      </c>
      <c r="I2678" s="60" t="s">
        <v>278</v>
      </c>
      <c r="J2678" s="104"/>
      <c r="K2678" s="33" t="s">
        <v>278</v>
      </c>
      <c r="L2678" s="111"/>
      <c r="M2678" s="33" t="s">
        <v>278</v>
      </c>
      <c r="N2678" s="111"/>
      <c r="O2678" s="33" t="s">
        <v>278</v>
      </c>
      <c r="P2678" s="111"/>
      <c r="Q2678" s="33" t="s">
        <v>587</v>
      </c>
      <c r="R2678" s="111"/>
      <c r="S2678" s="33" t="s">
        <v>278</v>
      </c>
      <c r="T2678" s="111"/>
      <c r="U2678" s="33" t="s">
        <v>278</v>
      </c>
      <c r="V2678" s="111"/>
      <c r="W2678" s="59" t="s">
        <v>633</v>
      </c>
      <c r="X2678" s="33" t="str">
        <f>+VLOOKUP(OtherClients[[#This Row],[Part]],PartControl!$A$2:$E$564,5,FALSE)</f>
        <v>infasco</v>
      </c>
      <c r="Y2678" s="108">
        <f>IF(OtherClients[[#This Row],[Re-certified or New]]&lt;&gt;"Re-certified",IF(OtherClients[[#This Row],[Client]]="infasco",VLOOKUP(OtherClients[[#This Row],[Part]],PartControl!$A$2:$E$564,2,FALSE),OtherClients[[#This Row],[Total Quantity]]*VLOOKUP(OtherClients[[#This Row],[Part]],PartControl!$A$2:$E$564,2,FALSE)),0)</f>
        <v>0</v>
      </c>
      <c r="Z2678" s="108">
        <f>IF(OtherClients[[#This Row],[Re-certified or New]]&lt;&gt;"Re-certified",IF(OtherClients[[#This Row],[Client]]="infasco",VLOOKUP(OtherClients[[#This Row],[Part]],PartControl!$A$2:$E$564,2,FALSE),OtherClients[[#This Row],[Total Quantity]]*VLOOKUP(OtherClients[[#This Row],[Part]],PartControl!$A$2:$E$564,2,FALSE)),0)</f>
        <v>0</v>
      </c>
    </row>
    <row r="2679" spans="1:26" ht="25.15" hidden="1" customHeight="1" x14ac:dyDescent="0.25">
      <c r="A2679" s="112">
        <v>46273.708009259259</v>
      </c>
      <c r="B2679" s="5" t="s">
        <v>251</v>
      </c>
      <c r="C2679" s="5">
        <v>11546462</v>
      </c>
      <c r="D2679" s="5">
        <v>718227</v>
      </c>
      <c r="E2679" s="33">
        <f>28-3</f>
        <v>25</v>
      </c>
      <c r="F2679" s="60">
        <v>650</v>
      </c>
      <c r="G2679" s="60">
        <f>+OtherClients[[#This Row],[Boxes / Pieces]]*OtherClients[[#This Row],[Unit Quantity]]</f>
        <v>16250</v>
      </c>
      <c r="H2679" s="60">
        <v>292</v>
      </c>
      <c r="I2679" s="60" t="s">
        <v>278</v>
      </c>
      <c r="J2679" s="104"/>
      <c r="K2679" s="33" t="s">
        <v>278</v>
      </c>
      <c r="L2679" s="111"/>
      <c r="M2679" s="33" t="s">
        <v>278</v>
      </c>
      <c r="N2679" s="111"/>
      <c r="O2679" s="33" t="s">
        <v>278</v>
      </c>
      <c r="P2679" s="111"/>
      <c r="Q2679" s="33" t="s">
        <v>587</v>
      </c>
      <c r="R2679" s="111"/>
      <c r="S2679" s="33" t="s">
        <v>278</v>
      </c>
      <c r="T2679" s="111"/>
      <c r="U2679" s="33" t="s">
        <v>278</v>
      </c>
      <c r="V2679" s="111"/>
      <c r="W2679" s="59" t="s">
        <v>548</v>
      </c>
      <c r="X2679" s="33" t="str">
        <f>+VLOOKUP(OtherClients[[#This Row],[Part]],PartControl!$A$2:$E$564,5,FALSE)</f>
        <v>INFASCO</v>
      </c>
      <c r="Y2679" s="108">
        <f>IF(OtherClients[[#This Row],[Re-certified or New]]&lt;&gt;"Re-certified",IF(OtherClients[[#This Row],[Client]]="infasco",VLOOKUP(OtherClients[[#This Row],[Part]],PartControl!$A$2:$E$564,2,FALSE),OtherClients[[#This Row],[Total Quantity]]*VLOOKUP(OtherClients[[#This Row],[Part]],PartControl!$A$2:$E$564,2,FALSE)),0)</f>
        <v>106.94</v>
      </c>
      <c r="Z2679" s="108">
        <f>IF(OtherClients[[#This Row],[Re-certified or New]]&lt;&gt;"Re-certified",IF(OtherClients[[#This Row],[Client]]="infasco",VLOOKUP(OtherClients[[#This Row],[Part]],PartControl!$A$2:$E$564,2,FALSE),OtherClients[[#This Row],[Total Quantity]]*VLOOKUP(OtherClients[[#This Row],[Part]],PartControl!$A$2:$E$564,2,FALSE)),0)</f>
        <v>106.94</v>
      </c>
    </row>
    <row r="2680" spans="1:26" ht="25.15" hidden="1" customHeight="1" x14ac:dyDescent="0.25">
      <c r="A2680" s="112">
        <v>46273.708009259259</v>
      </c>
      <c r="B2680" s="5" t="s">
        <v>251</v>
      </c>
      <c r="C2680" s="5">
        <v>11546462</v>
      </c>
      <c r="D2680" s="5">
        <v>718228</v>
      </c>
      <c r="E2680" s="33">
        <f>8+26</f>
        <v>34</v>
      </c>
      <c r="F2680" s="60">
        <v>650</v>
      </c>
      <c r="G2680" s="60">
        <f>+OtherClients[[#This Row],[Boxes / Pieces]]*OtherClients[[#This Row],[Unit Quantity]]</f>
        <v>22100</v>
      </c>
      <c r="H2680" s="60">
        <v>292</v>
      </c>
      <c r="I2680" s="60" t="s">
        <v>278</v>
      </c>
      <c r="J2680" s="104"/>
      <c r="K2680" s="33" t="s">
        <v>278</v>
      </c>
      <c r="L2680" s="111"/>
      <c r="M2680" s="33" t="s">
        <v>278</v>
      </c>
      <c r="N2680" s="111"/>
      <c r="O2680" s="33" t="s">
        <v>278</v>
      </c>
      <c r="P2680" s="111"/>
      <c r="Q2680" s="33" t="s">
        <v>587</v>
      </c>
      <c r="R2680" s="111"/>
      <c r="S2680" s="33" t="s">
        <v>278</v>
      </c>
      <c r="T2680" s="111"/>
      <c r="U2680" s="33" t="s">
        <v>278</v>
      </c>
      <c r="V2680" s="111"/>
      <c r="W2680" s="59" t="s">
        <v>548</v>
      </c>
      <c r="X2680" s="33" t="str">
        <f>+VLOOKUP(OtherClients[[#This Row],[Part]],PartControl!$A$2:$E$564,5,FALSE)</f>
        <v>INFASCO</v>
      </c>
      <c r="Y2680" s="108">
        <f>IF(OtherClients[[#This Row],[Re-certified or New]]&lt;&gt;"Re-certified",IF(OtherClients[[#This Row],[Client]]="infasco",VLOOKUP(OtherClients[[#This Row],[Part]],PartControl!$A$2:$E$564,2,FALSE),OtherClients[[#This Row],[Total Quantity]]*VLOOKUP(OtherClients[[#This Row],[Part]],PartControl!$A$2:$E$564,2,FALSE)),0)</f>
        <v>106.94</v>
      </c>
      <c r="Z2680" s="108">
        <f>IF(OtherClients[[#This Row],[Re-certified or New]]&lt;&gt;"Re-certified",IF(OtherClients[[#This Row],[Client]]="infasco",VLOOKUP(OtherClients[[#This Row],[Part]],PartControl!$A$2:$E$564,2,FALSE),OtherClients[[#This Row],[Total Quantity]]*VLOOKUP(OtherClients[[#This Row],[Part]],PartControl!$A$2:$E$564,2,FALSE)),0)</f>
        <v>106.94</v>
      </c>
    </row>
    <row r="2681" spans="1:26" ht="25.15" hidden="1" customHeight="1" x14ac:dyDescent="0.25">
      <c r="A2681" s="112">
        <v>46273.708009259259</v>
      </c>
      <c r="B2681" s="113" t="s">
        <v>251</v>
      </c>
      <c r="C2681" s="113">
        <v>11546462</v>
      </c>
      <c r="D2681" s="113">
        <v>718229</v>
      </c>
      <c r="E2681" s="33">
        <f>10+15</f>
        <v>25</v>
      </c>
      <c r="F2681" s="60">
        <v>650</v>
      </c>
      <c r="G2681" s="60">
        <f>+OtherClients[[#This Row],[Boxes / Pieces]]*OtherClients[[#This Row],[Unit Quantity]]</f>
        <v>16250</v>
      </c>
      <c r="H2681" s="60">
        <v>292</v>
      </c>
      <c r="I2681" s="60" t="s">
        <v>278</v>
      </c>
      <c r="J2681" s="104"/>
      <c r="K2681" s="33" t="s">
        <v>278</v>
      </c>
      <c r="L2681" s="111"/>
      <c r="M2681" s="33" t="s">
        <v>278</v>
      </c>
      <c r="N2681" s="111"/>
      <c r="O2681" s="33" t="s">
        <v>278</v>
      </c>
      <c r="P2681" s="111"/>
      <c r="Q2681" s="33" t="s">
        <v>587</v>
      </c>
      <c r="R2681" s="111"/>
      <c r="S2681" s="33" t="s">
        <v>278</v>
      </c>
      <c r="T2681" s="111"/>
      <c r="U2681" s="33" t="s">
        <v>278</v>
      </c>
      <c r="V2681" s="111"/>
      <c r="W2681" s="59" t="s">
        <v>633</v>
      </c>
      <c r="X2681" s="33" t="str">
        <f>+VLOOKUP(OtherClients[[#This Row],[Part]],PartControl!$A$2:$E$564,5,FALSE)</f>
        <v>INFASCO</v>
      </c>
      <c r="Y2681" s="108">
        <f>IF(OtherClients[[#This Row],[Re-certified or New]]&lt;&gt;"Re-certified",IF(OtherClients[[#This Row],[Client]]="infasco",VLOOKUP(OtherClients[[#This Row],[Part]],PartControl!$A$2:$E$564,2,FALSE),OtherClients[[#This Row],[Total Quantity]]*VLOOKUP(OtherClients[[#This Row],[Part]],PartControl!$A$2:$E$564,2,FALSE)),0)</f>
        <v>0</v>
      </c>
      <c r="Z2681" s="108">
        <f>IF(OtherClients[[#This Row],[Re-certified or New]]&lt;&gt;"Re-certified",IF(OtherClients[[#This Row],[Client]]="infasco",VLOOKUP(OtherClients[[#This Row],[Part]],PartControl!$A$2:$E$564,2,FALSE),OtherClients[[#This Row],[Total Quantity]]*VLOOKUP(OtherClients[[#This Row],[Part]],PartControl!$A$2:$E$564,2,FALSE)),0)</f>
        <v>0</v>
      </c>
    </row>
    <row r="2682" spans="1:26" ht="25.15" hidden="1" customHeight="1" x14ac:dyDescent="0.25">
      <c r="A2682" s="112">
        <v>46273.708009259259</v>
      </c>
      <c r="B2682" s="5" t="s">
        <v>245</v>
      </c>
      <c r="C2682" s="5">
        <v>11546545</v>
      </c>
      <c r="D2682" s="5">
        <v>718232</v>
      </c>
      <c r="E2682" s="33">
        <f>34-30</f>
        <v>4</v>
      </c>
      <c r="F2682" s="60">
        <v>2500</v>
      </c>
      <c r="G2682" s="60">
        <f>+OtherClients[[#This Row],[Boxes / Pieces]]*OtherClients[[#This Row],[Unit Quantity]]</f>
        <v>10000</v>
      </c>
      <c r="H2682" s="60">
        <v>292</v>
      </c>
      <c r="I2682" s="60" t="s">
        <v>278</v>
      </c>
      <c r="J2682" s="104"/>
      <c r="K2682" s="33" t="s">
        <v>278</v>
      </c>
      <c r="L2682" s="111"/>
      <c r="M2682" s="33" t="s">
        <v>278</v>
      </c>
      <c r="N2682" s="111"/>
      <c r="O2682" s="33" t="s">
        <v>278</v>
      </c>
      <c r="P2682" s="111"/>
      <c r="Q2682" s="33" t="s">
        <v>587</v>
      </c>
      <c r="R2682" s="111"/>
      <c r="S2682" s="33" t="s">
        <v>278</v>
      </c>
      <c r="T2682" s="111"/>
      <c r="U2682" s="33" t="s">
        <v>278</v>
      </c>
      <c r="V2682" s="111"/>
      <c r="W2682" s="59" t="s">
        <v>548</v>
      </c>
      <c r="X2682" s="33" t="str">
        <f>+VLOOKUP(OtherClients[[#This Row],[Part]],PartControl!$A$2:$E$564,5,FALSE)</f>
        <v>infasco</v>
      </c>
      <c r="Y2682" s="108">
        <f>IF(OtherClients[[#This Row],[Re-certified or New]]&lt;&gt;"Re-certified",IF(OtherClients[[#This Row],[Client]]="infasco",VLOOKUP(OtherClients[[#This Row],[Part]],PartControl!$A$2:$E$564,2,FALSE),OtherClients[[#This Row],[Total Quantity]]*VLOOKUP(OtherClients[[#This Row],[Part]],PartControl!$A$2:$E$564,2,FALSE)),0)</f>
        <v>106.94</v>
      </c>
      <c r="Z2682" s="108">
        <f>IF(OtherClients[[#This Row],[Re-certified or New]]&lt;&gt;"Re-certified",IF(OtherClients[[#This Row],[Client]]="infasco",VLOOKUP(OtherClients[[#This Row],[Part]],PartControl!$A$2:$E$564,2,FALSE),OtherClients[[#This Row],[Total Quantity]]*VLOOKUP(OtherClients[[#This Row],[Part]],PartControl!$A$2:$E$564,2,FALSE)),0)</f>
        <v>106.94</v>
      </c>
    </row>
    <row r="2683" spans="1:26" ht="25.15" hidden="1" customHeight="1" x14ac:dyDescent="0.25">
      <c r="A2683" s="112">
        <v>46273.708009259259</v>
      </c>
      <c r="B2683" s="5" t="s">
        <v>245</v>
      </c>
      <c r="C2683" s="5">
        <v>11546545</v>
      </c>
      <c r="D2683" s="5">
        <v>717762</v>
      </c>
      <c r="E2683" s="33">
        <v>27</v>
      </c>
      <c r="F2683" s="60">
        <v>2500</v>
      </c>
      <c r="G2683" s="60">
        <f>+OtherClients[[#This Row],[Boxes / Pieces]]*OtherClients[[#This Row],[Unit Quantity]]</f>
        <v>67500</v>
      </c>
      <c r="H2683" s="60">
        <v>292</v>
      </c>
      <c r="I2683" s="60" t="s">
        <v>278</v>
      </c>
      <c r="J2683" s="104"/>
      <c r="K2683" s="33" t="s">
        <v>278</v>
      </c>
      <c r="L2683" s="111"/>
      <c r="M2683" s="33" t="s">
        <v>278</v>
      </c>
      <c r="N2683" s="111"/>
      <c r="O2683" s="33" t="s">
        <v>278</v>
      </c>
      <c r="P2683" s="111"/>
      <c r="Q2683" s="33" t="s">
        <v>587</v>
      </c>
      <c r="R2683" s="111"/>
      <c r="S2683" s="33" t="s">
        <v>278</v>
      </c>
      <c r="T2683" s="111"/>
      <c r="U2683" s="33" t="s">
        <v>278</v>
      </c>
      <c r="V2683" s="111"/>
      <c r="W2683" s="59" t="s">
        <v>633</v>
      </c>
      <c r="X2683" s="33" t="str">
        <f>+VLOOKUP(OtherClients[[#This Row],[Part]],PartControl!$A$2:$E$564,5,FALSE)</f>
        <v>infasco</v>
      </c>
      <c r="Y2683" s="108">
        <f>IF(OtherClients[[#This Row],[Re-certified or New]]&lt;&gt;"Re-certified",IF(OtherClients[[#This Row],[Client]]="infasco",VLOOKUP(OtherClients[[#This Row],[Part]],PartControl!$A$2:$E$564,2,FALSE),OtherClients[[#This Row],[Total Quantity]]*VLOOKUP(OtherClients[[#This Row],[Part]],PartControl!$A$2:$E$564,2,FALSE)),0)</f>
        <v>0</v>
      </c>
      <c r="Z2683" s="108">
        <f>IF(OtherClients[[#This Row],[Re-certified or New]]&lt;&gt;"Re-certified",IF(OtherClients[[#This Row],[Client]]="infasco",VLOOKUP(OtherClients[[#This Row],[Part]],PartControl!$A$2:$E$564,2,FALSE),OtherClients[[#This Row],[Total Quantity]]*VLOOKUP(OtherClients[[#This Row],[Part]],PartControl!$A$2:$E$564,2,FALSE)),0)</f>
        <v>0</v>
      </c>
    </row>
    <row r="2684" spans="1:26" ht="25.15" hidden="1" customHeight="1" x14ac:dyDescent="0.25">
      <c r="A2684" s="112">
        <v>46273.708009259259</v>
      </c>
      <c r="B2684" s="5" t="s">
        <v>623</v>
      </c>
      <c r="C2684" s="5" t="s">
        <v>705</v>
      </c>
      <c r="D2684" s="5">
        <v>717023</v>
      </c>
      <c r="E2684" s="33">
        <f>36-3</f>
        <v>33</v>
      </c>
      <c r="F2684" s="60">
        <v>450</v>
      </c>
      <c r="G2684" s="60">
        <f>+OtherClients[[#This Row],[Boxes / Pieces]]*OtherClients[[#This Row],[Unit Quantity]]</f>
        <v>14850</v>
      </c>
      <c r="H2684" s="60">
        <v>292</v>
      </c>
      <c r="I2684" s="60" t="s">
        <v>278</v>
      </c>
      <c r="J2684" s="104"/>
      <c r="K2684" s="33" t="s">
        <v>278</v>
      </c>
      <c r="L2684" s="111"/>
      <c r="M2684" s="33" t="s">
        <v>278</v>
      </c>
      <c r="N2684" s="111"/>
      <c r="O2684" s="33" t="s">
        <v>278</v>
      </c>
      <c r="P2684" s="111"/>
      <c r="Q2684" s="33" t="s">
        <v>587</v>
      </c>
      <c r="R2684" s="111"/>
      <c r="S2684" s="33" t="s">
        <v>278</v>
      </c>
      <c r="T2684" s="111"/>
      <c r="U2684" s="33" t="s">
        <v>278</v>
      </c>
      <c r="V2684" s="111"/>
      <c r="W2684" s="59" t="s">
        <v>548</v>
      </c>
      <c r="X2684" s="33" t="str">
        <f>+VLOOKUP(OtherClients[[#This Row],[Part]],PartControl!$A$2:$E$564,5,FALSE)</f>
        <v>infasco</v>
      </c>
      <c r="Y2684" s="108">
        <f>IF(OtherClients[[#This Row],[Re-certified or New]]&lt;&gt;"Re-certified",IF(OtherClients[[#This Row],[Client]]="infasco",VLOOKUP(OtherClients[[#This Row],[Part]],PartControl!$A$2:$E$564,2,FALSE),OtherClients[[#This Row],[Total Quantity]]*VLOOKUP(OtherClients[[#This Row],[Part]],PartControl!$A$2:$E$564,2,FALSE)),0)</f>
        <v>106.94</v>
      </c>
      <c r="Z2684" s="108">
        <f>IF(OtherClients[[#This Row],[Re-certified or New]]&lt;&gt;"Re-certified",IF(OtherClients[[#This Row],[Client]]="infasco",VLOOKUP(OtherClients[[#This Row],[Part]],PartControl!$A$2:$E$564,2,FALSE),OtherClients[[#This Row],[Total Quantity]]*VLOOKUP(OtherClients[[#This Row],[Part]],PartControl!$A$2:$E$564,2,FALSE)),0)</f>
        <v>106.94</v>
      </c>
    </row>
    <row r="2685" spans="1:26" ht="25.15" hidden="1" customHeight="1" x14ac:dyDescent="0.25">
      <c r="A2685" s="112">
        <v>46273.708009259259</v>
      </c>
      <c r="B2685" s="5" t="s">
        <v>623</v>
      </c>
      <c r="C2685" s="5" t="s">
        <v>705</v>
      </c>
      <c r="D2685" s="5">
        <v>717028</v>
      </c>
      <c r="E2685" s="33">
        <v>25</v>
      </c>
      <c r="F2685" s="60">
        <v>450</v>
      </c>
      <c r="G2685" s="60">
        <f>+OtherClients[[#This Row],[Boxes / Pieces]]*OtherClients[[#This Row],[Unit Quantity]]</f>
        <v>11250</v>
      </c>
      <c r="H2685" s="60">
        <v>292</v>
      </c>
      <c r="I2685" s="60" t="s">
        <v>278</v>
      </c>
      <c r="J2685" s="104"/>
      <c r="K2685" s="33" t="s">
        <v>278</v>
      </c>
      <c r="L2685" s="111"/>
      <c r="M2685" s="33" t="s">
        <v>278</v>
      </c>
      <c r="N2685" s="111"/>
      <c r="O2685" s="33" t="s">
        <v>278</v>
      </c>
      <c r="P2685" s="111"/>
      <c r="Q2685" s="33" t="s">
        <v>587</v>
      </c>
      <c r="R2685" s="111"/>
      <c r="S2685" s="33" t="s">
        <v>278</v>
      </c>
      <c r="T2685" s="111"/>
      <c r="U2685" s="33" t="s">
        <v>278</v>
      </c>
      <c r="V2685" s="111"/>
      <c r="W2685" s="59" t="s">
        <v>548</v>
      </c>
      <c r="X2685" s="33" t="str">
        <f>+VLOOKUP(OtherClients[[#This Row],[Part]],PartControl!$A$2:$E$564,5,FALSE)</f>
        <v>infasco</v>
      </c>
      <c r="Y2685" s="108">
        <f>IF(OtherClients[[#This Row],[Re-certified or New]]&lt;&gt;"Re-certified",IF(OtherClients[[#This Row],[Client]]="infasco",VLOOKUP(OtherClients[[#This Row],[Part]],PartControl!$A$2:$E$564,2,FALSE),OtherClients[[#This Row],[Total Quantity]]*VLOOKUP(OtherClients[[#This Row],[Part]],PartControl!$A$2:$E$564,2,FALSE)),0)</f>
        <v>106.94</v>
      </c>
      <c r="Z2685" s="108">
        <f>IF(OtherClients[[#This Row],[Re-certified or New]]&lt;&gt;"Re-certified",IF(OtherClients[[#This Row],[Client]]="infasco",VLOOKUP(OtherClients[[#This Row],[Part]],PartControl!$A$2:$E$564,2,FALSE),OtherClients[[#This Row],[Total Quantity]]*VLOOKUP(OtherClients[[#This Row],[Part]],PartControl!$A$2:$E$564,2,FALSE)),0)</f>
        <v>106.94</v>
      </c>
    </row>
    <row r="2686" spans="1:26" ht="25.15" hidden="1" customHeight="1" x14ac:dyDescent="0.25">
      <c r="A2686" s="112">
        <v>46273.708009259259</v>
      </c>
      <c r="B2686" s="5" t="s">
        <v>623</v>
      </c>
      <c r="C2686" s="5" t="s">
        <v>705</v>
      </c>
      <c r="D2686" s="5">
        <v>717014</v>
      </c>
      <c r="E2686" s="33">
        <f>11+18</f>
        <v>29</v>
      </c>
      <c r="F2686" s="60">
        <v>450</v>
      </c>
      <c r="G2686" s="60">
        <f>+OtherClients[[#This Row],[Boxes / Pieces]]*OtherClients[[#This Row],[Unit Quantity]]</f>
        <v>13050</v>
      </c>
      <c r="H2686" s="60">
        <v>292</v>
      </c>
      <c r="I2686" s="60" t="s">
        <v>278</v>
      </c>
      <c r="J2686" s="104"/>
      <c r="K2686" s="33" t="s">
        <v>278</v>
      </c>
      <c r="L2686" s="111"/>
      <c r="M2686" s="33" t="s">
        <v>278</v>
      </c>
      <c r="N2686" s="111"/>
      <c r="O2686" s="33" t="s">
        <v>278</v>
      </c>
      <c r="P2686" s="111"/>
      <c r="Q2686" s="33" t="s">
        <v>587</v>
      </c>
      <c r="R2686" s="111"/>
      <c r="S2686" s="33" t="s">
        <v>278</v>
      </c>
      <c r="T2686" s="111"/>
      <c r="U2686" s="33" t="s">
        <v>278</v>
      </c>
      <c r="V2686" s="111"/>
      <c r="W2686" s="59" t="s">
        <v>548</v>
      </c>
      <c r="X2686" s="33" t="str">
        <f>+VLOOKUP(OtherClients[[#This Row],[Part]],PartControl!$A$2:$E$564,5,FALSE)</f>
        <v>infasco</v>
      </c>
      <c r="Y2686" s="108">
        <f>IF(OtherClients[[#This Row],[Re-certified or New]]&lt;&gt;"Re-certified",IF(OtherClients[[#This Row],[Client]]="infasco",VLOOKUP(OtherClients[[#This Row],[Part]],PartControl!$A$2:$E$564,2,FALSE),OtherClients[[#This Row],[Total Quantity]]*VLOOKUP(OtherClients[[#This Row],[Part]],PartControl!$A$2:$E$564,2,FALSE)),0)</f>
        <v>106.94</v>
      </c>
      <c r="Z2686" s="108">
        <f>IF(OtherClients[[#This Row],[Re-certified or New]]&lt;&gt;"Re-certified",IF(OtherClients[[#This Row],[Client]]="infasco",VLOOKUP(OtherClients[[#This Row],[Part]],PartControl!$A$2:$E$564,2,FALSE),OtherClients[[#This Row],[Total Quantity]]*VLOOKUP(OtherClients[[#This Row],[Part]],PartControl!$A$2:$E$564,2,FALSE)),0)</f>
        <v>106.94</v>
      </c>
    </row>
    <row r="2687" spans="1:26" ht="25.15" hidden="1" customHeight="1" x14ac:dyDescent="0.25">
      <c r="A2687" s="112">
        <v>46273.708009259259</v>
      </c>
      <c r="B2687" s="5" t="s">
        <v>623</v>
      </c>
      <c r="C2687" s="5" t="s">
        <v>705</v>
      </c>
      <c r="D2687" s="5">
        <v>717016</v>
      </c>
      <c r="E2687" s="33">
        <v>18</v>
      </c>
      <c r="F2687" s="60">
        <v>450</v>
      </c>
      <c r="G2687" s="60">
        <f>+OtherClients[[#This Row],[Boxes / Pieces]]*OtherClients[[#This Row],[Unit Quantity]]</f>
        <v>8100</v>
      </c>
      <c r="H2687" s="60">
        <v>292</v>
      </c>
      <c r="I2687" s="60" t="s">
        <v>278</v>
      </c>
      <c r="J2687" s="104"/>
      <c r="K2687" s="33" t="s">
        <v>278</v>
      </c>
      <c r="L2687" s="111"/>
      <c r="M2687" s="33" t="s">
        <v>278</v>
      </c>
      <c r="N2687" s="111"/>
      <c r="O2687" s="33" t="s">
        <v>278</v>
      </c>
      <c r="P2687" s="111"/>
      <c r="Q2687" s="33" t="s">
        <v>587</v>
      </c>
      <c r="R2687" s="111"/>
      <c r="S2687" s="33" t="s">
        <v>278</v>
      </c>
      <c r="T2687" s="111"/>
      <c r="U2687" s="33" t="s">
        <v>278</v>
      </c>
      <c r="V2687" s="111"/>
      <c r="W2687" s="59" t="s">
        <v>633</v>
      </c>
      <c r="X2687" s="33" t="str">
        <f>+VLOOKUP(OtherClients[[#This Row],[Part]],PartControl!$A$2:$E$564,5,FALSE)</f>
        <v>infasco</v>
      </c>
      <c r="Y2687" s="108">
        <f>IF(OtherClients[[#This Row],[Re-certified or New]]&lt;&gt;"Re-certified",IF(OtherClients[[#This Row],[Client]]="infasco",VLOOKUP(OtherClients[[#This Row],[Part]],PartControl!$A$2:$E$564,2,FALSE),OtherClients[[#This Row],[Total Quantity]]*VLOOKUP(OtherClients[[#This Row],[Part]],PartControl!$A$2:$E$564,2,FALSE)),0)</f>
        <v>0</v>
      </c>
      <c r="Z2687" s="108">
        <f>IF(OtherClients[[#This Row],[Re-certified or New]]&lt;&gt;"Re-certified",IF(OtherClients[[#This Row],[Client]]="infasco",VLOOKUP(OtherClients[[#This Row],[Part]],PartControl!$A$2:$E$564,2,FALSE),OtherClients[[#This Row],[Total Quantity]]*VLOOKUP(OtherClients[[#This Row],[Part]],PartControl!$A$2:$E$564,2,FALSE)),0)</f>
        <v>0</v>
      </c>
    </row>
    <row r="2688" spans="1:26" ht="25.15" hidden="1" customHeight="1" x14ac:dyDescent="0.25">
      <c r="A2688" s="112">
        <v>46273.708009259259</v>
      </c>
      <c r="B2688" s="5" t="s">
        <v>250</v>
      </c>
      <c r="C2688" s="5" t="s">
        <v>705</v>
      </c>
      <c r="D2688" s="5">
        <v>717515</v>
      </c>
      <c r="E2688" s="33">
        <f>36-3</f>
        <v>33</v>
      </c>
      <c r="F2688" s="60">
        <v>450</v>
      </c>
      <c r="G2688" s="60">
        <f>+OtherClients[[#This Row],[Boxes / Pieces]]*OtherClients[[#This Row],[Unit Quantity]]</f>
        <v>14850</v>
      </c>
      <c r="H2688" s="60">
        <v>290</v>
      </c>
      <c r="I2688" s="60" t="s">
        <v>278</v>
      </c>
      <c r="J2688" s="104"/>
      <c r="K2688" s="33" t="s">
        <v>278</v>
      </c>
      <c r="L2688" s="111"/>
      <c r="M2688" s="33" t="s">
        <v>278</v>
      </c>
      <c r="N2688" s="111"/>
      <c r="O2688" s="33" t="s">
        <v>278</v>
      </c>
      <c r="P2688" s="111"/>
      <c r="Q2688" s="33" t="s">
        <v>587</v>
      </c>
      <c r="R2688" s="111"/>
      <c r="S2688" s="33" t="s">
        <v>278</v>
      </c>
      <c r="T2688" s="111"/>
      <c r="U2688" s="33" t="s">
        <v>278</v>
      </c>
      <c r="V2688" s="111"/>
      <c r="W2688" s="59" t="s">
        <v>548</v>
      </c>
      <c r="X2688" s="33" t="str">
        <f>+VLOOKUP(OtherClients[[#This Row],[Part]],PartControl!$A$2:$E$564,5,FALSE)</f>
        <v>infasco</v>
      </c>
      <c r="Y2688" s="108">
        <f>IF(OtherClients[[#This Row],[Re-certified or New]]&lt;&gt;"Re-certified",IF(OtherClients[[#This Row],[Client]]="infasco",VLOOKUP(OtherClients[[#This Row],[Part]],PartControl!$A$2:$E$564,2,FALSE),OtherClients[[#This Row],[Total Quantity]]*VLOOKUP(OtherClients[[#This Row],[Part]],PartControl!$A$2:$E$564,2,FALSE)),0)</f>
        <v>106.94</v>
      </c>
      <c r="Z2688" s="108">
        <f>IF(OtherClients[[#This Row],[Re-certified or New]]&lt;&gt;"Re-certified",IF(OtherClients[[#This Row],[Client]]="infasco",VLOOKUP(OtherClients[[#This Row],[Part]],PartControl!$A$2:$E$564,2,FALSE),OtherClients[[#This Row],[Total Quantity]]*VLOOKUP(OtherClients[[#This Row],[Part]],PartControl!$A$2:$E$564,2,FALSE)),0)</f>
        <v>106.94</v>
      </c>
    </row>
    <row r="2689" spans="1:26" ht="25.15" hidden="1" customHeight="1" x14ac:dyDescent="0.25">
      <c r="A2689" s="112">
        <v>46273.708009259259</v>
      </c>
      <c r="B2689" s="5" t="s">
        <v>250</v>
      </c>
      <c r="C2689" s="5" t="s">
        <v>705</v>
      </c>
      <c r="D2689" s="5">
        <v>717518</v>
      </c>
      <c r="E2689" s="33">
        <v>36</v>
      </c>
      <c r="F2689" s="60">
        <v>450</v>
      </c>
      <c r="G2689" s="60">
        <f>+OtherClients[[#This Row],[Boxes / Pieces]]*OtherClients[[#This Row],[Unit Quantity]]</f>
        <v>16200</v>
      </c>
      <c r="H2689" s="60">
        <v>290</v>
      </c>
      <c r="I2689" s="60" t="s">
        <v>278</v>
      </c>
      <c r="J2689" s="104"/>
      <c r="K2689" s="33" t="s">
        <v>278</v>
      </c>
      <c r="L2689" s="111"/>
      <c r="M2689" s="33" t="s">
        <v>278</v>
      </c>
      <c r="N2689" s="111"/>
      <c r="O2689" s="33" t="s">
        <v>278</v>
      </c>
      <c r="P2689" s="111"/>
      <c r="Q2689" s="33" t="s">
        <v>587</v>
      </c>
      <c r="R2689" s="111"/>
      <c r="S2689" s="33" t="s">
        <v>278</v>
      </c>
      <c r="T2689" s="111"/>
      <c r="U2689" s="33" t="s">
        <v>278</v>
      </c>
      <c r="V2689" s="111"/>
      <c r="W2689" s="59" t="s">
        <v>548</v>
      </c>
      <c r="X2689" s="33" t="str">
        <f>+VLOOKUP(OtherClients[[#This Row],[Part]],PartControl!$A$2:$E$564,5,FALSE)</f>
        <v>infasco</v>
      </c>
      <c r="Y2689" s="108">
        <f>IF(OtherClients[[#This Row],[Re-certified or New]]&lt;&gt;"Re-certified",IF(OtherClients[[#This Row],[Client]]="infasco",VLOOKUP(OtherClients[[#This Row],[Part]],PartControl!$A$2:$E$564,2,FALSE),OtherClients[[#This Row],[Total Quantity]]*VLOOKUP(OtherClients[[#This Row],[Part]],PartControl!$A$2:$E$564,2,FALSE)),0)</f>
        <v>106.94</v>
      </c>
      <c r="Z2689" s="108">
        <f>IF(OtherClients[[#This Row],[Re-certified or New]]&lt;&gt;"Re-certified",IF(OtherClients[[#This Row],[Client]]="infasco",VLOOKUP(OtherClients[[#This Row],[Part]],PartControl!$A$2:$E$564,2,FALSE),OtherClients[[#This Row],[Total Quantity]]*VLOOKUP(OtherClients[[#This Row],[Part]],PartControl!$A$2:$E$564,2,FALSE)),0)</f>
        <v>106.94</v>
      </c>
    </row>
    <row r="2690" spans="1:26" ht="25.15" hidden="1" customHeight="1" x14ac:dyDescent="0.25">
      <c r="A2690" s="112">
        <v>46273.708009259259</v>
      </c>
      <c r="B2690" s="5" t="s">
        <v>250</v>
      </c>
      <c r="C2690" s="5" t="s">
        <v>705</v>
      </c>
      <c r="D2690" s="5">
        <v>717512</v>
      </c>
      <c r="E2690" s="33">
        <v>2</v>
      </c>
      <c r="F2690" s="60">
        <v>450</v>
      </c>
      <c r="G2690" s="60">
        <f>+OtherClients[[#This Row],[Boxes / Pieces]]*OtherClients[[#This Row],[Unit Quantity]]</f>
        <v>900</v>
      </c>
      <c r="H2690" s="60">
        <v>290</v>
      </c>
      <c r="I2690" s="60" t="s">
        <v>278</v>
      </c>
      <c r="J2690" s="104"/>
      <c r="K2690" s="33" t="s">
        <v>278</v>
      </c>
      <c r="L2690" s="111"/>
      <c r="M2690" s="33" t="s">
        <v>278</v>
      </c>
      <c r="N2690" s="111"/>
      <c r="O2690" s="33" t="s">
        <v>278</v>
      </c>
      <c r="P2690" s="111"/>
      <c r="Q2690" s="33" t="s">
        <v>587</v>
      </c>
      <c r="R2690" s="111"/>
      <c r="S2690" s="33" t="s">
        <v>278</v>
      </c>
      <c r="T2690" s="111"/>
      <c r="U2690" s="33" t="s">
        <v>278</v>
      </c>
      <c r="V2690" s="111"/>
      <c r="W2690" s="59" t="s">
        <v>633</v>
      </c>
      <c r="X2690" s="33" t="str">
        <f>+VLOOKUP(OtherClients[[#This Row],[Part]],PartControl!$A$2:$E$564,5,FALSE)</f>
        <v>infasco</v>
      </c>
      <c r="Y2690" s="108">
        <f>IF(OtherClients[[#This Row],[Re-certified or New]]&lt;&gt;"Re-certified",IF(OtherClients[[#This Row],[Client]]="infasco",VLOOKUP(OtherClients[[#This Row],[Part]],PartControl!$A$2:$E$564,2,FALSE),OtherClients[[#This Row],[Total Quantity]]*VLOOKUP(OtherClients[[#This Row],[Part]],PartControl!$A$2:$E$564,2,FALSE)),0)</f>
        <v>0</v>
      </c>
      <c r="Z2690" s="108">
        <f>IF(OtherClients[[#This Row],[Re-certified or New]]&lt;&gt;"Re-certified",IF(OtherClients[[#This Row],[Client]]="infasco",VLOOKUP(OtherClients[[#This Row],[Part]],PartControl!$A$2:$E$564,2,FALSE),OtherClients[[#This Row],[Total Quantity]]*VLOOKUP(OtherClients[[#This Row],[Part]],PartControl!$A$2:$E$564,2,FALSE)),0)</f>
        <v>0</v>
      </c>
    </row>
    <row r="2691" spans="1:26" ht="25.15" hidden="1" customHeight="1" x14ac:dyDescent="0.25">
      <c r="A2691" s="112">
        <v>46273.708009259259</v>
      </c>
      <c r="B2691" s="113" t="s">
        <v>240</v>
      </c>
      <c r="C2691" s="113">
        <v>11549168</v>
      </c>
      <c r="D2691" s="113">
        <v>717377</v>
      </c>
      <c r="E2691" s="114">
        <f>36+18-12</f>
        <v>42</v>
      </c>
      <c r="F2691" s="115">
        <v>1000</v>
      </c>
      <c r="G2691" s="115">
        <f>+OtherClients[[#This Row],[Boxes / Pieces]]*OtherClients[[#This Row],[Unit Quantity]]</f>
        <v>42000</v>
      </c>
      <c r="H2691" s="60">
        <v>290</v>
      </c>
      <c r="I2691" s="60" t="s">
        <v>278</v>
      </c>
      <c r="J2691" s="104"/>
      <c r="K2691" s="33" t="s">
        <v>278</v>
      </c>
      <c r="L2691" s="111"/>
      <c r="M2691" s="33" t="s">
        <v>278</v>
      </c>
      <c r="N2691" s="111"/>
      <c r="O2691" s="33" t="s">
        <v>278</v>
      </c>
      <c r="P2691" s="111"/>
      <c r="Q2691" s="33" t="s">
        <v>587</v>
      </c>
      <c r="R2691" s="111"/>
      <c r="S2691" s="33" t="s">
        <v>278</v>
      </c>
      <c r="T2691" s="111"/>
      <c r="U2691" s="33" t="s">
        <v>278</v>
      </c>
      <c r="V2691" s="111"/>
      <c r="W2691" s="59" t="s">
        <v>548</v>
      </c>
      <c r="X2691" s="33" t="str">
        <f>+VLOOKUP(OtherClients[[#This Row],[Part]],PartControl!$A$2:$E$564,5,FALSE)</f>
        <v>INFASCO</v>
      </c>
      <c r="Y2691" s="108">
        <f>IF(OtherClients[[#This Row],[Re-certified or New]]&lt;&gt;"Re-certified",IF(OtherClients[[#This Row],[Client]]="infasco",VLOOKUP(OtherClients[[#This Row],[Part]],PartControl!$A$2:$E$564,2,FALSE),OtherClients[[#This Row],[Total Quantity]]*VLOOKUP(OtherClients[[#This Row],[Part]],PartControl!$A$2:$E$564,2,FALSE)),0)</f>
        <v>106.94</v>
      </c>
      <c r="Z2691" s="108">
        <f>IF(OtherClients[[#This Row],[Re-certified or New]]&lt;&gt;"Re-certified",IF(OtherClients[[#This Row],[Client]]="infasco",VLOOKUP(OtherClients[[#This Row],[Part]],PartControl!$A$2:$E$564,2,FALSE),OtherClients[[#This Row],[Total Quantity]]*VLOOKUP(OtherClients[[#This Row],[Part]],PartControl!$A$2:$E$564,2,FALSE)),0)</f>
        <v>106.94</v>
      </c>
    </row>
    <row r="2692" spans="1:26" ht="25.15" hidden="1" customHeight="1" x14ac:dyDescent="0.25">
      <c r="A2692" s="112">
        <v>46273.708009259259</v>
      </c>
      <c r="B2692" s="5" t="s">
        <v>240</v>
      </c>
      <c r="C2692" s="5" t="s">
        <v>645</v>
      </c>
      <c r="D2692" s="5">
        <v>717399</v>
      </c>
      <c r="E2692" s="33">
        <v>39</v>
      </c>
      <c r="F2692" s="60">
        <v>1000</v>
      </c>
      <c r="G2692" s="60">
        <f>+OtherClients[[#This Row],[Boxes / Pieces]]*OtherClients[[#This Row],[Unit Quantity]]</f>
        <v>39000</v>
      </c>
      <c r="H2692" s="60">
        <v>290</v>
      </c>
      <c r="I2692" s="60" t="s">
        <v>278</v>
      </c>
      <c r="J2692" s="104"/>
      <c r="K2692" s="33" t="s">
        <v>278</v>
      </c>
      <c r="L2692" s="111"/>
      <c r="M2692" s="33" t="s">
        <v>278</v>
      </c>
      <c r="N2692" s="111"/>
      <c r="O2692" s="33" t="s">
        <v>278</v>
      </c>
      <c r="P2692" s="111"/>
      <c r="Q2692" s="33" t="s">
        <v>587</v>
      </c>
      <c r="R2692" s="111"/>
      <c r="S2692" s="33" t="s">
        <v>278</v>
      </c>
      <c r="T2692" s="111"/>
      <c r="U2692" s="33" t="s">
        <v>278</v>
      </c>
      <c r="V2692" s="111"/>
      <c r="W2692" s="59" t="s">
        <v>548</v>
      </c>
      <c r="X2692" s="33" t="str">
        <f>+VLOOKUP(OtherClients[[#This Row],[Part]],PartControl!$A$2:$E$564,5,FALSE)</f>
        <v>infasco</v>
      </c>
      <c r="Y2692" s="108">
        <f>IF(OtherClients[[#This Row],[Re-certified or New]]&lt;&gt;"Re-certified",IF(OtherClients[[#This Row],[Client]]="infasco",VLOOKUP(OtherClients[[#This Row],[Part]],PartControl!$A$2:$E$564,2,FALSE),OtherClients[[#This Row],[Total Quantity]]*VLOOKUP(OtherClients[[#This Row],[Part]],PartControl!$A$2:$E$564,2,FALSE)),0)</f>
        <v>106.94</v>
      </c>
      <c r="Z2692" s="108">
        <f>IF(OtherClients[[#This Row],[Re-certified or New]]&lt;&gt;"Re-certified",IF(OtherClients[[#This Row],[Client]]="infasco",VLOOKUP(OtherClients[[#This Row],[Part]],PartControl!$A$2:$E$564,2,FALSE),OtherClients[[#This Row],[Total Quantity]]*VLOOKUP(OtherClients[[#This Row],[Part]],PartControl!$A$2:$E$564,2,FALSE)),0)</f>
        <v>106.94</v>
      </c>
    </row>
    <row r="2693" spans="1:26" ht="25.15" hidden="1" customHeight="1" x14ac:dyDescent="0.25">
      <c r="A2693" s="112">
        <v>46273.708009259259</v>
      </c>
      <c r="B2693" s="5" t="s">
        <v>240</v>
      </c>
      <c r="C2693" s="5" t="s">
        <v>645</v>
      </c>
      <c r="D2693" s="5">
        <v>717400</v>
      </c>
      <c r="E2693" s="33">
        <v>17</v>
      </c>
      <c r="F2693" s="60">
        <v>1000</v>
      </c>
      <c r="G2693" s="60">
        <f>+OtherClients[[#This Row],[Boxes / Pieces]]*OtherClients[[#This Row],[Unit Quantity]]</f>
        <v>17000</v>
      </c>
      <c r="H2693" s="60">
        <v>290</v>
      </c>
      <c r="I2693" s="60" t="s">
        <v>278</v>
      </c>
      <c r="J2693" s="104"/>
      <c r="K2693" s="33" t="s">
        <v>278</v>
      </c>
      <c r="L2693" s="111"/>
      <c r="M2693" s="33" t="s">
        <v>278</v>
      </c>
      <c r="N2693" s="111"/>
      <c r="O2693" s="33" t="s">
        <v>278</v>
      </c>
      <c r="P2693" s="111"/>
      <c r="Q2693" s="33" t="s">
        <v>587</v>
      </c>
      <c r="R2693" s="111"/>
      <c r="S2693" s="33" t="s">
        <v>278</v>
      </c>
      <c r="T2693" s="111"/>
      <c r="U2693" s="33" t="s">
        <v>278</v>
      </c>
      <c r="V2693" s="111"/>
      <c r="W2693" s="59" t="s">
        <v>633</v>
      </c>
      <c r="X2693" s="33" t="str">
        <f>+VLOOKUP(OtherClients[[#This Row],[Part]],PartControl!$A$2:$E$564,5,FALSE)</f>
        <v>infasco</v>
      </c>
      <c r="Y2693" s="108">
        <f>IF(OtherClients[[#This Row],[Re-certified or New]]&lt;&gt;"Re-certified",IF(OtherClients[[#This Row],[Client]]="infasco",VLOOKUP(OtherClients[[#This Row],[Part]],PartControl!$A$2:$E$564,2,FALSE),OtherClients[[#This Row],[Total Quantity]]*VLOOKUP(OtherClients[[#This Row],[Part]],PartControl!$A$2:$E$564,2,FALSE)),0)</f>
        <v>0</v>
      </c>
      <c r="Z2693" s="108">
        <f>IF(OtherClients[[#This Row],[Re-certified or New]]&lt;&gt;"Re-certified",IF(OtherClients[[#This Row],[Client]]="infasco",VLOOKUP(OtherClients[[#This Row],[Part]],PartControl!$A$2:$E$564,2,FALSE),OtherClients[[#This Row],[Total Quantity]]*VLOOKUP(OtherClients[[#This Row],[Part]],PartControl!$A$2:$E$564,2,FALSE)),0)</f>
        <v>0</v>
      </c>
    </row>
    <row r="2694" spans="1:26" ht="25.15" hidden="1" customHeight="1" x14ac:dyDescent="0.25">
      <c r="A2694" s="112">
        <v>46273.708009259259</v>
      </c>
      <c r="B2694" s="5" t="s">
        <v>237</v>
      </c>
      <c r="C2694" s="5">
        <v>11549168</v>
      </c>
      <c r="D2694" s="5">
        <v>717372</v>
      </c>
      <c r="E2694" s="33">
        <f>36-13</f>
        <v>23</v>
      </c>
      <c r="F2694" s="60">
        <v>1000</v>
      </c>
      <c r="G2694" s="60">
        <f>+OtherClients[[#This Row],[Boxes / Pieces]]*OtherClients[[#This Row],[Unit Quantity]]</f>
        <v>23000</v>
      </c>
      <c r="H2694" s="60">
        <v>290</v>
      </c>
      <c r="I2694" s="60" t="s">
        <v>278</v>
      </c>
      <c r="J2694" s="104"/>
      <c r="K2694" s="33" t="s">
        <v>278</v>
      </c>
      <c r="L2694" s="111"/>
      <c r="M2694" s="33" t="s">
        <v>278</v>
      </c>
      <c r="N2694" s="111"/>
      <c r="O2694" s="33" t="s">
        <v>278</v>
      </c>
      <c r="P2694" s="111"/>
      <c r="Q2694" s="33" t="s">
        <v>587</v>
      </c>
      <c r="R2694" s="111"/>
      <c r="S2694" s="33" t="s">
        <v>278</v>
      </c>
      <c r="T2694" s="111"/>
      <c r="U2694" s="33" t="s">
        <v>278</v>
      </c>
      <c r="V2694" s="111"/>
      <c r="W2694" s="59" t="s">
        <v>548</v>
      </c>
      <c r="X2694" s="33" t="str">
        <f>+VLOOKUP(OtherClients[[#This Row],[Part]],PartControl!$A$2:$E$564,5,FALSE)</f>
        <v>INFASCO</v>
      </c>
      <c r="Y2694" s="108">
        <f>IF(OtherClients[[#This Row],[Re-certified or New]]&lt;&gt;"Re-certified",IF(OtherClients[[#This Row],[Client]]="infasco",VLOOKUP(OtherClients[[#This Row],[Part]],PartControl!$A$2:$E$564,2,FALSE),OtherClients[[#This Row],[Total Quantity]]*VLOOKUP(OtherClients[[#This Row],[Part]],PartControl!$A$2:$E$564,2,FALSE)),0)</f>
        <v>106.94</v>
      </c>
      <c r="Z2694" s="108">
        <f>IF(OtherClients[[#This Row],[Re-certified or New]]&lt;&gt;"Re-certified",IF(OtherClients[[#This Row],[Client]]="infasco",VLOOKUP(OtherClients[[#This Row],[Part]],PartControl!$A$2:$E$564,2,FALSE),OtherClients[[#This Row],[Total Quantity]]*VLOOKUP(OtherClients[[#This Row],[Part]],PartControl!$A$2:$E$564,2,FALSE)),0)</f>
        <v>106.94</v>
      </c>
    </row>
    <row r="2695" spans="1:26" ht="25.15" hidden="1" customHeight="1" x14ac:dyDescent="0.25">
      <c r="A2695" s="112">
        <v>46273.708009259259</v>
      </c>
      <c r="B2695" s="5" t="s">
        <v>237</v>
      </c>
      <c r="C2695" s="5">
        <v>11549168</v>
      </c>
      <c r="D2695" s="5">
        <v>717378</v>
      </c>
      <c r="E2695" s="33">
        <v>57</v>
      </c>
      <c r="F2695" s="60">
        <v>1000</v>
      </c>
      <c r="G2695" s="60">
        <f>+OtherClients[[#This Row],[Boxes / Pieces]]*OtherClients[[#This Row],[Unit Quantity]]</f>
        <v>57000</v>
      </c>
      <c r="H2695" s="60">
        <v>290</v>
      </c>
      <c r="I2695" s="60" t="s">
        <v>278</v>
      </c>
      <c r="J2695" s="104"/>
      <c r="K2695" s="33" t="s">
        <v>278</v>
      </c>
      <c r="L2695" s="111"/>
      <c r="M2695" s="33" t="s">
        <v>278</v>
      </c>
      <c r="N2695" s="111"/>
      <c r="O2695" s="33" t="s">
        <v>278</v>
      </c>
      <c r="P2695" s="111"/>
      <c r="Q2695" s="33" t="s">
        <v>587</v>
      </c>
      <c r="R2695" s="111"/>
      <c r="S2695" s="33" t="s">
        <v>278</v>
      </c>
      <c r="T2695" s="111"/>
      <c r="U2695" s="33" t="s">
        <v>278</v>
      </c>
      <c r="V2695" s="111"/>
      <c r="W2695" s="59" t="s">
        <v>548</v>
      </c>
      <c r="X2695" s="33" t="str">
        <f>+VLOOKUP(OtherClients[[#This Row],[Part]],PartControl!$A$2:$E$564,5,FALSE)</f>
        <v>INFASCO</v>
      </c>
      <c r="Y2695" s="108">
        <f>IF(OtherClients[[#This Row],[Re-certified or New]]&lt;&gt;"Re-certified",IF(OtherClients[[#This Row],[Client]]="infasco",VLOOKUP(OtherClients[[#This Row],[Part]],PartControl!$A$2:$E$564,2,FALSE),OtherClients[[#This Row],[Total Quantity]]*VLOOKUP(OtherClients[[#This Row],[Part]],PartControl!$A$2:$E$564,2,FALSE)),0)</f>
        <v>106.94</v>
      </c>
      <c r="Z2695" s="108">
        <f>IF(OtherClients[[#This Row],[Re-certified or New]]&lt;&gt;"Re-certified",IF(OtherClients[[#This Row],[Client]]="infasco",VLOOKUP(OtherClients[[#This Row],[Part]],PartControl!$A$2:$E$564,2,FALSE),OtherClients[[#This Row],[Total Quantity]]*VLOOKUP(OtherClients[[#This Row],[Part]],PartControl!$A$2:$E$564,2,FALSE)),0)</f>
        <v>106.94</v>
      </c>
    </row>
    <row r="2696" spans="1:26" ht="25.15" hidden="1" customHeight="1" x14ac:dyDescent="0.25">
      <c r="A2696" s="112">
        <v>46273.708009259259</v>
      </c>
      <c r="B2696" s="5" t="s">
        <v>237</v>
      </c>
      <c r="C2696" s="5" t="s">
        <v>565</v>
      </c>
      <c r="D2696" s="5">
        <v>717247</v>
      </c>
      <c r="E2696" s="33">
        <v>1</v>
      </c>
      <c r="F2696" s="60">
        <v>20000</v>
      </c>
      <c r="G2696" s="60">
        <f>+OtherClients[[#This Row],[Boxes / Pieces]]*OtherClients[[#This Row],[Unit Quantity]]</f>
        <v>20000</v>
      </c>
      <c r="H2696" s="60">
        <v>290</v>
      </c>
      <c r="I2696" s="60" t="s">
        <v>278</v>
      </c>
      <c r="J2696" s="104"/>
      <c r="K2696" s="33" t="s">
        <v>278</v>
      </c>
      <c r="L2696" s="111"/>
      <c r="M2696" s="33" t="s">
        <v>278</v>
      </c>
      <c r="N2696" s="111"/>
      <c r="O2696" s="33" t="s">
        <v>278</v>
      </c>
      <c r="P2696" s="111"/>
      <c r="Q2696" s="33" t="s">
        <v>587</v>
      </c>
      <c r="R2696" s="111"/>
      <c r="S2696" s="33" t="s">
        <v>278</v>
      </c>
      <c r="T2696" s="111"/>
      <c r="U2696" s="33" t="s">
        <v>278</v>
      </c>
      <c r="V2696" s="111"/>
      <c r="W2696" s="59" t="s">
        <v>548</v>
      </c>
      <c r="X2696" s="33" t="str">
        <f>+VLOOKUP(OtherClients[[#This Row],[Part]],PartControl!$A$2:$E$564,5,FALSE)</f>
        <v>Infasco</v>
      </c>
      <c r="Y2696" s="108">
        <f>IF(OtherClients[[#This Row],[Re-certified or New]]&lt;&gt;"Re-certified",IF(OtherClients[[#This Row],[Client]]="infasco",VLOOKUP(OtherClients[[#This Row],[Part]],PartControl!$A$2:$E$564,2,FALSE),OtherClients[[#This Row],[Total Quantity]]*VLOOKUP(OtherClients[[#This Row],[Part]],PartControl!$A$2:$E$564,2,FALSE)),0)</f>
        <v>106.94</v>
      </c>
      <c r="Z2696" s="108">
        <f>IF(OtherClients[[#This Row],[Re-certified or New]]&lt;&gt;"Re-certified",IF(OtherClients[[#This Row],[Client]]="infasco",VLOOKUP(OtherClients[[#This Row],[Part]],PartControl!$A$2:$E$564,2,FALSE),OtherClients[[#This Row],[Total Quantity]]*VLOOKUP(OtherClients[[#This Row],[Part]],PartControl!$A$2:$E$564,2,FALSE)),0)</f>
        <v>106.94</v>
      </c>
    </row>
    <row r="2697" spans="1:26" ht="25.15" hidden="1" customHeight="1" x14ac:dyDescent="0.25">
      <c r="A2697" s="112">
        <v>46273.708009259259</v>
      </c>
      <c r="B2697" s="5" t="s">
        <v>237</v>
      </c>
      <c r="C2697" s="5" t="s">
        <v>565</v>
      </c>
      <c r="D2697" s="5">
        <v>717246</v>
      </c>
      <c r="E2697" s="33">
        <v>1</v>
      </c>
      <c r="F2697" s="60">
        <f>5*525</f>
        <v>2625</v>
      </c>
      <c r="G2697" s="60">
        <f>+OtherClients[[#This Row],[Boxes / Pieces]]*OtherClients[[#This Row],[Unit Quantity]]</f>
        <v>2625</v>
      </c>
      <c r="H2697" s="60">
        <v>290</v>
      </c>
      <c r="I2697" s="60" t="s">
        <v>278</v>
      </c>
      <c r="J2697" s="104"/>
      <c r="K2697" s="33" t="s">
        <v>278</v>
      </c>
      <c r="L2697" s="111"/>
      <c r="M2697" s="33" t="s">
        <v>278</v>
      </c>
      <c r="N2697" s="111"/>
      <c r="O2697" s="33" t="s">
        <v>278</v>
      </c>
      <c r="P2697" s="111"/>
      <c r="Q2697" s="33" t="s">
        <v>587</v>
      </c>
      <c r="R2697" s="111"/>
      <c r="S2697" s="33" t="s">
        <v>278</v>
      </c>
      <c r="T2697" s="111"/>
      <c r="U2697" s="33" t="s">
        <v>278</v>
      </c>
      <c r="V2697" s="111"/>
      <c r="W2697" s="59" t="s">
        <v>633</v>
      </c>
      <c r="X2697" s="33" t="str">
        <f>+VLOOKUP(OtherClients[[#This Row],[Part]],PartControl!$A$2:$E$564,5,FALSE)</f>
        <v>Infasco</v>
      </c>
      <c r="Y2697" s="108">
        <f>IF(OtherClients[[#This Row],[Re-certified or New]]&lt;&gt;"Re-certified",IF(OtherClients[[#This Row],[Client]]="infasco",VLOOKUP(OtherClients[[#This Row],[Part]],PartControl!$A$2:$E$564,2,FALSE),OtherClients[[#This Row],[Total Quantity]]*VLOOKUP(OtherClients[[#This Row],[Part]],PartControl!$A$2:$E$564,2,FALSE)),0)</f>
        <v>0</v>
      </c>
      <c r="Z2697" s="108">
        <f>IF(OtherClients[[#This Row],[Re-certified or New]]&lt;&gt;"Re-certified",IF(OtherClients[[#This Row],[Client]]="infasco",VLOOKUP(OtherClients[[#This Row],[Part]],PartControl!$A$2:$E$564,2,FALSE),OtherClients[[#This Row],[Total Quantity]]*VLOOKUP(OtherClients[[#This Row],[Part]],PartControl!$A$2:$E$564,2,FALSE)),0)</f>
        <v>0</v>
      </c>
    </row>
    <row r="2698" spans="1:26" ht="25.15" hidden="1" customHeight="1" x14ac:dyDescent="0.25">
      <c r="A2698" s="112">
        <v>46273.708009259259</v>
      </c>
      <c r="B2698" s="5" t="s">
        <v>239</v>
      </c>
      <c r="C2698" s="5" t="s">
        <v>705</v>
      </c>
      <c r="D2698" s="5">
        <v>717519</v>
      </c>
      <c r="E2698" s="33">
        <f>36-10</f>
        <v>26</v>
      </c>
      <c r="F2698" s="60">
        <v>450</v>
      </c>
      <c r="G2698" s="60">
        <f>+OtherClients[[#This Row],[Boxes / Pieces]]*OtherClients[[#This Row],[Unit Quantity]]</f>
        <v>11700</v>
      </c>
      <c r="H2698" s="60">
        <v>290</v>
      </c>
      <c r="I2698" s="60" t="s">
        <v>278</v>
      </c>
      <c r="J2698" s="104"/>
      <c r="K2698" s="33" t="s">
        <v>278</v>
      </c>
      <c r="L2698" s="111"/>
      <c r="M2698" s="33" t="s">
        <v>278</v>
      </c>
      <c r="N2698" s="111"/>
      <c r="O2698" s="33" t="s">
        <v>278</v>
      </c>
      <c r="P2698" s="111"/>
      <c r="Q2698" s="33" t="s">
        <v>587</v>
      </c>
      <c r="R2698" s="111"/>
      <c r="S2698" s="33" t="s">
        <v>278</v>
      </c>
      <c r="T2698" s="111"/>
      <c r="U2698" s="33" t="s">
        <v>278</v>
      </c>
      <c r="V2698" s="111"/>
      <c r="W2698" s="59" t="s">
        <v>548</v>
      </c>
      <c r="X2698" s="33" t="str">
        <f>+VLOOKUP(OtherClients[[#This Row],[Part]],PartControl!$A$2:$E$564,5,FALSE)</f>
        <v>infasco</v>
      </c>
      <c r="Y2698" s="108">
        <f>IF(OtherClients[[#This Row],[Re-certified or New]]&lt;&gt;"Re-certified",IF(OtherClients[[#This Row],[Client]]="infasco",VLOOKUP(OtherClients[[#This Row],[Part]],PartControl!$A$2:$E$564,2,FALSE),OtherClients[[#This Row],[Total Quantity]]*VLOOKUP(OtherClients[[#This Row],[Part]],PartControl!$A$2:$E$564,2,FALSE)),0)</f>
        <v>106.94</v>
      </c>
      <c r="Z2698" s="108">
        <f>IF(OtherClients[[#This Row],[Re-certified or New]]&lt;&gt;"Re-certified",IF(OtherClients[[#This Row],[Client]]="infasco",VLOOKUP(OtherClients[[#This Row],[Part]],PartControl!$A$2:$E$564,2,FALSE),OtherClients[[#This Row],[Total Quantity]]*VLOOKUP(OtherClients[[#This Row],[Part]],PartControl!$A$2:$E$564,2,FALSE)),0)</f>
        <v>106.94</v>
      </c>
    </row>
    <row r="2699" spans="1:26" ht="25.15" hidden="1" customHeight="1" x14ac:dyDescent="0.25">
      <c r="A2699" s="112">
        <v>46273.708009259259</v>
      </c>
      <c r="B2699" s="5" t="s">
        <v>239</v>
      </c>
      <c r="C2699" s="5" t="s">
        <v>705</v>
      </c>
      <c r="D2699" s="5">
        <v>717517</v>
      </c>
      <c r="E2699" s="33">
        <v>18</v>
      </c>
      <c r="F2699" s="60">
        <v>450</v>
      </c>
      <c r="G2699" s="60">
        <f>+OtherClients[[#This Row],[Boxes / Pieces]]*OtherClients[[#This Row],[Unit Quantity]]</f>
        <v>8100</v>
      </c>
      <c r="H2699" s="60">
        <v>290</v>
      </c>
      <c r="I2699" s="60" t="s">
        <v>278</v>
      </c>
      <c r="J2699" s="104"/>
      <c r="K2699" s="33" t="s">
        <v>278</v>
      </c>
      <c r="L2699" s="111"/>
      <c r="M2699" s="33" t="s">
        <v>278</v>
      </c>
      <c r="N2699" s="111"/>
      <c r="O2699" s="33" t="s">
        <v>278</v>
      </c>
      <c r="P2699" s="111"/>
      <c r="Q2699" s="33" t="s">
        <v>587</v>
      </c>
      <c r="R2699" s="111"/>
      <c r="S2699" s="33" t="s">
        <v>278</v>
      </c>
      <c r="T2699" s="111"/>
      <c r="U2699" s="33" t="s">
        <v>278</v>
      </c>
      <c r="V2699" s="111"/>
      <c r="W2699" s="59" t="s">
        <v>548</v>
      </c>
      <c r="X2699" s="33" t="str">
        <f>+VLOOKUP(OtherClients[[#This Row],[Part]],PartControl!$A$2:$E$564,5,FALSE)</f>
        <v>infasco</v>
      </c>
      <c r="Y2699" s="108">
        <f>IF(OtherClients[[#This Row],[Re-certified or New]]&lt;&gt;"Re-certified",IF(OtherClients[[#This Row],[Client]]="infasco",VLOOKUP(OtherClients[[#This Row],[Part]],PartControl!$A$2:$E$564,2,FALSE),OtherClients[[#This Row],[Total Quantity]]*VLOOKUP(OtherClients[[#This Row],[Part]],PartControl!$A$2:$E$564,2,FALSE)),0)</f>
        <v>106.94</v>
      </c>
      <c r="Z2699" s="108">
        <f>IF(OtherClients[[#This Row],[Re-certified or New]]&lt;&gt;"Re-certified",IF(OtherClients[[#This Row],[Client]]="infasco",VLOOKUP(OtherClients[[#This Row],[Part]],PartControl!$A$2:$E$564,2,FALSE),OtherClients[[#This Row],[Total Quantity]]*VLOOKUP(OtherClients[[#This Row],[Part]],PartControl!$A$2:$E$564,2,FALSE)),0)</f>
        <v>106.94</v>
      </c>
    </row>
    <row r="2700" spans="1:26" ht="25.15" hidden="1" customHeight="1" x14ac:dyDescent="0.25">
      <c r="A2700" s="112">
        <v>46273.708009259259</v>
      </c>
      <c r="B2700" s="5" t="s">
        <v>239</v>
      </c>
      <c r="C2700" s="5" t="s">
        <v>705</v>
      </c>
      <c r="D2700" s="5">
        <v>717525</v>
      </c>
      <c r="E2700" s="33">
        <v>34</v>
      </c>
      <c r="F2700" s="60">
        <v>450</v>
      </c>
      <c r="G2700" s="60">
        <f>+OtherClients[[#This Row],[Boxes / Pieces]]*OtherClients[[#This Row],[Unit Quantity]]</f>
        <v>15300</v>
      </c>
      <c r="H2700" s="60">
        <v>290</v>
      </c>
      <c r="I2700" s="60" t="s">
        <v>278</v>
      </c>
      <c r="J2700" s="104"/>
      <c r="K2700" s="33" t="s">
        <v>278</v>
      </c>
      <c r="L2700" s="111"/>
      <c r="M2700" s="33" t="s">
        <v>278</v>
      </c>
      <c r="N2700" s="111"/>
      <c r="O2700" s="33" t="s">
        <v>278</v>
      </c>
      <c r="P2700" s="111"/>
      <c r="Q2700" s="33" t="s">
        <v>587</v>
      </c>
      <c r="R2700" s="111"/>
      <c r="S2700" s="33" t="s">
        <v>278</v>
      </c>
      <c r="T2700" s="111"/>
      <c r="U2700" s="33" t="s">
        <v>278</v>
      </c>
      <c r="V2700" s="111"/>
      <c r="W2700" s="59" t="s">
        <v>548</v>
      </c>
      <c r="X2700" s="33" t="str">
        <f>+VLOOKUP(OtherClients[[#This Row],[Part]],PartControl!$A$2:$E$564,5,FALSE)</f>
        <v>infasco</v>
      </c>
      <c r="Y2700" s="108">
        <f>IF(OtherClients[[#This Row],[Re-certified or New]]&lt;&gt;"Re-certified",IF(OtherClients[[#This Row],[Client]]="infasco",VLOOKUP(OtherClients[[#This Row],[Part]],PartControl!$A$2:$E$564,2,FALSE),OtherClients[[#This Row],[Total Quantity]]*VLOOKUP(OtherClients[[#This Row],[Part]],PartControl!$A$2:$E$564,2,FALSE)),0)</f>
        <v>106.94</v>
      </c>
      <c r="Z2700" s="108">
        <f>IF(OtherClients[[#This Row],[Re-certified or New]]&lt;&gt;"Re-certified",IF(OtherClients[[#This Row],[Client]]="infasco",VLOOKUP(OtherClients[[#This Row],[Part]],PartControl!$A$2:$E$564,2,FALSE),OtherClients[[#This Row],[Total Quantity]]*VLOOKUP(OtherClients[[#This Row],[Part]],PartControl!$A$2:$E$564,2,FALSE)),0)</f>
        <v>106.94</v>
      </c>
    </row>
    <row r="2701" spans="1:26" ht="25.15" hidden="1" customHeight="1" x14ac:dyDescent="0.25">
      <c r="A2701" s="112">
        <v>46273.708009259259</v>
      </c>
      <c r="B2701" s="5" t="s">
        <v>239</v>
      </c>
      <c r="C2701" s="5" t="s">
        <v>705</v>
      </c>
      <c r="D2701" s="5">
        <v>717514</v>
      </c>
      <c r="E2701" s="33">
        <v>20</v>
      </c>
      <c r="F2701" s="60">
        <v>450</v>
      </c>
      <c r="G2701" s="60">
        <f>+OtherClients[[#This Row],[Boxes / Pieces]]*OtherClients[[#This Row],[Unit Quantity]]</f>
        <v>9000</v>
      </c>
      <c r="H2701" s="60">
        <v>290</v>
      </c>
      <c r="I2701" s="60" t="s">
        <v>278</v>
      </c>
      <c r="J2701" s="104"/>
      <c r="K2701" s="33" t="s">
        <v>278</v>
      </c>
      <c r="L2701" s="111"/>
      <c r="M2701" s="33" t="s">
        <v>278</v>
      </c>
      <c r="N2701" s="111"/>
      <c r="O2701" s="33" t="s">
        <v>278</v>
      </c>
      <c r="P2701" s="111"/>
      <c r="Q2701" s="33" t="s">
        <v>587</v>
      </c>
      <c r="R2701" s="111"/>
      <c r="S2701" s="33" t="s">
        <v>278</v>
      </c>
      <c r="T2701" s="111"/>
      <c r="U2701" s="33" t="s">
        <v>278</v>
      </c>
      <c r="V2701" s="111"/>
      <c r="W2701" s="59" t="s">
        <v>633</v>
      </c>
      <c r="X2701" s="33" t="str">
        <f>+VLOOKUP(OtherClients[[#This Row],[Part]],PartControl!$A$2:$E$564,5,FALSE)</f>
        <v>infasco</v>
      </c>
      <c r="Y2701" s="108">
        <f>IF(OtherClients[[#This Row],[Re-certified or New]]&lt;&gt;"Re-certified",IF(OtherClients[[#This Row],[Client]]="infasco",VLOOKUP(OtherClients[[#This Row],[Part]],PartControl!$A$2:$E$564,2,FALSE),OtherClients[[#This Row],[Total Quantity]]*VLOOKUP(OtherClients[[#This Row],[Part]],PartControl!$A$2:$E$564,2,FALSE)),0)</f>
        <v>0</v>
      </c>
      <c r="Z2701" s="108">
        <f>IF(OtherClients[[#This Row],[Re-certified or New]]&lt;&gt;"Re-certified",IF(OtherClients[[#This Row],[Client]]="infasco",VLOOKUP(OtherClients[[#This Row],[Part]],PartControl!$A$2:$E$564,2,FALSE),OtherClients[[#This Row],[Total Quantity]]*VLOOKUP(OtherClients[[#This Row],[Part]],PartControl!$A$2:$E$564,2,FALSE)),0)</f>
        <v>0</v>
      </c>
    </row>
    <row r="2702" spans="1:26" ht="25.15" hidden="1" customHeight="1" x14ac:dyDescent="0.25">
      <c r="A2702" s="112">
        <v>46273.708009259259</v>
      </c>
      <c r="B2702" s="5" t="s">
        <v>236</v>
      </c>
      <c r="C2702" s="5">
        <v>11546545</v>
      </c>
      <c r="D2702" s="5">
        <v>717759</v>
      </c>
      <c r="E2702" s="33">
        <f>35-13</f>
        <v>22</v>
      </c>
      <c r="F2702" s="60">
        <v>2500</v>
      </c>
      <c r="G2702" s="60">
        <f>+OtherClients[[#This Row],[Boxes / Pieces]]*OtherClients[[#This Row],[Unit Quantity]]</f>
        <v>55000</v>
      </c>
      <c r="H2702" s="60">
        <v>290</v>
      </c>
      <c r="I2702" s="60" t="s">
        <v>278</v>
      </c>
      <c r="J2702" s="104"/>
      <c r="K2702" s="33" t="s">
        <v>278</v>
      </c>
      <c r="L2702" s="111"/>
      <c r="M2702" s="33" t="s">
        <v>278</v>
      </c>
      <c r="N2702" s="111"/>
      <c r="O2702" s="33" t="s">
        <v>278</v>
      </c>
      <c r="P2702" s="111"/>
      <c r="Q2702" s="33" t="s">
        <v>587</v>
      </c>
      <c r="R2702" s="111"/>
      <c r="S2702" s="33" t="s">
        <v>278</v>
      </c>
      <c r="T2702" s="111"/>
      <c r="U2702" s="33" t="s">
        <v>278</v>
      </c>
      <c r="V2702" s="111"/>
      <c r="W2702" s="59" t="s">
        <v>548</v>
      </c>
      <c r="X2702" s="33" t="str">
        <f>+VLOOKUP(OtherClients[[#This Row],[Part]],PartControl!$A$2:$E$564,5,FALSE)</f>
        <v>infasco</v>
      </c>
      <c r="Y2702" s="108">
        <f>IF(OtherClients[[#This Row],[Re-certified or New]]&lt;&gt;"Re-certified",IF(OtherClients[[#This Row],[Client]]="infasco",VLOOKUP(OtherClients[[#This Row],[Part]],PartControl!$A$2:$E$564,2,FALSE),OtherClients[[#This Row],[Total Quantity]]*VLOOKUP(OtherClients[[#This Row],[Part]],PartControl!$A$2:$E$564,2,FALSE)),0)</f>
        <v>106.94</v>
      </c>
      <c r="Z2702" s="108">
        <f>IF(OtherClients[[#This Row],[Re-certified or New]]&lt;&gt;"Re-certified",IF(OtherClients[[#This Row],[Client]]="infasco",VLOOKUP(OtherClients[[#This Row],[Part]],PartControl!$A$2:$E$564,2,FALSE),OtherClients[[#This Row],[Total Quantity]]*VLOOKUP(OtherClients[[#This Row],[Part]],PartControl!$A$2:$E$564,2,FALSE)),0)</f>
        <v>106.94</v>
      </c>
    </row>
    <row r="2703" spans="1:26" ht="25.15" hidden="1" customHeight="1" x14ac:dyDescent="0.25">
      <c r="A2703" s="112">
        <v>46273.708009259259</v>
      </c>
      <c r="B2703" s="5" t="s">
        <v>236</v>
      </c>
      <c r="C2703" s="5" t="s">
        <v>733</v>
      </c>
      <c r="D2703" s="5">
        <v>716782</v>
      </c>
      <c r="E2703" s="33">
        <v>28</v>
      </c>
      <c r="F2703" s="60">
        <v>2500</v>
      </c>
      <c r="G2703" s="60">
        <f>+OtherClients[[#This Row],[Boxes / Pieces]]*OtherClients[[#This Row],[Unit Quantity]]</f>
        <v>70000</v>
      </c>
      <c r="H2703" s="60">
        <v>290</v>
      </c>
      <c r="I2703" s="60" t="s">
        <v>278</v>
      </c>
      <c r="J2703" s="104"/>
      <c r="K2703" s="33" t="s">
        <v>278</v>
      </c>
      <c r="L2703" s="111"/>
      <c r="M2703" s="33" t="s">
        <v>278</v>
      </c>
      <c r="N2703" s="111"/>
      <c r="O2703" s="33" t="s">
        <v>278</v>
      </c>
      <c r="P2703" s="111"/>
      <c r="Q2703" s="33" t="s">
        <v>587</v>
      </c>
      <c r="R2703" s="111"/>
      <c r="S2703" s="33" t="s">
        <v>278</v>
      </c>
      <c r="T2703" s="111"/>
      <c r="U2703" s="33" t="s">
        <v>278</v>
      </c>
      <c r="V2703" s="111"/>
      <c r="W2703" s="59" t="s">
        <v>633</v>
      </c>
      <c r="X2703" s="33" t="str">
        <f>+VLOOKUP(OtherClients[[#This Row],[Part]],PartControl!$A$2:$E$564,5,FALSE)</f>
        <v>infasco</v>
      </c>
      <c r="Y2703" s="108">
        <f>IF(OtherClients[[#This Row],[Re-certified or New]]&lt;&gt;"Re-certified",IF(OtherClients[[#This Row],[Client]]="infasco",VLOOKUP(OtherClients[[#This Row],[Part]],PartControl!$A$2:$E$564,2,FALSE),OtherClients[[#This Row],[Total Quantity]]*VLOOKUP(OtherClients[[#This Row],[Part]],PartControl!$A$2:$E$564,2,FALSE)),0)</f>
        <v>0</v>
      </c>
      <c r="Z2703" s="108">
        <f>IF(OtherClients[[#This Row],[Re-certified or New]]&lt;&gt;"Re-certified",IF(OtherClients[[#This Row],[Client]]="infasco",VLOOKUP(OtherClients[[#This Row],[Part]],PartControl!$A$2:$E$564,2,FALSE),OtherClients[[#This Row],[Total Quantity]]*VLOOKUP(OtherClients[[#This Row],[Part]],PartControl!$A$2:$E$564,2,FALSE)),0)</f>
        <v>0</v>
      </c>
    </row>
    <row r="2704" spans="1:26" ht="25.15" hidden="1" customHeight="1" x14ac:dyDescent="0.25">
      <c r="A2704" s="112">
        <v>46273.708009259259</v>
      </c>
      <c r="B2704" s="5" t="s">
        <v>636</v>
      </c>
      <c r="C2704" s="5" t="s">
        <v>703</v>
      </c>
      <c r="D2704" s="5">
        <v>716373</v>
      </c>
      <c r="E2704" s="33">
        <f>36-22</f>
        <v>14</v>
      </c>
      <c r="F2704" s="60">
        <v>700</v>
      </c>
      <c r="G2704" s="60">
        <f>+OtherClients[[#This Row],[Boxes / Pieces]]*OtherClients[[#This Row],[Unit Quantity]]</f>
        <v>9800</v>
      </c>
      <c r="H2704" s="60">
        <v>280</v>
      </c>
      <c r="I2704" s="60" t="s">
        <v>278</v>
      </c>
      <c r="J2704" s="104"/>
      <c r="K2704" s="33" t="s">
        <v>278</v>
      </c>
      <c r="L2704" s="111"/>
      <c r="M2704" s="33" t="s">
        <v>278</v>
      </c>
      <c r="N2704" s="111"/>
      <c r="O2704" s="33" t="s">
        <v>278</v>
      </c>
      <c r="P2704" s="111"/>
      <c r="Q2704" s="33" t="s">
        <v>587</v>
      </c>
      <c r="R2704" s="111"/>
      <c r="S2704" s="33" t="s">
        <v>278</v>
      </c>
      <c r="T2704" s="111"/>
      <c r="U2704" s="33" t="s">
        <v>278</v>
      </c>
      <c r="V2704" s="111"/>
      <c r="W2704" s="59" t="s">
        <v>548</v>
      </c>
      <c r="X2704" s="33" t="str">
        <f>+VLOOKUP(OtherClients[[#This Row],[Part]],PartControl!$A$2:$E$564,5,FALSE)</f>
        <v>infasco</v>
      </c>
      <c r="Y2704" s="108">
        <f>IF(OtherClients[[#This Row],[Re-certified or New]]&lt;&gt;"Re-certified",IF(OtherClients[[#This Row],[Client]]="infasco",VLOOKUP(OtherClients[[#This Row],[Part]],PartControl!$A$2:$E$564,2,FALSE),OtherClients[[#This Row],[Total Quantity]]*VLOOKUP(OtherClients[[#This Row],[Part]],PartControl!$A$2:$E$564,2,FALSE)),0)</f>
        <v>106.94</v>
      </c>
      <c r="Z2704" s="108">
        <f>IF(OtherClients[[#This Row],[Re-certified or New]]&lt;&gt;"Re-certified",IF(OtherClients[[#This Row],[Client]]="infasco",VLOOKUP(OtherClients[[#This Row],[Part]],PartControl!$A$2:$E$564,2,FALSE),OtherClients[[#This Row],[Total Quantity]]*VLOOKUP(OtherClients[[#This Row],[Part]],PartControl!$A$2:$E$564,2,FALSE)),0)</f>
        <v>106.94</v>
      </c>
    </row>
    <row r="2705" spans="1:26" ht="25.15" hidden="1" customHeight="1" x14ac:dyDescent="0.25">
      <c r="A2705" s="112">
        <v>46273.708009259259</v>
      </c>
      <c r="B2705" s="5" t="s">
        <v>636</v>
      </c>
      <c r="C2705" s="5" t="s">
        <v>703</v>
      </c>
      <c r="D2705" s="5">
        <v>716374</v>
      </c>
      <c r="E2705" s="33">
        <v>34</v>
      </c>
      <c r="F2705" s="60">
        <v>700</v>
      </c>
      <c r="G2705" s="60">
        <f>+OtherClients[[#This Row],[Boxes / Pieces]]*OtherClients[[#This Row],[Unit Quantity]]</f>
        <v>23800</v>
      </c>
      <c r="H2705" s="60">
        <v>280</v>
      </c>
      <c r="I2705" s="60" t="s">
        <v>278</v>
      </c>
      <c r="J2705" s="104"/>
      <c r="K2705" s="33" t="s">
        <v>278</v>
      </c>
      <c r="L2705" s="111"/>
      <c r="M2705" s="33" t="s">
        <v>278</v>
      </c>
      <c r="N2705" s="111"/>
      <c r="O2705" s="33" t="s">
        <v>278</v>
      </c>
      <c r="P2705" s="111"/>
      <c r="Q2705" s="33" t="s">
        <v>587</v>
      </c>
      <c r="R2705" s="111"/>
      <c r="S2705" s="33" t="s">
        <v>278</v>
      </c>
      <c r="T2705" s="111"/>
      <c r="U2705" s="33" t="s">
        <v>278</v>
      </c>
      <c r="V2705" s="111"/>
      <c r="W2705" s="59" t="s">
        <v>548</v>
      </c>
      <c r="X2705" s="33" t="str">
        <f>+VLOOKUP(OtherClients[[#This Row],[Part]],PartControl!$A$2:$E$564,5,FALSE)</f>
        <v>infasco</v>
      </c>
      <c r="Y2705" s="108">
        <f>IF(OtherClients[[#This Row],[Re-certified or New]]&lt;&gt;"Re-certified",IF(OtherClients[[#This Row],[Client]]="infasco",VLOOKUP(OtherClients[[#This Row],[Part]],PartControl!$A$2:$E$564,2,FALSE),OtherClients[[#This Row],[Total Quantity]]*VLOOKUP(OtherClients[[#This Row],[Part]],PartControl!$A$2:$E$564,2,FALSE)),0)</f>
        <v>106.94</v>
      </c>
      <c r="Z2705" s="108">
        <f>IF(OtherClients[[#This Row],[Re-certified or New]]&lt;&gt;"Re-certified",IF(OtherClients[[#This Row],[Client]]="infasco",VLOOKUP(OtherClients[[#This Row],[Part]],PartControl!$A$2:$E$564,2,FALSE),OtherClients[[#This Row],[Total Quantity]]*VLOOKUP(OtherClients[[#This Row],[Part]],PartControl!$A$2:$E$564,2,FALSE)),0)</f>
        <v>106.94</v>
      </c>
    </row>
    <row r="2706" spans="1:26" ht="25.15" hidden="1" customHeight="1" x14ac:dyDescent="0.25">
      <c r="A2706" s="112">
        <v>46273.708009259259</v>
      </c>
      <c r="B2706" s="5" t="s">
        <v>637</v>
      </c>
      <c r="C2706" s="5">
        <v>11546545</v>
      </c>
      <c r="D2706" s="5">
        <v>717763</v>
      </c>
      <c r="E2706" s="33">
        <v>36</v>
      </c>
      <c r="F2706" s="60">
        <v>2500</v>
      </c>
      <c r="G2706" s="60">
        <f>+OtherClients[[#This Row],[Boxes / Pieces]]*OtherClients[[#This Row],[Unit Quantity]]</f>
        <v>90000</v>
      </c>
      <c r="H2706" s="60">
        <v>280</v>
      </c>
      <c r="I2706" s="60" t="s">
        <v>278</v>
      </c>
      <c r="J2706" s="104"/>
      <c r="K2706" s="33" t="s">
        <v>278</v>
      </c>
      <c r="L2706" s="111"/>
      <c r="M2706" s="33" t="s">
        <v>278</v>
      </c>
      <c r="N2706" s="111"/>
      <c r="O2706" s="33" t="s">
        <v>278</v>
      </c>
      <c r="P2706" s="111"/>
      <c r="Q2706" s="33" t="s">
        <v>587</v>
      </c>
      <c r="R2706" s="111"/>
      <c r="S2706" s="33" t="s">
        <v>278</v>
      </c>
      <c r="T2706" s="111"/>
      <c r="U2706" s="33" t="s">
        <v>278</v>
      </c>
      <c r="V2706" s="111"/>
      <c r="W2706" s="59" t="s">
        <v>548</v>
      </c>
      <c r="X2706" s="33" t="str">
        <f>+VLOOKUP(OtherClients[[#This Row],[Part]],PartControl!$A$2:$E$564,5,FALSE)</f>
        <v>infasco</v>
      </c>
      <c r="Y2706" s="108">
        <f>IF(OtherClients[[#This Row],[Re-certified or New]]&lt;&gt;"Re-certified",IF(OtherClients[[#This Row],[Client]]="infasco",VLOOKUP(OtherClients[[#This Row],[Part]],PartControl!$A$2:$E$564,2,FALSE),OtherClients[[#This Row],[Total Quantity]]*VLOOKUP(OtherClients[[#This Row],[Part]],PartControl!$A$2:$E$564,2,FALSE)),0)</f>
        <v>106.94</v>
      </c>
      <c r="Z2706" s="108">
        <f>IF(OtherClients[[#This Row],[Re-certified or New]]&lt;&gt;"Re-certified",IF(OtherClients[[#This Row],[Client]]="infasco",VLOOKUP(OtherClients[[#This Row],[Part]],PartControl!$A$2:$E$564,2,FALSE),OtherClients[[#This Row],[Total Quantity]]*VLOOKUP(OtherClients[[#This Row],[Part]],PartControl!$A$2:$E$564,2,FALSE)),0)</f>
        <v>106.94</v>
      </c>
    </row>
    <row r="2707" spans="1:26" ht="25.15" hidden="1" customHeight="1" x14ac:dyDescent="0.25">
      <c r="A2707" s="112">
        <v>46273.708009259259</v>
      </c>
      <c r="B2707" s="5" t="s">
        <v>637</v>
      </c>
      <c r="C2707" s="5" t="s">
        <v>728</v>
      </c>
      <c r="D2707" s="5">
        <v>717772</v>
      </c>
      <c r="E2707" s="33">
        <v>57</v>
      </c>
      <c r="F2707" s="60">
        <v>1500</v>
      </c>
      <c r="G2707" s="60">
        <f>+OtherClients[[#This Row],[Boxes / Pieces]]*OtherClients[[#This Row],[Unit Quantity]]</f>
        <v>85500</v>
      </c>
      <c r="H2707" s="60">
        <v>280</v>
      </c>
      <c r="I2707" s="60" t="s">
        <v>278</v>
      </c>
      <c r="J2707" s="104"/>
      <c r="K2707" s="33" t="s">
        <v>278</v>
      </c>
      <c r="L2707" s="111"/>
      <c r="M2707" s="33" t="s">
        <v>278</v>
      </c>
      <c r="N2707" s="111"/>
      <c r="O2707" s="33" t="s">
        <v>278</v>
      </c>
      <c r="P2707" s="111"/>
      <c r="Q2707" s="33" t="s">
        <v>587</v>
      </c>
      <c r="R2707" s="111"/>
      <c r="S2707" s="33" t="s">
        <v>278</v>
      </c>
      <c r="T2707" s="111"/>
      <c r="U2707" s="33" t="s">
        <v>278</v>
      </c>
      <c r="V2707" s="111"/>
      <c r="W2707" s="59" t="s">
        <v>548</v>
      </c>
      <c r="X2707" s="33" t="str">
        <f>+VLOOKUP(OtherClients[[#This Row],[Part]],PartControl!$A$2:$E$564,5,FALSE)</f>
        <v>infasco</v>
      </c>
      <c r="Y2707" s="108">
        <f>IF(OtherClients[[#This Row],[Re-certified or New]]&lt;&gt;"Re-certified",IF(OtherClients[[#This Row],[Client]]="infasco",VLOOKUP(OtherClients[[#This Row],[Part]],PartControl!$A$2:$E$564,2,FALSE),OtherClients[[#This Row],[Total Quantity]]*VLOOKUP(OtherClients[[#This Row],[Part]],PartControl!$A$2:$E$564,2,FALSE)),0)</f>
        <v>106.94</v>
      </c>
      <c r="Z2707" s="108">
        <f>IF(OtherClients[[#This Row],[Re-certified or New]]&lt;&gt;"Re-certified",IF(OtherClients[[#This Row],[Client]]="infasco",VLOOKUP(OtherClients[[#This Row],[Part]],PartControl!$A$2:$E$564,2,FALSE),OtherClients[[#This Row],[Total Quantity]]*VLOOKUP(OtherClients[[#This Row],[Part]],PartControl!$A$2:$E$564,2,FALSE)),0)</f>
        <v>106.94</v>
      </c>
    </row>
    <row r="2708" spans="1:26" ht="25.15" hidden="1" customHeight="1" x14ac:dyDescent="0.25">
      <c r="A2708" s="112">
        <v>46273.708009259259</v>
      </c>
      <c r="B2708" s="5" t="s">
        <v>634</v>
      </c>
      <c r="C2708" s="5" t="s">
        <v>848</v>
      </c>
      <c r="D2708" s="5">
        <v>717764</v>
      </c>
      <c r="E2708" s="33">
        <f>41-29</f>
        <v>12</v>
      </c>
      <c r="F2708" s="60">
        <v>3200</v>
      </c>
      <c r="G2708" s="60">
        <f>+OtherClients[[#This Row],[Boxes / Pieces]]*OtherClients[[#This Row],[Unit Quantity]]</f>
        <v>38400</v>
      </c>
      <c r="H2708" s="60">
        <v>280</v>
      </c>
      <c r="I2708" s="60" t="s">
        <v>278</v>
      </c>
      <c r="J2708" s="104"/>
      <c r="K2708" s="33" t="s">
        <v>278</v>
      </c>
      <c r="L2708" s="111"/>
      <c r="M2708" s="33" t="s">
        <v>278</v>
      </c>
      <c r="N2708" s="111"/>
      <c r="O2708" s="33" t="s">
        <v>278</v>
      </c>
      <c r="P2708" s="111"/>
      <c r="Q2708" s="33" t="s">
        <v>587</v>
      </c>
      <c r="R2708" s="111"/>
      <c r="S2708" s="33" t="s">
        <v>278</v>
      </c>
      <c r="T2708" s="111"/>
      <c r="U2708" s="33" t="s">
        <v>278</v>
      </c>
      <c r="V2708" s="111"/>
      <c r="W2708" s="59" t="s">
        <v>548</v>
      </c>
      <c r="X2708" s="33" t="str">
        <f>+VLOOKUP(OtherClients[[#This Row],[Part]],PartControl!$A$2:$E$564,5,FALSE)</f>
        <v>infasco</v>
      </c>
      <c r="Y2708" s="108">
        <f>IF(OtherClients[[#This Row],[Re-certified or New]]&lt;&gt;"Re-certified",IF(OtherClients[[#This Row],[Client]]="infasco",VLOOKUP(OtherClients[[#This Row],[Part]],PartControl!$A$2:$E$564,2,FALSE),OtherClients[[#This Row],[Total Quantity]]*VLOOKUP(OtherClients[[#This Row],[Part]],PartControl!$A$2:$E$564,2,FALSE)),0)</f>
        <v>106.94</v>
      </c>
      <c r="Z2708" s="108">
        <f>IF(OtherClients[[#This Row],[Re-certified or New]]&lt;&gt;"Re-certified",IF(OtherClients[[#This Row],[Client]]="infasco",VLOOKUP(OtherClients[[#This Row],[Part]],PartControl!$A$2:$E$564,2,FALSE),OtherClients[[#This Row],[Total Quantity]]*VLOOKUP(OtherClients[[#This Row],[Part]],PartControl!$A$2:$E$564,2,FALSE)),0)</f>
        <v>106.94</v>
      </c>
    </row>
    <row r="2709" spans="1:26" ht="25.15" hidden="1" customHeight="1" x14ac:dyDescent="0.25">
      <c r="A2709" s="112">
        <v>46273.708009259259</v>
      </c>
      <c r="B2709" s="5" t="s">
        <v>634</v>
      </c>
      <c r="C2709" s="5" t="s">
        <v>715</v>
      </c>
      <c r="D2709" s="5">
        <v>717235</v>
      </c>
      <c r="E2709" s="33">
        <v>6</v>
      </c>
      <c r="F2709" s="60">
        <v>1050</v>
      </c>
      <c r="G2709" s="60">
        <f>+OtherClients[[#This Row],[Boxes / Pieces]]*OtherClients[[#This Row],[Unit Quantity]]</f>
        <v>6300</v>
      </c>
      <c r="H2709" s="60">
        <v>280</v>
      </c>
      <c r="I2709" s="60" t="s">
        <v>278</v>
      </c>
      <c r="J2709" s="104"/>
      <c r="K2709" s="33" t="s">
        <v>278</v>
      </c>
      <c r="L2709" s="111"/>
      <c r="M2709" s="33" t="s">
        <v>278</v>
      </c>
      <c r="N2709" s="111"/>
      <c r="O2709" s="33" t="s">
        <v>278</v>
      </c>
      <c r="P2709" s="111"/>
      <c r="Q2709" s="33" t="s">
        <v>587</v>
      </c>
      <c r="R2709" s="111"/>
      <c r="S2709" s="33" t="s">
        <v>278</v>
      </c>
      <c r="T2709" s="111"/>
      <c r="U2709" s="33" t="s">
        <v>278</v>
      </c>
      <c r="V2709" s="111"/>
      <c r="W2709" s="59" t="s">
        <v>633</v>
      </c>
      <c r="X2709" s="33" t="str">
        <f>+VLOOKUP(OtherClients[[#This Row],[Part]],PartControl!$A$2:$E$564,5,FALSE)</f>
        <v>infasco</v>
      </c>
      <c r="Y2709" s="108">
        <f>IF(OtherClients[[#This Row],[Re-certified or New]]&lt;&gt;"Re-certified",IF(OtherClients[[#This Row],[Client]]="infasco",VLOOKUP(OtherClients[[#This Row],[Part]],PartControl!$A$2:$E$564,2,FALSE),OtherClients[[#This Row],[Total Quantity]]*VLOOKUP(OtherClients[[#This Row],[Part]],PartControl!$A$2:$E$564,2,FALSE)),0)</f>
        <v>0</v>
      </c>
      <c r="Z2709" s="108">
        <f>IF(OtherClients[[#This Row],[Re-certified or New]]&lt;&gt;"Re-certified",IF(OtherClients[[#This Row],[Client]]="infasco",VLOOKUP(OtherClients[[#This Row],[Part]],PartControl!$A$2:$E$564,2,FALSE),OtherClients[[#This Row],[Total Quantity]]*VLOOKUP(OtherClients[[#This Row],[Part]],PartControl!$A$2:$E$564,2,FALSE)),0)</f>
        <v>0</v>
      </c>
    </row>
    <row r="2710" spans="1:26" ht="25.15" hidden="1" customHeight="1" x14ac:dyDescent="0.25">
      <c r="A2710" s="112">
        <v>46273.708009259259</v>
      </c>
      <c r="B2710" s="5" t="s">
        <v>635</v>
      </c>
      <c r="C2710" s="5" t="s">
        <v>848</v>
      </c>
      <c r="D2710" s="5">
        <v>717767</v>
      </c>
      <c r="E2710" s="33">
        <f>36-35</f>
        <v>1</v>
      </c>
      <c r="F2710" s="60">
        <v>3200</v>
      </c>
      <c r="G2710" s="60">
        <f>+OtherClients[[#This Row],[Boxes / Pieces]]*OtherClients[[#This Row],[Unit Quantity]]</f>
        <v>3200</v>
      </c>
      <c r="H2710" s="60">
        <v>280</v>
      </c>
      <c r="I2710" s="60" t="s">
        <v>278</v>
      </c>
      <c r="J2710" s="104"/>
      <c r="K2710" s="33" t="s">
        <v>278</v>
      </c>
      <c r="L2710" s="111"/>
      <c r="M2710" s="33" t="s">
        <v>278</v>
      </c>
      <c r="N2710" s="111"/>
      <c r="O2710" s="33" t="s">
        <v>278</v>
      </c>
      <c r="P2710" s="111"/>
      <c r="Q2710" s="33" t="s">
        <v>587</v>
      </c>
      <c r="R2710" s="111"/>
      <c r="S2710" s="33" t="s">
        <v>278</v>
      </c>
      <c r="T2710" s="111"/>
      <c r="U2710" s="33" t="s">
        <v>278</v>
      </c>
      <c r="V2710" s="111"/>
      <c r="W2710" s="59" t="s">
        <v>548</v>
      </c>
      <c r="X2710" s="33" t="str">
        <f>+VLOOKUP(OtherClients[[#This Row],[Part]],PartControl!$A$2:$E$564,5,FALSE)</f>
        <v>infasco</v>
      </c>
      <c r="Y2710" s="108">
        <f>IF(OtherClients[[#This Row],[Re-certified or New]]&lt;&gt;"Re-certified",IF(OtherClients[[#This Row],[Client]]="infasco",VLOOKUP(OtherClients[[#This Row],[Part]],PartControl!$A$2:$E$564,2,FALSE),OtherClients[[#This Row],[Total Quantity]]*VLOOKUP(OtherClients[[#This Row],[Part]],PartControl!$A$2:$E$564,2,FALSE)),0)</f>
        <v>106.94</v>
      </c>
      <c r="Z2710" s="108">
        <f>IF(OtherClients[[#This Row],[Re-certified or New]]&lt;&gt;"Re-certified",IF(OtherClients[[#This Row],[Client]]="infasco",VLOOKUP(OtherClients[[#This Row],[Part]],PartControl!$A$2:$E$564,2,FALSE),OtherClients[[#This Row],[Total Quantity]]*VLOOKUP(OtherClients[[#This Row],[Part]],PartControl!$A$2:$E$564,2,FALSE)),0)</f>
        <v>106.94</v>
      </c>
    </row>
    <row r="2711" spans="1:26" ht="25.15" hidden="1" customHeight="1" x14ac:dyDescent="0.25">
      <c r="A2711" s="112">
        <v>46273.708009259259</v>
      </c>
      <c r="B2711" s="5" t="s">
        <v>635</v>
      </c>
      <c r="C2711" s="5" t="s">
        <v>848</v>
      </c>
      <c r="D2711" s="5">
        <v>717765</v>
      </c>
      <c r="E2711" s="33">
        <v>15</v>
      </c>
      <c r="F2711" s="60">
        <v>3200</v>
      </c>
      <c r="G2711" s="60">
        <f>+OtherClients[[#This Row],[Boxes / Pieces]]*OtherClients[[#This Row],[Unit Quantity]]</f>
        <v>48000</v>
      </c>
      <c r="H2711" s="60">
        <v>280</v>
      </c>
      <c r="I2711" s="60" t="s">
        <v>278</v>
      </c>
      <c r="J2711" s="104"/>
      <c r="K2711" s="33" t="s">
        <v>278</v>
      </c>
      <c r="L2711" s="111"/>
      <c r="M2711" s="33" t="s">
        <v>278</v>
      </c>
      <c r="N2711" s="111"/>
      <c r="O2711" s="33" t="s">
        <v>278</v>
      </c>
      <c r="P2711" s="111"/>
      <c r="Q2711" s="33" t="s">
        <v>587</v>
      </c>
      <c r="R2711" s="111"/>
      <c r="S2711" s="33" t="s">
        <v>278</v>
      </c>
      <c r="T2711" s="111"/>
      <c r="U2711" s="33" t="s">
        <v>278</v>
      </c>
      <c r="V2711" s="111"/>
      <c r="W2711" s="59" t="s">
        <v>633</v>
      </c>
      <c r="X2711" s="33" t="str">
        <f>+VLOOKUP(OtherClients[[#This Row],[Part]],PartControl!$A$2:$E$564,5,FALSE)</f>
        <v>infasco</v>
      </c>
      <c r="Y2711" s="108">
        <f>IF(OtherClients[[#This Row],[Re-certified or New]]&lt;&gt;"Re-certified",IF(OtherClients[[#This Row],[Client]]="infasco",VLOOKUP(OtherClients[[#This Row],[Part]],PartControl!$A$2:$E$564,2,FALSE),OtherClients[[#This Row],[Total Quantity]]*VLOOKUP(OtherClients[[#This Row],[Part]],PartControl!$A$2:$E$564,2,FALSE)),0)</f>
        <v>0</v>
      </c>
      <c r="Z2711" s="108">
        <f>IF(OtherClients[[#This Row],[Re-certified or New]]&lt;&gt;"Re-certified",IF(OtherClients[[#This Row],[Client]]="infasco",VLOOKUP(OtherClients[[#This Row],[Part]],PartControl!$A$2:$E$564,2,FALSE),OtherClients[[#This Row],[Total Quantity]]*VLOOKUP(OtherClients[[#This Row],[Part]],PartControl!$A$2:$E$564,2,FALSE)),0)</f>
        <v>0</v>
      </c>
    </row>
    <row r="2712" spans="1:26" ht="25.15" hidden="1" customHeight="1" x14ac:dyDescent="0.25">
      <c r="A2712" s="112">
        <v>46273.708009259259</v>
      </c>
      <c r="B2712" s="5" t="s">
        <v>357</v>
      </c>
      <c r="C2712" s="5">
        <v>11546545</v>
      </c>
      <c r="D2712" s="5">
        <v>717760</v>
      </c>
      <c r="E2712" s="33">
        <v>35</v>
      </c>
      <c r="F2712" s="60">
        <v>2500</v>
      </c>
      <c r="G2712" s="60">
        <f>+OtherClients[[#This Row],[Boxes / Pieces]]*OtherClients[[#This Row],[Unit Quantity]]</f>
        <v>87500</v>
      </c>
      <c r="H2712" s="60">
        <v>280</v>
      </c>
      <c r="I2712" s="60" t="s">
        <v>278</v>
      </c>
      <c r="J2712" s="104"/>
      <c r="K2712" s="33" t="s">
        <v>278</v>
      </c>
      <c r="L2712" s="111"/>
      <c r="M2712" s="33" t="s">
        <v>278</v>
      </c>
      <c r="N2712" s="111"/>
      <c r="O2712" s="33" t="s">
        <v>278</v>
      </c>
      <c r="P2712" s="111"/>
      <c r="Q2712" s="33" t="s">
        <v>587</v>
      </c>
      <c r="R2712" s="111"/>
      <c r="S2712" s="33" t="s">
        <v>278</v>
      </c>
      <c r="T2712" s="111"/>
      <c r="U2712" s="33" t="s">
        <v>278</v>
      </c>
      <c r="V2712" s="111"/>
      <c r="W2712" s="59" t="s">
        <v>548</v>
      </c>
      <c r="X2712" s="33" t="str">
        <f>+VLOOKUP(OtherClients[[#This Row],[Part]],PartControl!$A$2:$E$564,5,FALSE)</f>
        <v>infasco</v>
      </c>
      <c r="Y2712" s="108">
        <f>IF(OtherClients[[#This Row],[Re-certified or New]]&lt;&gt;"Re-certified",IF(OtherClients[[#This Row],[Client]]="infasco",VLOOKUP(OtherClients[[#This Row],[Part]],PartControl!$A$2:$E$564,2,FALSE),OtherClients[[#This Row],[Total Quantity]]*VLOOKUP(OtherClients[[#This Row],[Part]],PartControl!$A$2:$E$564,2,FALSE)),0)</f>
        <v>106.94</v>
      </c>
      <c r="Z2712" s="108">
        <f>IF(OtherClients[[#This Row],[Re-certified or New]]&lt;&gt;"Re-certified",IF(OtherClients[[#This Row],[Client]]="infasco",VLOOKUP(OtherClients[[#This Row],[Part]],PartControl!$A$2:$E$564,2,FALSE),OtherClients[[#This Row],[Total Quantity]]*VLOOKUP(OtherClients[[#This Row],[Part]],PartControl!$A$2:$E$564,2,FALSE)),0)</f>
        <v>106.94</v>
      </c>
    </row>
    <row r="2713" spans="1:26" ht="25.15" hidden="1" customHeight="1" x14ac:dyDescent="0.25">
      <c r="A2713" s="112">
        <v>46273.708009259259</v>
      </c>
      <c r="B2713" s="5" t="s">
        <v>357</v>
      </c>
      <c r="C2713" s="5" t="s">
        <v>728</v>
      </c>
      <c r="D2713" s="5">
        <v>717781</v>
      </c>
      <c r="E2713" s="33">
        <v>54</v>
      </c>
      <c r="F2713" s="60">
        <v>1500</v>
      </c>
      <c r="G2713" s="60">
        <f>+OtherClients[[#This Row],[Boxes / Pieces]]*OtherClients[[#This Row],[Unit Quantity]]</f>
        <v>81000</v>
      </c>
      <c r="H2713" s="60">
        <v>280</v>
      </c>
      <c r="I2713" s="60" t="s">
        <v>278</v>
      </c>
      <c r="J2713" s="104"/>
      <c r="K2713" s="33" t="s">
        <v>278</v>
      </c>
      <c r="L2713" s="111"/>
      <c r="M2713" s="33" t="s">
        <v>278</v>
      </c>
      <c r="N2713" s="111"/>
      <c r="O2713" s="33" t="s">
        <v>278</v>
      </c>
      <c r="P2713" s="111"/>
      <c r="Q2713" s="33" t="s">
        <v>587</v>
      </c>
      <c r="R2713" s="111"/>
      <c r="S2713" s="33" t="s">
        <v>278</v>
      </c>
      <c r="T2713" s="111"/>
      <c r="U2713" s="33" t="s">
        <v>278</v>
      </c>
      <c r="V2713" s="111"/>
      <c r="W2713" s="59" t="s">
        <v>548</v>
      </c>
      <c r="X2713" s="33" t="str">
        <f>+VLOOKUP(OtherClients[[#This Row],[Part]],PartControl!$A$2:$E$564,5,FALSE)</f>
        <v>infasco</v>
      </c>
      <c r="Y2713" s="108">
        <f>IF(OtherClients[[#This Row],[Re-certified or New]]&lt;&gt;"Re-certified",IF(OtherClients[[#This Row],[Client]]="infasco",VLOOKUP(OtherClients[[#This Row],[Part]],PartControl!$A$2:$E$564,2,FALSE),OtherClients[[#This Row],[Total Quantity]]*VLOOKUP(OtherClients[[#This Row],[Part]],PartControl!$A$2:$E$564,2,FALSE)),0)</f>
        <v>106.94</v>
      </c>
      <c r="Z2713" s="108">
        <f>IF(OtherClients[[#This Row],[Re-certified or New]]&lt;&gt;"Re-certified",IF(OtherClients[[#This Row],[Client]]="infasco",VLOOKUP(OtherClients[[#This Row],[Part]],PartControl!$A$2:$E$564,2,FALSE),OtherClients[[#This Row],[Total Quantity]]*VLOOKUP(OtherClients[[#This Row],[Part]],PartControl!$A$2:$E$564,2,FALSE)),0)</f>
        <v>106.94</v>
      </c>
    </row>
    <row r="2714" spans="1:26" ht="25.15" hidden="1" customHeight="1" x14ac:dyDescent="0.25">
      <c r="A2714" s="112">
        <v>46273.708009259259</v>
      </c>
      <c r="B2714" s="5" t="s">
        <v>246</v>
      </c>
      <c r="C2714" s="5" t="s">
        <v>732</v>
      </c>
      <c r="D2714" s="5">
        <v>710828</v>
      </c>
      <c r="E2714" s="33">
        <f>36-9</f>
        <v>27</v>
      </c>
      <c r="F2714" s="60">
        <v>1000</v>
      </c>
      <c r="G2714" s="60">
        <f>+OtherClients[[#This Row],[Boxes / Pieces]]*OtherClients[[#This Row],[Unit Quantity]]</f>
        <v>27000</v>
      </c>
      <c r="H2714" s="60">
        <v>285</v>
      </c>
      <c r="I2714" s="60" t="s">
        <v>278</v>
      </c>
      <c r="J2714" s="104"/>
      <c r="K2714" s="33" t="s">
        <v>278</v>
      </c>
      <c r="L2714" s="111"/>
      <c r="M2714" s="33" t="s">
        <v>278</v>
      </c>
      <c r="N2714" s="111"/>
      <c r="O2714" s="33" t="s">
        <v>278</v>
      </c>
      <c r="P2714" s="111"/>
      <c r="Q2714" s="33" t="s">
        <v>587</v>
      </c>
      <c r="R2714" s="111"/>
      <c r="S2714" s="33" t="s">
        <v>278</v>
      </c>
      <c r="T2714" s="111"/>
      <c r="U2714" s="33" t="s">
        <v>278</v>
      </c>
      <c r="V2714" s="111"/>
      <c r="W2714" s="59" t="s">
        <v>548</v>
      </c>
      <c r="X2714" s="33" t="str">
        <f>+VLOOKUP(OtherClients[[#This Row],[Part]],PartControl!$A$2:$E$564,5,FALSE)</f>
        <v>infasco</v>
      </c>
      <c r="Y2714" s="108">
        <f>IF(OtherClients[[#This Row],[Re-certified or New]]&lt;&gt;"Re-certified",IF(OtherClients[[#This Row],[Client]]="infasco",VLOOKUP(OtherClients[[#This Row],[Part]],PartControl!$A$2:$E$564,2,FALSE),OtherClients[[#This Row],[Total Quantity]]*VLOOKUP(OtherClients[[#This Row],[Part]],PartControl!$A$2:$E$564,2,FALSE)),0)</f>
        <v>213.88</v>
      </c>
      <c r="Z2714" s="108">
        <f>IF(OtherClients[[#This Row],[Re-certified or New]]&lt;&gt;"Re-certified",IF(OtherClients[[#This Row],[Client]]="infasco",VLOOKUP(OtherClients[[#This Row],[Part]],PartControl!$A$2:$E$564,2,FALSE),OtherClients[[#This Row],[Total Quantity]]*VLOOKUP(OtherClients[[#This Row],[Part]],PartControl!$A$2:$E$564,2,FALSE)),0)</f>
        <v>213.88</v>
      </c>
    </row>
    <row r="2715" spans="1:26" ht="25.15" hidden="1" customHeight="1" x14ac:dyDescent="0.25">
      <c r="A2715" s="112">
        <v>46273.708009259259</v>
      </c>
      <c r="B2715" s="5" t="s">
        <v>246</v>
      </c>
      <c r="C2715" s="5" t="s">
        <v>732</v>
      </c>
      <c r="D2715" s="5">
        <v>711867</v>
      </c>
      <c r="E2715" s="33">
        <v>13</v>
      </c>
      <c r="F2715" s="60">
        <v>1000</v>
      </c>
      <c r="G2715" s="60">
        <f>+OtherClients[[#This Row],[Boxes / Pieces]]*OtherClients[[#This Row],[Unit Quantity]]</f>
        <v>13000</v>
      </c>
      <c r="H2715" s="60">
        <v>285</v>
      </c>
      <c r="I2715" s="60" t="s">
        <v>278</v>
      </c>
      <c r="J2715" s="104"/>
      <c r="K2715" s="33" t="s">
        <v>278</v>
      </c>
      <c r="L2715" s="111"/>
      <c r="M2715" s="33" t="s">
        <v>278</v>
      </c>
      <c r="N2715" s="111"/>
      <c r="O2715" s="33" t="s">
        <v>278</v>
      </c>
      <c r="P2715" s="111"/>
      <c r="Q2715" s="33" t="s">
        <v>587</v>
      </c>
      <c r="R2715" s="111"/>
      <c r="S2715" s="33" t="s">
        <v>278</v>
      </c>
      <c r="T2715" s="111"/>
      <c r="U2715" s="33" t="s">
        <v>278</v>
      </c>
      <c r="V2715" s="111"/>
      <c r="W2715" s="59" t="s">
        <v>633</v>
      </c>
      <c r="X2715" s="33" t="str">
        <f>+VLOOKUP(OtherClients[[#This Row],[Part]],PartControl!$A$2:$E$564,5,FALSE)</f>
        <v>infasco</v>
      </c>
      <c r="Y2715" s="108">
        <f>IF(OtherClients[[#This Row],[Re-certified or New]]&lt;&gt;"Re-certified",IF(OtherClients[[#This Row],[Client]]="infasco",VLOOKUP(OtherClients[[#This Row],[Part]],PartControl!$A$2:$E$564,2,FALSE),OtherClients[[#This Row],[Total Quantity]]*VLOOKUP(OtherClients[[#This Row],[Part]],PartControl!$A$2:$E$564,2,FALSE)),0)</f>
        <v>0</v>
      </c>
      <c r="Z2715" s="108">
        <f>IF(OtherClients[[#This Row],[Re-certified or New]]&lt;&gt;"Re-certified",IF(OtherClients[[#This Row],[Client]]="infasco",VLOOKUP(OtherClients[[#This Row],[Part]],PartControl!$A$2:$E$564,2,FALSE),OtherClients[[#This Row],[Total Quantity]]*VLOOKUP(OtherClients[[#This Row],[Part]],PartControl!$A$2:$E$564,2,FALSE)),0)</f>
        <v>0</v>
      </c>
    </row>
    <row r="2716" spans="1:26" ht="25.15" hidden="1" customHeight="1" x14ac:dyDescent="0.25">
      <c r="A2716" s="112">
        <v>46273.708009259259</v>
      </c>
      <c r="B2716" s="5" t="s">
        <v>249</v>
      </c>
      <c r="C2716" s="5">
        <v>11612078</v>
      </c>
      <c r="D2716" s="5">
        <v>705988</v>
      </c>
      <c r="E2716" s="33">
        <v>13</v>
      </c>
      <c r="F2716" s="60">
        <v>1850</v>
      </c>
      <c r="G2716" s="60">
        <f>+OtherClients[[#This Row],[Boxes / Pieces]]*OtherClients[[#This Row],[Unit Quantity]]</f>
        <v>24050</v>
      </c>
      <c r="H2716" s="60">
        <v>4</v>
      </c>
      <c r="I2716" s="60" t="s">
        <v>278</v>
      </c>
      <c r="J2716" s="104"/>
      <c r="K2716" s="33" t="s">
        <v>278</v>
      </c>
      <c r="L2716" s="111"/>
      <c r="M2716" s="33" t="s">
        <v>278</v>
      </c>
      <c r="N2716" s="111"/>
      <c r="O2716" s="33" t="s">
        <v>278</v>
      </c>
      <c r="P2716" s="111"/>
      <c r="Q2716" s="33" t="s">
        <v>587</v>
      </c>
      <c r="R2716" s="111"/>
      <c r="S2716" s="33" t="s">
        <v>278</v>
      </c>
      <c r="T2716" s="111"/>
      <c r="U2716" s="33" t="s">
        <v>278</v>
      </c>
      <c r="V2716" s="111"/>
      <c r="W2716" s="59" t="s">
        <v>548</v>
      </c>
      <c r="X2716" s="33" t="str">
        <f>+VLOOKUP(OtherClients[[#This Row],[Part]],PartControl!$A$2:$E$564,5,FALSE)</f>
        <v>infasco</v>
      </c>
      <c r="Y2716" s="108">
        <f>IF(OtherClients[[#This Row],[Re-certified or New]]&lt;&gt;"Re-certified",IF(OtherClients[[#This Row],[Client]]="infasco",VLOOKUP(OtherClients[[#This Row],[Part]],PartControl!$A$2:$E$564,2,FALSE),OtherClients[[#This Row],[Total Quantity]]*VLOOKUP(OtherClients[[#This Row],[Part]],PartControl!$A$2:$E$564,2,FALSE)),0)</f>
        <v>247.64</v>
      </c>
      <c r="Z2716" s="108">
        <f>IF(OtherClients[[#This Row],[Re-certified or New]]&lt;&gt;"Re-certified",IF(OtherClients[[#This Row],[Client]]="infasco",VLOOKUP(OtherClients[[#This Row],[Part]],PartControl!$A$2:$E$564,2,FALSE),OtherClients[[#This Row],[Total Quantity]]*VLOOKUP(OtherClients[[#This Row],[Part]],PartControl!$A$2:$E$564,2,FALSE)),0)</f>
        <v>247.64</v>
      </c>
    </row>
    <row r="2717" spans="1:26" ht="25.15" hidden="1" customHeight="1" x14ac:dyDescent="0.25">
      <c r="A2717" s="112">
        <v>46273.708009259259</v>
      </c>
      <c r="B2717" s="5" t="s">
        <v>249</v>
      </c>
      <c r="C2717" s="5">
        <v>11612078</v>
      </c>
      <c r="D2717" s="5">
        <v>710153</v>
      </c>
      <c r="E2717" s="33">
        <v>10</v>
      </c>
      <c r="F2717" s="60">
        <v>1850</v>
      </c>
      <c r="G2717" s="60">
        <f>+OtherClients[[#This Row],[Boxes / Pieces]]*OtherClients[[#This Row],[Unit Quantity]]</f>
        <v>18500</v>
      </c>
      <c r="H2717" s="60" t="s">
        <v>898</v>
      </c>
      <c r="I2717" s="60" t="s">
        <v>278</v>
      </c>
      <c r="J2717" s="104"/>
      <c r="K2717" s="33" t="s">
        <v>278</v>
      </c>
      <c r="L2717" s="111"/>
      <c r="M2717" s="33" t="s">
        <v>278</v>
      </c>
      <c r="N2717" s="111"/>
      <c r="O2717" s="33" t="s">
        <v>278</v>
      </c>
      <c r="P2717" s="111"/>
      <c r="Q2717" s="33" t="s">
        <v>587</v>
      </c>
      <c r="R2717" s="111"/>
      <c r="S2717" s="33" t="s">
        <v>278</v>
      </c>
      <c r="T2717" s="111"/>
      <c r="U2717" s="33" t="s">
        <v>278</v>
      </c>
      <c r="V2717" s="111"/>
      <c r="W2717" s="59" t="s">
        <v>633</v>
      </c>
      <c r="X2717" s="33" t="str">
        <f>+VLOOKUP(OtherClients[[#This Row],[Part]],PartControl!$A$2:$E$564,5,FALSE)</f>
        <v>infasco</v>
      </c>
      <c r="Y2717" s="108">
        <f>IF(OtherClients[[#This Row],[Re-certified or New]]&lt;&gt;"Re-certified",IF(OtherClients[[#This Row],[Client]]="infasco",VLOOKUP(OtherClients[[#This Row],[Part]],PartControl!$A$2:$E$564,2,FALSE),OtherClients[[#This Row],[Total Quantity]]*VLOOKUP(OtherClients[[#This Row],[Part]],PartControl!$A$2:$E$564,2,FALSE)),0)</f>
        <v>0</v>
      </c>
      <c r="Z2717" s="108">
        <f>IF(OtherClients[[#This Row],[Re-certified or New]]&lt;&gt;"Re-certified",IF(OtherClients[[#This Row],[Client]]="infasco",VLOOKUP(OtherClients[[#This Row],[Part]],PartControl!$A$2:$E$564,2,FALSE),OtherClients[[#This Row],[Total Quantity]]*VLOOKUP(OtherClients[[#This Row],[Part]],PartControl!$A$2:$E$564,2,FALSE)),0)</f>
        <v>0</v>
      </c>
    </row>
    <row r="2718" spans="1:26" ht="25.15" hidden="1" customHeight="1" x14ac:dyDescent="0.25">
      <c r="A2718" s="112">
        <v>46273.708009259259</v>
      </c>
      <c r="B2718" s="5" t="s">
        <v>342</v>
      </c>
      <c r="C2718" s="5" t="s">
        <v>917</v>
      </c>
      <c r="D2718" s="5">
        <v>716604</v>
      </c>
      <c r="E2718" s="33">
        <v>27</v>
      </c>
      <c r="F2718" s="60">
        <v>1250</v>
      </c>
      <c r="G2718" s="60">
        <f>+OtherClients[[#This Row],[Boxes / Pieces]]*OtherClients[[#This Row],[Unit Quantity]]</f>
        <v>33750</v>
      </c>
      <c r="H2718" s="60" t="s">
        <v>898</v>
      </c>
      <c r="I2718" s="60" t="s">
        <v>278</v>
      </c>
      <c r="J2718" s="104"/>
      <c r="K2718" s="33" t="s">
        <v>278</v>
      </c>
      <c r="L2718" s="111"/>
      <c r="M2718" s="33" t="s">
        <v>278</v>
      </c>
      <c r="N2718" s="111"/>
      <c r="O2718" s="33" t="s">
        <v>278</v>
      </c>
      <c r="P2718" s="111"/>
      <c r="Q2718" s="33" t="s">
        <v>587</v>
      </c>
      <c r="R2718" s="111"/>
      <c r="S2718" s="33" t="s">
        <v>278</v>
      </c>
      <c r="T2718" s="111"/>
      <c r="U2718" s="33" t="s">
        <v>278</v>
      </c>
      <c r="V2718" s="111"/>
      <c r="W2718" s="59" t="s">
        <v>548</v>
      </c>
      <c r="X2718" s="33" t="str">
        <f>+VLOOKUP(OtherClients[[#This Row],[Part]],PartControl!$A$2:$E$564,5,FALSE)</f>
        <v>infasco</v>
      </c>
      <c r="Y2718" s="108">
        <f>IF(OtherClients[[#This Row],[Re-certified or New]]&lt;&gt;"Re-certified",IF(OtherClients[[#This Row],[Client]]="infasco",VLOOKUP(OtherClients[[#This Row],[Part]],PartControl!$A$2:$E$564,2,FALSE),OtherClients[[#This Row],[Total Quantity]]*VLOOKUP(OtherClients[[#This Row],[Part]],PartControl!$A$2:$E$564,2,FALSE)),0)</f>
        <v>106.94</v>
      </c>
      <c r="Z2718" s="108">
        <f>IF(OtherClients[[#This Row],[Re-certified or New]]&lt;&gt;"Re-certified",IF(OtherClients[[#This Row],[Client]]="infasco",VLOOKUP(OtherClients[[#This Row],[Part]],PartControl!$A$2:$E$564,2,FALSE),OtherClients[[#This Row],[Total Quantity]]*VLOOKUP(OtherClients[[#This Row],[Part]],PartControl!$A$2:$E$564,2,FALSE)),0)</f>
        <v>106.94</v>
      </c>
    </row>
    <row r="2719" spans="1:26" ht="25.15" hidden="1" customHeight="1" x14ac:dyDescent="0.25">
      <c r="A2719" s="112">
        <v>46273.708009259259</v>
      </c>
      <c r="B2719" s="5" t="s">
        <v>342</v>
      </c>
      <c r="C2719" s="5" t="s">
        <v>59</v>
      </c>
      <c r="D2719" s="5">
        <v>718797</v>
      </c>
      <c r="E2719" s="33">
        <v>37</v>
      </c>
      <c r="F2719" s="60">
        <v>1600</v>
      </c>
      <c r="G2719" s="60">
        <f>+OtherClients[[#This Row],[Boxes / Pieces]]*OtherClients[[#This Row],[Unit Quantity]]</f>
        <v>59200</v>
      </c>
      <c r="H2719" s="60" t="s">
        <v>898</v>
      </c>
      <c r="I2719" s="60" t="s">
        <v>278</v>
      </c>
      <c r="J2719" s="104"/>
      <c r="K2719" s="33" t="s">
        <v>278</v>
      </c>
      <c r="L2719" s="111"/>
      <c r="M2719" s="33" t="s">
        <v>278</v>
      </c>
      <c r="N2719" s="111"/>
      <c r="O2719" s="33" t="s">
        <v>278</v>
      </c>
      <c r="P2719" s="111"/>
      <c r="Q2719" s="33" t="s">
        <v>587</v>
      </c>
      <c r="R2719" s="111"/>
      <c r="S2719" s="33" t="s">
        <v>278</v>
      </c>
      <c r="T2719" s="111"/>
      <c r="U2719" s="33" t="s">
        <v>278</v>
      </c>
      <c r="V2719" s="111"/>
      <c r="W2719" s="59" t="s">
        <v>548</v>
      </c>
      <c r="X2719" s="33" t="str">
        <f>+VLOOKUP(OtherClients[[#This Row],[Part]],PartControl!$A$2:$E$564,5,FALSE)</f>
        <v>infasco</v>
      </c>
      <c r="Y2719" s="108">
        <f>IF(OtherClients[[#This Row],[Re-certified or New]]&lt;&gt;"Re-certified",IF(OtherClients[[#This Row],[Client]]="infasco",VLOOKUP(OtherClients[[#This Row],[Part]],PartControl!$A$2:$E$564,2,FALSE),OtherClients[[#This Row],[Total Quantity]]*VLOOKUP(OtherClients[[#This Row],[Part]],PartControl!$A$2:$E$564,2,FALSE)),0)</f>
        <v>257.95319999999998</v>
      </c>
      <c r="Z2719" s="108">
        <f>IF(OtherClients[[#This Row],[Re-certified or New]]&lt;&gt;"Re-certified",IF(OtherClients[[#This Row],[Client]]="infasco",VLOOKUP(OtherClients[[#This Row],[Part]],PartControl!$A$2:$E$564,2,FALSE),OtherClients[[#This Row],[Total Quantity]]*VLOOKUP(OtherClients[[#This Row],[Part]],PartControl!$A$2:$E$564,2,FALSE)),0)</f>
        <v>257.95319999999998</v>
      </c>
    </row>
    <row r="2720" spans="1:26" ht="25.15" hidden="1" customHeight="1" x14ac:dyDescent="0.25">
      <c r="A2720" s="112">
        <v>46273.708009259259</v>
      </c>
      <c r="B2720" s="5" t="s">
        <v>342</v>
      </c>
      <c r="C2720" s="5" t="s">
        <v>835</v>
      </c>
      <c r="D2720" s="5">
        <v>717675</v>
      </c>
      <c r="E2720" s="33">
        <f>36+6</f>
        <v>42</v>
      </c>
      <c r="F2720" s="60">
        <v>660</v>
      </c>
      <c r="G2720" s="60">
        <f>+OtherClients[[#This Row],[Boxes / Pieces]]*OtherClients[[#This Row],[Unit Quantity]]</f>
        <v>27720</v>
      </c>
      <c r="H2720" s="60" t="s">
        <v>898</v>
      </c>
      <c r="I2720" s="60" t="s">
        <v>278</v>
      </c>
      <c r="J2720" s="104"/>
      <c r="K2720" s="33" t="s">
        <v>278</v>
      </c>
      <c r="L2720" s="111"/>
      <c r="M2720" s="33" t="s">
        <v>278</v>
      </c>
      <c r="N2720" s="111"/>
      <c r="O2720" s="33" t="s">
        <v>278</v>
      </c>
      <c r="P2720" s="111"/>
      <c r="Q2720" s="33" t="s">
        <v>587</v>
      </c>
      <c r="R2720" s="111"/>
      <c r="S2720" s="33" t="s">
        <v>278</v>
      </c>
      <c r="T2720" s="111"/>
      <c r="U2720" s="33" t="s">
        <v>278</v>
      </c>
      <c r="V2720" s="111"/>
      <c r="W2720" s="59" t="s">
        <v>548</v>
      </c>
      <c r="X2720" s="33" t="str">
        <f>+VLOOKUP(OtherClients[[#This Row],[Part]],PartControl!$A$2:$E$564,5,FALSE)</f>
        <v>infasco</v>
      </c>
      <c r="Y2720" s="108">
        <f>IF(OtherClients[[#This Row],[Re-certified or New]]&lt;&gt;"Re-certified",IF(OtherClients[[#This Row],[Client]]="infasco",VLOOKUP(OtherClients[[#This Row],[Part]],PartControl!$A$2:$E$564,2,FALSE),OtherClients[[#This Row],[Total Quantity]]*VLOOKUP(OtherClients[[#This Row],[Part]],PartControl!$A$2:$E$564,2,FALSE)),0)</f>
        <v>135.08000000000001</v>
      </c>
      <c r="Z2720" s="108">
        <f>IF(OtherClients[[#This Row],[Re-certified or New]]&lt;&gt;"Re-certified",IF(OtherClients[[#This Row],[Client]]="infasco",VLOOKUP(OtherClients[[#This Row],[Part]],PartControl!$A$2:$E$564,2,FALSE),OtherClients[[#This Row],[Total Quantity]]*VLOOKUP(OtherClients[[#This Row],[Part]],PartControl!$A$2:$E$564,2,FALSE)),0)</f>
        <v>135.08000000000001</v>
      </c>
    </row>
    <row r="2721" spans="1:26" ht="25.15" hidden="1" customHeight="1" x14ac:dyDescent="0.25">
      <c r="A2721" s="112">
        <v>46273.708009259259</v>
      </c>
      <c r="B2721" s="5" t="s">
        <v>342</v>
      </c>
      <c r="C2721" s="5">
        <v>40161567</v>
      </c>
      <c r="D2721" s="5">
        <v>717897</v>
      </c>
      <c r="E2721" s="33">
        <v>36</v>
      </c>
      <c r="F2721" s="60">
        <v>175</v>
      </c>
      <c r="G2721" s="60">
        <f>+OtherClients[[#This Row],[Boxes / Pieces]]*OtherClients[[#This Row],[Unit Quantity]]</f>
        <v>6300</v>
      </c>
      <c r="H2721" s="60" t="s">
        <v>898</v>
      </c>
      <c r="I2721" s="60" t="s">
        <v>278</v>
      </c>
      <c r="J2721" s="104"/>
      <c r="K2721" s="33" t="s">
        <v>278</v>
      </c>
      <c r="L2721" s="111"/>
      <c r="M2721" s="33" t="s">
        <v>278</v>
      </c>
      <c r="N2721" s="111"/>
      <c r="O2721" s="33" t="s">
        <v>278</v>
      </c>
      <c r="P2721" s="111"/>
      <c r="Q2721" s="33" t="s">
        <v>587</v>
      </c>
      <c r="R2721" s="111"/>
      <c r="S2721" s="33" t="s">
        <v>278</v>
      </c>
      <c r="T2721" s="111"/>
      <c r="U2721" s="33" t="s">
        <v>278</v>
      </c>
      <c r="V2721" s="111"/>
      <c r="W2721" s="59" t="s">
        <v>548</v>
      </c>
      <c r="X2721" s="33" t="str">
        <f>+VLOOKUP(OtherClients[[#This Row],[Part]],PartControl!$A$2:$E$564,5,FALSE)</f>
        <v>INFASCO</v>
      </c>
      <c r="Y2721" s="108">
        <f>IF(OtherClients[[#This Row],[Re-certified or New]]&lt;&gt;"Re-certified",IF(OtherClients[[#This Row],[Client]]="infasco",VLOOKUP(OtherClients[[#This Row],[Part]],PartControl!$A$2:$E$564,2,FALSE),OtherClients[[#This Row],[Total Quantity]]*VLOOKUP(OtherClients[[#This Row],[Part]],PartControl!$A$2:$E$564,2,FALSE)),0)</f>
        <v>106.94</v>
      </c>
      <c r="Z2721" s="108">
        <f>IF(OtherClients[[#This Row],[Re-certified or New]]&lt;&gt;"Re-certified",IF(OtherClients[[#This Row],[Client]]="infasco",VLOOKUP(OtherClients[[#This Row],[Part]],PartControl!$A$2:$E$564,2,FALSE),OtherClients[[#This Row],[Total Quantity]]*VLOOKUP(OtherClients[[#This Row],[Part]],PartControl!$A$2:$E$564,2,FALSE)),0)</f>
        <v>106.94</v>
      </c>
    </row>
    <row r="2722" spans="1:26" ht="25.15" hidden="1" customHeight="1" x14ac:dyDescent="0.25">
      <c r="A2722" s="112">
        <v>46273.708009259259</v>
      </c>
      <c r="B2722" s="5" t="s">
        <v>342</v>
      </c>
      <c r="C2722" s="5">
        <v>40161567</v>
      </c>
      <c r="D2722" s="5">
        <v>717893</v>
      </c>
      <c r="E2722" s="33">
        <v>36</v>
      </c>
      <c r="F2722" s="60">
        <v>175</v>
      </c>
      <c r="G2722" s="60">
        <f>+OtherClients[[#This Row],[Boxes / Pieces]]*OtherClients[[#This Row],[Unit Quantity]]</f>
        <v>6300</v>
      </c>
      <c r="H2722" s="60" t="s">
        <v>898</v>
      </c>
      <c r="I2722" s="60" t="s">
        <v>278</v>
      </c>
      <c r="J2722" s="104"/>
      <c r="K2722" s="33" t="s">
        <v>278</v>
      </c>
      <c r="L2722" s="111"/>
      <c r="M2722" s="33" t="s">
        <v>278</v>
      </c>
      <c r="N2722" s="111"/>
      <c r="O2722" s="33" t="s">
        <v>278</v>
      </c>
      <c r="P2722" s="111"/>
      <c r="Q2722" s="33" t="s">
        <v>587</v>
      </c>
      <c r="R2722" s="111"/>
      <c r="S2722" s="33" t="s">
        <v>278</v>
      </c>
      <c r="T2722" s="111"/>
      <c r="U2722" s="33" t="s">
        <v>278</v>
      </c>
      <c r="V2722" s="111"/>
      <c r="W2722" s="59" t="s">
        <v>548</v>
      </c>
      <c r="X2722" s="33" t="str">
        <f>+VLOOKUP(OtherClients[[#This Row],[Part]],PartControl!$A$2:$E$564,5,FALSE)</f>
        <v>INFASCO</v>
      </c>
      <c r="Y2722" s="108">
        <f>IF(OtherClients[[#This Row],[Re-certified or New]]&lt;&gt;"Re-certified",IF(OtherClients[[#This Row],[Client]]="infasco",VLOOKUP(OtherClients[[#This Row],[Part]],PartControl!$A$2:$E$564,2,FALSE),OtherClients[[#This Row],[Total Quantity]]*VLOOKUP(OtherClients[[#This Row],[Part]],PartControl!$A$2:$E$564,2,FALSE)),0)</f>
        <v>106.94</v>
      </c>
      <c r="Z2722" s="108">
        <f>IF(OtherClients[[#This Row],[Re-certified or New]]&lt;&gt;"Re-certified",IF(OtherClients[[#This Row],[Client]]="infasco",VLOOKUP(OtherClients[[#This Row],[Part]],PartControl!$A$2:$E$564,2,FALSE),OtherClients[[#This Row],[Total Quantity]]*VLOOKUP(OtherClients[[#This Row],[Part]],PartControl!$A$2:$E$564,2,FALSE)),0)</f>
        <v>106.94</v>
      </c>
    </row>
    <row r="2723" spans="1:26" ht="25.15" hidden="1" customHeight="1" x14ac:dyDescent="0.25">
      <c r="A2723" s="112">
        <v>46273.708009259259</v>
      </c>
      <c r="B2723" s="5" t="s">
        <v>342</v>
      </c>
      <c r="C2723" s="5">
        <v>40161567</v>
      </c>
      <c r="D2723" s="5">
        <v>717707</v>
      </c>
      <c r="E2723" s="33">
        <v>15</v>
      </c>
      <c r="F2723" s="60">
        <v>175</v>
      </c>
      <c r="G2723" s="60">
        <f>+OtherClients[[#This Row],[Boxes / Pieces]]*OtherClients[[#This Row],[Unit Quantity]]</f>
        <v>2625</v>
      </c>
      <c r="H2723" s="60" t="s">
        <v>898</v>
      </c>
      <c r="I2723" s="60" t="s">
        <v>278</v>
      </c>
      <c r="J2723" s="104"/>
      <c r="K2723" s="33" t="s">
        <v>278</v>
      </c>
      <c r="L2723" s="111"/>
      <c r="M2723" s="33" t="s">
        <v>278</v>
      </c>
      <c r="N2723" s="111"/>
      <c r="O2723" s="33" t="s">
        <v>278</v>
      </c>
      <c r="P2723" s="111"/>
      <c r="Q2723" s="33" t="s">
        <v>587</v>
      </c>
      <c r="R2723" s="111"/>
      <c r="S2723" s="33" t="s">
        <v>278</v>
      </c>
      <c r="T2723" s="111"/>
      <c r="U2723" s="33" t="s">
        <v>278</v>
      </c>
      <c r="V2723" s="111"/>
      <c r="W2723" s="59" t="s">
        <v>548</v>
      </c>
      <c r="X2723" s="33" t="str">
        <f>+VLOOKUP(OtherClients[[#This Row],[Part]],PartControl!$A$2:$E$564,5,FALSE)</f>
        <v>INFASCO</v>
      </c>
      <c r="Y2723" s="108">
        <f>IF(OtherClients[[#This Row],[Re-certified or New]]&lt;&gt;"Re-certified",IF(OtherClients[[#This Row],[Client]]="infasco",VLOOKUP(OtherClients[[#This Row],[Part]],PartControl!$A$2:$E$564,2,FALSE),OtherClients[[#This Row],[Total Quantity]]*VLOOKUP(OtherClients[[#This Row],[Part]],PartControl!$A$2:$E$564,2,FALSE)),0)</f>
        <v>106.94</v>
      </c>
      <c r="Z2723" s="108">
        <f>IF(OtherClients[[#This Row],[Re-certified or New]]&lt;&gt;"Re-certified",IF(OtherClients[[#This Row],[Client]]="infasco",VLOOKUP(OtherClients[[#This Row],[Part]],PartControl!$A$2:$E$564,2,FALSE),OtherClients[[#This Row],[Total Quantity]]*VLOOKUP(OtherClients[[#This Row],[Part]],PartControl!$A$2:$E$564,2,FALSE)),0)</f>
        <v>106.94</v>
      </c>
    </row>
    <row r="2724" spans="1:26" ht="25.15" hidden="1" customHeight="1" x14ac:dyDescent="0.25">
      <c r="A2724" s="112">
        <v>46273.708009259259</v>
      </c>
      <c r="B2724" s="5" t="s">
        <v>342</v>
      </c>
      <c r="C2724" s="5" t="s">
        <v>656</v>
      </c>
      <c r="D2724" s="5">
        <v>718511</v>
      </c>
      <c r="E2724" s="33">
        <v>30</v>
      </c>
      <c r="F2724" s="60">
        <v>825</v>
      </c>
      <c r="G2724" s="60">
        <f>+OtherClients[[#This Row],[Boxes / Pieces]]*OtherClients[[#This Row],[Unit Quantity]]</f>
        <v>24750</v>
      </c>
      <c r="H2724" s="60" t="s">
        <v>898</v>
      </c>
      <c r="I2724" s="60" t="s">
        <v>278</v>
      </c>
      <c r="J2724" s="104"/>
      <c r="K2724" s="33" t="s">
        <v>278</v>
      </c>
      <c r="L2724" s="111"/>
      <c r="M2724" s="33" t="s">
        <v>278</v>
      </c>
      <c r="N2724" s="111"/>
      <c r="O2724" s="33" t="s">
        <v>278</v>
      </c>
      <c r="P2724" s="111"/>
      <c r="Q2724" s="33" t="s">
        <v>587</v>
      </c>
      <c r="R2724" s="111"/>
      <c r="S2724" s="33" t="s">
        <v>278</v>
      </c>
      <c r="T2724" s="111"/>
      <c r="U2724" s="33" t="s">
        <v>278</v>
      </c>
      <c r="V2724" s="111"/>
      <c r="W2724" s="59" t="s">
        <v>548</v>
      </c>
      <c r="X2724" s="33" t="str">
        <f>+VLOOKUP(OtherClients[[#This Row],[Part]],PartControl!$A$2:$E$564,5,FALSE)</f>
        <v>infasco</v>
      </c>
      <c r="Y2724" s="108">
        <f>IF(OtherClients[[#This Row],[Re-certified or New]]&lt;&gt;"Re-certified",IF(OtherClients[[#This Row],[Client]]="infasco",VLOOKUP(OtherClients[[#This Row],[Part]],PartControl!$A$2:$E$564,2,FALSE),OtherClients[[#This Row],[Total Quantity]]*VLOOKUP(OtherClients[[#This Row],[Part]],PartControl!$A$2:$E$564,2,FALSE)),0)</f>
        <v>280.16000000000003</v>
      </c>
      <c r="Z2724" s="108">
        <f>IF(OtherClients[[#This Row],[Re-certified or New]]&lt;&gt;"Re-certified",IF(OtherClients[[#This Row],[Client]]="infasco",VLOOKUP(OtherClients[[#This Row],[Part]],PartControl!$A$2:$E$564,2,FALSE),OtherClients[[#This Row],[Total Quantity]]*VLOOKUP(OtherClients[[#This Row],[Part]],PartControl!$A$2:$E$564,2,FALSE)),0)</f>
        <v>280.16000000000003</v>
      </c>
    </row>
    <row r="2725" spans="1:26" ht="25.15" hidden="1" customHeight="1" x14ac:dyDescent="0.25">
      <c r="A2725" s="112">
        <v>46273.708009259259</v>
      </c>
      <c r="B2725" s="5" t="s">
        <v>342</v>
      </c>
      <c r="C2725" s="5" t="s">
        <v>656</v>
      </c>
      <c r="D2725" s="5">
        <v>717787</v>
      </c>
      <c r="E2725" s="33">
        <v>12</v>
      </c>
      <c r="F2725" s="60">
        <v>825</v>
      </c>
      <c r="G2725" s="60">
        <f>+OtherClients[[#This Row],[Boxes / Pieces]]*OtherClients[[#This Row],[Unit Quantity]]</f>
        <v>9900</v>
      </c>
      <c r="H2725" s="60" t="s">
        <v>898</v>
      </c>
      <c r="I2725" s="60" t="s">
        <v>278</v>
      </c>
      <c r="J2725" s="104"/>
      <c r="K2725" s="33" t="s">
        <v>278</v>
      </c>
      <c r="L2725" s="111"/>
      <c r="M2725" s="33" t="s">
        <v>278</v>
      </c>
      <c r="N2725" s="111"/>
      <c r="O2725" s="33" t="s">
        <v>278</v>
      </c>
      <c r="P2725" s="111"/>
      <c r="Q2725" s="33" t="s">
        <v>587</v>
      </c>
      <c r="R2725" s="111"/>
      <c r="S2725" s="33" t="s">
        <v>278</v>
      </c>
      <c r="T2725" s="111"/>
      <c r="U2725" s="33" t="s">
        <v>278</v>
      </c>
      <c r="V2725" s="111"/>
      <c r="W2725" s="59" t="s">
        <v>548</v>
      </c>
      <c r="X2725" s="33" t="str">
        <f>+VLOOKUP(OtherClients[[#This Row],[Part]],PartControl!$A$2:$E$564,5,FALSE)</f>
        <v>infasco</v>
      </c>
      <c r="Y2725" s="108">
        <f>IF(OtherClients[[#This Row],[Re-certified or New]]&lt;&gt;"Re-certified",IF(OtherClients[[#This Row],[Client]]="infasco",VLOOKUP(OtherClients[[#This Row],[Part]],PartControl!$A$2:$E$564,2,FALSE),OtherClients[[#This Row],[Total Quantity]]*VLOOKUP(OtherClients[[#This Row],[Part]],PartControl!$A$2:$E$564,2,FALSE)),0)</f>
        <v>280.16000000000003</v>
      </c>
      <c r="Z2725" s="108">
        <f>IF(OtherClients[[#This Row],[Re-certified or New]]&lt;&gt;"Re-certified",IF(OtherClients[[#This Row],[Client]]="infasco",VLOOKUP(OtherClients[[#This Row],[Part]],PartControl!$A$2:$E$564,2,FALSE),OtherClients[[#This Row],[Total Quantity]]*VLOOKUP(OtherClients[[#This Row],[Part]],PartControl!$A$2:$E$564,2,FALSE)),0)</f>
        <v>280.16000000000003</v>
      </c>
    </row>
    <row r="2726" spans="1:26" ht="25.15" hidden="1" customHeight="1" x14ac:dyDescent="0.25">
      <c r="A2726" s="112">
        <v>46273.708009259259</v>
      </c>
      <c r="B2726" s="113" t="s">
        <v>342</v>
      </c>
      <c r="C2726" s="113" t="s">
        <v>906</v>
      </c>
      <c r="D2726" s="113">
        <v>710203</v>
      </c>
      <c r="E2726" s="114">
        <v>9</v>
      </c>
      <c r="F2726" s="115">
        <v>1450</v>
      </c>
      <c r="G2726" s="115">
        <f>+OtherClients[[#This Row],[Boxes / Pieces]]*OtherClients[[#This Row],[Unit Quantity]]</f>
        <v>13050</v>
      </c>
      <c r="H2726" s="60" t="s">
        <v>898</v>
      </c>
      <c r="I2726" s="60" t="s">
        <v>278</v>
      </c>
      <c r="J2726" s="104"/>
      <c r="K2726" s="33" t="s">
        <v>278</v>
      </c>
      <c r="L2726" s="111"/>
      <c r="M2726" s="33" t="s">
        <v>278</v>
      </c>
      <c r="N2726" s="111"/>
      <c r="O2726" s="33" t="s">
        <v>278</v>
      </c>
      <c r="P2726" s="111"/>
      <c r="Q2726" s="33" t="s">
        <v>587</v>
      </c>
      <c r="R2726" s="111"/>
      <c r="S2726" s="33" t="s">
        <v>278</v>
      </c>
      <c r="T2726" s="111"/>
      <c r="U2726" s="33" t="s">
        <v>278</v>
      </c>
      <c r="V2726" s="111"/>
      <c r="W2726" s="59" t="s">
        <v>633</v>
      </c>
      <c r="X2726" s="33" t="str">
        <f>+VLOOKUP(OtherClients[[#This Row],[Part]],PartControl!$A$2:$E$564,5,FALSE)</f>
        <v>infasco</v>
      </c>
      <c r="Y2726" s="108">
        <f>IF(OtherClients[[#This Row],[Re-certified or New]]&lt;&gt;"Re-certified",IF(OtherClients[[#This Row],[Client]]="infasco",VLOOKUP(OtherClients[[#This Row],[Part]],PartControl!$A$2:$E$564,2,FALSE),OtherClients[[#This Row],[Total Quantity]]*VLOOKUP(OtherClients[[#This Row],[Part]],PartControl!$A$2:$E$564,2,FALSE)),0)</f>
        <v>0</v>
      </c>
      <c r="Z2726" s="108">
        <f>IF(OtherClients[[#This Row],[Re-certified or New]]&lt;&gt;"Re-certified",IF(OtherClients[[#This Row],[Client]]="infasco",VLOOKUP(OtherClients[[#This Row],[Part]],PartControl!$A$2:$E$564,2,FALSE),OtherClients[[#This Row],[Total Quantity]]*VLOOKUP(OtherClients[[#This Row],[Part]],PartControl!$A$2:$E$564,2,FALSE)),0)</f>
        <v>0</v>
      </c>
    </row>
    <row r="2727" spans="1:26" ht="25.15" hidden="1" customHeight="1" x14ac:dyDescent="0.25">
      <c r="A2727" s="112">
        <v>46273.708009259259</v>
      </c>
      <c r="B2727" s="5" t="s">
        <v>343</v>
      </c>
      <c r="C2727" s="5" t="s">
        <v>662</v>
      </c>
      <c r="D2727" s="5">
        <v>718795</v>
      </c>
      <c r="E2727" s="33">
        <f>33-18</f>
        <v>15</v>
      </c>
      <c r="F2727" s="60">
        <v>580</v>
      </c>
      <c r="G2727" s="60">
        <f>+OtherClients[[#This Row],[Boxes / Pieces]]*OtherClients[[#This Row],[Unit Quantity]]</f>
        <v>8700</v>
      </c>
      <c r="H2727" s="60" t="s">
        <v>899</v>
      </c>
      <c r="I2727" s="60" t="s">
        <v>278</v>
      </c>
      <c r="J2727" s="104"/>
      <c r="K2727" s="33" t="s">
        <v>278</v>
      </c>
      <c r="L2727" s="111"/>
      <c r="M2727" s="33" t="s">
        <v>278</v>
      </c>
      <c r="N2727" s="111"/>
      <c r="O2727" s="33" t="s">
        <v>278</v>
      </c>
      <c r="P2727" s="111"/>
      <c r="Q2727" s="33" t="s">
        <v>587</v>
      </c>
      <c r="R2727" s="111"/>
      <c r="S2727" s="33" t="s">
        <v>278</v>
      </c>
      <c r="T2727" s="111"/>
      <c r="U2727" s="33" t="s">
        <v>278</v>
      </c>
      <c r="V2727" s="111"/>
      <c r="W2727" s="59" t="s">
        <v>548</v>
      </c>
      <c r="X2727" s="33" t="str">
        <f>+VLOOKUP(OtherClients[[#This Row],[Part]],PartControl!$A$2:$E$564,5,FALSE)</f>
        <v>infasco</v>
      </c>
      <c r="Y2727" s="108">
        <f>IF(OtherClients[[#This Row],[Re-certified or New]]&lt;&gt;"Re-certified",IF(OtherClients[[#This Row],[Client]]="infasco",VLOOKUP(OtherClients[[#This Row],[Part]],PartControl!$A$2:$E$564,2,FALSE),OtherClients[[#This Row],[Total Quantity]]*VLOOKUP(OtherClients[[#This Row],[Part]],PartControl!$A$2:$E$564,2,FALSE)),0)</f>
        <v>280.15999999999997</v>
      </c>
      <c r="Z2727" s="108">
        <f>IF(OtherClients[[#This Row],[Re-certified or New]]&lt;&gt;"Re-certified",IF(OtherClients[[#This Row],[Client]]="infasco",VLOOKUP(OtherClients[[#This Row],[Part]],PartControl!$A$2:$E$564,2,FALSE),OtherClients[[#This Row],[Total Quantity]]*VLOOKUP(OtherClients[[#This Row],[Part]],PartControl!$A$2:$E$564,2,FALSE)),0)</f>
        <v>280.15999999999997</v>
      </c>
    </row>
    <row r="2728" spans="1:26" ht="25.15" hidden="1" customHeight="1" x14ac:dyDescent="0.25">
      <c r="A2728" s="112">
        <v>46273.708009259259</v>
      </c>
      <c r="B2728" s="5" t="s">
        <v>343</v>
      </c>
      <c r="C2728" s="5">
        <v>82250</v>
      </c>
      <c r="D2728" s="5">
        <v>718799</v>
      </c>
      <c r="E2728" s="33">
        <v>36</v>
      </c>
      <c r="F2728" s="60">
        <v>625</v>
      </c>
      <c r="G2728" s="60">
        <f>+OtherClients[[#This Row],[Boxes / Pieces]]*OtherClients[[#This Row],[Unit Quantity]]</f>
        <v>22500</v>
      </c>
      <c r="H2728" s="60" t="s">
        <v>899</v>
      </c>
      <c r="I2728" s="60" t="s">
        <v>278</v>
      </c>
      <c r="J2728" s="104"/>
      <c r="K2728" s="33" t="s">
        <v>278</v>
      </c>
      <c r="L2728" s="111"/>
      <c r="M2728" s="33" t="s">
        <v>278</v>
      </c>
      <c r="N2728" s="111"/>
      <c r="O2728" s="33" t="s">
        <v>278</v>
      </c>
      <c r="P2728" s="111"/>
      <c r="Q2728" s="33" t="s">
        <v>587</v>
      </c>
      <c r="R2728" s="111"/>
      <c r="S2728" s="33" t="s">
        <v>278</v>
      </c>
      <c r="T2728" s="111"/>
      <c r="U2728" s="33" t="s">
        <v>278</v>
      </c>
      <c r="V2728" s="111"/>
      <c r="W2728" s="59" t="s">
        <v>548</v>
      </c>
      <c r="X2728" s="33" t="str">
        <f>+VLOOKUP(OtherClients[[#This Row],[Part]],PartControl!$A$2:$E$564,5,FALSE)</f>
        <v>infasco</v>
      </c>
      <c r="Y2728" s="108">
        <f>IF(OtherClients[[#This Row],[Re-certified or New]]&lt;&gt;"Re-certified",IF(OtherClients[[#This Row],[Client]]="infasco",VLOOKUP(OtherClients[[#This Row],[Part]],PartControl!$A$2:$E$564,2,FALSE),OtherClients[[#This Row],[Total Quantity]]*VLOOKUP(OtherClients[[#This Row],[Part]],PartControl!$A$2:$E$564,2,FALSE)),0)</f>
        <v>223.88</v>
      </c>
      <c r="Z2728" s="108">
        <f>IF(OtherClients[[#This Row],[Re-certified or New]]&lt;&gt;"Re-certified",IF(OtherClients[[#This Row],[Client]]="infasco",VLOOKUP(OtherClients[[#This Row],[Part]],PartControl!$A$2:$E$564,2,FALSE),OtherClients[[#This Row],[Total Quantity]]*VLOOKUP(OtherClients[[#This Row],[Part]],PartControl!$A$2:$E$564,2,FALSE)),0)</f>
        <v>223.88</v>
      </c>
    </row>
    <row r="2729" spans="1:26" ht="25.15" hidden="1" customHeight="1" x14ac:dyDescent="0.25">
      <c r="A2729" s="112">
        <v>46273.708009259259</v>
      </c>
      <c r="B2729" s="5" t="s">
        <v>343</v>
      </c>
      <c r="C2729" s="5" t="s">
        <v>59</v>
      </c>
      <c r="D2729" s="5">
        <v>718796</v>
      </c>
      <c r="E2729" s="33">
        <f>36+5</f>
        <v>41</v>
      </c>
      <c r="F2729" s="60">
        <v>1600</v>
      </c>
      <c r="G2729" s="60">
        <f>+OtherClients[[#This Row],[Boxes / Pieces]]*OtherClients[[#This Row],[Unit Quantity]]</f>
        <v>65600</v>
      </c>
      <c r="H2729" s="60" t="s">
        <v>899</v>
      </c>
      <c r="I2729" s="60" t="s">
        <v>278</v>
      </c>
      <c r="J2729" s="104"/>
      <c r="K2729" s="33" t="s">
        <v>278</v>
      </c>
      <c r="L2729" s="111"/>
      <c r="M2729" s="33" t="s">
        <v>278</v>
      </c>
      <c r="N2729" s="111"/>
      <c r="O2729" s="33" t="s">
        <v>278</v>
      </c>
      <c r="P2729" s="111"/>
      <c r="Q2729" s="33" t="s">
        <v>587</v>
      </c>
      <c r="R2729" s="111"/>
      <c r="S2729" s="33" t="s">
        <v>278</v>
      </c>
      <c r="T2729" s="111"/>
      <c r="U2729" s="33" t="s">
        <v>278</v>
      </c>
      <c r="V2729" s="111"/>
      <c r="W2729" s="59" t="s">
        <v>548</v>
      </c>
      <c r="X2729" s="33" t="str">
        <f>+VLOOKUP(OtherClients[[#This Row],[Part]],PartControl!$A$2:$E$564,5,FALSE)</f>
        <v>infasco</v>
      </c>
      <c r="Y2729" s="108">
        <f>IF(OtherClients[[#This Row],[Re-certified or New]]&lt;&gt;"Re-certified",IF(OtherClients[[#This Row],[Client]]="infasco",VLOOKUP(OtherClients[[#This Row],[Part]],PartControl!$A$2:$E$564,2,FALSE),OtherClients[[#This Row],[Total Quantity]]*VLOOKUP(OtherClients[[#This Row],[Part]],PartControl!$A$2:$E$564,2,FALSE)),0)</f>
        <v>257.95319999999998</v>
      </c>
      <c r="Z2729" s="108">
        <f>IF(OtherClients[[#This Row],[Re-certified or New]]&lt;&gt;"Re-certified",IF(OtherClients[[#This Row],[Client]]="infasco",VLOOKUP(OtherClients[[#This Row],[Part]],PartControl!$A$2:$E$564,2,FALSE),OtherClients[[#This Row],[Total Quantity]]*VLOOKUP(OtherClients[[#This Row],[Part]],PartControl!$A$2:$E$564,2,FALSE)),0)</f>
        <v>257.95319999999998</v>
      </c>
    </row>
    <row r="2730" spans="1:26" ht="25.15" hidden="1" customHeight="1" x14ac:dyDescent="0.25">
      <c r="A2730" s="112">
        <v>46273.708009259259</v>
      </c>
      <c r="B2730" s="5" t="s">
        <v>343</v>
      </c>
      <c r="C2730" s="5" t="s">
        <v>835</v>
      </c>
      <c r="D2730" s="5">
        <v>717677</v>
      </c>
      <c r="E2730" s="33">
        <v>40</v>
      </c>
      <c r="F2730" s="60">
        <v>660</v>
      </c>
      <c r="G2730" s="60">
        <f>+OtherClients[[#This Row],[Boxes / Pieces]]*OtherClients[[#This Row],[Unit Quantity]]</f>
        <v>26400</v>
      </c>
      <c r="H2730" s="60" t="s">
        <v>899</v>
      </c>
      <c r="I2730" s="60" t="s">
        <v>278</v>
      </c>
      <c r="J2730" s="104"/>
      <c r="K2730" s="33" t="s">
        <v>278</v>
      </c>
      <c r="L2730" s="111"/>
      <c r="M2730" s="33" t="s">
        <v>278</v>
      </c>
      <c r="N2730" s="111"/>
      <c r="O2730" s="33" t="s">
        <v>278</v>
      </c>
      <c r="P2730" s="111"/>
      <c r="Q2730" s="33" t="s">
        <v>587</v>
      </c>
      <c r="R2730" s="111"/>
      <c r="S2730" s="33" t="s">
        <v>278</v>
      </c>
      <c r="T2730" s="111"/>
      <c r="U2730" s="33" t="s">
        <v>278</v>
      </c>
      <c r="V2730" s="111"/>
      <c r="W2730" s="59" t="s">
        <v>548</v>
      </c>
      <c r="X2730" s="33" t="str">
        <f>+VLOOKUP(OtherClients[[#This Row],[Part]],PartControl!$A$2:$E$564,5,FALSE)</f>
        <v>infasco</v>
      </c>
      <c r="Y2730" s="108">
        <f>IF(OtherClients[[#This Row],[Re-certified or New]]&lt;&gt;"Re-certified",IF(OtherClients[[#This Row],[Client]]="infasco",VLOOKUP(OtherClients[[#This Row],[Part]],PartControl!$A$2:$E$564,2,FALSE),OtherClients[[#This Row],[Total Quantity]]*VLOOKUP(OtherClients[[#This Row],[Part]],PartControl!$A$2:$E$564,2,FALSE)),0)</f>
        <v>135.08000000000001</v>
      </c>
      <c r="Z2730" s="108">
        <f>IF(OtherClients[[#This Row],[Re-certified or New]]&lt;&gt;"Re-certified",IF(OtherClients[[#This Row],[Client]]="infasco",VLOOKUP(OtherClients[[#This Row],[Part]],PartControl!$A$2:$E$564,2,FALSE),OtherClients[[#This Row],[Total Quantity]]*VLOOKUP(OtherClients[[#This Row],[Part]],PartControl!$A$2:$E$564,2,FALSE)),0)</f>
        <v>135.08000000000001</v>
      </c>
    </row>
    <row r="2731" spans="1:26" ht="25.15" hidden="1" customHeight="1" x14ac:dyDescent="0.25">
      <c r="A2731" s="112">
        <v>46273.708009259259</v>
      </c>
      <c r="B2731" s="5" t="s">
        <v>343</v>
      </c>
      <c r="C2731" s="5">
        <v>40161567</v>
      </c>
      <c r="D2731" s="5">
        <v>717896</v>
      </c>
      <c r="E2731" s="33">
        <v>36</v>
      </c>
      <c r="F2731" s="60">
        <v>175</v>
      </c>
      <c r="G2731" s="60">
        <f>+OtherClients[[#This Row],[Boxes / Pieces]]*OtherClients[[#This Row],[Unit Quantity]]</f>
        <v>6300</v>
      </c>
      <c r="H2731" s="60" t="s">
        <v>899</v>
      </c>
      <c r="I2731" s="60" t="s">
        <v>278</v>
      </c>
      <c r="J2731" s="104"/>
      <c r="K2731" s="33" t="s">
        <v>278</v>
      </c>
      <c r="L2731" s="111"/>
      <c r="M2731" s="33" t="s">
        <v>278</v>
      </c>
      <c r="N2731" s="111"/>
      <c r="O2731" s="33" t="s">
        <v>278</v>
      </c>
      <c r="P2731" s="111"/>
      <c r="Q2731" s="33" t="s">
        <v>587</v>
      </c>
      <c r="R2731" s="111"/>
      <c r="S2731" s="33" t="s">
        <v>278</v>
      </c>
      <c r="T2731" s="111"/>
      <c r="U2731" s="33" t="s">
        <v>278</v>
      </c>
      <c r="V2731" s="111"/>
      <c r="W2731" s="59" t="s">
        <v>548</v>
      </c>
      <c r="X2731" s="33" t="str">
        <f>+VLOOKUP(OtherClients[[#This Row],[Part]],PartControl!$A$2:$E$564,5,FALSE)</f>
        <v>INFASCO</v>
      </c>
      <c r="Y2731" s="108">
        <f>IF(OtherClients[[#This Row],[Re-certified or New]]&lt;&gt;"Re-certified",IF(OtherClients[[#This Row],[Client]]="infasco",VLOOKUP(OtherClients[[#This Row],[Part]],PartControl!$A$2:$E$564,2,FALSE),OtherClients[[#This Row],[Total Quantity]]*VLOOKUP(OtherClients[[#This Row],[Part]],PartControl!$A$2:$E$564,2,FALSE)),0)</f>
        <v>106.94</v>
      </c>
      <c r="Z2731" s="108">
        <f>IF(OtherClients[[#This Row],[Re-certified or New]]&lt;&gt;"Re-certified",IF(OtherClients[[#This Row],[Client]]="infasco",VLOOKUP(OtherClients[[#This Row],[Part]],PartControl!$A$2:$E$564,2,FALSE),OtherClients[[#This Row],[Total Quantity]]*VLOOKUP(OtherClients[[#This Row],[Part]],PartControl!$A$2:$E$564,2,FALSE)),0)</f>
        <v>106.94</v>
      </c>
    </row>
    <row r="2732" spans="1:26" ht="25.15" hidden="1" customHeight="1" x14ac:dyDescent="0.25">
      <c r="A2732" s="112">
        <v>46273.708009259259</v>
      </c>
      <c r="B2732" s="5" t="s">
        <v>343</v>
      </c>
      <c r="C2732" s="5">
        <v>40161567</v>
      </c>
      <c r="D2732" s="5">
        <v>717894</v>
      </c>
      <c r="E2732" s="33">
        <v>36</v>
      </c>
      <c r="F2732" s="60">
        <v>175</v>
      </c>
      <c r="G2732" s="60">
        <f>+OtherClients[[#This Row],[Boxes / Pieces]]*OtherClients[[#This Row],[Unit Quantity]]</f>
        <v>6300</v>
      </c>
      <c r="H2732" s="60" t="s">
        <v>899</v>
      </c>
      <c r="I2732" s="60" t="s">
        <v>278</v>
      </c>
      <c r="J2732" s="104"/>
      <c r="K2732" s="33" t="s">
        <v>278</v>
      </c>
      <c r="L2732" s="111"/>
      <c r="M2732" s="33" t="s">
        <v>278</v>
      </c>
      <c r="N2732" s="111"/>
      <c r="O2732" s="33" t="s">
        <v>278</v>
      </c>
      <c r="P2732" s="111"/>
      <c r="Q2732" s="33" t="s">
        <v>587</v>
      </c>
      <c r="R2732" s="111"/>
      <c r="S2732" s="33" t="s">
        <v>278</v>
      </c>
      <c r="T2732" s="111"/>
      <c r="U2732" s="33" t="s">
        <v>278</v>
      </c>
      <c r="V2732" s="111"/>
      <c r="W2732" s="59" t="s">
        <v>548</v>
      </c>
      <c r="X2732" s="33" t="str">
        <f>+VLOOKUP(OtherClients[[#This Row],[Part]],PartControl!$A$2:$E$564,5,FALSE)</f>
        <v>INFASCO</v>
      </c>
      <c r="Y2732" s="108">
        <f>IF(OtherClients[[#This Row],[Re-certified or New]]&lt;&gt;"Re-certified",IF(OtherClients[[#This Row],[Client]]="infasco",VLOOKUP(OtherClients[[#This Row],[Part]],PartControl!$A$2:$E$564,2,FALSE),OtherClients[[#This Row],[Total Quantity]]*VLOOKUP(OtherClients[[#This Row],[Part]],PartControl!$A$2:$E$564,2,FALSE)),0)</f>
        <v>106.94</v>
      </c>
      <c r="Z2732" s="108">
        <f>IF(OtherClients[[#This Row],[Re-certified or New]]&lt;&gt;"Re-certified",IF(OtherClients[[#This Row],[Client]]="infasco",VLOOKUP(OtherClients[[#This Row],[Part]],PartControl!$A$2:$E$564,2,FALSE),OtherClients[[#This Row],[Total Quantity]]*VLOOKUP(OtherClients[[#This Row],[Part]],PartControl!$A$2:$E$564,2,FALSE)),0)</f>
        <v>106.94</v>
      </c>
    </row>
    <row r="2733" spans="1:26" ht="25.15" hidden="1" customHeight="1" x14ac:dyDescent="0.25">
      <c r="A2733" s="112">
        <v>46273.708009259259</v>
      </c>
      <c r="B2733" s="5" t="s">
        <v>343</v>
      </c>
      <c r="C2733" s="5">
        <v>40161567</v>
      </c>
      <c r="D2733" s="5">
        <v>717895</v>
      </c>
      <c r="E2733" s="33">
        <v>14</v>
      </c>
      <c r="F2733" s="60">
        <v>175</v>
      </c>
      <c r="G2733" s="60">
        <f>+OtherClients[[#This Row],[Boxes / Pieces]]*OtherClients[[#This Row],[Unit Quantity]]</f>
        <v>2450</v>
      </c>
      <c r="H2733" s="60" t="s">
        <v>899</v>
      </c>
      <c r="I2733" s="60" t="s">
        <v>278</v>
      </c>
      <c r="J2733" s="104"/>
      <c r="K2733" s="33" t="s">
        <v>278</v>
      </c>
      <c r="L2733" s="111"/>
      <c r="M2733" s="33" t="s">
        <v>278</v>
      </c>
      <c r="N2733" s="111"/>
      <c r="O2733" s="33" t="s">
        <v>278</v>
      </c>
      <c r="P2733" s="111"/>
      <c r="Q2733" s="33" t="s">
        <v>587</v>
      </c>
      <c r="R2733" s="111"/>
      <c r="S2733" s="33" t="s">
        <v>278</v>
      </c>
      <c r="T2733" s="111"/>
      <c r="U2733" s="33" t="s">
        <v>278</v>
      </c>
      <c r="V2733" s="111"/>
      <c r="W2733" s="59" t="s">
        <v>548</v>
      </c>
      <c r="X2733" s="33" t="str">
        <f>+VLOOKUP(OtherClients[[#This Row],[Part]],PartControl!$A$2:$E$564,5,FALSE)</f>
        <v>INFASCO</v>
      </c>
      <c r="Y2733" s="108">
        <f>IF(OtherClients[[#This Row],[Re-certified or New]]&lt;&gt;"Re-certified",IF(OtherClients[[#This Row],[Client]]="infasco",VLOOKUP(OtherClients[[#This Row],[Part]],PartControl!$A$2:$E$564,2,FALSE),OtherClients[[#This Row],[Total Quantity]]*VLOOKUP(OtherClients[[#This Row],[Part]],PartControl!$A$2:$E$564,2,FALSE)),0)</f>
        <v>106.94</v>
      </c>
      <c r="Z2733" s="108">
        <f>IF(OtherClients[[#This Row],[Re-certified or New]]&lt;&gt;"Re-certified",IF(OtherClients[[#This Row],[Client]]="infasco",VLOOKUP(OtherClients[[#This Row],[Part]],PartControl!$A$2:$E$564,2,FALSE),OtherClients[[#This Row],[Total Quantity]]*VLOOKUP(OtherClients[[#This Row],[Part]],PartControl!$A$2:$E$564,2,FALSE)),0)</f>
        <v>106.94</v>
      </c>
    </row>
    <row r="2734" spans="1:26" ht="25.15" hidden="1" customHeight="1" x14ac:dyDescent="0.25">
      <c r="A2734" s="112">
        <v>46273.708009259259</v>
      </c>
      <c r="B2734" s="5" t="s">
        <v>343</v>
      </c>
      <c r="C2734" s="5" t="s">
        <v>656</v>
      </c>
      <c r="D2734" s="5">
        <v>718520</v>
      </c>
      <c r="E2734" s="33">
        <v>36</v>
      </c>
      <c r="F2734" s="60">
        <v>825</v>
      </c>
      <c r="G2734" s="60">
        <f>+OtherClients[[#This Row],[Boxes / Pieces]]*OtherClients[[#This Row],[Unit Quantity]]</f>
        <v>29700</v>
      </c>
      <c r="H2734" s="60" t="s">
        <v>899</v>
      </c>
      <c r="I2734" s="60" t="s">
        <v>278</v>
      </c>
      <c r="J2734" s="104"/>
      <c r="K2734" s="33" t="s">
        <v>278</v>
      </c>
      <c r="L2734" s="111"/>
      <c r="M2734" s="33" t="s">
        <v>278</v>
      </c>
      <c r="N2734" s="111"/>
      <c r="O2734" s="33" t="s">
        <v>278</v>
      </c>
      <c r="P2734" s="111"/>
      <c r="Q2734" s="33" t="s">
        <v>587</v>
      </c>
      <c r="R2734" s="111"/>
      <c r="S2734" s="33" t="s">
        <v>278</v>
      </c>
      <c r="T2734" s="111"/>
      <c r="U2734" s="33" t="s">
        <v>278</v>
      </c>
      <c r="V2734" s="111"/>
      <c r="W2734" s="59" t="s">
        <v>548</v>
      </c>
      <c r="X2734" s="33" t="str">
        <f>+VLOOKUP(OtherClients[[#This Row],[Part]],PartControl!$A$2:$E$564,5,FALSE)</f>
        <v>infasco</v>
      </c>
      <c r="Y2734" s="108">
        <f>IF(OtherClients[[#This Row],[Re-certified or New]]&lt;&gt;"Re-certified",IF(OtherClients[[#This Row],[Client]]="infasco",VLOOKUP(OtherClients[[#This Row],[Part]],PartControl!$A$2:$E$564,2,FALSE),OtherClients[[#This Row],[Total Quantity]]*VLOOKUP(OtherClients[[#This Row],[Part]],PartControl!$A$2:$E$564,2,FALSE)),0)</f>
        <v>280.16000000000003</v>
      </c>
      <c r="Z2734" s="108">
        <f>IF(OtherClients[[#This Row],[Re-certified or New]]&lt;&gt;"Re-certified",IF(OtherClients[[#This Row],[Client]]="infasco",VLOOKUP(OtherClients[[#This Row],[Part]],PartControl!$A$2:$E$564,2,FALSE),OtherClients[[#This Row],[Total Quantity]]*VLOOKUP(OtherClients[[#This Row],[Part]],PartControl!$A$2:$E$564,2,FALSE)),0)</f>
        <v>280.16000000000003</v>
      </c>
    </row>
    <row r="2735" spans="1:26" ht="25.15" hidden="1" customHeight="1" x14ac:dyDescent="0.25">
      <c r="A2735" s="112">
        <v>46273.708009259259</v>
      </c>
      <c r="B2735" s="5" t="s">
        <v>343</v>
      </c>
      <c r="C2735" s="5" t="s">
        <v>656</v>
      </c>
      <c r="D2735" s="5">
        <v>718512</v>
      </c>
      <c r="E2735" s="33">
        <v>15</v>
      </c>
      <c r="F2735" s="60">
        <v>825</v>
      </c>
      <c r="G2735" s="60">
        <f>+OtherClients[[#This Row],[Boxes / Pieces]]*OtherClients[[#This Row],[Unit Quantity]]</f>
        <v>12375</v>
      </c>
      <c r="H2735" s="60" t="s">
        <v>899</v>
      </c>
      <c r="I2735" s="60" t="s">
        <v>278</v>
      </c>
      <c r="J2735" s="104"/>
      <c r="K2735" s="33" t="s">
        <v>278</v>
      </c>
      <c r="L2735" s="111"/>
      <c r="M2735" s="33" t="s">
        <v>278</v>
      </c>
      <c r="N2735" s="111"/>
      <c r="O2735" s="33" t="s">
        <v>278</v>
      </c>
      <c r="P2735" s="111"/>
      <c r="Q2735" s="33" t="s">
        <v>587</v>
      </c>
      <c r="R2735" s="111"/>
      <c r="S2735" s="33" t="s">
        <v>278</v>
      </c>
      <c r="T2735" s="111"/>
      <c r="U2735" s="33" t="s">
        <v>278</v>
      </c>
      <c r="V2735" s="111"/>
      <c r="W2735" s="59" t="s">
        <v>548</v>
      </c>
      <c r="X2735" s="33" t="str">
        <f>+VLOOKUP(OtherClients[[#This Row],[Part]],PartControl!$A$2:$E$564,5,FALSE)</f>
        <v>infasco</v>
      </c>
      <c r="Y2735" s="108">
        <f>IF(OtherClients[[#This Row],[Re-certified or New]]&lt;&gt;"Re-certified",IF(OtherClients[[#This Row],[Client]]="infasco",VLOOKUP(OtherClients[[#This Row],[Part]],PartControl!$A$2:$E$564,2,FALSE),OtherClients[[#This Row],[Total Quantity]]*VLOOKUP(OtherClients[[#This Row],[Part]],PartControl!$A$2:$E$564,2,FALSE)),0)</f>
        <v>280.16000000000003</v>
      </c>
      <c r="Z2735" s="108">
        <f>IF(OtherClients[[#This Row],[Re-certified or New]]&lt;&gt;"Re-certified",IF(OtherClients[[#This Row],[Client]]="infasco",VLOOKUP(OtherClients[[#This Row],[Part]],PartControl!$A$2:$E$564,2,FALSE),OtherClients[[#This Row],[Total Quantity]]*VLOOKUP(OtherClients[[#This Row],[Part]],PartControl!$A$2:$E$564,2,FALSE)),0)</f>
        <v>280.16000000000003</v>
      </c>
    </row>
    <row r="2736" spans="1:26" ht="25.15" hidden="1" customHeight="1" x14ac:dyDescent="0.25">
      <c r="A2736" s="112">
        <v>46273.708009259259</v>
      </c>
      <c r="B2736" s="5" t="s">
        <v>343</v>
      </c>
      <c r="C2736" s="5" t="s">
        <v>656</v>
      </c>
      <c r="D2736" s="5">
        <v>717788</v>
      </c>
      <c r="E2736" s="33">
        <v>36</v>
      </c>
      <c r="F2736" s="60">
        <v>825</v>
      </c>
      <c r="G2736" s="60">
        <f>+OtherClients[[#This Row],[Boxes / Pieces]]*OtherClients[[#This Row],[Unit Quantity]]</f>
        <v>29700</v>
      </c>
      <c r="H2736" s="60" t="s">
        <v>899</v>
      </c>
      <c r="I2736" s="60" t="s">
        <v>278</v>
      </c>
      <c r="J2736" s="104"/>
      <c r="K2736" s="33" t="s">
        <v>278</v>
      </c>
      <c r="L2736" s="111"/>
      <c r="M2736" s="33" t="s">
        <v>278</v>
      </c>
      <c r="N2736" s="111"/>
      <c r="O2736" s="33" t="s">
        <v>278</v>
      </c>
      <c r="P2736" s="111"/>
      <c r="Q2736" s="33" t="s">
        <v>587</v>
      </c>
      <c r="R2736" s="111"/>
      <c r="S2736" s="33" t="s">
        <v>278</v>
      </c>
      <c r="T2736" s="111"/>
      <c r="U2736" s="33" t="s">
        <v>278</v>
      </c>
      <c r="V2736" s="111"/>
      <c r="W2736" s="59" t="s">
        <v>548</v>
      </c>
      <c r="X2736" s="33" t="str">
        <f>+VLOOKUP(OtherClients[[#This Row],[Part]],PartControl!$A$2:$E$564,5,FALSE)</f>
        <v>infasco</v>
      </c>
      <c r="Y2736" s="108">
        <f>IF(OtherClients[[#This Row],[Re-certified or New]]&lt;&gt;"Re-certified",IF(OtherClients[[#This Row],[Client]]="infasco",VLOOKUP(OtherClients[[#This Row],[Part]],PartControl!$A$2:$E$564,2,FALSE),OtherClients[[#This Row],[Total Quantity]]*VLOOKUP(OtherClients[[#This Row],[Part]],PartControl!$A$2:$E$564,2,FALSE)),0)</f>
        <v>280.16000000000003</v>
      </c>
      <c r="Z2736" s="108">
        <f>IF(OtherClients[[#This Row],[Re-certified or New]]&lt;&gt;"Re-certified",IF(OtherClients[[#This Row],[Client]]="infasco",VLOOKUP(OtherClients[[#This Row],[Part]],PartControl!$A$2:$E$564,2,FALSE),OtherClients[[#This Row],[Total Quantity]]*VLOOKUP(OtherClients[[#This Row],[Part]],PartControl!$A$2:$E$564,2,FALSE)),0)</f>
        <v>280.16000000000003</v>
      </c>
    </row>
    <row r="2737" spans="1:26" ht="25.15" hidden="1" customHeight="1" x14ac:dyDescent="0.25">
      <c r="A2737" s="112">
        <v>46273.708009259259</v>
      </c>
      <c r="B2737" s="5" t="s">
        <v>343</v>
      </c>
      <c r="C2737" s="5" t="s">
        <v>656</v>
      </c>
      <c r="D2737" s="5">
        <v>717790</v>
      </c>
      <c r="E2737" s="33">
        <v>36</v>
      </c>
      <c r="F2737" s="60">
        <v>825</v>
      </c>
      <c r="G2737" s="60">
        <f>+OtherClients[[#This Row],[Boxes / Pieces]]*OtherClients[[#This Row],[Unit Quantity]]</f>
        <v>29700</v>
      </c>
      <c r="H2737" s="60" t="s">
        <v>899</v>
      </c>
      <c r="I2737" s="60" t="s">
        <v>278</v>
      </c>
      <c r="J2737" s="104"/>
      <c r="K2737" s="33" t="s">
        <v>278</v>
      </c>
      <c r="L2737" s="111"/>
      <c r="M2737" s="33" t="s">
        <v>278</v>
      </c>
      <c r="N2737" s="111"/>
      <c r="O2737" s="33" t="s">
        <v>278</v>
      </c>
      <c r="P2737" s="111"/>
      <c r="Q2737" s="33" t="s">
        <v>587</v>
      </c>
      <c r="R2737" s="111"/>
      <c r="S2737" s="33" t="s">
        <v>278</v>
      </c>
      <c r="T2737" s="111"/>
      <c r="U2737" s="33" t="s">
        <v>278</v>
      </c>
      <c r="V2737" s="111"/>
      <c r="W2737" s="59" t="s">
        <v>548</v>
      </c>
      <c r="X2737" s="33" t="str">
        <f>+VLOOKUP(OtherClients[[#This Row],[Part]],PartControl!$A$2:$E$564,5,FALSE)</f>
        <v>infasco</v>
      </c>
      <c r="Y2737" s="108">
        <f>IF(OtherClients[[#This Row],[Re-certified or New]]&lt;&gt;"Re-certified",IF(OtherClients[[#This Row],[Client]]="infasco",VLOOKUP(OtherClients[[#This Row],[Part]],PartControl!$A$2:$E$564,2,FALSE),OtherClients[[#This Row],[Total Quantity]]*VLOOKUP(OtherClients[[#This Row],[Part]],PartControl!$A$2:$E$564,2,FALSE)),0)</f>
        <v>280.16000000000003</v>
      </c>
      <c r="Z2737" s="108">
        <f>IF(OtherClients[[#This Row],[Re-certified or New]]&lt;&gt;"Re-certified",IF(OtherClients[[#This Row],[Client]]="infasco",VLOOKUP(OtherClients[[#This Row],[Part]],PartControl!$A$2:$E$564,2,FALSE),OtherClients[[#This Row],[Total Quantity]]*VLOOKUP(OtherClients[[#This Row],[Part]],PartControl!$A$2:$E$564,2,FALSE)),0)</f>
        <v>280.16000000000003</v>
      </c>
    </row>
    <row r="2738" spans="1:26" ht="25.15" hidden="1" customHeight="1" x14ac:dyDescent="0.25">
      <c r="A2738" s="112">
        <v>46273.708009259259</v>
      </c>
      <c r="B2738" s="5" t="s">
        <v>344</v>
      </c>
      <c r="C2738" s="5">
        <v>82250</v>
      </c>
      <c r="D2738" s="5">
        <v>718798</v>
      </c>
      <c r="E2738" s="33">
        <v>36</v>
      </c>
      <c r="F2738" s="60">
        <v>625</v>
      </c>
      <c r="G2738" s="60">
        <f>+OtherClients[[#This Row],[Boxes / Pieces]]*OtherClients[[#This Row],[Unit Quantity]]</f>
        <v>22500</v>
      </c>
      <c r="H2738" s="60" t="s">
        <v>816</v>
      </c>
      <c r="I2738" s="60" t="s">
        <v>278</v>
      </c>
      <c r="J2738" s="104"/>
      <c r="K2738" s="33" t="s">
        <v>278</v>
      </c>
      <c r="L2738" s="111"/>
      <c r="M2738" s="33" t="s">
        <v>278</v>
      </c>
      <c r="N2738" s="111"/>
      <c r="O2738" s="33" t="s">
        <v>278</v>
      </c>
      <c r="P2738" s="111"/>
      <c r="Q2738" s="33" t="s">
        <v>587</v>
      </c>
      <c r="R2738" s="111"/>
      <c r="S2738" s="33" t="s">
        <v>278</v>
      </c>
      <c r="T2738" s="111"/>
      <c r="U2738" s="33" t="s">
        <v>278</v>
      </c>
      <c r="V2738" s="111"/>
      <c r="W2738" s="59" t="s">
        <v>548</v>
      </c>
      <c r="X2738" s="33" t="str">
        <f>+VLOOKUP(OtherClients[[#This Row],[Part]],PartControl!$A$2:$E$564,5,FALSE)</f>
        <v>infasco</v>
      </c>
      <c r="Y2738" s="108">
        <f>IF(OtherClients[[#This Row],[Re-certified or New]]&lt;&gt;"Re-certified",IF(OtherClients[[#This Row],[Client]]="infasco",VLOOKUP(OtherClients[[#This Row],[Part]],PartControl!$A$2:$E$564,2,FALSE),OtherClients[[#This Row],[Total Quantity]]*VLOOKUP(OtherClients[[#This Row],[Part]],PartControl!$A$2:$E$564,2,FALSE)),0)</f>
        <v>223.88</v>
      </c>
      <c r="Z2738" s="108">
        <f>IF(OtherClients[[#This Row],[Re-certified or New]]&lt;&gt;"Re-certified",IF(OtherClients[[#This Row],[Client]]="infasco",VLOOKUP(OtherClients[[#This Row],[Part]],PartControl!$A$2:$E$564,2,FALSE),OtherClients[[#This Row],[Total Quantity]]*VLOOKUP(OtherClients[[#This Row],[Part]],PartControl!$A$2:$E$564,2,FALSE)),0)</f>
        <v>223.88</v>
      </c>
    </row>
    <row r="2739" spans="1:26" ht="25.15" hidden="1" customHeight="1" x14ac:dyDescent="0.25">
      <c r="A2739" s="112">
        <v>46273.708009259259</v>
      </c>
      <c r="B2739" s="5" t="s">
        <v>344</v>
      </c>
      <c r="C2739" s="5" t="s">
        <v>917</v>
      </c>
      <c r="D2739" s="5">
        <v>716606</v>
      </c>
      <c r="E2739" s="33">
        <v>33</v>
      </c>
      <c r="F2739" s="60">
        <v>1250</v>
      </c>
      <c r="G2739" s="60">
        <f>+OtherClients[[#This Row],[Boxes / Pieces]]*OtherClients[[#This Row],[Unit Quantity]]</f>
        <v>41250</v>
      </c>
      <c r="H2739" s="60" t="s">
        <v>816</v>
      </c>
      <c r="I2739" s="60" t="s">
        <v>278</v>
      </c>
      <c r="J2739" s="104"/>
      <c r="K2739" s="33" t="s">
        <v>278</v>
      </c>
      <c r="L2739" s="111"/>
      <c r="M2739" s="33" t="s">
        <v>278</v>
      </c>
      <c r="N2739" s="111"/>
      <c r="O2739" s="33" t="s">
        <v>278</v>
      </c>
      <c r="P2739" s="111"/>
      <c r="Q2739" s="33" t="s">
        <v>587</v>
      </c>
      <c r="R2739" s="111"/>
      <c r="S2739" s="33" t="s">
        <v>278</v>
      </c>
      <c r="T2739" s="111"/>
      <c r="U2739" s="33" t="s">
        <v>278</v>
      </c>
      <c r="V2739" s="111"/>
      <c r="W2739" s="59" t="s">
        <v>548</v>
      </c>
      <c r="X2739" s="33" t="str">
        <f>+VLOOKUP(OtherClients[[#This Row],[Part]],PartControl!$A$2:$E$564,5,FALSE)</f>
        <v>infasco</v>
      </c>
      <c r="Y2739" s="108">
        <f>IF(OtherClients[[#This Row],[Re-certified or New]]&lt;&gt;"Re-certified",IF(OtherClients[[#This Row],[Client]]="infasco",VLOOKUP(OtherClients[[#This Row],[Part]],PartControl!$A$2:$E$564,2,FALSE),OtherClients[[#This Row],[Total Quantity]]*VLOOKUP(OtherClients[[#This Row],[Part]],PartControl!$A$2:$E$564,2,FALSE)),0)</f>
        <v>106.94</v>
      </c>
      <c r="Z2739" s="108">
        <f>IF(OtherClients[[#This Row],[Re-certified or New]]&lt;&gt;"Re-certified",IF(OtherClients[[#This Row],[Client]]="infasco",VLOOKUP(OtherClients[[#This Row],[Part]],PartControl!$A$2:$E$564,2,FALSE),OtherClients[[#This Row],[Total Quantity]]*VLOOKUP(OtherClients[[#This Row],[Part]],PartControl!$A$2:$E$564,2,FALSE)),0)</f>
        <v>106.94</v>
      </c>
    </row>
    <row r="2740" spans="1:26" ht="25.15" hidden="1" customHeight="1" x14ac:dyDescent="0.25">
      <c r="A2740" s="112">
        <v>46273.708009259259</v>
      </c>
      <c r="B2740" s="5" t="s">
        <v>344</v>
      </c>
      <c r="C2740" s="5" t="s">
        <v>835</v>
      </c>
      <c r="D2740" s="5">
        <v>717678</v>
      </c>
      <c r="E2740" s="33">
        <v>20</v>
      </c>
      <c r="F2740" s="60">
        <v>660</v>
      </c>
      <c r="G2740" s="60">
        <f>+OtherClients[[#This Row],[Boxes / Pieces]]*OtherClients[[#This Row],[Unit Quantity]]</f>
        <v>13200</v>
      </c>
      <c r="H2740" s="60" t="s">
        <v>816</v>
      </c>
      <c r="I2740" s="60" t="s">
        <v>278</v>
      </c>
      <c r="J2740" s="104"/>
      <c r="K2740" s="33" t="s">
        <v>278</v>
      </c>
      <c r="L2740" s="111"/>
      <c r="M2740" s="33" t="s">
        <v>278</v>
      </c>
      <c r="N2740" s="111"/>
      <c r="O2740" s="33" t="s">
        <v>278</v>
      </c>
      <c r="P2740" s="111"/>
      <c r="Q2740" s="33" t="s">
        <v>587</v>
      </c>
      <c r="R2740" s="111"/>
      <c r="S2740" s="33" t="s">
        <v>278</v>
      </c>
      <c r="T2740" s="111"/>
      <c r="U2740" s="33" t="s">
        <v>278</v>
      </c>
      <c r="V2740" s="111"/>
      <c r="W2740" s="59" t="s">
        <v>548</v>
      </c>
      <c r="X2740" s="33" t="str">
        <f>+VLOOKUP(OtherClients[[#This Row],[Part]],PartControl!$A$2:$E$564,5,FALSE)</f>
        <v>infasco</v>
      </c>
      <c r="Y2740" s="108">
        <f>IF(OtherClients[[#This Row],[Re-certified or New]]&lt;&gt;"Re-certified",IF(OtherClients[[#This Row],[Client]]="infasco",VLOOKUP(OtherClients[[#This Row],[Part]],PartControl!$A$2:$E$564,2,FALSE),OtherClients[[#This Row],[Total Quantity]]*VLOOKUP(OtherClients[[#This Row],[Part]],PartControl!$A$2:$E$564,2,FALSE)),0)</f>
        <v>135.08000000000001</v>
      </c>
      <c r="Z2740" s="108">
        <f>IF(OtherClients[[#This Row],[Re-certified or New]]&lt;&gt;"Re-certified",IF(OtherClients[[#This Row],[Client]]="infasco",VLOOKUP(OtherClients[[#This Row],[Part]],PartControl!$A$2:$E$564,2,FALSE),OtherClients[[#This Row],[Total Quantity]]*VLOOKUP(OtherClients[[#This Row],[Part]],PartControl!$A$2:$E$564,2,FALSE)),0)</f>
        <v>135.08000000000001</v>
      </c>
    </row>
    <row r="2741" spans="1:26" ht="25.15" hidden="1" customHeight="1" x14ac:dyDescent="0.25">
      <c r="A2741" s="112">
        <v>46273.708009259259</v>
      </c>
      <c r="B2741" s="5" t="s">
        <v>344</v>
      </c>
      <c r="C2741" s="5" t="s">
        <v>835</v>
      </c>
      <c r="D2741" s="5">
        <v>717676</v>
      </c>
      <c r="E2741" s="33">
        <v>17</v>
      </c>
      <c r="F2741" s="60">
        <v>660</v>
      </c>
      <c r="G2741" s="60">
        <f>+OtherClients[[#This Row],[Boxes / Pieces]]*OtherClients[[#This Row],[Unit Quantity]]</f>
        <v>11220</v>
      </c>
      <c r="H2741" s="60" t="s">
        <v>816</v>
      </c>
      <c r="I2741" s="60" t="s">
        <v>278</v>
      </c>
      <c r="J2741" s="104"/>
      <c r="K2741" s="33" t="s">
        <v>278</v>
      </c>
      <c r="L2741" s="111"/>
      <c r="M2741" s="33" t="s">
        <v>278</v>
      </c>
      <c r="N2741" s="111"/>
      <c r="O2741" s="33" t="s">
        <v>278</v>
      </c>
      <c r="P2741" s="111"/>
      <c r="Q2741" s="33" t="s">
        <v>587</v>
      </c>
      <c r="R2741" s="111"/>
      <c r="S2741" s="33" t="s">
        <v>278</v>
      </c>
      <c r="T2741" s="111"/>
      <c r="U2741" s="33" t="s">
        <v>278</v>
      </c>
      <c r="V2741" s="111"/>
      <c r="W2741" s="59" t="s">
        <v>548</v>
      </c>
      <c r="X2741" s="33" t="str">
        <f>+VLOOKUP(OtherClients[[#This Row],[Part]],PartControl!$A$2:$E$564,5,FALSE)</f>
        <v>infasco</v>
      </c>
      <c r="Y2741" s="108">
        <f>IF(OtherClients[[#This Row],[Re-certified or New]]&lt;&gt;"Re-certified",IF(OtherClients[[#This Row],[Client]]="infasco",VLOOKUP(OtherClients[[#This Row],[Part]],PartControl!$A$2:$E$564,2,FALSE),OtherClients[[#This Row],[Total Quantity]]*VLOOKUP(OtherClients[[#This Row],[Part]],PartControl!$A$2:$E$564,2,FALSE)),0)</f>
        <v>135.08000000000001</v>
      </c>
      <c r="Z2741" s="108">
        <f>IF(OtherClients[[#This Row],[Re-certified or New]]&lt;&gt;"Re-certified",IF(OtherClients[[#This Row],[Client]]="infasco",VLOOKUP(OtherClients[[#This Row],[Part]],PartControl!$A$2:$E$564,2,FALSE),OtherClients[[#This Row],[Total Quantity]]*VLOOKUP(OtherClients[[#This Row],[Part]],PartControl!$A$2:$E$564,2,FALSE)),0)</f>
        <v>135.08000000000001</v>
      </c>
    </row>
    <row r="2742" spans="1:26" ht="25.15" hidden="1" customHeight="1" x14ac:dyDescent="0.25">
      <c r="A2742" s="112">
        <v>46273.708009259259</v>
      </c>
      <c r="B2742" s="5" t="s">
        <v>344</v>
      </c>
      <c r="C2742" s="5">
        <v>40161567</v>
      </c>
      <c r="D2742" s="5">
        <v>717892</v>
      </c>
      <c r="E2742" s="33">
        <v>36</v>
      </c>
      <c r="F2742" s="60">
        <v>175</v>
      </c>
      <c r="G2742" s="60">
        <f>+OtherClients[[#This Row],[Boxes / Pieces]]*OtherClients[[#This Row],[Unit Quantity]]</f>
        <v>6300</v>
      </c>
      <c r="H2742" s="60" t="s">
        <v>816</v>
      </c>
      <c r="I2742" s="60" t="s">
        <v>278</v>
      </c>
      <c r="J2742" s="104"/>
      <c r="K2742" s="33" t="s">
        <v>278</v>
      </c>
      <c r="L2742" s="111"/>
      <c r="M2742" s="33" t="s">
        <v>278</v>
      </c>
      <c r="N2742" s="111"/>
      <c r="O2742" s="33" t="s">
        <v>278</v>
      </c>
      <c r="P2742" s="111"/>
      <c r="Q2742" s="33" t="s">
        <v>587</v>
      </c>
      <c r="R2742" s="111"/>
      <c r="S2742" s="33" t="s">
        <v>278</v>
      </c>
      <c r="T2742" s="111"/>
      <c r="U2742" s="33" t="s">
        <v>278</v>
      </c>
      <c r="V2742" s="111"/>
      <c r="W2742" s="59" t="s">
        <v>548</v>
      </c>
      <c r="X2742" s="33" t="str">
        <f>+VLOOKUP(OtherClients[[#This Row],[Part]],PartControl!$A$2:$E$564,5,FALSE)</f>
        <v>INFASCO</v>
      </c>
      <c r="Y2742" s="108">
        <f>IF(OtherClients[[#This Row],[Re-certified or New]]&lt;&gt;"Re-certified",IF(OtherClients[[#This Row],[Client]]="infasco",VLOOKUP(OtherClients[[#This Row],[Part]],PartControl!$A$2:$E$564,2,FALSE),OtherClients[[#This Row],[Total Quantity]]*VLOOKUP(OtherClients[[#This Row],[Part]],PartControl!$A$2:$E$564,2,FALSE)),0)</f>
        <v>106.94</v>
      </c>
      <c r="Z2742" s="108">
        <f>IF(OtherClients[[#This Row],[Re-certified or New]]&lt;&gt;"Re-certified",IF(OtherClients[[#This Row],[Client]]="infasco",VLOOKUP(OtherClients[[#This Row],[Part]],PartControl!$A$2:$E$564,2,FALSE),OtherClients[[#This Row],[Total Quantity]]*VLOOKUP(OtherClients[[#This Row],[Part]],PartControl!$A$2:$E$564,2,FALSE)),0)</f>
        <v>106.94</v>
      </c>
    </row>
    <row r="2743" spans="1:26" ht="25.15" hidden="1" customHeight="1" x14ac:dyDescent="0.25">
      <c r="A2743" s="112">
        <v>46273.708009259259</v>
      </c>
      <c r="B2743" s="5" t="s">
        <v>344</v>
      </c>
      <c r="C2743" s="5">
        <v>40161567</v>
      </c>
      <c r="D2743" s="5">
        <v>717708</v>
      </c>
      <c r="E2743" s="33">
        <v>19</v>
      </c>
      <c r="F2743" s="60">
        <v>175</v>
      </c>
      <c r="G2743" s="60">
        <f>+OtherClients[[#This Row],[Boxes / Pieces]]*OtherClients[[#This Row],[Unit Quantity]]</f>
        <v>3325</v>
      </c>
      <c r="H2743" s="60" t="s">
        <v>816</v>
      </c>
      <c r="I2743" s="60" t="s">
        <v>278</v>
      </c>
      <c r="J2743" s="104"/>
      <c r="K2743" s="33" t="s">
        <v>278</v>
      </c>
      <c r="L2743" s="111"/>
      <c r="M2743" s="33" t="s">
        <v>278</v>
      </c>
      <c r="N2743" s="111"/>
      <c r="O2743" s="33" t="s">
        <v>278</v>
      </c>
      <c r="P2743" s="111"/>
      <c r="Q2743" s="33" t="s">
        <v>587</v>
      </c>
      <c r="R2743" s="111"/>
      <c r="S2743" s="33" t="s">
        <v>278</v>
      </c>
      <c r="T2743" s="111"/>
      <c r="U2743" s="33" t="s">
        <v>278</v>
      </c>
      <c r="V2743" s="111"/>
      <c r="W2743" s="59" t="s">
        <v>548</v>
      </c>
      <c r="X2743" s="33" t="str">
        <f>+VLOOKUP(OtherClients[[#This Row],[Part]],PartControl!$A$2:$E$564,5,FALSE)</f>
        <v>INFASCO</v>
      </c>
      <c r="Y2743" s="108">
        <f>IF(OtherClients[[#This Row],[Re-certified or New]]&lt;&gt;"Re-certified",IF(OtherClients[[#This Row],[Client]]="infasco",VLOOKUP(OtherClients[[#This Row],[Part]],PartControl!$A$2:$E$564,2,FALSE),OtherClients[[#This Row],[Total Quantity]]*VLOOKUP(OtherClients[[#This Row],[Part]],PartControl!$A$2:$E$564,2,FALSE)),0)</f>
        <v>106.94</v>
      </c>
      <c r="Z2743" s="108">
        <f>IF(OtherClients[[#This Row],[Re-certified or New]]&lt;&gt;"Re-certified",IF(OtherClients[[#This Row],[Client]]="infasco",VLOOKUP(OtherClients[[#This Row],[Part]],PartControl!$A$2:$E$564,2,FALSE),OtherClients[[#This Row],[Total Quantity]]*VLOOKUP(OtherClients[[#This Row],[Part]],PartControl!$A$2:$E$564,2,FALSE)),0)</f>
        <v>106.94</v>
      </c>
    </row>
    <row r="2744" spans="1:26" ht="25.15" hidden="1" customHeight="1" x14ac:dyDescent="0.25">
      <c r="A2744" s="112">
        <v>46273.708009259259</v>
      </c>
      <c r="B2744" s="5" t="s">
        <v>344</v>
      </c>
      <c r="C2744" s="5" t="s">
        <v>656</v>
      </c>
      <c r="D2744" s="5">
        <v>718519</v>
      </c>
      <c r="E2744" s="33">
        <v>20</v>
      </c>
      <c r="F2744" s="60">
        <v>825</v>
      </c>
      <c r="G2744" s="60">
        <f>+OtherClients[[#This Row],[Boxes / Pieces]]*OtherClients[[#This Row],[Unit Quantity]]</f>
        <v>16500</v>
      </c>
      <c r="H2744" s="60" t="s">
        <v>816</v>
      </c>
      <c r="I2744" s="60" t="s">
        <v>278</v>
      </c>
      <c r="J2744" s="104"/>
      <c r="K2744" s="33" t="s">
        <v>278</v>
      </c>
      <c r="L2744" s="111"/>
      <c r="M2744" s="33" t="s">
        <v>278</v>
      </c>
      <c r="N2744" s="111"/>
      <c r="O2744" s="33" t="s">
        <v>278</v>
      </c>
      <c r="P2744" s="111"/>
      <c r="Q2744" s="33" t="s">
        <v>587</v>
      </c>
      <c r="R2744" s="111"/>
      <c r="S2744" s="33" t="s">
        <v>278</v>
      </c>
      <c r="T2744" s="111"/>
      <c r="U2744" s="33" t="s">
        <v>278</v>
      </c>
      <c r="V2744" s="111"/>
      <c r="W2744" s="59" t="s">
        <v>548</v>
      </c>
      <c r="X2744" s="33" t="str">
        <f>+VLOOKUP(OtherClients[[#This Row],[Part]],PartControl!$A$2:$E$564,5,FALSE)</f>
        <v>infasco</v>
      </c>
      <c r="Y2744" s="108">
        <f>IF(OtherClients[[#This Row],[Re-certified or New]]&lt;&gt;"Re-certified",IF(OtherClients[[#This Row],[Client]]="infasco",VLOOKUP(OtherClients[[#This Row],[Part]],PartControl!$A$2:$E$564,2,FALSE),OtherClients[[#This Row],[Total Quantity]]*VLOOKUP(OtherClients[[#This Row],[Part]],PartControl!$A$2:$E$564,2,FALSE)),0)</f>
        <v>280.16000000000003</v>
      </c>
      <c r="Z2744" s="108">
        <f>IF(OtherClients[[#This Row],[Re-certified or New]]&lt;&gt;"Re-certified",IF(OtherClients[[#This Row],[Client]]="infasco",VLOOKUP(OtherClients[[#This Row],[Part]],PartControl!$A$2:$E$564,2,FALSE),OtherClients[[#This Row],[Total Quantity]]*VLOOKUP(OtherClients[[#This Row],[Part]],PartControl!$A$2:$E$564,2,FALSE)),0)</f>
        <v>280.16000000000003</v>
      </c>
    </row>
    <row r="2745" spans="1:26" ht="25.15" hidden="1" customHeight="1" x14ac:dyDescent="0.25">
      <c r="A2745" s="112">
        <v>46273.708009259259</v>
      </c>
      <c r="B2745" s="5" t="s">
        <v>344</v>
      </c>
      <c r="C2745" s="5" t="s">
        <v>656</v>
      </c>
      <c r="D2745" s="5">
        <v>717786</v>
      </c>
      <c r="E2745" s="33">
        <v>11</v>
      </c>
      <c r="F2745" s="60">
        <v>825</v>
      </c>
      <c r="G2745" s="60">
        <f>+OtherClients[[#This Row],[Boxes / Pieces]]*OtherClients[[#This Row],[Unit Quantity]]</f>
        <v>9075</v>
      </c>
      <c r="H2745" s="60" t="s">
        <v>816</v>
      </c>
      <c r="I2745" s="60" t="s">
        <v>278</v>
      </c>
      <c r="J2745" s="104"/>
      <c r="K2745" s="33" t="s">
        <v>278</v>
      </c>
      <c r="L2745" s="111"/>
      <c r="M2745" s="33" t="s">
        <v>278</v>
      </c>
      <c r="N2745" s="111"/>
      <c r="O2745" s="33" t="s">
        <v>278</v>
      </c>
      <c r="P2745" s="111"/>
      <c r="Q2745" s="33" t="s">
        <v>587</v>
      </c>
      <c r="R2745" s="111"/>
      <c r="S2745" s="33" t="s">
        <v>278</v>
      </c>
      <c r="T2745" s="111"/>
      <c r="U2745" s="33" t="s">
        <v>278</v>
      </c>
      <c r="V2745" s="111"/>
      <c r="W2745" s="59" t="s">
        <v>548</v>
      </c>
      <c r="X2745" s="33" t="str">
        <f>+VLOOKUP(OtherClients[[#This Row],[Part]],PartControl!$A$2:$E$564,5,FALSE)</f>
        <v>infasco</v>
      </c>
      <c r="Y2745" s="108">
        <f>IF(OtherClients[[#This Row],[Re-certified or New]]&lt;&gt;"Re-certified",IF(OtherClients[[#This Row],[Client]]="infasco",VLOOKUP(OtherClients[[#This Row],[Part]],PartControl!$A$2:$E$564,2,FALSE),OtherClients[[#This Row],[Total Quantity]]*VLOOKUP(OtherClients[[#This Row],[Part]],PartControl!$A$2:$E$564,2,FALSE)),0)</f>
        <v>280.16000000000003</v>
      </c>
      <c r="Z2745" s="108">
        <f>IF(OtherClients[[#This Row],[Re-certified or New]]&lt;&gt;"Re-certified",IF(OtherClients[[#This Row],[Client]]="infasco",VLOOKUP(OtherClients[[#This Row],[Part]],PartControl!$A$2:$E$564,2,FALSE),OtherClients[[#This Row],[Total Quantity]]*VLOOKUP(OtherClients[[#This Row],[Part]],PartControl!$A$2:$E$564,2,FALSE)),0)</f>
        <v>280.16000000000003</v>
      </c>
    </row>
    <row r="2746" spans="1:26" ht="25.15" hidden="1" customHeight="1" x14ac:dyDescent="0.25">
      <c r="A2746" s="112">
        <v>46273.708009259259</v>
      </c>
      <c r="B2746" s="5" t="s">
        <v>345</v>
      </c>
      <c r="C2746" s="5" t="s">
        <v>906</v>
      </c>
      <c r="D2746" s="5">
        <v>710209</v>
      </c>
      <c r="E2746" s="33">
        <v>1</v>
      </c>
      <c r="F2746" s="60">
        <f>55000-25000</f>
        <v>30000</v>
      </c>
      <c r="G2746" s="60">
        <f>+OtherClients[[#This Row],[Boxes / Pieces]]*OtherClients[[#This Row],[Unit Quantity]]</f>
        <v>30000</v>
      </c>
      <c r="H2746" s="60" t="s">
        <v>896</v>
      </c>
      <c r="I2746" s="60" t="s">
        <v>278</v>
      </c>
      <c r="J2746" s="104"/>
      <c r="K2746" s="33" t="s">
        <v>278</v>
      </c>
      <c r="L2746" s="111"/>
      <c r="M2746" s="33" t="s">
        <v>278</v>
      </c>
      <c r="N2746" s="111"/>
      <c r="O2746" s="33" t="s">
        <v>278</v>
      </c>
      <c r="P2746" s="111"/>
      <c r="Q2746" s="33" t="s">
        <v>587</v>
      </c>
      <c r="R2746" s="111"/>
      <c r="S2746" s="33" t="s">
        <v>278</v>
      </c>
      <c r="T2746" s="111"/>
      <c r="U2746" s="33" t="s">
        <v>278</v>
      </c>
      <c r="V2746" s="111"/>
      <c r="W2746" s="59" t="s">
        <v>548</v>
      </c>
      <c r="X2746" s="33" t="str">
        <f>+VLOOKUP(OtherClients[[#This Row],[Part]],PartControl!$A$2:$E$564,5,FALSE)</f>
        <v>infasco</v>
      </c>
      <c r="Y2746" s="108">
        <v>57.41</v>
      </c>
      <c r="Z2746" s="135">
        <v>57.41</v>
      </c>
    </row>
    <row r="2747" spans="1:26" ht="25.15" hidden="1" customHeight="1" x14ac:dyDescent="0.25">
      <c r="A2747" s="112">
        <v>46273.708009259259</v>
      </c>
      <c r="B2747" s="5" t="s">
        <v>345</v>
      </c>
      <c r="C2747" s="5" t="s">
        <v>656</v>
      </c>
      <c r="E2747" s="33">
        <v>27</v>
      </c>
      <c r="F2747" s="60">
        <v>825</v>
      </c>
      <c r="G2747" s="60">
        <f>+OtherClients[[#This Row],[Boxes / Pieces]]*OtherClients[[#This Row],[Unit Quantity]]</f>
        <v>22275</v>
      </c>
      <c r="H2747" s="60" t="s">
        <v>896</v>
      </c>
      <c r="I2747" s="60" t="s">
        <v>278</v>
      </c>
      <c r="J2747" s="104"/>
      <c r="K2747" s="33" t="s">
        <v>278</v>
      </c>
      <c r="L2747" s="111"/>
      <c r="M2747" s="33" t="s">
        <v>278</v>
      </c>
      <c r="N2747" s="111"/>
      <c r="O2747" s="33" t="s">
        <v>278</v>
      </c>
      <c r="P2747" s="111"/>
      <c r="Q2747" s="33" t="s">
        <v>587</v>
      </c>
      <c r="R2747" s="111"/>
      <c r="S2747" s="33" t="s">
        <v>278</v>
      </c>
      <c r="T2747" s="111"/>
      <c r="U2747" s="33" t="s">
        <v>278</v>
      </c>
      <c r="V2747" s="111"/>
      <c r="W2747" s="59" t="s">
        <v>548</v>
      </c>
      <c r="X2747" s="33" t="str">
        <f>+VLOOKUP(OtherClients[[#This Row],[Part]],PartControl!$A$2:$E$564,5,FALSE)</f>
        <v>infasco</v>
      </c>
      <c r="Y2747" s="108">
        <f>IF(OtherClients[[#This Row],[Re-certified or New]]&lt;&gt;"Re-certified",IF(OtherClients[[#This Row],[Client]]="infasco",VLOOKUP(OtherClients[[#This Row],[Part]],PartControl!$A$2:$E$564,2,FALSE),OtherClients[[#This Row],[Total Quantity]]*VLOOKUP(OtherClients[[#This Row],[Part]],PartControl!$A$2:$E$564,2,FALSE)),0)</f>
        <v>280.16000000000003</v>
      </c>
      <c r="Z2747" s="108">
        <f>IF(OtherClients[[#This Row],[Re-certified or New]]&lt;&gt;"Re-certified",IF(OtherClients[[#This Row],[Client]]="infasco",VLOOKUP(OtherClients[[#This Row],[Part]],PartControl!$A$2:$E$564,2,FALSE),OtherClients[[#This Row],[Total Quantity]]*VLOOKUP(OtherClients[[#This Row],[Part]],PartControl!$A$2:$E$564,2,FALSE)),0)</f>
        <v>280.16000000000003</v>
      </c>
    </row>
    <row r="2748" spans="1:26" ht="25.15" hidden="1" customHeight="1" x14ac:dyDescent="0.25">
      <c r="A2748" s="112">
        <v>46273.708009259259</v>
      </c>
      <c r="B2748" s="5" t="s">
        <v>346</v>
      </c>
      <c r="C2748" s="5" t="s">
        <v>916</v>
      </c>
      <c r="D2748" s="5">
        <v>716950</v>
      </c>
      <c r="E2748" s="33">
        <f>36+2</f>
        <v>38</v>
      </c>
      <c r="F2748" s="60">
        <v>300</v>
      </c>
      <c r="G2748" s="60">
        <f>+OtherClients[[#This Row],[Boxes / Pieces]]*OtherClients[[#This Row],[Unit Quantity]]</f>
        <v>11400</v>
      </c>
      <c r="H2748" s="60">
        <v>285</v>
      </c>
      <c r="I2748" s="60" t="s">
        <v>278</v>
      </c>
      <c r="J2748" s="104"/>
      <c r="K2748" s="33" t="s">
        <v>278</v>
      </c>
      <c r="L2748" s="111"/>
      <c r="M2748" s="33" t="s">
        <v>278</v>
      </c>
      <c r="N2748" s="111"/>
      <c r="O2748" s="33" t="s">
        <v>278</v>
      </c>
      <c r="P2748" s="111"/>
      <c r="Q2748" s="33" t="s">
        <v>587</v>
      </c>
      <c r="R2748" s="111"/>
      <c r="S2748" s="33" t="s">
        <v>278</v>
      </c>
      <c r="T2748" s="111"/>
      <c r="U2748" s="33" t="s">
        <v>278</v>
      </c>
      <c r="V2748" s="111"/>
      <c r="W2748" s="59" t="s">
        <v>548</v>
      </c>
      <c r="X2748" s="33" t="str">
        <f>+VLOOKUP(OtherClients[[#This Row],[Part]],PartControl!$A$2:$E$564,5,FALSE)</f>
        <v>infasco</v>
      </c>
      <c r="Y2748" s="108">
        <f>IF(OtherClients[[#This Row],[Re-certified or New]]&lt;&gt;"Re-certified",IF(OtherClients[[#This Row],[Client]]="infasco",VLOOKUP(OtherClients[[#This Row],[Part]],PartControl!$A$2:$E$564,2,FALSE),OtherClients[[#This Row],[Total Quantity]]*VLOOKUP(OtherClients[[#This Row],[Part]],PartControl!$A$2:$E$564,2,FALSE)),0)</f>
        <v>106.94</v>
      </c>
      <c r="Z2748" s="108">
        <f>IF(OtherClients[[#This Row],[Re-certified or New]]&lt;&gt;"Re-certified",IF(OtherClients[[#This Row],[Client]]="infasco",VLOOKUP(OtherClients[[#This Row],[Part]],PartControl!$A$2:$E$564,2,FALSE),OtherClients[[#This Row],[Total Quantity]]*VLOOKUP(OtherClients[[#This Row],[Part]],PartControl!$A$2:$E$564,2,FALSE)),0)</f>
        <v>106.94</v>
      </c>
    </row>
    <row r="2749" spans="1:26" ht="25.15" hidden="1" customHeight="1" x14ac:dyDescent="0.25">
      <c r="A2749" s="112">
        <v>46273.708009259259</v>
      </c>
      <c r="B2749" s="5" t="s">
        <v>234</v>
      </c>
      <c r="C2749" s="5">
        <v>11546545</v>
      </c>
      <c r="D2749" s="5">
        <v>717758</v>
      </c>
      <c r="E2749" s="33">
        <f>36-15</f>
        <v>21</v>
      </c>
      <c r="F2749" s="60">
        <v>2500</v>
      </c>
      <c r="G2749" s="60">
        <f>+OtherClients[[#This Row],[Boxes / Pieces]]*OtherClients[[#This Row],[Unit Quantity]]</f>
        <v>52500</v>
      </c>
      <c r="H2749" s="60">
        <v>275</v>
      </c>
      <c r="I2749" s="60" t="s">
        <v>278</v>
      </c>
      <c r="J2749" s="104"/>
      <c r="K2749" s="33" t="s">
        <v>278</v>
      </c>
      <c r="L2749" s="111"/>
      <c r="M2749" s="33" t="s">
        <v>278</v>
      </c>
      <c r="N2749" s="111"/>
      <c r="O2749" s="33" t="s">
        <v>278</v>
      </c>
      <c r="P2749" s="111"/>
      <c r="Q2749" s="33" t="s">
        <v>587</v>
      </c>
      <c r="R2749" s="111"/>
      <c r="S2749" s="33" t="s">
        <v>278</v>
      </c>
      <c r="T2749" s="111"/>
      <c r="U2749" s="33" t="s">
        <v>278</v>
      </c>
      <c r="V2749" s="111"/>
      <c r="W2749" s="59" t="s">
        <v>548</v>
      </c>
      <c r="X2749" s="33" t="str">
        <f>+VLOOKUP(OtherClients[[#This Row],[Part]],PartControl!$A$2:$E$564,5,FALSE)</f>
        <v>infasco</v>
      </c>
      <c r="Y2749" s="108">
        <f>IF(OtherClients[[#This Row],[Re-certified or New]]&lt;&gt;"Re-certified",IF(OtherClients[[#This Row],[Client]]="infasco",VLOOKUP(OtherClients[[#This Row],[Part]],PartControl!$A$2:$E$564,2,FALSE),OtherClients[[#This Row],[Total Quantity]]*VLOOKUP(OtherClients[[#This Row],[Part]],PartControl!$A$2:$E$564,2,FALSE)),0)</f>
        <v>106.94</v>
      </c>
      <c r="Z2749" s="108">
        <f>IF(OtherClients[[#This Row],[Re-certified or New]]&lt;&gt;"Re-certified",IF(OtherClients[[#This Row],[Client]]="infasco",VLOOKUP(OtherClients[[#This Row],[Part]],PartControl!$A$2:$E$564,2,FALSE),OtherClients[[#This Row],[Total Quantity]]*VLOOKUP(OtherClients[[#This Row],[Part]],PartControl!$A$2:$E$564,2,FALSE)),0)</f>
        <v>106.94</v>
      </c>
    </row>
    <row r="2750" spans="1:26" ht="25.15" hidden="1" customHeight="1" x14ac:dyDescent="0.25">
      <c r="A2750" s="112">
        <v>46273.708009259259</v>
      </c>
      <c r="B2750" s="5" t="s">
        <v>234</v>
      </c>
      <c r="C2750" s="5" t="s">
        <v>733</v>
      </c>
      <c r="D2750" s="5">
        <v>716783</v>
      </c>
      <c r="E2750" s="33">
        <v>19</v>
      </c>
      <c r="F2750" s="60">
        <v>2500</v>
      </c>
      <c r="G2750" s="60">
        <f>+OtherClients[[#This Row],[Boxes / Pieces]]*OtherClients[[#This Row],[Unit Quantity]]</f>
        <v>47500</v>
      </c>
      <c r="H2750" s="60">
        <v>275</v>
      </c>
      <c r="I2750" s="60" t="s">
        <v>278</v>
      </c>
      <c r="J2750" s="104"/>
      <c r="K2750" s="33" t="s">
        <v>278</v>
      </c>
      <c r="L2750" s="111"/>
      <c r="M2750" s="33" t="s">
        <v>278</v>
      </c>
      <c r="N2750" s="111"/>
      <c r="O2750" s="33" t="s">
        <v>278</v>
      </c>
      <c r="P2750" s="111"/>
      <c r="Q2750" s="33" t="s">
        <v>587</v>
      </c>
      <c r="R2750" s="111"/>
      <c r="S2750" s="33" t="s">
        <v>278</v>
      </c>
      <c r="T2750" s="111"/>
      <c r="U2750" s="33" t="s">
        <v>278</v>
      </c>
      <c r="V2750" s="111"/>
      <c r="W2750" s="59" t="s">
        <v>633</v>
      </c>
      <c r="X2750" s="33" t="str">
        <f>+VLOOKUP(OtherClients[[#This Row],[Part]],PartControl!$A$2:$E$564,5,FALSE)</f>
        <v>infasco</v>
      </c>
      <c r="Y2750" s="108">
        <f>IF(OtherClients[[#This Row],[Re-certified or New]]&lt;&gt;"Re-certified",IF(OtherClients[[#This Row],[Client]]="infasco",VLOOKUP(OtherClients[[#This Row],[Part]],PartControl!$A$2:$E$564,2,FALSE),OtherClients[[#This Row],[Total Quantity]]*VLOOKUP(OtherClients[[#This Row],[Part]],PartControl!$A$2:$E$564,2,FALSE)),0)</f>
        <v>0</v>
      </c>
      <c r="Z2750" s="108">
        <f>IF(OtherClients[[#This Row],[Re-certified or New]]&lt;&gt;"Re-certified",IF(OtherClients[[#This Row],[Client]]="infasco",VLOOKUP(OtherClients[[#This Row],[Part]],PartControl!$A$2:$E$564,2,FALSE),OtherClients[[#This Row],[Total Quantity]]*VLOOKUP(OtherClients[[#This Row],[Part]],PartControl!$A$2:$E$564,2,FALSE)),0)</f>
        <v>0</v>
      </c>
    </row>
    <row r="2751" spans="1:26" ht="25.15" hidden="1" customHeight="1" x14ac:dyDescent="0.25">
      <c r="A2751" s="112">
        <v>46273.708009259259</v>
      </c>
      <c r="B2751" s="5" t="s">
        <v>242</v>
      </c>
      <c r="C2751" s="5" t="s">
        <v>705</v>
      </c>
      <c r="D2751" s="5">
        <v>717516</v>
      </c>
      <c r="E2751" s="33">
        <f>36-6</f>
        <v>30</v>
      </c>
      <c r="F2751" s="60">
        <v>450</v>
      </c>
      <c r="G2751" s="60">
        <f>+OtherClients[[#This Row],[Boxes / Pieces]]*OtherClients[[#This Row],[Unit Quantity]]</f>
        <v>13500</v>
      </c>
      <c r="H2751" s="60">
        <v>275</v>
      </c>
      <c r="I2751" s="60" t="s">
        <v>278</v>
      </c>
      <c r="J2751" s="104"/>
      <c r="K2751" s="33" t="s">
        <v>278</v>
      </c>
      <c r="L2751" s="111"/>
      <c r="M2751" s="33" t="s">
        <v>278</v>
      </c>
      <c r="N2751" s="111"/>
      <c r="O2751" s="33" t="s">
        <v>278</v>
      </c>
      <c r="P2751" s="111"/>
      <c r="Q2751" s="33" t="s">
        <v>587</v>
      </c>
      <c r="R2751" s="111"/>
      <c r="S2751" s="33" t="s">
        <v>278</v>
      </c>
      <c r="T2751" s="111"/>
      <c r="U2751" s="33" t="s">
        <v>278</v>
      </c>
      <c r="V2751" s="111"/>
      <c r="W2751" s="59" t="s">
        <v>548</v>
      </c>
      <c r="X2751" s="33" t="str">
        <f>+VLOOKUP(OtherClients[[#This Row],[Part]],PartControl!$A$2:$E$564,5,FALSE)</f>
        <v>infasco</v>
      </c>
      <c r="Y2751" s="108">
        <f>IF(OtherClients[[#This Row],[Re-certified or New]]&lt;&gt;"Re-certified",IF(OtherClients[[#This Row],[Client]]="infasco",VLOOKUP(OtherClients[[#This Row],[Part]],PartControl!$A$2:$E$564,2,FALSE),OtherClients[[#This Row],[Total Quantity]]*VLOOKUP(OtherClients[[#This Row],[Part]],PartControl!$A$2:$E$564,2,FALSE)),0)</f>
        <v>106.94</v>
      </c>
      <c r="Z2751" s="108">
        <f>IF(OtherClients[[#This Row],[Re-certified or New]]&lt;&gt;"Re-certified",IF(OtherClients[[#This Row],[Client]]="infasco",VLOOKUP(OtherClients[[#This Row],[Part]],PartControl!$A$2:$E$564,2,FALSE),OtherClients[[#This Row],[Total Quantity]]*VLOOKUP(OtherClients[[#This Row],[Part]],PartControl!$A$2:$E$564,2,FALSE)),0)</f>
        <v>106.94</v>
      </c>
    </row>
    <row r="2752" spans="1:26" ht="25.15" hidden="1" customHeight="1" x14ac:dyDescent="0.25">
      <c r="A2752" s="112">
        <v>46273.708009259259</v>
      </c>
      <c r="B2752" s="5" t="s">
        <v>242</v>
      </c>
      <c r="C2752" s="5" t="s">
        <v>705</v>
      </c>
      <c r="D2752" s="5">
        <v>717520</v>
      </c>
      <c r="E2752" s="33">
        <v>36</v>
      </c>
      <c r="F2752" s="60">
        <v>450</v>
      </c>
      <c r="G2752" s="60">
        <f>+OtherClients[[#This Row],[Boxes / Pieces]]*OtherClients[[#This Row],[Unit Quantity]]</f>
        <v>16200</v>
      </c>
      <c r="H2752" s="60">
        <v>275</v>
      </c>
      <c r="I2752" s="60" t="s">
        <v>278</v>
      </c>
      <c r="J2752" s="104"/>
      <c r="K2752" s="33" t="s">
        <v>278</v>
      </c>
      <c r="L2752" s="111"/>
      <c r="M2752" s="33" t="s">
        <v>278</v>
      </c>
      <c r="N2752" s="111"/>
      <c r="O2752" s="33" t="s">
        <v>278</v>
      </c>
      <c r="P2752" s="111"/>
      <c r="Q2752" s="33" t="s">
        <v>587</v>
      </c>
      <c r="R2752" s="111"/>
      <c r="S2752" s="33" t="s">
        <v>278</v>
      </c>
      <c r="T2752" s="111"/>
      <c r="U2752" s="33" t="s">
        <v>278</v>
      </c>
      <c r="V2752" s="111"/>
      <c r="W2752" s="59" t="s">
        <v>548</v>
      </c>
      <c r="X2752" s="33" t="str">
        <f>+VLOOKUP(OtherClients[[#This Row],[Part]],PartControl!$A$2:$E$564,5,FALSE)</f>
        <v>infasco</v>
      </c>
      <c r="Y2752" s="108">
        <f>IF(OtherClients[[#This Row],[Re-certified or New]]&lt;&gt;"Re-certified",IF(OtherClients[[#This Row],[Client]]="infasco",VLOOKUP(OtherClients[[#This Row],[Part]],PartControl!$A$2:$E$564,2,FALSE),OtherClients[[#This Row],[Total Quantity]]*VLOOKUP(OtherClients[[#This Row],[Part]],PartControl!$A$2:$E$564,2,FALSE)),0)</f>
        <v>106.94</v>
      </c>
      <c r="Z2752" s="108">
        <f>IF(OtherClients[[#This Row],[Re-certified or New]]&lt;&gt;"Re-certified",IF(OtherClients[[#This Row],[Client]]="infasco",VLOOKUP(OtherClients[[#This Row],[Part]],PartControl!$A$2:$E$564,2,FALSE),OtherClients[[#This Row],[Total Quantity]]*VLOOKUP(OtherClients[[#This Row],[Part]],PartControl!$A$2:$E$564,2,FALSE)),0)</f>
        <v>106.94</v>
      </c>
    </row>
    <row r="2753" spans="1:26" ht="25.15" hidden="1" customHeight="1" x14ac:dyDescent="0.25">
      <c r="A2753" s="112">
        <v>46273.708009259259</v>
      </c>
      <c r="B2753" s="5" t="s">
        <v>242</v>
      </c>
      <c r="C2753" s="5" t="s">
        <v>705</v>
      </c>
      <c r="D2753" s="5">
        <v>717513</v>
      </c>
      <c r="E2753" s="33">
        <v>16</v>
      </c>
      <c r="F2753" s="60">
        <v>450</v>
      </c>
      <c r="G2753" s="60">
        <f>+OtherClients[[#This Row],[Boxes / Pieces]]*OtherClients[[#This Row],[Unit Quantity]]</f>
        <v>7200</v>
      </c>
      <c r="H2753" s="60">
        <v>275</v>
      </c>
      <c r="I2753" s="60" t="s">
        <v>278</v>
      </c>
      <c r="J2753" s="104"/>
      <c r="K2753" s="33" t="s">
        <v>278</v>
      </c>
      <c r="L2753" s="111"/>
      <c r="M2753" s="33" t="s">
        <v>278</v>
      </c>
      <c r="N2753" s="111"/>
      <c r="O2753" s="33" t="s">
        <v>278</v>
      </c>
      <c r="P2753" s="111"/>
      <c r="Q2753" s="33" t="s">
        <v>587</v>
      </c>
      <c r="R2753" s="111"/>
      <c r="S2753" s="33" t="s">
        <v>278</v>
      </c>
      <c r="T2753" s="111"/>
      <c r="U2753" s="33" t="s">
        <v>278</v>
      </c>
      <c r="V2753" s="111"/>
      <c r="W2753" s="59" t="s">
        <v>633</v>
      </c>
      <c r="X2753" s="33" t="str">
        <f>+VLOOKUP(OtherClients[[#This Row],[Part]],PartControl!$A$2:$E$564,5,FALSE)</f>
        <v>infasco</v>
      </c>
      <c r="Y2753" s="108">
        <f>IF(OtherClients[[#This Row],[Re-certified or New]]&lt;&gt;"Re-certified",IF(OtherClients[[#This Row],[Client]]="infasco",VLOOKUP(OtherClients[[#This Row],[Part]],PartControl!$A$2:$E$564,2,FALSE),OtherClients[[#This Row],[Total Quantity]]*VLOOKUP(OtherClients[[#This Row],[Part]],PartControl!$A$2:$E$564,2,FALSE)),0)</f>
        <v>0</v>
      </c>
      <c r="Z2753" s="108">
        <f>IF(OtherClients[[#This Row],[Re-certified or New]]&lt;&gt;"Re-certified",IF(OtherClients[[#This Row],[Client]]="infasco",VLOOKUP(OtherClients[[#This Row],[Part]],PartControl!$A$2:$E$564,2,FALSE),OtherClients[[#This Row],[Total Quantity]]*VLOOKUP(OtherClients[[#This Row],[Part]],PartControl!$A$2:$E$564,2,FALSE)),0)</f>
        <v>0</v>
      </c>
    </row>
    <row r="2754" spans="1:26" ht="25.15" hidden="1" customHeight="1" x14ac:dyDescent="0.25">
      <c r="A2754" s="112">
        <v>46273.708009259259</v>
      </c>
      <c r="B2754" s="5" t="s">
        <v>232</v>
      </c>
      <c r="C2754" s="5">
        <v>11546545</v>
      </c>
      <c r="D2754" s="5">
        <v>718238</v>
      </c>
      <c r="E2754" s="33">
        <f>36-29</f>
        <v>7</v>
      </c>
      <c r="F2754" s="60">
        <v>2500</v>
      </c>
      <c r="G2754" s="60">
        <f>+OtherClients[[#This Row],[Boxes / Pieces]]*OtherClients[[#This Row],[Unit Quantity]]</f>
        <v>17500</v>
      </c>
      <c r="H2754" s="60">
        <v>275</v>
      </c>
      <c r="I2754" s="60" t="s">
        <v>278</v>
      </c>
      <c r="J2754" s="104"/>
      <c r="K2754" s="33" t="s">
        <v>278</v>
      </c>
      <c r="L2754" s="111"/>
      <c r="M2754" s="33" t="s">
        <v>278</v>
      </c>
      <c r="N2754" s="111"/>
      <c r="O2754" s="33" t="s">
        <v>278</v>
      </c>
      <c r="P2754" s="111"/>
      <c r="Q2754" s="33" t="s">
        <v>587</v>
      </c>
      <c r="R2754" s="111"/>
      <c r="S2754" s="33" t="s">
        <v>278</v>
      </c>
      <c r="T2754" s="111"/>
      <c r="U2754" s="33" t="s">
        <v>278</v>
      </c>
      <c r="V2754" s="111"/>
      <c r="W2754" s="59" t="s">
        <v>548</v>
      </c>
      <c r="X2754" s="33" t="str">
        <f>+VLOOKUP(OtherClients[[#This Row],[Part]],PartControl!$A$2:$E$564,5,FALSE)</f>
        <v>infasco</v>
      </c>
      <c r="Y2754" s="108">
        <f>IF(OtherClients[[#This Row],[Re-certified or New]]&lt;&gt;"Re-certified",IF(OtherClients[[#This Row],[Client]]="infasco",VLOOKUP(OtherClients[[#This Row],[Part]],PartControl!$A$2:$E$564,2,FALSE),OtherClients[[#This Row],[Total Quantity]]*VLOOKUP(OtherClients[[#This Row],[Part]],PartControl!$A$2:$E$564,2,FALSE)),0)</f>
        <v>106.94</v>
      </c>
      <c r="Z2754" s="108">
        <f>IF(OtherClients[[#This Row],[Re-certified or New]]&lt;&gt;"Re-certified",IF(OtherClients[[#This Row],[Client]]="infasco",VLOOKUP(OtherClients[[#This Row],[Part]],PartControl!$A$2:$E$564,2,FALSE),OtherClients[[#This Row],[Total Quantity]]*VLOOKUP(OtherClients[[#This Row],[Part]],PartControl!$A$2:$E$564,2,FALSE)),0)</f>
        <v>106.94</v>
      </c>
    </row>
    <row r="2755" spans="1:26" ht="25.15" hidden="1" customHeight="1" x14ac:dyDescent="0.25">
      <c r="A2755" s="112">
        <v>46273.708009259259</v>
      </c>
      <c r="B2755" s="5" t="s">
        <v>232</v>
      </c>
      <c r="C2755" s="5">
        <v>11546545</v>
      </c>
      <c r="D2755" s="5">
        <v>717761</v>
      </c>
      <c r="E2755" s="33">
        <v>35</v>
      </c>
      <c r="F2755" s="60">
        <v>2500</v>
      </c>
      <c r="G2755" s="60">
        <f>+OtherClients[[#This Row],[Boxes / Pieces]]*OtherClients[[#This Row],[Unit Quantity]]</f>
        <v>87500</v>
      </c>
      <c r="H2755" s="60">
        <v>275</v>
      </c>
      <c r="I2755" s="60" t="s">
        <v>278</v>
      </c>
      <c r="J2755" s="104"/>
      <c r="K2755" s="33" t="s">
        <v>278</v>
      </c>
      <c r="L2755" s="111"/>
      <c r="M2755" s="33" t="s">
        <v>278</v>
      </c>
      <c r="N2755" s="111"/>
      <c r="O2755" s="33" t="s">
        <v>278</v>
      </c>
      <c r="P2755" s="111"/>
      <c r="Q2755" s="33" t="s">
        <v>587</v>
      </c>
      <c r="R2755" s="111"/>
      <c r="S2755" s="33" t="s">
        <v>278</v>
      </c>
      <c r="T2755" s="111"/>
      <c r="U2755" s="33" t="s">
        <v>278</v>
      </c>
      <c r="V2755" s="111"/>
      <c r="W2755" s="59" t="s">
        <v>548</v>
      </c>
      <c r="X2755" s="33" t="str">
        <f>+VLOOKUP(OtherClients[[#This Row],[Part]],PartControl!$A$2:$E$564,5,FALSE)</f>
        <v>infasco</v>
      </c>
      <c r="Y2755" s="108">
        <f>IF(OtherClients[[#This Row],[Re-certified or New]]&lt;&gt;"Re-certified",IF(OtherClients[[#This Row],[Client]]="infasco",VLOOKUP(OtherClients[[#This Row],[Part]],PartControl!$A$2:$E$564,2,FALSE),OtherClients[[#This Row],[Total Quantity]]*VLOOKUP(OtherClients[[#This Row],[Part]],PartControl!$A$2:$E$564,2,FALSE)),0)</f>
        <v>106.94</v>
      </c>
      <c r="Z2755" s="108">
        <f>IF(OtherClients[[#This Row],[Re-certified or New]]&lt;&gt;"Re-certified",IF(OtherClients[[#This Row],[Client]]="infasco",VLOOKUP(OtherClients[[#This Row],[Part]],PartControl!$A$2:$E$564,2,FALSE),OtherClients[[#This Row],[Total Quantity]]*VLOOKUP(OtherClients[[#This Row],[Part]],PartControl!$A$2:$E$564,2,FALSE)),0)</f>
        <v>106.94</v>
      </c>
    </row>
    <row r="2756" spans="1:26" ht="25.15" hidden="1" customHeight="1" x14ac:dyDescent="0.25">
      <c r="A2756" s="112">
        <v>46273.708009259259</v>
      </c>
      <c r="B2756" s="5" t="s">
        <v>232</v>
      </c>
      <c r="C2756" s="5" t="s">
        <v>728</v>
      </c>
      <c r="D2756" s="5">
        <v>717780</v>
      </c>
      <c r="E2756" s="33">
        <v>8</v>
      </c>
      <c r="F2756" s="60">
        <v>1500</v>
      </c>
      <c r="G2756" s="60">
        <f>+OtherClients[[#This Row],[Boxes / Pieces]]*OtherClients[[#This Row],[Unit Quantity]]</f>
        <v>12000</v>
      </c>
      <c r="H2756" s="60">
        <v>275</v>
      </c>
      <c r="I2756" s="60" t="s">
        <v>278</v>
      </c>
      <c r="J2756" s="104"/>
      <c r="K2756" s="33" t="s">
        <v>278</v>
      </c>
      <c r="L2756" s="111"/>
      <c r="M2756" s="33" t="s">
        <v>278</v>
      </c>
      <c r="N2756" s="111"/>
      <c r="O2756" s="33" t="s">
        <v>278</v>
      </c>
      <c r="P2756" s="111"/>
      <c r="Q2756" s="33" t="s">
        <v>587</v>
      </c>
      <c r="R2756" s="111"/>
      <c r="S2756" s="33" t="s">
        <v>278</v>
      </c>
      <c r="T2756" s="111"/>
      <c r="U2756" s="33" t="s">
        <v>278</v>
      </c>
      <c r="V2756" s="111"/>
      <c r="W2756" s="59" t="s">
        <v>633</v>
      </c>
      <c r="X2756" s="33" t="str">
        <f>+VLOOKUP(OtherClients[[#This Row],[Part]],PartControl!$A$2:$E$564,5,FALSE)</f>
        <v>infasco</v>
      </c>
      <c r="Y2756" s="108">
        <f>IF(OtherClients[[#This Row],[Re-certified or New]]&lt;&gt;"Re-certified",IF(OtherClients[[#This Row],[Client]]="infasco",VLOOKUP(OtherClients[[#This Row],[Part]],PartControl!$A$2:$E$564,2,FALSE),OtherClients[[#This Row],[Total Quantity]]*VLOOKUP(OtherClients[[#This Row],[Part]],PartControl!$A$2:$E$564,2,FALSE)),0)</f>
        <v>0</v>
      </c>
      <c r="Z2756" s="108">
        <f>IF(OtherClients[[#This Row],[Re-certified or New]]&lt;&gt;"Re-certified",IF(OtherClients[[#This Row],[Client]]="infasco",VLOOKUP(OtherClients[[#This Row],[Part]],PartControl!$A$2:$E$564,2,FALSE),OtherClients[[#This Row],[Total Quantity]]*VLOOKUP(OtherClients[[#This Row],[Part]],PartControl!$A$2:$E$564,2,FALSE)),0)</f>
        <v>0</v>
      </c>
    </row>
    <row r="2757" spans="1:26" ht="25.15" hidden="1" customHeight="1" x14ac:dyDescent="0.25">
      <c r="A2757" s="112">
        <v>46273.708009259259</v>
      </c>
      <c r="B2757" s="5" t="s">
        <v>252</v>
      </c>
      <c r="C2757" s="5">
        <v>11546545</v>
      </c>
      <c r="D2757" s="5">
        <v>717757</v>
      </c>
      <c r="E2757" s="33">
        <f>36-9</f>
        <v>27</v>
      </c>
      <c r="F2757" s="60">
        <v>2500</v>
      </c>
      <c r="G2757" s="60">
        <f>+OtherClients[[#This Row],[Boxes / Pieces]]*OtherClients[[#This Row],[Unit Quantity]]</f>
        <v>67500</v>
      </c>
      <c r="H2757" s="60">
        <v>275</v>
      </c>
      <c r="I2757" s="60" t="s">
        <v>278</v>
      </c>
      <c r="J2757" s="104"/>
      <c r="K2757" s="33" t="s">
        <v>278</v>
      </c>
      <c r="L2757" s="111"/>
      <c r="M2757" s="33" t="s">
        <v>278</v>
      </c>
      <c r="N2757" s="111"/>
      <c r="O2757" s="33" t="s">
        <v>278</v>
      </c>
      <c r="P2757" s="111"/>
      <c r="Q2757" s="33" t="s">
        <v>587</v>
      </c>
      <c r="R2757" s="111"/>
      <c r="S2757" s="33" t="s">
        <v>278</v>
      </c>
      <c r="T2757" s="111"/>
      <c r="U2757" s="33" t="s">
        <v>278</v>
      </c>
      <c r="V2757" s="111"/>
      <c r="W2757" s="59" t="s">
        <v>548</v>
      </c>
      <c r="X2757" s="33" t="str">
        <f>+VLOOKUP(OtherClients[[#This Row],[Part]],PartControl!$A$2:$E$564,5,FALSE)</f>
        <v>infasco</v>
      </c>
      <c r="Y2757" s="108">
        <f>IF(OtherClients[[#This Row],[Re-certified or New]]&lt;&gt;"Re-certified",IF(OtherClients[[#This Row],[Client]]="infasco",VLOOKUP(OtherClients[[#This Row],[Part]],PartControl!$A$2:$E$564,2,FALSE),OtherClients[[#This Row],[Total Quantity]]*VLOOKUP(OtherClients[[#This Row],[Part]],PartControl!$A$2:$E$564,2,FALSE)),0)</f>
        <v>106.94</v>
      </c>
      <c r="Z2757" s="108">
        <f>IF(OtherClients[[#This Row],[Re-certified or New]]&lt;&gt;"Re-certified",IF(OtherClients[[#This Row],[Client]]="infasco",VLOOKUP(OtherClients[[#This Row],[Part]],PartControl!$A$2:$E$564,2,FALSE),OtherClients[[#This Row],[Total Quantity]]*VLOOKUP(OtherClients[[#This Row],[Part]],PartControl!$A$2:$E$564,2,FALSE)),0)</f>
        <v>106.94</v>
      </c>
    </row>
    <row r="2758" spans="1:26" ht="25.15" hidden="1" customHeight="1" x14ac:dyDescent="0.25">
      <c r="A2758" s="112">
        <v>46273.708009259259</v>
      </c>
      <c r="B2758" s="5" t="s">
        <v>233</v>
      </c>
      <c r="C2758" s="5">
        <v>11546545</v>
      </c>
      <c r="D2758" s="5">
        <v>717756</v>
      </c>
      <c r="E2758" s="33">
        <f>36-5</f>
        <v>31</v>
      </c>
      <c r="F2758" s="60">
        <v>2500</v>
      </c>
      <c r="G2758" s="60">
        <f>+OtherClients[[#This Row],[Boxes / Pieces]]*OtherClients[[#This Row],[Unit Quantity]]</f>
        <v>77500</v>
      </c>
      <c r="H2758" s="60">
        <v>275</v>
      </c>
      <c r="I2758" s="60" t="s">
        <v>278</v>
      </c>
      <c r="J2758" s="104"/>
      <c r="K2758" s="33" t="s">
        <v>278</v>
      </c>
      <c r="L2758" s="111"/>
      <c r="M2758" s="33" t="s">
        <v>278</v>
      </c>
      <c r="N2758" s="111"/>
      <c r="O2758" s="33" t="s">
        <v>278</v>
      </c>
      <c r="P2758" s="111"/>
      <c r="Q2758" s="33" t="s">
        <v>587</v>
      </c>
      <c r="R2758" s="111"/>
      <c r="S2758" s="33" t="s">
        <v>278</v>
      </c>
      <c r="T2758" s="111"/>
      <c r="U2758" s="33" t="s">
        <v>278</v>
      </c>
      <c r="V2758" s="111"/>
      <c r="W2758" s="59" t="s">
        <v>548</v>
      </c>
      <c r="X2758" s="33" t="str">
        <f>+VLOOKUP(OtherClients[[#This Row],[Part]],PartControl!$A$2:$E$564,5,FALSE)</f>
        <v>infasco</v>
      </c>
      <c r="Y2758" s="108">
        <f>IF(OtherClients[[#This Row],[Re-certified or New]]&lt;&gt;"Re-certified",IF(OtherClients[[#This Row],[Client]]="infasco",VLOOKUP(OtherClients[[#This Row],[Part]],PartControl!$A$2:$E$564,2,FALSE),OtherClients[[#This Row],[Total Quantity]]*VLOOKUP(OtherClients[[#This Row],[Part]],PartControl!$A$2:$E$564,2,FALSE)),0)</f>
        <v>106.94</v>
      </c>
      <c r="Z2758" s="108">
        <f>IF(OtherClients[[#This Row],[Re-certified or New]]&lt;&gt;"Re-certified",IF(OtherClients[[#This Row],[Client]]="infasco",VLOOKUP(OtherClients[[#This Row],[Part]],PartControl!$A$2:$E$564,2,FALSE),OtherClients[[#This Row],[Total Quantity]]*VLOOKUP(OtherClients[[#This Row],[Part]],PartControl!$A$2:$E$564,2,FALSE)),0)</f>
        <v>106.94</v>
      </c>
    </row>
    <row r="2759" spans="1:26" ht="25.15" hidden="1" customHeight="1" x14ac:dyDescent="0.25">
      <c r="A2759" s="112">
        <v>46273.708009259259</v>
      </c>
      <c r="B2759" s="5" t="s">
        <v>233</v>
      </c>
      <c r="C2759" s="5" t="s">
        <v>715</v>
      </c>
      <c r="D2759" s="5">
        <v>717234</v>
      </c>
      <c r="E2759" s="33">
        <v>9</v>
      </c>
      <c r="F2759" s="60">
        <v>1050</v>
      </c>
      <c r="G2759" s="60">
        <f>+OtherClients[[#This Row],[Boxes / Pieces]]*OtherClients[[#This Row],[Unit Quantity]]</f>
        <v>9450</v>
      </c>
      <c r="H2759" s="60">
        <v>275</v>
      </c>
      <c r="I2759" s="60" t="s">
        <v>278</v>
      </c>
      <c r="J2759" s="104"/>
      <c r="K2759" s="33" t="s">
        <v>278</v>
      </c>
      <c r="L2759" s="111"/>
      <c r="M2759" s="33" t="s">
        <v>278</v>
      </c>
      <c r="N2759" s="111"/>
      <c r="O2759" s="33" t="s">
        <v>278</v>
      </c>
      <c r="P2759" s="111"/>
      <c r="Q2759" s="33" t="s">
        <v>587</v>
      </c>
      <c r="R2759" s="111"/>
      <c r="S2759" s="33" t="s">
        <v>278</v>
      </c>
      <c r="T2759" s="111"/>
      <c r="U2759" s="33" t="s">
        <v>278</v>
      </c>
      <c r="V2759" s="111"/>
      <c r="W2759" s="59" t="s">
        <v>633</v>
      </c>
      <c r="X2759" s="33" t="str">
        <f>+VLOOKUP(OtherClients[[#This Row],[Part]],PartControl!$A$2:$E$564,5,FALSE)</f>
        <v>infasco</v>
      </c>
      <c r="Y2759" s="108">
        <f>IF(OtherClients[[#This Row],[Re-certified or New]]&lt;&gt;"Re-certified",IF(OtherClients[[#This Row],[Client]]="infasco",VLOOKUP(OtherClients[[#This Row],[Part]],PartControl!$A$2:$E$564,2,FALSE),OtherClients[[#This Row],[Total Quantity]]*VLOOKUP(OtherClients[[#This Row],[Part]],PartControl!$A$2:$E$564,2,FALSE)),0)</f>
        <v>0</v>
      </c>
      <c r="Z2759" s="108">
        <f>IF(OtherClients[[#This Row],[Re-certified or New]]&lt;&gt;"Re-certified",IF(OtherClients[[#This Row],[Client]]="infasco",VLOOKUP(OtherClients[[#This Row],[Part]],PartControl!$A$2:$E$564,2,FALSE),OtherClients[[#This Row],[Total Quantity]]*VLOOKUP(OtherClients[[#This Row],[Part]],PartControl!$A$2:$E$564,2,FALSE)),0)</f>
        <v>0</v>
      </c>
    </row>
    <row r="2760" spans="1:26" ht="25.15" hidden="1" customHeight="1" x14ac:dyDescent="0.25">
      <c r="A2760" s="112">
        <v>46273.708009259259</v>
      </c>
      <c r="B2760" s="5" t="s">
        <v>238</v>
      </c>
      <c r="C2760" s="5" t="s">
        <v>705</v>
      </c>
      <c r="D2760" s="5">
        <v>717018</v>
      </c>
      <c r="E2760" s="33">
        <f>36-12</f>
        <v>24</v>
      </c>
      <c r="F2760" s="60">
        <v>450</v>
      </c>
      <c r="G2760" s="60">
        <f>+OtherClients[[#This Row],[Boxes / Pieces]]*OtherClients[[#This Row],[Unit Quantity]]</f>
        <v>10800</v>
      </c>
      <c r="H2760" s="60">
        <v>275</v>
      </c>
      <c r="I2760" s="60" t="s">
        <v>278</v>
      </c>
      <c r="J2760" s="104"/>
      <c r="K2760" s="33" t="s">
        <v>278</v>
      </c>
      <c r="L2760" s="111"/>
      <c r="M2760" s="33" t="s">
        <v>278</v>
      </c>
      <c r="N2760" s="111"/>
      <c r="O2760" s="33" t="s">
        <v>278</v>
      </c>
      <c r="P2760" s="111"/>
      <c r="Q2760" s="33" t="s">
        <v>587</v>
      </c>
      <c r="R2760" s="111"/>
      <c r="S2760" s="33" t="s">
        <v>278</v>
      </c>
      <c r="T2760" s="111"/>
      <c r="U2760" s="33" t="s">
        <v>278</v>
      </c>
      <c r="V2760" s="111"/>
      <c r="W2760" s="59" t="s">
        <v>548</v>
      </c>
      <c r="X2760" s="33" t="str">
        <f>+VLOOKUP(OtherClients[[#This Row],[Part]],PartControl!$A$2:$E$564,5,FALSE)</f>
        <v>infasco</v>
      </c>
      <c r="Y2760" s="108">
        <f>IF(OtherClients[[#This Row],[Re-certified or New]]&lt;&gt;"Re-certified",IF(OtherClients[[#This Row],[Client]]="infasco",VLOOKUP(OtherClients[[#This Row],[Part]],PartControl!$A$2:$E$564,2,FALSE),OtherClients[[#This Row],[Total Quantity]]*VLOOKUP(OtherClients[[#This Row],[Part]],PartControl!$A$2:$E$564,2,FALSE)),0)</f>
        <v>106.94</v>
      </c>
      <c r="Z2760" s="108">
        <f>IF(OtherClients[[#This Row],[Re-certified or New]]&lt;&gt;"Re-certified",IF(OtherClients[[#This Row],[Client]]="infasco",VLOOKUP(OtherClients[[#This Row],[Part]],PartControl!$A$2:$E$564,2,FALSE),OtherClients[[#This Row],[Total Quantity]]*VLOOKUP(OtherClients[[#This Row],[Part]],PartControl!$A$2:$E$564,2,FALSE)),0)</f>
        <v>106.94</v>
      </c>
    </row>
    <row r="2761" spans="1:26" ht="25.15" hidden="1" customHeight="1" x14ac:dyDescent="0.25">
      <c r="A2761" s="112">
        <v>46273.708009259259</v>
      </c>
      <c r="B2761" s="5" t="s">
        <v>238</v>
      </c>
      <c r="C2761" s="5" t="s">
        <v>705</v>
      </c>
      <c r="D2761" s="5">
        <v>717021</v>
      </c>
      <c r="E2761" s="33">
        <v>36</v>
      </c>
      <c r="F2761" s="60">
        <v>450</v>
      </c>
      <c r="G2761" s="60">
        <f>+OtherClients[[#This Row],[Boxes / Pieces]]*OtherClients[[#This Row],[Unit Quantity]]</f>
        <v>16200</v>
      </c>
      <c r="H2761" s="60">
        <v>275</v>
      </c>
      <c r="I2761" s="60" t="s">
        <v>278</v>
      </c>
      <c r="J2761" s="104"/>
      <c r="K2761" s="33" t="s">
        <v>278</v>
      </c>
      <c r="L2761" s="111"/>
      <c r="M2761" s="33" t="s">
        <v>278</v>
      </c>
      <c r="N2761" s="111"/>
      <c r="O2761" s="33" t="s">
        <v>278</v>
      </c>
      <c r="P2761" s="111"/>
      <c r="Q2761" s="33" t="s">
        <v>587</v>
      </c>
      <c r="R2761" s="111"/>
      <c r="S2761" s="33" t="s">
        <v>278</v>
      </c>
      <c r="T2761" s="111"/>
      <c r="U2761" s="33" t="s">
        <v>278</v>
      </c>
      <c r="V2761" s="111"/>
      <c r="W2761" s="59" t="s">
        <v>548</v>
      </c>
      <c r="X2761" s="33" t="str">
        <f>+VLOOKUP(OtherClients[[#This Row],[Part]],PartControl!$A$2:$E$564,5,FALSE)</f>
        <v>infasco</v>
      </c>
      <c r="Y2761" s="108">
        <f>IF(OtherClients[[#This Row],[Re-certified or New]]&lt;&gt;"Re-certified",IF(OtherClients[[#This Row],[Client]]="infasco",VLOOKUP(OtherClients[[#This Row],[Part]],PartControl!$A$2:$E$564,2,FALSE),OtherClients[[#This Row],[Total Quantity]]*VLOOKUP(OtherClients[[#This Row],[Part]],PartControl!$A$2:$E$564,2,FALSE)),0)</f>
        <v>106.94</v>
      </c>
      <c r="Z2761" s="108">
        <f>IF(OtherClients[[#This Row],[Re-certified or New]]&lt;&gt;"Re-certified",IF(OtherClients[[#This Row],[Client]]="infasco",VLOOKUP(OtherClients[[#This Row],[Part]],PartControl!$A$2:$E$564,2,FALSE),OtherClients[[#This Row],[Total Quantity]]*VLOOKUP(OtherClients[[#This Row],[Part]],PartControl!$A$2:$E$564,2,FALSE)),0)</f>
        <v>106.94</v>
      </c>
    </row>
    <row r="2762" spans="1:26" ht="25.15" hidden="1" customHeight="1" x14ac:dyDescent="0.25">
      <c r="A2762" s="112">
        <v>46273.708009259259</v>
      </c>
      <c r="B2762" s="5" t="s">
        <v>238</v>
      </c>
      <c r="C2762" s="5" t="s">
        <v>705</v>
      </c>
      <c r="D2762" s="5">
        <v>717025</v>
      </c>
      <c r="E2762" s="33">
        <v>16</v>
      </c>
      <c r="F2762" s="60">
        <v>450</v>
      </c>
      <c r="G2762" s="60">
        <f>+OtherClients[[#This Row],[Boxes / Pieces]]*OtherClients[[#This Row],[Unit Quantity]]</f>
        <v>7200</v>
      </c>
      <c r="H2762" s="60">
        <v>275</v>
      </c>
      <c r="I2762" s="60" t="s">
        <v>278</v>
      </c>
      <c r="J2762" s="104"/>
      <c r="K2762" s="33" t="s">
        <v>278</v>
      </c>
      <c r="L2762" s="111"/>
      <c r="M2762" s="33" t="s">
        <v>278</v>
      </c>
      <c r="N2762" s="111"/>
      <c r="O2762" s="33" t="s">
        <v>278</v>
      </c>
      <c r="P2762" s="111"/>
      <c r="Q2762" s="33" t="s">
        <v>587</v>
      </c>
      <c r="R2762" s="111"/>
      <c r="S2762" s="33" t="s">
        <v>278</v>
      </c>
      <c r="T2762" s="111"/>
      <c r="U2762" s="33" t="s">
        <v>278</v>
      </c>
      <c r="V2762" s="111"/>
      <c r="W2762" s="59" t="s">
        <v>633</v>
      </c>
      <c r="X2762" s="33" t="str">
        <f>+VLOOKUP(OtherClients[[#This Row],[Part]],PartControl!$A$2:$E$564,5,FALSE)</f>
        <v>infasco</v>
      </c>
      <c r="Y2762" s="108">
        <f>IF(OtherClients[[#This Row],[Re-certified or New]]&lt;&gt;"Re-certified",IF(OtherClients[[#This Row],[Client]]="infasco",VLOOKUP(OtherClients[[#This Row],[Part]],PartControl!$A$2:$E$564,2,FALSE),OtherClients[[#This Row],[Total Quantity]]*VLOOKUP(OtherClients[[#This Row],[Part]],PartControl!$A$2:$E$564,2,FALSE)),0)</f>
        <v>0</v>
      </c>
      <c r="Z2762" s="108">
        <f>IF(OtherClients[[#This Row],[Re-certified or New]]&lt;&gt;"Re-certified",IF(OtherClients[[#This Row],[Client]]="infasco",VLOOKUP(OtherClients[[#This Row],[Part]],PartControl!$A$2:$E$564,2,FALSE),OtherClients[[#This Row],[Total Quantity]]*VLOOKUP(OtherClients[[#This Row],[Part]],PartControl!$A$2:$E$564,2,FALSE)),0)</f>
        <v>0</v>
      </c>
    </row>
    <row r="2763" spans="1:26" ht="25.15" hidden="1" customHeight="1" x14ac:dyDescent="0.25">
      <c r="A2763" s="112">
        <v>46274.707060185188</v>
      </c>
      <c r="B2763" s="5" t="s">
        <v>249</v>
      </c>
      <c r="C2763" s="5">
        <v>11612078</v>
      </c>
      <c r="D2763" s="5">
        <v>710153</v>
      </c>
      <c r="E2763" s="33">
        <v>20</v>
      </c>
      <c r="F2763" s="60">
        <v>1850</v>
      </c>
      <c r="G2763" s="60">
        <v>37000</v>
      </c>
      <c r="H2763" s="60">
        <v>4</v>
      </c>
      <c r="I2763" s="60" t="s">
        <v>278</v>
      </c>
      <c r="J2763" s="104"/>
      <c r="K2763" s="33" t="s">
        <v>278</v>
      </c>
      <c r="L2763" s="111"/>
      <c r="M2763" s="33" t="s">
        <v>278</v>
      </c>
      <c r="N2763" s="111"/>
      <c r="O2763" s="33" t="s">
        <v>278</v>
      </c>
      <c r="P2763" s="111"/>
      <c r="Q2763" s="33" t="s">
        <v>587</v>
      </c>
      <c r="R2763" s="111"/>
      <c r="S2763" s="33" t="s">
        <v>278</v>
      </c>
      <c r="T2763" s="111"/>
      <c r="U2763" s="33" t="s">
        <v>278</v>
      </c>
      <c r="V2763" s="111"/>
      <c r="W2763" s="59" t="s">
        <v>548</v>
      </c>
      <c r="X2763" s="33" t="str">
        <f>+VLOOKUP(OtherClients[[#This Row],[Part]],PartControl!$A$2:$E$564,5,FALSE)</f>
        <v>infasco</v>
      </c>
      <c r="Y2763" s="111">
        <v>247.64</v>
      </c>
      <c r="Z2763" s="108">
        <f>IF(OtherClients[[#This Row],[Re-certified or New]]&lt;&gt;"Re-certified",IF(OtherClients[[#This Row],[Client]]="infasco",VLOOKUP(OtherClients[[#This Row],[Part]],PartControl!$A$2:$E$564,2,FALSE),OtherClients[[#This Row],[Total Quantity]]*VLOOKUP(OtherClients[[#This Row],[Part]],PartControl!$A$2:$E$564,2,FALSE)),0)</f>
        <v>247.64</v>
      </c>
    </row>
    <row r="2764" spans="1:26" ht="25.15" hidden="1" customHeight="1" x14ac:dyDescent="0.25">
      <c r="A2764" s="112">
        <v>46274.707060185188</v>
      </c>
      <c r="B2764" s="5" t="s">
        <v>249</v>
      </c>
      <c r="C2764" s="5">
        <v>11612078</v>
      </c>
      <c r="D2764" s="5">
        <v>707325</v>
      </c>
      <c r="E2764" s="33">
        <v>3</v>
      </c>
      <c r="F2764" s="60">
        <v>1850</v>
      </c>
      <c r="G2764" s="60">
        <f>+OtherClients[[#This Row],[Boxes / Pieces]]*OtherClients[[#This Row],[Unit Quantity]]</f>
        <v>5550</v>
      </c>
      <c r="H2764" s="60">
        <v>4</v>
      </c>
      <c r="I2764" s="60" t="s">
        <v>278</v>
      </c>
      <c r="J2764" s="104"/>
      <c r="K2764" s="33" t="s">
        <v>278</v>
      </c>
      <c r="L2764" s="111"/>
      <c r="M2764" s="33" t="s">
        <v>278</v>
      </c>
      <c r="N2764" s="111"/>
      <c r="O2764" s="33" t="s">
        <v>278</v>
      </c>
      <c r="P2764" s="111"/>
      <c r="Q2764" s="33" t="s">
        <v>587</v>
      </c>
      <c r="R2764" s="111"/>
      <c r="S2764" s="33" t="s">
        <v>278</v>
      </c>
      <c r="T2764" s="111"/>
      <c r="U2764" s="33" t="s">
        <v>278</v>
      </c>
      <c r="V2764" s="111"/>
      <c r="W2764" s="59" t="s">
        <v>633</v>
      </c>
      <c r="X2764" s="33" t="str">
        <f>+VLOOKUP(OtherClients[[#This Row],[Part]],PartControl!$A$2:$E$564,5,FALSE)</f>
        <v>infasco</v>
      </c>
      <c r="Y2764" s="108">
        <f>IF(OtherClients[[#This Row],[Re-certified or New]]&lt;&gt;"Re-certified",IF(OtherClients[[#This Row],[Client]]="infasco",VLOOKUP(OtherClients[[#This Row],[Part]],PartControl!$A$2:$E$564,2,FALSE),OtherClients[[#This Row],[Total Quantity]]*VLOOKUP(OtherClients[[#This Row],[Part]],PartControl!$A$2:$E$564,2,FALSE)),0)</f>
        <v>0</v>
      </c>
      <c r="Z2764" s="108">
        <f>IF(OtherClients[[#This Row],[Re-certified or New]]&lt;&gt;"Re-certified",IF(OtherClients[[#This Row],[Client]]="infasco",VLOOKUP(OtherClients[[#This Row],[Part]],PartControl!$A$2:$E$564,2,FALSE),OtherClients[[#This Row],[Total Quantity]]*VLOOKUP(OtherClients[[#This Row],[Part]],PartControl!$A$2:$E$564,2,FALSE)),0)</f>
        <v>0</v>
      </c>
    </row>
    <row r="2765" spans="1:26" ht="25.15" hidden="1" customHeight="1" x14ac:dyDescent="0.25">
      <c r="A2765" s="112">
        <v>46274.707060185188</v>
      </c>
      <c r="B2765" s="5" t="s">
        <v>237</v>
      </c>
      <c r="C2765" s="5" t="s">
        <v>565</v>
      </c>
      <c r="D2765" s="5">
        <v>717246</v>
      </c>
      <c r="E2765" s="33">
        <v>1</v>
      </c>
      <c r="F2765" s="60">
        <f>20000-2625</f>
        <v>17375</v>
      </c>
      <c r="G2765" s="60">
        <f>+OtherClients[[#This Row],[Boxes / Pieces]]*OtherClients[[#This Row],[Unit Quantity]]</f>
        <v>17375</v>
      </c>
      <c r="H2765" s="60">
        <v>290</v>
      </c>
      <c r="I2765" s="60" t="s">
        <v>278</v>
      </c>
      <c r="J2765" s="104"/>
      <c r="K2765" s="33" t="s">
        <v>278</v>
      </c>
      <c r="L2765" s="111"/>
      <c r="M2765" s="33" t="s">
        <v>278</v>
      </c>
      <c r="N2765" s="111"/>
      <c r="O2765" s="33" t="s">
        <v>278</v>
      </c>
      <c r="P2765" s="111"/>
      <c r="Q2765" s="33" t="s">
        <v>587</v>
      </c>
      <c r="R2765" s="111"/>
      <c r="S2765" s="33" t="s">
        <v>278</v>
      </c>
      <c r="T2765" s="111"/>
      <c r="U2765" s="33" t="s">
        <v>278</v>
      </c>
      <c r="V2765" s="111"/>
      <c r="W2765" s="59" t="s">
        <v>548</v>
      </c>
      <c r="X2765" s="33" t="str">
        <f>+VLOOKUP(OtherClients[[#This Row],[Part]],PartControl!$A$2:$E$564,5,FALSE)</f>
        <v>Infasco</v>
      </c>
      <c r="Y2765" s="108">
        <f>IF(OtherClients[[#This Row],[Re-certified or New]]&lt;&gt;"Re-certified",IF(OtherClients[[#This Row],[Client]]="infasco",VLOOKUP(OtherClients[[#This Row],[Part]],PartControl!$A$2:$E$564,2,FALSE),OtherClients[[#This Row],[Total Quantity]]*VLOOKUP(OtherClients[[#This Row],[Part]],PartControl!$A$2:$E$564,2,FALSE)),0)</f>
        <v>106.94</v>
      </c>
      <c r="Z2765" s="108">
        <f>IF(OtherClients[[#This Row],[Re-certified or New]]&lt;&gt;"Re-certified",IF(OtherClients[[#This Row],[Client]]="infasco",VLOOKUP(OtherClients[[#This Row],[Part]],PartControl!$A$2:$E$564,2,FALSE),OtherClients[[#This Row],[Total Quantity]]*VLOOKUP(OtherClients[[#This Row],[Part]],PartControl!$A$2:$E$564,2,FALSE)),0)</f>
        <v>106.94</v>
      </c>
    </row>
    <row r="2766" spans="1:26" ht="25.15" hidden="1" customHeight="1" x14ac:dyDescent="0.25">
      <c r="A2766" s="112">
        <v>46274.707060185188</v>
      </c>
      <c r="B2766" s="5" t="s">
        <v>237</v>
      </c>
      <c r="C2766" s="5" t="s">
        <v>565</v>
      </c>
      <c r="D2766" s="5">
        <v>717244</v>
      </c>
      <c r="E2766" s="33">
        <v>1</v>
      </c>
      <c r="F2766" s="60">
        <v>20000</v>
      </c>
      <c r="G2766" s="60">
        <f>+OtherClients[[#This Row],[Boxes / Pieces]]*OtherClients[[#This Row],[Unit Quantity]]</f>
        <v>20000</v>
      </c>
      <c r="H2766" s="60">
        <v>290</v>
      </c>
      <c r="I2766" s="60" t="s">
        <v>278</v>
      </c>
      <c r="J2766" s="104"/>
      <c r="K2766" s="33" t="s">
        <v>278</v>
      </c>
      <c r="L2766" s="111"/>
      <c r="M2766" s="33" t="s">
        <v>278</v>
      </c>
      <c r="N2766" s="111"/>
      <c r="O2766" s="33" t="s">
        <v>278</v>
      </c>
      <c r="P2766" s="111"/>
      <c r="Q2766" s="33" t="s">
        <v>587</v>
      </c>
      <c r="R2766" s="111"/>
      <c r="S2766" s="33" t="s">
        <v>278</v>
      </c>
      <c r="T2766" s="111"/>
      <c r="U2766" s="33" t="s">
        <v>278</v>
      </c>
      <c r="V2766" s="111"/>
      <c r="W2766" s="59" t="s">
        <v>548</v>
      </c>
      <c r="X2766" s="33" t="str">
        <f>+VLOOKUP(OtherClients[[#This Row],[Part]],PartControl!$A$2:$E$564,5,FALSE)</f>
        <v>Infasco</v>
      </c>
      <c r="Y2766" s="108">
        <f>IF(OtherClients[[#This Row],[Re-certified or New]]&lt;&gt;"Re-certified",IF(OtherClients[[#This Row],[Client]]="infasco",VLOOKUP(OtherClients[[#This Row],[Part]],PartControl!$A$2:$E$564,2,FALSE),OtherClients[[#This Row],[Total Quantity]]*VLOOKUP(OtherClients[[#This Row],[Part]],PartControl!$A$2:$E$564,2,FALSE)),0)</f>
        <v>106.94</v>
      </c>
      <c r="Z2766" s="108">
        <f>IF(OtherClients[[#This Row],[Re-certified or New]]&lt;&gt;"Re-certified",IF(OtherClients[[#This Row],[Client]]="infasco",VLOOKUP(OtherClients[[#This Row],[Part]],PartControl!$A$2:$E$564,2,FALSE),OtherClients[[#This Row],[Total Quantity]]*VLOOKUP(OtherClients[[#This Row],[Part]],PartControl!$A$2:$E$564,2,FALSE)),0)</f>
        <v>106.94</v>
      </c>
    </row>
    <row r="2767" spans="1:26" ht="25.15" hidden="1" customHeight="1" x14ac:dyDescent="0.25">
      <c r="A2767" s="112">
        <v>46274.707060185188</v>
      </c>
      <c r="B2767" s="5" t="s">
        <v>237</v>
      </c>
      <c r="C2767" s="5" t="s">
        <v>565</v>
      </c>
      <c r="D2767" s="5">
        <v>717245</v>
      </c>
      <c r="E2767" s="33">
        <v>1</v>
      </c>
      <c r="F2767" s="60">
        <v>13125</v>
      </c>
      <c r="G2767" s="60">
        <f>+OtherClients[[#This Row],[Boxes / Pieces]]*OtherClients[[#This Row],[Unit Quantity]]</f>
        <v>13125</v>
      </c>
      <c r="H2767" s="60">
        <v>290</v>
      </c>
      <c r="I2767" s="60" t="s">
        <v>278</v>
      </c>
      <c r="J2767" s="104"/>
      <c r="K2767" s="33" t="s">
        <v>278</v>
      </c>
      <c r="L2767" s="111"/>
      <c r="M2767" s="33" t="s">
        <v>278</v>
      </c>
      <c r="N2767" s="111"/>
      <c r="O2767" s="33" t="s">
        <v>278</v>
      </c>
      <c r="P2767" s="111"/>
      <c r="Q2767" s="33" t="s">
        <v>587</v>
      </c>
      <c r="R2767" s="111"/>
      <c r="S2767" s="33" t="s">
        <v>278</v>
      </c>
      <c r="T2767" s="111"/>
      <c r="U2767" s="33" t="s">
        <v>278</v>
      </c>
      <c r="V2767" s="111"/>
      <c r="W2767" s="59" t="s">
        <v>633</v>
      </c>
      <c r="X2767" s="33" t="str">
        <f>+VLOOKUP(OtherClients[[#This Row],[Part]],PartControl!$A$2:$E$564,5,FALSE)</f>
        <v>Infasco</v>
      </c>
      <c r="Y2767" s="108">
        <f>IF(OtherClients[[#This Row],[Re-certified or New]]&lt;&gt;"Re-certified",IF(OtherClients[[#This Row],[Client]]="infasco",VLOOKUP(OtherClients[[#This Row],[Part]],PartControl!$A$2:$E$564,2,FALSE),OtherClients[[#This Row],[Total Quantity]]*VLOOKUP(OtherClients[[#This Row],[Part]],PartControl!$A$2:$E$564,2,FALSE)),0)</f>
        <v>0</v>
      </c>
      <c r="Z2767" s="108">
        <f>IF(OtherClients[[#This Row],[Re-certified or New]]&lt;&gt;"Re-certified",IF(OtherClients[[#This Row],[Client]]="infasco",VLOOKUP(OtherClients[[#This Row],[Part]],PartControl!$A$2:$E$564,2,FALSE),OtherClients[[#This Row],[Total Quantity]]*VLOOKUP(OtherClients[[#This Row],[Part]],PartControl!$A$2:$E$564,2,FALSE)),0)</f>
        <v>0</v>
      </c>
    </row>
    <row r="2768" spans="1:26" ht="25.15" hidden="1" customHeight="1" x14ac:dyDescent="0.25">
      <c r="A2768" s="112">
        <v>46274.707060185188</v>
      </c>
      <c r="B2768" s="5" t="s">
        <v>236</v>
      </c>
      <c r="C2768" s="5" t="s">
        <v>733</v>
      </c>
      <c r="D2768" s="5">
        <v>716782</v>
      </c>
      <c r="E2768" s="33">
        <f>31-28</f>
        <v>3</v>
      </c>
      <c r="F2768" s="60">
        <v>2500</v>
      </c>
      <c r="G2768" s="60">
        <f>+OtherClients[[#This Row],[Boxes / Pieces]]*OtherClients[[#This Row],[Unit Quantity]]</f>
        <v>7500</v>
      </c>
      <c r="H2768" s="60">
        <v>290</v>
      </c>
      <c r="I2768" s="60" t="s">
        <v>278</v>
      </c>
      <c r="J2768" s="104"/>
      <c r="K2768" s="33" t="s">
        <v>278</v>
      </c>
      <c r="L2768" s="111"/>
      <c r="M2768" s="33" t="s">
        <v>278</v>
      </c>
      <c r="N2768" s="111"/>
      <c r="O2768" s="33" t="s">
        <v>278</v>
      </c>
      <c r="P2768" s="111"/>
      <c r="Q2768" s="33" t="s">
        <v>587</v>
      </c>
      <c r="R2768" s="111"/>
      <c r="S2768" s="33" t="s">
        <v>278</v>
      </c>
      <c r="T2768" s="111"/>
      <c r="U2768" s="33" t="s">
        <v>278</v>
      </c>
      <c r="V2768" s="111"/>
      <c r="W2768" s="59" t="s">
        <v>548</v>
      </c>
      <c r="X2768" s="33" t="str">
        <f>+VLOOKUP(OtherClients[[#This Row],[Part]],PartControl!$A$2:$E$564,5,FALSE)</f>
        <v>infasco</v>
      </c>
      <c r="Y2768" s="108">
        <f>IF(OtherClients[[#This Row],[Re-certified or New]]&lt;&gt;"Re-certified",IF(OtherClients[[#This Row],[Client]]="infasco",VLOOKUP(OtherClients[[#This Row],[Part]],PartControl!$A$2:$E$564,2,FALSE),OtherClients[[#This Row],[Total Quantity]]*VLOOKUP(OtherClients[[#This Row],[Part]],PartControl!$A$2:$E$564,2,FALSE)),0)</f>
        <v>213.88</v>
      </c>
      <c r="Z2768" s="108">
        <f>IF(OtherClients[[#This Row],[Re-certified or New]]&lt;&gt;"Re-certified",IF(OtherClients[[#This Row],[Client]]="infasco",VLOOKUP(OtherClients[[#This Row],[Part]],PartControl!$A$2:$E$564,2,FALSE),OtherClients[[#This Row],[Total Quantity]]*VLOOKUP(OtherClients[[#This Row],[Part]],PartControl!$A$2:$E$564,2,FALSE)),0)</f>
        <v>213.88</v>
      </c>
    </row>
    <row r="2769" spans="1:26" ht="25.15" hidden="1" customHeight="1" x14ac:dyDescent="0.25">
      <c r="A2769" s="112">
        <v>46274.707060185188</v>
      </c>
      <c r="B2769" s="5" t="s">
        <v>236</v>
      </c>
      <c r="C2769" s="5" t="s">
        <v>728</v>
      </c>
      <c r="D2769" s="5">
        <v>717769</v>
      </c>
      <c r="E2769" s="33">
        <f>36+22</f>
        <v>58</v>
      </c>
      <c r="F2769" s="60">
        <v>1500</v>
      </c>
      <c r="G2769" s="60">
        <f>+OtherClients[[#This Row],[Boxes / Pieces]]*OtherClients[[#This Row],[Unit Quantity]]</f>
        <v>87000</v>
      </c>
      <c r="H2769" s="60">
        <v>290</v>
      </c>
      <c r="I2769" s="60" t="s">
        <v>278</v>
      </c>
      <c r="J2769" s="104"/>
      <c r="K2769" s="33" t="s">
        <v>278</v>
      </c>
      <c r="L2769" s="111"/>
      <c r="M2769" s="33" t="s">
        <v>278</v>
      </c>
      <c r="N2769" s="111"/>
      <c r="O2769" s="33" t="s">
        <v>278</v>
      </c>
      <c r="P2769" s="111"/>
      <c r="Q2769" s="33" t="s">
        <v>587</v>
      </c>
      <c r="R2769" s="111"/>
      <c r="S2769" s="33" t="s">
        <v>278</v>
      </c>
      <c r="T2769" s="111"/>
      <c r="U2769" s="33" t="s">
        <v>278</v>
      </c>
      <c r="V2769" s="111"/>
      <c r="W2769" s="59" t="s">
        <v>548</v>
      </c>
      <c r="X2769" s="33" t="str">
        <f>+VLOOKUP(OtherClients[[#This Row],[Part]],PartControl!$A$2:$E$564,5,FALSE)</f>
        <v>infasco</v>
      </c>
      <c r="Y2769" s="108">
        <f>IF(OtherClients[[#This Row],[Re-certified or New]]&lt;&gt;"Re-certified",IF(OtherClients[[#This Row],[Client]]="infasco",VLOOKUP(OtherClients[[#This Row],[Part]],PartControl!$A$2:$E$564,2,FALSE),OtherClients[[#This Row],[Total Quantity]]*VLOOKUP(OtherClients[[#This Row],[Part]],PartControl!$A$2:$E$564,2,FALSE)),0)</f>
        <v>106.94</v>
      </c>
      <c r="Z2769" s="108">
        <f>IF(OtherClients[[#This Row],[Re-certified or New]]&lt;&gt;"Re-certified",IF(OtherClients[[#This Row],[Client]]="infasco",VLOOKUP(OtherClients[[#This Row],[Part]],PartControl!$A$2:$E$564,2,FALSE),OtherClients[[#This Row],[Total Quantity]]*VLOOKUP(OtherClients[[#This Row],[Part]],PartControl!$A$2:$E$564,2,FALSE)),0)</f>
        <v>106.94</v>
      </c>
    </row>
    <row r="2770" spans="1:26" ht="25.15" hidden="1" customHeight="1" x14ac:dyDescent="0.25">
      <c r="A2770" s="112">
        <v>46274.707060185188</v>
      </c>
      <c r="B2770" s="5" t="s">
        <v>236</v>
      </c>
      <c r="C2770" s="5" t="s">
        <v>728</v>
      </c>
      <c r="D2770" s="5">
        <v>718011</v>
      </c>
      <c r="E2770" s="33">
        <v>1</v>
      </c>
      <c r="F2770" s="60">
        <v>1500</v>
      </c>
      <c r="G2770" s="60">
        <f>+OtherClients[[#This Row],[Boxes / Pieces]]*OtherClients[[#This Row],[Unit Quantity]]</f>
        <v>1500</v>
      </c>
      <c r="H2770" s="60">
        <v>290</v>
      </c>
      <c r="I2770" s="60" t="s">
        <v>278</v>
      </c>
      <c r="J2770" s="104"/>
      <c r="K2770" s="33" t="s">
        <v>278</v>
      </c>
      <c r="L2770" s="111"/>
      <c r="M2770" s="33" t="s">
        <v>278</v>
      </c>
      <c r="N2770" s="111"/>
      <c r="O2770" s="33" t="s">
        <v>278</v>
      </c>
      <c r="P2770" s="111"/>
      <c r="Q2770" s="33" t="s">
        <v>587</v>
      </c>
      <c r="R2770" s="111"/>
      <c r="S2770" s="33" t="s">
        <v>278</v>
      </c>
      <c r="T2770" s="111"/>
      <c r="U2770" s="33" t="s">
        <v>278</v>
      </c>
      <c r="V2770" s="111"/>
      <c r="W2770" s="59" t="s">
        <v>633</v>
      </c>
      <c r="X2770" s="33" t="str">
        <f>+VLOOKUP(OtherClients[[#This Row],[Part]],PartControl!$A$2:$E$564,5,FALSE)</f>
        <v>infasco</v>
      </c>
      <c r="Y2770" s="108">
        <f>IF(OtherClients[[#This Row],[Re-certified or New]]&lt;&gt;"Re-certified",IF(OtherClients[[#This Row],[Client]]="infasco",VLOOKUP(OtherClients[[#This Row],[Part]],PartControl!$A$2:$E$564,2,FALSE),OtherClients[[#This Row],[Total Quantity]]*VLOOKUP(OtherClients[[#This Row],[Part]],PartControl!$A$2:$E$564,2,FALSE)),0)</f>
        <v>0</v>
      </c>
      <c r="Z2770" s="108">
        <f>IF(OtherClients[[#This Row],[Re-certified or New]]&lt;&gt;"Re-certified",IF(OtherClients[[#This Row],[Client]]="infasco",VLOOKUP(OtherClients[[#This Row],[Part]],PartControl!$A$2:$E$564,2,FALSE),OtherClients[[#This Row],[Total Quantity]]*VLOOKUP(OtherClients[[#This Row],[Part]],PartControl!$A$2:$E$564,2,FALSE)),0)</f>
        <v>0</v>
      </c>
    </row>
    <row r="2771" spans="1:26" ht="25.15" hidden="1" customHeight="1" x14ac:dyDescent="0.25">
      <c r="A2771" s="112">
        <v>46274.707060185188</v>
      </c>
      <c r="B2771" s="5" t="s">
        <v>239</v>
      </c>
      <c r="C2771" s="5" t="s">
        <v>705</v>
      </c>
      <c r="D2771" s="5">
        <v>717514</v>
      </c>
      <c r="E2771" s="33">
        <f>38-20</f>
        <v>18</v>
      </c>
      <c r="F2771" s="60">
        <v>450</v>
      </c>
      <c r="G2771" s="60">
        <f>+OtherClients[[#This Row],[Boxes / Pieces]]*OtherClients[[#This Row],[Unit Quantity]]</f>
        <v>8100</v>
      </c>
      <c r="H2771" s="60">
        <v>290</v>
      </c>
      <c r="I2771" s="60" t="s">
        <v>278</v>
      </c>
      <c r="J2771" s="104"/>
      <c r="K2771" s="33" t="s">
        <v>278</v>
      </c>
      <c r="L2771" s="111"/>
      <c r="M2771" s="33" t="s">
        <v>278</v>
      </c>
      <c r="N2771" s="111"/>
      <c r="O2771" s="33" t="s">
        <v>278</v>
      </c>
      <c r="P2771" s="111"/>
      <c r="Q2771" s="33" t="s">
        <v>587</v>
      </c>
      <c r="R2771" s="111"/>
      <c r="S2771" s="33" t="s">
        <v>278</v>
      </c>
      <c r="T2771" s="111"/>
      <c r="U2771" s="33" t="s">
        <v>278</v>
      </c>
      <c r="V2771" s="111"/>
      <c r="W2771" s="59" t="s">
        <v>548</v>
      </c>
      <c r="X2771" s="33" t="str">
        <f>+VLOOKUP(OtherClients[[#This Row],[Part]],PartControl!$A$2:$E$564,5,FALSE)</f>
        <v>infasco</v>
      </c>
      <c r="Y2771" s="108">
        <f>IF(OtherClients[[#This Row],[Re-certified or New]]&lt;&gt;"Re-certified",IF(OtherClients[[#This Row],[Client]]="infasco",VLOOKUP(OtherClients[[#This Row],[Part]],PartControl!$A$2:$E$564,2,FALSE),OtherClients[[#This Row],[Total Quantity]]*VLOOKUP(OtherClients[[#This Row],[Part]],PartControl!$A$2:$E$564,2,FALSE)),0)</f>
        <v>106.94</v>
      </c>
      <c r="Z2771" s="108">
        <f>IF(OtherClients[[#This Row],[Re-certified or New]]&lt;&gt;"Re-certified",IF(OtherClients[[#This Row],[Client]]="infasco",VLOOKUP(OtherClients[[#This Row],[Part]],PartControl!$A$2:$E$564,2,FALSE),OtherClients[[#This Row],[Total Quantity]]*VLOOKUP(OtherClients[[#This Row],[Part]],PartControl!$A$2:$E$564,2,FALSE)),0)</f>
        <v>106.94</v>
      </c>
    </row>
    <row r="2772" spans="1:26" ht="25.15" hidden="1" customHeight="1" x14ac:dyDescent="0.25">
      <c r="A2772" s="112">
        <v>46274.707060185188</v>
      </c>
      <c r="B2772" s="5" t="s">
        <v>239</v>
      </c>
      <c r="C2772" s="5">
        <v>11549170</v>
      </c>
      <c r="D2772" s="5">
        <v>717360</v>
      </c>
      <c r="E2772" s="33">
        <v>36</v>
      </c>
      <c r="F2772" s="60">
        <v>400</v>
      </c>
      <c r="G2772" s="60">
        <f>+OtherClients[[#This Row],[Boxes / Pieces]]*OtherClients[[#This Row],[Unit Quantity]]</f>
        <v>14400</v>
      </c>
      <c r="H2772" s="60">
        <v>290</v>
      </c>
      <c r="I2772" s="60" t="s">
        <v>278</v>
      </c>
      <c r="J2772" s="104"/>
      <c r="K2772" s="33" t="s">
        <v>278</v>
      </c>
      <c r="L2772" s="111"/>
      <c r="M2772" s="33" t="s">
        <v>278</v>
      </c>
      <c r="N2772" s="111"/>
      <c r="O2772" s="33" t="s">
        <v>278</v>
      </c>
      <c r="P2772" s="111"/>
      <c r="Q2772" s="33" t="s">
        <v>587</v>
      </c>
      <c r="R2772" s="111"/>
      <c r="S2772" s="33" t="s">
        <v>278</v>
      </c>
      <c r="T2772" s="111"/>
      <c r="U2772" s="33" t="s">
        <v>278</v>
      </c>
      <c r="V2772" s="111"/>
      <c r="W2772" s="59" t="s">
        <v>548</v>
      </c>
      <c r="X2772" s="33" t="str">
        <f>+VLOOKUP(OtherClients[[#This Row],[Part]],PartControl!$A$2:$E$564,5,FALSE)</f>
        <v>INFASCO</v>
      </c>
      <c r="Y2772" s="108">
        <f>IF(OtherClients[[#This Row],[Re-certified or New]]&lt;&gt;"Re-certified",IF(OtherClients[[#This Row],[Client]]="infasco",VLOOKUP(OtherClients[[#This Row],[Part]],PartControl!$A$2:$E$564,2,FALSE),OtherClients[[#This Row],[Total Quantity]]*VLOOKUP(OtherClients[[#This Row],[Part]],PartControl!$A$2:$E$564,2,FALSE)),0)</f>
        <v>106.94</v>
      </c>
      <c r="Z2772" s="108">
        <f>IF(OtherClients[[#This Row],[Re-certified or New]]&lt;&gt;"Re-certified",IF(OtherClients[[#This Row],[Client]]="infasco",VLOOKUP(OtherClients[[#This Row],[Part]],PartControl!$A$2:$E$564,2,FALSE),OtherClients[[#This Row],[Total Quantity]]*VLOOKUP(OtherClients[[#This Row],[Part]],PartControl!$A$2:$E$564,2,FALSE)),0)</f>
        <v>106.94</v>
      </c>
    </row>
    <row r="2773" spans="1:26" ht="25.15" hidden="1" customHeight="1" x14ac:dyDescent="0.25">
      <c r="A2773" s="112">
        <v>46274.707060185188</v>
      </c>
      <c r="B2773" s="5" t="s">
        <v>239</v>
      </c>
      <c r="C2773" s="5">
        <v>11549170</v>
      </c>
      <c r="D2773" s="5">
        <v>717348</v>
      </c>
      <c r="E2773" s="33">
        <v>36</v>
      </c>
      <c r="F2773" s="60">
        <v>400</v>
      </c>
      <c r="G2773" s="60">
        <f>+OtherClients[[#This Row],[Boxes / Pieces]]*OtherClients[[#This Row],[Unit Quantity]]</f>
        <v>14400</v>
      </c>
      <c r="H2773" s="60">
        <v>290</v>
      </c>
      <c r="I2773" s="60" t="s">
        <v>278</v>
      </c>
      <c r="J2773" s="104"/>
      <c r="K2773" s="33" t="s">
        <v>278</v>
      </c>
      <c r="L2773" s="111"/>
      <c r="M2773" s="33" t="s">
        <v>278</v>
      </c>
      <c r="N2773" s="111"/>
      <c r="O2773" s="33" t="s">
        <v>278</v>
      </c>
      <c r="P2773" s="111"/>
      <c r="Q2773" s="33" t="s">
        <v>587</v>
      </c>
      <c r="R2773" s="111"/>
      <c r="S2773" s="33" t="s">
        <v>278</v>
      </c>
      <c r="T2773" s="111"/>
      <c r="U2773" s="33" t="s">
        <v>278</v>
      </c>
      <c r="V2773" s="111"/>
      <c r="W2773" s="59" t="s">
        <v>548</v>
      </c>
      <c r="X2773" s="33" t="str">
        <f>+VLOOKUP(OtherClients[[#This Row],[Part]],PartControl!$A$2:$E$564,5,FALSE)</f>
        <v>INFASCO</v>
      </c>
      <c r="Y2773" s="108">
        <f>IF(OtherClients[[#This Row],[Re-certified or New]]&lt;&gt;"Re-certified",IF(OtherClients[[#This Row],[Client]]="infasco",VLOOKUP(OtherClients[[#This Row],[Part]],PartControl!$A$2:$E$564,2,FALSE),OtherClients[[#This Row],[Total Quantity]]*VLOOKUP(OtherClients[[#This Row],[Part]],PartControl!$A$2:$E$564,2,FALSE)),0)</f>
        <v>106.94</v>
      </c>
      <c r="Z2773" s="108">
        <f>IF(OtherClients[[#This Row],[Re-certified or New]]&lt;&gt;"Re-certified",IF(OtherClients[[#This Row],[Client]]="infasco",VLOOKUP(OtherClients[[#This Row],[Part]],PartControl!$A$2:$E$564,2,FALSE),OtherClients[[#This Row],[Total Quantity]]*VLOOKUP(OtherClients[[#This Row],[Part]],PartControl!$A$2:$E$564,2,FALSE)),0)</f>
        <v>106.94</v>
      </c>
    </row>
    <row r="2774" spans="1:26" ht="25.15" hidden="1" customHeight="1" x14ac:dyDescent="0.25">
      <c r="A2774" s="112">
        <v>46274.707060185188</v>
      </c>
      <c r="B2774" s="5" t="s">
        <v>239</v>
      </c>
      <c r="C2774" s="5">
        <v>11549170</v>
      </c>
      <c r="D2774" s="5">
        <v>716920</v>
      </c>
      <c r="E2774" s="33">
        <v>4</v>
      </c>
      <c r="F2774" s="60">
        <v>400</v>
      </c>
      <c r="G2774" s="60">
        <f>+OtherClients[[#This Row],[Boxes / Pieces]]*OtherClients[[#This Row],[Unit Quantity]]</f>
        <v>1600</v>
      </c>
      <c r="H2774" s="60">
        <v>290</v>
      </c>
      <c r="I2774" s="60" t="s">
        <v>278</v>
      </c>
      <c r="J2774" s="104"/>
      <c r="K2774" s="33" t="s">
        <v>278</v>
      </c>
      <c r="L2774" s="111"/>
      <c r="M2774" s="33" t="s">
        <v>278</v>
      </c>
      <c r="N2774" s="111"/>
      <c r="O2774" s="33" t="s">
        <v>278</v>
      </c>
      <c r="P2774" s="111"/>
      <c r="Q2774" s="33" t="s">
        <v>587</v>
      </c>
      <c r="R2774" s="111"/>
      <c r="S2774" s="33" t="s">
        <v>278</v>
      </c>
      <c r="T2774" s="111"/>
      <c r="U2774" s="33" t="s">
        <v>278</v>
      </c>
      <c r="V2774" s="111"/>
      <c r="W2774" s="59" t="s">
        <v>633</v>
      </c>
      <c r="X2774" s="33" t="str">
        <f>+VLOOKUP(OtherClients[[#This Row],[Part]],PartControl!$A$2:$E$564,5,FALSE)</f>
        <v>INFASCO</v>
      </c>
      <c r="Y2774" s="108">
        <f>IF(OtherClients[[#This Row],[Re-certified or New]]&lt;&gt;"Re-certified",IF(OtherClients[[#This Row],[Client]]="infasco",VLOOKUP(OtherClients[[#This Row],[Part]],PartControl!$A$2:$E$564,2,FALSE),OtherClients[[#This Row],[Total Quantity]]*VLOOKUP(OtherClients[[#This Row],[Part]],PartControl!$A$2:$E$564,2,FALSE)),0)</f>
        <v>0</v>
      </c>
      <c r="Z2774" s="108">
        <f>IF(OtherClients[[#This Row],[Re-certified or New]]&lt;&gt;"Re-certified",IF(OtherClients[[#This Row],[Client]]="infasco",VLOOKUP(OtherClients[[#This Row],[Part]],PartControl!$A$2:$E$564,2,FALSE),OtherClients[[#This Row],[Total Quantity]]*VLOOKUP(OtherClients[[#This Row],[Part]],PartControl!$A$2:$E$564,2,FALSE)),0)</f>
        <v>0</v>
      </c>
    </row>
    <row r="2775" spans="1:26" ht="25.15" hidden="1" customHeight="1" x14ac:dyDescent="0.25">
      <c r="A2775" s="112">
        <v>46274.707060185188</v>
      </c>
      <c r="B2775" s="5" t="s">
        <v>250</v>
      </c>
      <c r="C2775" s="5" t="s">
        <v>705</v>
      </c>
      <c r="D2775" s="5">
        <v>717512</v>
      </c>
      <c r="E2775" s="33">
        <f>36-2</f>
        <v>34</v>
      </c>
      <c r="F2775" s="60">
        <v>450</v>
      </c>
      <c r="G2775" s="60">
        <f>+OtherClients[[#This Row],[Boxes / Pieces]]*OtherClients[[#This Row],[Unit Quantity]]</f>
        <v>15300</v>
      </c>
      <c r="H2775" s="60">
        <v>290</v>
      </c>
      <c r="I2775" s="60" t="s">
        <v>278</v>
      </c>
      <c r="J2775" s="104"/>
      <c r="K2775" s="33" t="s">
        <v>278</v>
      </c>
      <c r="L2775" s="111"/>
      <c r="M2775" s="33" t="s">
        <v>278</v>
      </c>
      <c r="N2775" s="111"/>
      <c r="O2775" s="33" t="s">
        <v>278</v>
      </c>
      <c r="P2775" s="111"/>
      <c r="Q2775" s="33" t="s">
        <v>587</v>
      </c>
      <c r="R2775" s="111"/>
      <c r="S2775" s="33" t="s">
        <v>278</v>
      </c>
      <c r="T2775" s="111"/>
      <c r="U2775" s="33" t="s">
        <v>278</v>
      </c>
      <c r="V2775" s="111"/>
      <c r="W2775" s="59" t="s">
        <v>548</v>
      </c>
      <c r="X2775" s="33" t="str">
        <f>+VLOOKUP(OtherClients[[#This Row],[Part]],PartControl!$A$2:$E$564,5,FALSE)</f>
        <v>infasco</v>
      </c>
      <c r="Y2775" s="108">
        <f>IF(OtherClients[[#This Row],[Re-certified or New]]&lt;&gt;"Re-certified",IF(OtherClients[[#This Row],[Client]]="infasco",VLOOKUP(OtherClients[[#This Row],[Part]],PartControl!$A$2:$E$564,2,FALSE),OtherClients[[#This Row],[Total Quantity]]*VLOOKUP(OtherClients[[#This Row],[Part]],PartControl!$A$2:$E$564,2,FALSE)),0)</f>
        <v>106.94</v>
      </c>
      <c r="Z2775" s="108">
        <f>IF(OtherClients[[#This Row],[Re-certified or New]]&lt;&gt;"Re-certified",IF(OtherClients[[#This Row],[Client]]="infasco",VLOOKUP(OtherClients[[#This Row],[Part]],PartControl!$A$2:$E$564,2,FALSE),OtherClients[[#This Row],[Total Quantity]]*VLOOKUP(OtherClients[[#This Row],[Part]],PartControl!$A$2:$E$564,2,FALSE)),0)</f>
        <v>106.94</v>
      </c>
    </row>
    <row r="2776" spans="1:26" ht="25.15" hidden="1" customHeight="1" x14ac:dyDescent="0.25">
      <c r="A2776" s="112">
        <v>46274.707060185188</v>
      </c>
      <c r="B2776" s="5" t="s">
        <v>250</v>
      </c>
      <c r="C2776" s="5">
        <v>11549170</v>
      </c>
      <c r="D2776" s="5">
        <v>717353</v>
      </c>
      <c r="E2776" s="33">
        <v>36</v>
      </c>
      <c r="F2776" s="60">
        <v>400</v>
      </c>
      <c r="G2776" s="60">
        <f>+OtherClients[[#This Row],[Boxes / Pieces]]*OtherClients[[#This Row],[Unit Quantity]]</f>
        <v>14400</v>
      </c>
      <c r="H2776" s="60">
        <v>290</v>
      </c>
      <c r="I2776" s="60" t="s">
        <v>278</v>
      </c>
      <c r="J2776" s="104"/>
      <c r="K2776" s="33" t="s">
        <v>278</v>
      </c>
      <c r="L2776" s="111"/>
      <c r="M2776" s="33" t="s">
        <v>278</v>
      </c>
      <c r="N2776" s="111"/>
      <c r="O2776" s="33" t="s">
        <v>278</v>
      </c>
      <c r="P2776" s="111"/>
      <c r="Q2776" s="33" t="s">
        <v>587</v>
      </c>
      <c r="R2776" s="111"/>
      <c r="S2776" s="33" t="s">
        <v>278</v>
      </c>
      <c r="T2776" s="111"/>
      <c r="U2776" s="33" t="s">
        <v>278</v>
      </c>
      <c r="V2776" s="111"/>
      <c r="W2776" s="59" t="s">
        <v>548</v>
      </c>
      <c r="X2776" s="33" t="str">
        <f>+VLOOKUP(OtherClients[[#This Row],[Part]],PartControl!$A$2:$E$564,5,FALSE)</f>
        <v>INFASCO</v>
      </c>
      <c r="Y2776" s="108">
        <f>IF(OtherClients[[#This Row],[Re-certified or New]]&lt;&gt;"Re-certified",IF(OtherClients[[#This Row],[Client]]="infasco",VLOOKUP(OtherClients[[#This Row],[Part]],PartControl!$A$2:$E$564,2,FALSE),OtherClients[[#This Row],[Total Quantity]]*VLOOKUP(OtherClients[[#This Row],[Part]],PartControl!$A$2:$E$564,2,FALSE)),0)</f>
        <v>106.94</v>
      </c>
      <c r="Z2776" s="108">
        <f>IF(OtherClients[[#This Row],[Re-certified or New]]&lt;&gt;"Re-certified",IF(OtherClients[[#This Row],[Client]]="infasco",VLOOKUP(OtherClients[[#This Row],[Part]],PartControl!$A$2:$E$564,2,FALSE),OtherClients[[#This Row],[Total Quantity]]*VLOOKUP(OtherClients[[#This Row],[Part]],PartControl!$A$2:$E$564,2,FALSE)),0)</f>
        <v>106.94</v>
      </c>
    </row>
    <row r="2777" spans="1:26" ht="25.15" hidden="1" customHeight="1" x14ac:dyDescent="0.25">
      <c r="A2777" s="112">
        <v>46274.707060185188</v>
      </c>
      <c r="B2777" s="5" t="s">
        <v>240</v>
      </c>
      <c r="C2777" s="5" t="s">
        <v>645</v>
      </c>
      <c r="D2777" s="5">
        <v>717400</v>
      </c>
      <c r="E2777" s="33">
        <f>39-17</f>
        <v>22</v>
      </c>
      <c r="F2777" s="60">
        <v>1000</v>
      </c>
      <c r="G2777" s="60">
        <f>+OtherClients[[#This Row],[Boxes / Pieces]]*OtherClients[[#This Row],[Unit Quantity]]</f>
        <v>22000</v>
      </c>
      <c r="H2777" s="60">
        <v>290</v>
      </c>
      <c r="I2777" s="60" t="s">
        <v>278</v>
      </c>
      <c r="J2777" s="104"/>
      <c r="K2777" s="33" t="s">
        <v>278</v>
      </c>
      <c r="L2777" s="111"/>
      <c r="M2777" s="33" t="s">
        <v>278</v>
      </c>
      <c r="N2777" s="111"/>
      <c r="O2777" s="33" t="s">
        <v>278</v>
      </c>
      <c r="P2777" s="111"/>
      <c r="Q2777" s="33" t="s">
        <v>587</v>
      </c>
      <c r="R2777" s="111"/>
      <c r="S2777" s="33" t="s">
        <v>278</v>
      </c>
      <c r="T2777" s="111"/>
      <c r="U2777" s="33" t="s">
        <v>278</v>
      </c>
      <c r="V2777" s="111"/>
      <c r="W2777" s="59" t="s">
        <v>548</v>
      </c>
      <c r="X2777" s="33" t="str">
        <f>+VLOOKUP(OtherClients[[#This Row],[Part]],PartControl!$A$2:$E$564,5,FALSE)</f>
        <v>infasco</v>
      </c>
      <c r="Y2777" s="108">
        <f>IF(OtherClients[[#This Row],[Re-certified or New]]&lt;&gt;"Re-certified",IF(OtherClients[[#This Row],[Client]]="infasco",VLOOKUP(OtherClients[[#This Row],[Part]],PartControl!$A$2:$E$564,2,FALSE),OtherClients[[#This Row],[Total Quantity]]*VLOOKUP(OtherClients[[#This Row],[Part]],PartControl!$A$2:$E$564,2,FALSE)),0)</f>
        <v>106.94</v>
      </c>
      <c r="Z2777" s="108">
        <f>IF(OtherClients[[#This Row],[Re-certified or New]]&lt;&gt;"Re-certified",IF(OtherClients[[#This Row],[Client]]="infasco",VLOOKUP(OtherClients[[#This Row],[Part]],PartControl!$A$2:$E$564,2,FALSE),OtherClients[[#This Row],[Total Quantity]]*VLOOKUP(OtherClients[[#This Row],[Part]],PartControl!$A$2:$E$564,2,FALSE)),0)</f>
        <v>106.94</v>
      </c>
    </row>
    <row r="2778" spans="1:26" ht="25.15" hidden="1" customHeight="1" x14ac:dyDescent="0.25">
      <c r="A2778" s="112">
        <v>46274.707060185188</v>
      </c>
      <c r="B2778" s="5" t="s">
        <v>240</v>
      </c>
      <c r="C2778" s="5" t="s">
        <v>645</v>
      </c>
      <c r="D2778" s="5">
        <v>717397</v>
      </c>
      <c r="E2778" s="33">
        <v>36</v>
      </c>
      <c r="F2778" s="60">
        <v>1000</v>
      </c>
      <c r="G2778" s="60">
        <f>+OtherClients[[#This Row],[Boxes / Pieces]]*OtherClients[[#This Row],[Unit Quantity]]</f>
        <v>36000</v>
      </c>
      <c r="H2778" s="60">
        <v>290</v>
      </c>
      <c r="I2778" s="60" t="s">
        <v>278</v>
      </c>
      <c r="J2778" s="104"/>
      <c r="K2778" s="33" t="s">
        <v>278</v>
      </c>
      <c r="L2778" s="111"/>
      <c r="M2778" s="33" t="s">
        <v>278</v>
      </c>
      <c r="N2778" s="111"/>
      <c r="O2778" s="33" t="s">
        <v>278</v>
      </c>
      <c r="P2778" s="111"/>
      <c r="Q2778" s="33" t="s">
        <v>587</v>
      </c>
      <c r="R2778" s="111"/>
      <c r="S2778" s="33" t="s">
        <v>278</v>
      </c>
      <c r="T2778" s="111"/>
      <c r="U2778" s="33" t="s">
        <v>278</v>
      </c>
      <c r="V2778" s="111"/>
      <c r="W2778" s="59" t="s">
        <v>548</v>
      </c>
      <c r="X2778" s="33" t="str">
        <f>+VLOOKUP(OtherClients[[#This Row],[Part]],PartControl!$A$2:$E$564,5,FALSE)</f>
        <v>infasco</v>
      </c>
      <c r="Y2778" s="108">
        <f>IF(OtherClients[[#This Row],[Re-certified or New]]&lt;&gt;"Re-certified",IF(OtherClients[[#This Row],[Client]]="infasco",VLOOKUP(OtherClients[[#This Row],[Part]],PartControl!$A$2:$E$564,2,FALSE),OtherClients[[#This Row],[Total Quantity]]*VLOOKUP(OtherClients[[#This Row],[Part]],PartControl!$A$2:$E$564,2,FALSE)),0)</f>
        <v>106.94</v>
      </c>
      <c r="Z2778" s="108">
        <f>IF(OtherClients[[#This Row],[Re-certified or New]]&lt;&gt;"Re-certified",IF(OtherClients[[#This Row],[Client]]="infasco",VLOOKUP(OtherClients[[#This Row],[Part]],PartControl!$A$2:$E$564,2,FALSE),OtherClients[[#This Row],[Total Quantity]]*VLOOKUP(OtherClients[[#This Row],[Part]],PartControl!$A$2:$E$564,2,FALSE)),0)</f>
        <v>106.94</v>
      </c>
    </row>
    <row r="2779" spans="1:26" ht="25.15" hidden="1" customHeight="1" x14ac:dyDescent="0.25">
      <c r="A2779" s="112">
        <v>46274.707060185188</v>
      </c>
      <c r="B2779" s="5" t="s">
        <v>240</v>
      </c>
      <c r="C2779" s="5" t="s">
        <v>645</v>
      </c>
      <c r="D2779" s="5">
        <v>717401</v>
      </c>
      <c r="E2779" s="33">
        <v>36</v>
      </c>
      <c r="F2779" s="60">
        <v>1000</v>
      </c>
      <c r="G2779" s="60">
        <f>+OtherClients[[#This Row],[Boxes / Pieces]]*OtherClients[[#This Row],[Unit Quantity]]</f>
        <v>36000</v>
      </c>
      <c r="H2779" s="60">
        <v>290</v>
      </c>
      <c r="I2779" s="60" t="s">
        <v>278</v>
      </c>
      <c r="J2779" s="104"/>
      <c r="K2779" s="33" t="s">
        <v>278</v>
      </c>
      <c r="L2779" s="111"/>
      <c r="M2779" s="33" t="s">
        <v>278</v>
      </c>
      <c r="N2779" s="111"/>
      <c r="O2779" s="33" t="s">
        <v>278</v>
      </c>
      <c r="P2779" s="111"/>
      <c r="Q2779" s="33" t="s">
        <v>587</v>
      </c>
      <c r="R2779" s="111"/>
      <c r="S2779" s="33" t="s">
        <v>278</v>
      </c>
      <c r="T2779" s="111"/>
      <c r="U2779" s="33" t="s">
        <v>278</v>
      </c>
      <c r="V2779" s="111"/>
      <c r="W2779" s="59" t="s">
        <v>548</v>
      </c>
      <c r="X2779" s="33" t="str">
        <f>+VLOOKUP(OtherClients[[#This Row],[Part]],PartControl!$A$2:$E$564,5,FALSE)</f>
        <v>infasco</v>
      </c>
      <c r="Y2779" s="108">
        <f>IF(OtherClients[[#This Row],[Re-certified or New]]&lt;&gt;"Re-certified",IF(OtherClients[[#This Row],[Client]]="infasco",VLOOKUP(OtherClients[[#This Row],[Part]],PartControl!$A$2:$E$564,2,FALSE),OtherClients[[#This Row],[Total Quantity]]*VLOOKUP(OtherClients[[#This Row],[Part]],PartControl!$A$2:$E$564,2,FALSE)),0)</f>
        <v>106.94</v>
      </c>
      <c r="Z2779" s="108">
        <f>IF(OtherClients[[#This Row],[Re-certified or New]]&lt;&gt;"Re-certified",IF(OtherClients[[#This Row],[Client]]="infasco",VLOOKUP(OtherClients[[#This Row],[Part]],PartControl!$A$2:$E$564,2,FALSE),OtherClients[[#This Row],[Total Quantity]]*VLOOKUP(OtherClients[[#This Row],[Part]],PartControl!$A$2:$E$564,2,FALSE)),0)</f>
        <v>106.94</v>
      </c>
    </row>
    <row r="2780" spans="1:26" ht="25.15" hidden="1" customHeight="1" x14ac:dyDescent="0.25">
      <c r="A2780" s="112">
        <v>46274.707060185188</v>
      </c>
      <c r="B2780" s="5" t="s">
        <v>240</v>
      </c>
      <c r="C2780" s="5">
        <v>11549168</v>
      </c>
      <c r="D2780" s="5">
        <v>717373</v>
      </c>
      <c r="E2780" s="33">
        <v>18</v>
      </c>
      <c r="F2780" s="60">
        <v>1000</v>
      </c>
      <c r="G2780" s="60">
        <f>+OtherClients[[#This Row],[Boxes / Pieces]]*OtherClients[[#This Row],[Unit Quantity]]</f>
        <v>18000</v>
      </c>
      <c r="H2780" s="60">
        <v>290</v>
      </c>
      <c r="I2780" s="60" t="s">
        <v>278</v>
      </c>
      <c r="J2780" s="104"/>
      <c r="K2780" s="33" t="s">
        <v>278</v>
      </c>
      <c r="L2780" s="111"/>
      <c r="M2780" s="33" t="s">
        <v>278</v>
      </c>
      <c r="N2780" s="111"/>
      <c r="O2780" s="33" t="s">
        <v>278</v>
      </c>
      <c r="P2780" s="111"/>
      <c r="Q2780" s="33" t="s">
        <v>587</v>
      </c>
      <c r="R2780" s="111"/>
      <c r="S2780" s="33" t="s">
        <v>278</v>
      </c>
      <c r="T2780" s="111"/>
      <c r="U2780" s="33" t="s">
        <v>278</v>
      </c>
      <c r="V2780" s="111"/>
      <c r="W2780" s="59" t="s">
        <v>633</v>
      </c>
      <c r="X2780" s="33" t="str">
        <f>+VLOOKUP(OtherClients[[#This Row],[Part]],PartControl!$A$2:$E$564,5,FALSE)</f>
        <v>INFASCO</v>
      </c>
      <c r="Y2780" s="108">
        <f>IF(OtherClients[[#This Row],[Re-certified or New]]&lt;&gt;"Re-certified",IF(OtherClients[[#This Row],[Client]]="infasco",VLOOKUP(OtherClients[[#This Row],[Part]],PartControl!$A$2:$E$564,2,FALSE),OtherClients[[#This Row],[Total Quantity]]*VLOOKUP(OtherClients[[#This Row],[Part]],PartControl!$A$2:$E$564,2,FALSE)),0)</f>
        <v>0</v>
      </c>
      <c r="Z2780" s="108">
        <f>IF(OtherClients[[#This Row],[Re-certified or New]]&lt;&gt;"Re-certified",IF(OtherClients[[#This Row],[Client]]="infasco",VLOOKUP(OtherClients[[#This Row],[Part]],PartControl!$A$2:$E$564,2,FALSE),OtherClients[[#This Row],[Total Quantity]]*VLOOKUP(OtherClients[[#This Row],[Part]],PartControl!$A$2:$E$564,2,FALSE)),0)</f>
        <v>0</v>
      </c>
    </row>
    <row r="2781" spans="1:26" ht="25.15" hidden="1" customHeight="1" x14ac:dyDescent="0.25">
      <c r="A2781" s="112">
        <v>46274.707060185188</v>
      </c>
      <c r="B2781" s="5" t="s">
        <v>235</v>
      </c>
      <c r="C2781" s="5" t="s">
        <v>656</v>
      </c>
      <c r="D2781" s="5">
        <v>718156</v>
      </c>
      <c r="E2781" s="33">
        <v>19</v>
      </c>
      <c r="F2781" s="60">
        <v>825</v>
      </c>
      <c r="G2781" s="60">
        <f>+OtherClients[[#This Row],[Boxes / Pieces]]*OtherClients[[#This Row],[Unit Quantity]]</f>
        <v>15675</v>
      </c>
      <c r="H2781" s="60">
        <v>290</v>
      </c>
      <c r="I2781" s="60" t="s">
        <v>278</v>
      </c>
      <c r="J2781" s="104"/>
      <c r="K2781" s="33" t="s">
        <v>278</v>
      </c>
      <c r="L2781" s="111"/>
      <c r="M2781" s="33" t="s">
        <v>278</v>
      </c>
      <c r="N2781" s="111"/>
      <c r="O2781" s="33" t="s">
        <v>278</v>
      </c>
      <c r="P2781" s="111"/>
      <c r="Q2781" s="33" t="s">
        <v>587</v>
      </c>
      <c r="R2781" s="111"/>
      <c r="S2781" s="33" t="s">
        <v>278</v>
      </c>
      <c r="T2781" s="111"/>
      <c r="U2781" s="33" t="s">
        <v>278</v>
      </c>
      <c r="V2781" s="111"/>
      <c r="W2781" s="59" t="s">
        <v>633</v>
      </c>
      <c r="X2781" s="33" t="str">
        <f>+VLOOKUP(OtherClients[[#This Row],[Part]],PartControl!$A$2:$E$564,5,FALSE)</f>
        <v>infasco</v>
      </c>
      <c r="Y2781" s="108">
        <f>IF(OtherClients[[#This Row],[Re-certified or New]]&lt;&gt;"Re-certified",IF(OtherClients[[#This Row],[Client]]="infasco",VLOOKUP(OtherClients[[#This Row],[Part]],PartControl!$A$2:$E$564,2,FALSE),OtherClients[[#This Row],[Total Quantity]]*VLOOKUP(OtherClients[[#This Row],[Part]],PartControl!$A$2:$E$564,2,FALSE)),0)</f>
        <v>0</v>
      </c>
      <c r="Z2781" s="108">
        <f>IF(OtherClients[[#This Row],[Re-certified or New]]&lt;&gt;"Re-certified",IF(OtherClients[[#This Row],[Client]]="infasco",VLOOKUP(OtherClients[[#This Row],[Part]],PartControl!$A$2:$E$564,2,FALSE),OtherClients[[#This Row],[Total Quantity]]*VLOOKUP(OtherClients[[#This Row],[Part]],PartControl!$A$2:$E$564,2,FALSE)),0)</f>
        <v>0</v>
      </c>
    </row>
    <row r="2782" spans="1:26" ht="25.15" hidden="1" customHeight="1" x14ac:dyDescent="0.25">
      <c r="A2782" s="112">
        <v>46274.707060185188</v>
      </c>
      <c r="B2782" s="5" t="s">
        <v>251</v>
      </c>
      <c r="C2782" s="5">
        <v>11546462</v>
      </c>
      <c r="D2782" s="5">
        <v>718229</v>
      </c>
      <c r="E2782" s="33">
        <f>30-25</f>
        <v>5</v>
      </c>
      <c r="F2782" s="60">
        <v>650</v>
      </c>
      <c r="G2782" s="60">
        <f>+OtherClients[[#This Row],[Boxes / Pieces]]*OtherClients[[#This Row],[Unit Quantity]]</f>
        <v>3250</v>
      </c>
      <c r="H2782" s="60">
        <v>292</v>
      </c>
      <c r="I2782" s="60" t="s">
        <v>278</v>
      </c>
      <c r="J2782" s="104"/>
      <c r="K2782" s="33" t="s">
        <v>278</v>
      </c>
      <c r="L2782" s="111"/>
      <c r="M2782" s="33" t="s">
        <v>278</v>
      </c>
      <c r="N2782" s="111"/>
      <c r="O2782" s="33" t="s">
        <v>278</v>
      </c>
      <c r="P2782" s="111"/>
      <c r="Q2782" s="33" t="s">
        <v>587</v>
      </c>
      <c r="R2782" s="111"/>
      <c r="S2782" s="33" t="s">
        <v>278</v>
      </c>
      <c r="T2782" s="111"/>
      <c r="U2782" s="33" t="s">
        <v>278</v>
      </c>
      <c r="V2782" s="111"/>
      <c r="W2782" s="59" t="s">
        <v>548</v>
      </c>
      <c r="X2782" s="33" t="str">
        <f>+VLOOKUP(OtherClients[[#This Row],[Part]],PartControl!$A$2:$E$564,5,FALSE)</f>
        <v>INFASCO</v>
      </c>
      <c r="Y2782" s="108">
        <f>IF(OtherClients[[#This Row],[Re-certified or New]]&lt;&gt;"Re-certified",IF(OtherClients[[#This Row],[Client]]="infasco",VLOOKUP(OtherClients[[#This Row],[Part]],PartControl!$A$2:$E$564,2,FALSE),OtherClients[[#This Row],[Total Quantity]]*VLOOKUP(OtherClients[[#This Row],[Part]],PartControl!$A$2:$E$564,2,FALSE)),0)</f>
        <v>106.94</v>
      </c>
      <c r="Z2782" s="108">
        <f>IF(OtherClients[[#This Row],[Re-certified or New]]&lt;&gt;"Re-certified",IF(OtherClients[[#This Row],[Client]]="infasco",VLOOKUP(OtherClients[[#This Row],[Part]],PartControl!$A$2:$E$564,2,FALSE),OtherClients[[#This Row],[Total Quantity]]*VLOOKUP(OtherClients[[#This Row],[Part]],PartControl!$A$2:$E$564,2,FALSE)),0)</f>
        <v>106.94</v>
      </c>
    </row>
    <row r="2783" spans="1:26" ht="25.15" hidden="1" customHeight="1" x14ac:dyDescent="0.25">
      <c r="A2783" s="112">
        <v>46274.707060185188</v>
      </c>
      <c r="B2783" s="5" t="s">
        <v>251</v>
      </c>
      <c r="C2783" s="5">
        <v>11549168</v>
      </c>
      <c r="D2783" s="5">
        <v>717370</v>
      </c>
      <c r="E2783" s="33">
        <v>36</v>
      </c>
      <c r="F2783" s="60">
        <v>1000</v>
      </c>
      <c r="G2783" s="60">
        <f>+OtherClients[[#This Row],[Boxes / Pieces]]*OtherClients[[#This Row],[Unit Quantity]]</f>
        <v>36000</v>
      </c>
      <c r="H2783" s="60">
        <v>292</v>
      </c>
      <c r="I2783" s="60" t="s">
        <v>278</v>
      </c>
      <c r="J2783" s="104"/>
      <c r="K2783" s="33" t="s">
        <v>278</v>
      </c>
      <c r="L2783" s="111"/>
      <c r="M2783" s="33" t="s">
        <v>278</v>
      </c>
      <c r="N2783" s="111"/>
      <c r="O2783" s="33" t="s">
        <v>278</v>
      </c>
      <c r="P2783" s="111"/>
      <c r="Q2783" s="33" t="s">
        <v>587</v>
      </c>
      <c r="R2783" s="111"/>
      <c r="S2783" s="33" t="s">
        <v>278</v>
      </c>
      <c r="T2783" s="111"/>
      <c r="U2783" s="33" t="s">
        <v>278</v>
      </c>
      <c r="V2783" s="111"/>
      <c r="W2783" s="59" t="s">
        <v>633</v>
      </c>
      <c r="X2783" s="33" t="str">
        <f>+VLOOKUP(OtherClients[[#This Row],[Part]],PartControl!$A$2:$E$564,5,FALSE)</f>
        <v>INFASCO</v>
      </c>
      <c r="Y2783" s="108">
        <f>IF(OtherClients[[#This Row],[Re-certified or New]]&lt;&gt;"Re-certified",IF(OtherClients[[#This Row],[Client]]="infasco",VLOOKUP(OtherClients[[#This Row],[Part]],PartControl!$A$2:$E$564,2,FALSE),OtherClients[[#This Row],[Total Quantity]]*VLOOKUP(OtherClients[[#This Row],[Part]],PartControl!$A$2:$E$564,2,FALSE)),0)</f>
        <v>0</v>
      </c>
      <c r="Z2783" s="108">
        <f>IF(OtherClients[[#This Row],[Re-certified or New]]&lt;&gt;"Re-certified",IF(OtherClients[[#This Row],[Client]]="infasco",VLOOKUP(OtherClients[[#This Row],[Part]],PartControl!$A$2:$E$564,2,FALSE),OtherClients[[#This Row],[Total Quantity]]*VLOOKUP(OtherClients[[#This Row],[Part]],PartControl!$A$2:$E$564,2,FALSE)),0)</f>
        <v>0</v>
      </c>
    </row>
    <row r="2784" spans="1:26" ht="25.15" hidden="1" customHeight="1" x14ac:dyDescent="0.25">
      <c r="A2784" s="112">
        <v>46274.707060185188</v>
      </c>
      <c r="B2784" s="5" t="s">
        <v>245</v>
      </c>
      <c r="C2784" s="5">
        <v>11546545</v>
      </c>
      <c r="D2784" s="5">
        <v>717762</v>
      </c>
      <c r="E2784" s="33">
        <f>36-27</f>
        <v>9</v>
      </c>
      <c r="F2784" s="60">
        <v>2500</v>
      </c>
      <c r="G2784" s="60">
        <f>+OtherClients[[#This Row],[Boxes / Pieces]]*OtherClients[[#This Row],[Unit Quantity]]</f>
        <v>22500</v>
      </c>
      <c r="H2784" s="60">
        <v>292</v>
      </c>
      <c r="I2784" s="60" t="s">
        <v>278</v>
      </c>
      <c r="J2784" s="104"/>
      <c r="K2784" s="33" t="s">
        <v>278</v>
      </c>
      <c r="L2784" s="111"/>
      <c r="M2784" s="33" t="s">
        <v>278</v>
      </c>
      <c r="N2784" s="111"/>
      <c r="O2784" s="33" t="s">
        <v>278</v>
      </c>
      <c r="P2784" s="111"/>
      <c r="Q2784" s="33" t="s">
        <v>587</v>
      </c>
      <c r="R2784" s="111"/>
      <c r="S2784" s="33" t="s">
        <v>278</v>
      </c>
      <c r="T2784" s="111"/>
      <c r="U2784" s="33" t="s">
        <v>278</v>
      </c>
      <c r="V2784" s="111"/>
      <c r="W2784" s="59" t="s">
        <v>548</v>
      </c>
      <c r="X2784" s="33" t="str">
        <f>+VLOOKUP(OtherClients[[#This Row],[Part]],PartControl!$A$2:$E$564,5,FALSE)</f>
        <v>infasco</v>
      </c>
      <c r="Y2784" s="108">
        <f>IF(OtherClients[[#This Row],[Re-certified or New]]&lt;&gt;"Re-certified",IF(OtherClients[[#This Row],[Client]]="infasco",VLOOKUP(OtherClients[[#This Row],[Part]],PartControl!$A$2:$E$564,2,FALSE),OtherClients[[#This Row],[Total Quantity]]*VLOOKUP(OtherClients[[#This Row],[Part]],PartControl!$A$2:$E$564,2,FALSE)),0)</f>
        <v>106.94</v>
      </c>
      <c r="Z2784" s="108">
        <f>IF(OtherClients[[#This Row],[Re-certified or New]]&lt;&gt;"Re-certified",IF(OtherClients[[#This Row],[Client]]="infasco",VLOOKUP(OtherClients[[#This Row],[Part]],PartControl!$A$2:$E$564,2,FALSE),OtherClients[[#This Row],[Total Quantity]]*VLOOKUP(OtherClients[[#This Row],[Part]],PartControl!$A$2:$E$564,2,FALSE)),0)</f>
        <v>106.94</v>
      </c>
    </row>
    <row r="2785" spans="1:26" ht="25.15" hidden="1" customHeight="1" x14ac:dyDescent="0.25">
      <c r="A2785" s="112">
        <v>46274.707060185188</v>
      </c>
      <c r="B2785" s="5" t="s">
        <v>245</v>
      </c>
      <c r="C2785" s="5" t="s">
        <v>728</v>
      </c>
      <c r="D2785" s="5">
        <v>718014</v>
      </c>
      <c r="E2785" s="33">
        <v>27</v>
      </c>
      <c r="F2785" s="60">
        <v>1500</v>
      </c>
      <c r="G2785" s="60">
        <f>+OtherClients[[#This Row],[Boxes / Pieces]]*OtherClients[[#This Row],[Unit Quantity]]</f>
        <v>40500</v>
      </c>
      <c r="H2785" s="60">
        <v>292</v>
      </c>
      <c r="I2785" s="60" t="s">
        <v>278</v>
      </c>
      <c r="J2785" s="104"/>
      <c r="K2785" s="33" t="s">
        <v>278</v>
      </c>
      <c r="L2785" s="111"/>
      <c r="M2785" s="33" t="s">
        <v>278</v>
      </c>
      <c r="N2785" s="111"/>
      <c r="O2785" s="33" t="s">
        <v>278</v>
      </c>
      <c r="P2785" s="111"/>
      <c r="Q2785" s="33" t="s">
        <v>587</v>
      </c>
      <c r="R2785" s="111"/>
      <c r="S2785" s="33" t="s">
        <v>278</v>
      </c>
      <c r="T2785" s="111"/>
      <c r="U2785" s="33" t="s">
        <v>278</v>
      </c>
      <c r="V2785" s="111"/>
      <c r="W2785" s="59" t="s">
        <v>633</v>
      </c>
      <c r="X2785" s="33" t="str">
        <f>+VLOOKUP(OtherClients[[#This Row],[Part]],PartControl!$A$2:$E$564,5,FALSE)</f>
        <v>infasco</v>
      </c>
      <c r="Y2785" s="108">
        <f>IF(OtherClients[[#This Row],[Re-certified or New]]&lt;&gt;"Re-certified",IF(OtherClients[[#This Row],[Client]]="infasco",VLOOKUP(OtherClients[[#This Row],[Part]],PartControl!$A$2:$E$564,2,FALSE),OtherClients[[#This Row],[Total Quantity]]*VLOOKUP(OtherClients[[#This Row],[Part]],PartControl!$A$2:$E$564,2,FALSE)),0)</f>
        <v>0</v>
      </c>
      <c r="Z2785" s="108">
        <f>IF(OtherClients[[#This Row],[Re-certified or New]]&lt;&gt;"Re-certified",IF(OtherClients[[#This Row],[Client]]="infasco",VLOOKUP(OtherClients[[#This Row],[Part]],PartControl!$A$2:$E$564,2,FALSE),OtherClients[[#This Row],[Total Quantity]]*VLOOKUP(OtherClients[[#This Row],[Part]],PartControl!$A$2:$E$564,2,FALSE)),0)</f>
        <v>0</v>
      </c>
    </row>
    <row r="2786" spans="1:26" ht="25.15" hidden="1" customHeight="1" x14ac:dyDescent="0.25">
      <c r="A2786" s="112">
        <v>46274.707060185188</v>
      </c>
      <c r="B2786" s="5" t="s">
        <v>244</v>
      </c>
      <c r="C2786" s="5" t="s">
        <v>845</v>
      </c>
      <c r="D2786" s="5">
        <v>717433</v>
      </c>
      <c r="E2786" s="33">
        <f>36+10-25</f>
        <v>21</v>
      </c>
      <c r="F2786" s="60">
        <v>1000</v>
      </c>
      <c r="G2786" s="60">
        <f>+OtherClients[[#This Row],[Boxes / Pieces]]*OtherClients[[#This Row],[Unit Quantity]]</f>
        <v>21000</v>
      </c>
      <c r="H2786" s="60">
        <v>292</v>
      </c>
      <c r="I2786" s="60" t="s">
        <v>278</v>
      </c>
      <c r="J2786" s="104"/>
      <c r="K2786" s="33" t="s">
        <v>278</v>
      </c>
      <c r="L2786" s="111"/>
      <c r="M2786" s="33" t="s">
        <v>278</v>
      </c>
      <c r="N2786" s="111"/>
      <c r="O2786" s="33" t="s">
        <v>278</v>
      </c>
      <c r="P2786" s="111"/>
      <c r="Q2786" s="33" t="s">
        <v>587</v>
      </c>
      <c r="R2786" s="111"/>
      <c r="S2786" s="33" t="s">
        <v>278</v>
      </c>
      <c r="T2786" s="111"/>
      <c r="U2786" s="33" t="s">
        <v>278</v>
      </c>
      <c r="V2786" s="111"/>
      <c r="W2786" s="59" t="s">
        <v>548</v>
      </c>
      <c r="X2786" s="33" t="str">
        <f>+VLOOKUP(OtherClients[[#This Row],[Part]],PartControl!$A$2:$E$564,5,FALSE)</f>
        <v>infasco</v>
      </c>
      <c r="Y2786" s="108">
        <f>IF(OtherClients[[#This Row],[Re-certified or New]]&lt;&gt;"Re-certified",IF(OtherClients[[#This Row],[Client]]="infasco",VLOOKUP(OtherClients[[#This Row],[Part]],PartControl!$A$2:$E$564,2,FALSE),OtherClients[[#This Row],[Total Quantity]]*VLOOKUP(OtherClients[[#This Row],[Part]],PartControl!$A$2:$E$564,2,FALSE)),0)</f>
        <v>106.94</v>
      </c>
      <c r="Z2786" s="108">
        <f>IF(OtherClients[[#This Row],[Re-certified or New]]&lt;&gt;"Re-certified",IF(OtherClients[[#This Row],[Client]]="infasco",VLOOKUP(OtherClients[[#This Row],[Part]],PartControl!$A$2:$E$564,2,FALSE),OtherClients[[#This Row],[Total Quantity]]*VLOOKUP(OtherClients[[#This Row],[Part]],PartControl!$A$2:$E$564,2,FALSE)),0)</f>
        <v>106.94</v>
      </c>
    </row>
    <row r="2787" spans="1:26" ht="25.15" hidden="1" customHeight="1" x14ac:dyDescent="0.25">
      <c r="A2787" s="112">
        <v>46274.707060185188</v>
      </c>
      <c r="B2787" s="5" t="s">
        <v>244</v>
      </c>
      <c r="C2787" s="5" t="s">
        <v>845</v>
      </c>
      <c r="D2787" s="5">
        <v>717431</v>
      </c>
      <c r="E2787" s="33">
        <v>10</v>
      </c>
      <c r="F2787" s="60">
        <v>1000</v>
      </c>
      <c r="G2787" s="60">
        <f>+OtherClients[[#This Row],[Boxes / Pieces]]*OtherClients[[#This Row],[Unit Quantity]]</f>
        <v>10000</v>
      </c>
      <c r="H2787" s="60">
        <v>292</v>
      </c>
      <c r="I2787" s="60" t="s">
        <v>278</v>
      </c>
      <c r="J2787" s="104"/>
      <c r="K2787" s="33" t="s">
        <v>278</v>
      </c>
      <c r="L2787" s="111"/>
      <c r="M2787" s="33" t="s">
        <v>278</v>
      </c>
      <c r="N2787" s="111"/>
      <c r="O2787" s="33" t="s">
        <v>278</v>
      </c>
      <c r="P2787" s="111"/>
      <c r="Q2787" s="33" t="s">
        <v>587</v>
      </c>
      <c r="R2787" s="111"/>
      <c r="S2787" s="33" t="s">
        <v>278</v>
      </c>
      <c r="T2787" s="111"/>
      <c r="U2787" s="33" t="s">
        <v>278</v>
      </c>
      <c r="V2787" s="111"/>
      <c r="W2787" s="59" t="s">
        <v>633</v>
      </c>
      <c r="X2787" s="33" t="str">
        <f>+VLOOKUP(OtherClients[[#This Row],[Part]],PartControl!$A$2:$E$564,5,FALSE)</f>
        <v>infasco</v>
      </c>
      <c r="Y2787" s="108">
        <f>IF(OtherClients[[#This Row],[Re-certified or New]]&lt;&gt;"Re-certified",IF(OtherClients[[#This Row],[Client]]="infasco",VLOOKUP(OtherClients[[#This Row],[Part]],PartControl!$A$2:$E$564,2,FALSE),OtherClients[[#This Row],[Total Quantity]]*VLOOKUP(OtherClients[[#This Row],[Part]],PartControl!$A$2:$E$564,2,FALSE)),0)</f>
        <v>0</v>
      </c>
      <c r="Z2787" s="108">
        <f>IF(OtherClients[[#This Row],[Re-certified or New]]&lt;&gt;"Re-certified",IF(OtherClients[[#This Row],[Client]]="infasco",VLOOKUP(OtherClients[[#This Row],[Part]],PartControl!$A$2:$E$564,2,FALSE),OtherClients[[#This Row],[Total Quantity]]*VLOOKUP(OtherClients[[#This Row],[Part]],PartControl!$A$2:$E$564,2,FALSE)),0)</f>
        <v>0</v>
      </c>
    </row>
    <row r="2788" spans="1:26" ht="25.15" hidden="1" customHeight="1" x14ac:dyDescent="0.25">
      <c r="A2788" s="112">
        <v>46274.707060185188</v>
      </c>
      <c r="B2788" s="5" t="s">
        <v>624</v>
      </c>
      <c r="C2788" s="5" t="s">
        <v>705</v>
      </c>
      <c r="D2788" s="5">
        <v>717013</v>
      </c>
      <c r="E2788" s="33">
        <f>36+2</f>
        <v>38</v>
      </c>
      <c r="F2788" s="60">
        <v>450</v>
      </c>
      <c r="G2788" s="60">
        <f>+OtherClients[[#This Row],[Boxes / Pieces]]*OtherClients[[#This Row],[Unit Quantity]]</f>
        <v>17100</v>
      </c>
      <c r="H2788" s="60">
        <v>292</v>
      </c>
      <c r="I2788" s="60" t="s">
        <v>278</v>
      </c>
      <c r="J2788" s="104"/>
      <c r="K2788" s="33" t="s">
        <v>278</v>
      </c>
      <c r="L2788" s="111"/>
      <c r="M2788" s="33" t="s">
        <v>278</v>
      </c>
      <c r="N2788" s="111"/>
      <c r="O2788" s="33" t="s">
        <v>278</v>
      </c>
      <c r="P2788" s="111"/>
      <c r="Q2788" s="33" t="s">
        <v>587</v>
      </c>
      <c r="R2788" s="111"/>
      <c r="S2788" s="33" t="s">
        <v>278</v>
      </c>
      <c r="T2788" s="111"/>
      <c r="U2788" s="33" t="s">
        <v>278</v>
      </c>
      <c r="V2788" s="111"/>
      <c r="W2788" s="59" t="s">
        <v>548</v>
      </c>
      <c r="X2788" s="33" t="str">
        <f>+VLOOKUP(OtherClients[[#This Row],[Part]],PartControl!$A$2:$E$564,5,FALSE)</f>
        <v>infasco</v>
      </c>
      <c r="Y2788" s="108">
        <f>IF(OtherClients[[#This Row],[Re-certified or New]]&lt;&gt;"Re-certified",IF(OtherClients[[#This Row],[Client]]="infasco",VLOOKUP(OtherClients[[#This Row],[Part]],PartControl!$A$2:$E$564,2,FALSE),OtherClients[[#This Row],[Total Quantity]]*VLOOKUP(OtherClients[[#This Row],[Part]],PartControl!$A$2:$E$564,2,FALSE)),0)</f>
        <v>106.94</v>
      </c>
      <c r="Z2788" s="108">
        <f>IF(OtherClients[[#This Row],[Re-certified or New]]&lt;&gt;"Re-certified",IF(OtherClients[[#This Row],[Client]]="infasco",VLOOKUP(OtherClients[[#This Row],[Part]],PartControl!$A$2:$E$564,2,FALSE),OtherClients[[#This Row],[Total Quantity]]*VLOOKUP(OtherClients[[#This Row],[Part]],PartControl!$A$2:$E$564,2,FALSE)),0)</f>
        <v>106.94</v>
      </c>
    </row>
    <row r="2789" spans="1:26" ht="25.15" hidden="1" customHeight="1" x14ac:dyDescent="0.25">
      <c r="A2789" s="112">
        <v>46274.707060185188</v>
      </c>
      <c r="B2789" s="5" t="s">
        <v>624</v>
      </c>
      <c r="C2789" s="5">
        <v>11549170</v>
      </c>
      <c r="D2789" s="5">
        <v>717359</v>
      </c>
      <c r="E2789" s="33">
        <v>36</v>
      </c>
      <c r="F2789" s="60">
        <v>400</v>
      </c>
      <c r="G2789" s="60">
        <f>+OtherClients[[#This Row],[Boxes / Pieces]]*OtherClients[[#This Row],[Unit Quantity]]</f>
        <v>14400</v>
      </c>
      <c r="H2789" s="60">
        <v>292</v>
      </c>
      <c r="I2789" s="60" t="s">
        <v>278</v>
      </c>
      <c r="J2789" s="104"/>
      <c r="K2789" s="33" t="s">
        <v>278</v>
      </c>
      <c r="L2789" s="111"/>
      <c r="M2789" s="33" t="s">
        <v>278</v>
      </c>
      <c r="N2789" s="111"/>
      <c r="O2789" s="33" t="s">
        <v>278</v>
      </c>
      <c r="P2789" s="111"/>
      <c r="Q2789" s="33" t="s">
        <v>587</v>
      </c>
      <c r="R2789" s="111"/>
      <c r="S2789" s="33" t="s">
        <v>278</v>
      </c>
      <c r="T2789" s="111"/>
      <c r="U2789" s="33" t="s">
        <v>278</v>
      </c>
      <c r="V2789" s="111"/>
      <c r="W2789" s="59" t="s">
        <v>548</v>
      </c>
      <c r="X2789" s="33" t="str">
        <f>+VLOOKUP(OtherClients[[#This Row],[Part]],PartControl!$A$2:$E$564,5,FALSE)</f>
        <v>INFASCO</v>
      </c>
      <c r="Y2789" s="108">
        <f>IF(OtherClients[[#This Row],[Re-certified or New]]&lt;&gt;"Re-certified",IF(OtherClients[[#This Row],[Client]]="infasco",VLOOKUP(OtherClients[[#This Row],[Part]],PartControl!$A$2:$E$564,2,FALSE),OtherClients[[#This Row],[Total Quantity]]*VLOOKUP(OtherClients[[#This Row],[Part]],PartControl!$A$2:$E$564,2,FALSE)),0)</f>
        <v>106.94</v>
      </c>
      <c r="Z2789" s="108">
        <f>IF(OtherClients[[#This Row],[Re-certified or New]]&lt;&gt;"Re-certified",IF(OtherClients[[#This Row],[Client]]="infasco",VLOOKUP(OtherClients[[#This Row],[Part]],PartControl!$A$2:$E$564,2,FALSE),OtherClients[[#This Row],[Total Quantity]]*VLOOKUP(OtherClients[[#This Row],[Part]],PartControl!$A$2:$E$564,2,FALSE)),0)</f>
        <v>106.94</v>
      </c>
    </row>
    <row r="2790" spans="1:26" ht="25.15" hidden="1" customHeight="1" x14ac:dyDescent="0.25">
      <c r="A2790" s="112">
        <v>46274.707060185188</v>
      </c>
      <c r="B2790" s="5" t="s">
        <v>624</v>
      </c>
      <c r="C2790" s="5">
        <v>11549170</v>
      </c>
      <c r="D2790" s="5">
        <v>717356</v>
      </c>
      <c r="E2790" s="33">
        <v>36</v>
      </c>
      <c r="F2790" s="60">
        <v>400</v>
      </c>
      <c r="G2790" s="60">
        <f>+OtherClients[[#This Row],[Boxes / Pieces]]*OtherClients[[#This Row],[Unit Quantity]]</f>
        <v>14400</v>
      </c>
      <c r="H2790" s="60">
        <v>292</v>
      </c>
      <c r="I2790" s="60" t="s">
        <v>278</v>
      </c>
      <c r="J2790" s="104"/>
      <c r="K2790" s="33" t="s">
        <v>278</v>
      </c>
      <c r="L2790" s="111"/>
      <c r="M2790" s="33" t="s">
        <v>278</v>
      </c>
      <c r="N2790" s="111"/>
      <c r="O2790" s="33" t="s">
        <v>278</v>
      </c>
      <c r="P2790" s="111"/>
      <c r="Q2790" s="33" t="s">
        <v>587</v>
      </c>
      <c r="R2790" s="111"/>
      <c r="S2790" s="33" t="s">
        <v>278</v>
      </c>
      <c r="T2790" s="111"/>
      <c r="U2790" s="33" t="s">
        <v>278</v>
      </c>
      <c r="V2790" s="111"/>
      <c r="W2790" s="59" t="s">
        <v>548</v>
      </c>
      <c r="X2790" s="33" t="str">
        <f>+VLOOKUP(OtherClients[[#This Row],[Part]],PartControl!$A$2:$E$564,5,FALSE)</f>
        <v>INFASCO</v>
      </c>
      <c r="Y2790" s="108">
        <f>IF(OtherClients[[#This Row],[Re-certified or New]]&lt;&gt;"Re-certified",IF(OtherClients[[#This Row],[Client]]="infasco",VLOOKUP(OtherClients[[#This Row],[Part]],PartControl!$A$2:$E$564,2,FALSE),OtherClients[[#This Row],[Total Quantity]]*VLOOKUP(OtherClients[[#This Row],[Part]],PartControl!$A$2:$E$564,2,FALSE)),0)</f>
        <v>106.94</v>
      </c>
      <c r="Z2790" s="108">
        <f>IF(OtherClients[[#This Row],[Re-certified or New]]&lt;&gt;"Re-certified",IF(OtherClients[[#This Row],[Client]]="infasco",VLOOKUP(OtherClients[[#This Row],[Part]],PartControl!$A$2:$E$564,2,FALSE),OtherClients[[#This Row],[Total Quantity]]*VLOOKUP(OtherClients[[#This Row],[Part]],PartControl!$A$2:$E$564,2,FALSE)),0)</f>
        <v>106.94</v>
      </c>
    </row>
    <row r="2791" spans="1:26" ht="25.15" hidden="1" customHeight="1" x14ac:dyDescent="0.25">
      <c r="A2791" s="112">
        <v>46274.707060185188</v>
      </c>
      <c r="B2791" s="5" t="s">
        <v>624</v>
      </c>
      <c r="C2791" s="5">
        <v>11549170</v>
      </c>
      <c r="D2791" s="5">
        <v>717363</v>
      </c>
      <c r="E2791" s="33">
        <v>15</v>
      </c>
      <c r="F2791" s="60">
        <v>400</v>
      </c>
      <c r="G2791" s="60">
        <f>+OtherClients[[#This Row],[Boxes / Pieces]]*OtherClients[[#This Row],[Unit Quantity]]</f>
        <v>6000</v>
      </c>
      <c r="H2791" s="60">
        <v>292</v>
      </c>
      <c r="I2791" s="60" t="s">
        <v>278</v>
      </c>
      <c r="J2791" s="104"/>
      <c r="K2791" s="33" t="s">
        <v>278</v>
      </c>
      <c r="L2791" s="111"/>
      <c r="M2791" s="33" t="s">
        <v>278</v>
      </c>
      <c r="N2791" s="111"/>
      <c r="O2791" s="33" t="s">
        <v>278</v>
      </c>
      <c r="P2791" s="111"/>
      <c r="Q2791" s="33" t="s">
        <v>587</v>
      </c>
      <c r="R2791" s="111"/>
      <c r="S2791" s="33" t="s">
        <v>278</v>
      </c>
      <c r="T2791" s="111"/>
      <c r="U2791" s="33" t="s">
        <v>278</v>
      </c>
      <c r="V2791" s="111"/>
      <c r="W2791" s="59" t="s">
        <v>633</v>
      </c>
      <c r="X2791" s="33" t="str">
        <f>+VLOOKUP(OtherClients[[#This Row],[Part]],PartControl!$A$2:$E$564,5,FALSE)</f>
        <v>INFASCO</v>
      </c>
      <c r="Y2791" s="108">
        <f>IF(OtherClients[[#This Row],[Re-certified or New]]&lt;&gt;"Re-certified",IF(OtherClients[[#This Row],[Client]]="infasco",VLOOKUP(OtherClients[[#This Row],[Part]],PartControl!$A$2:$E$564,2,FALSE),OtherClients[[#This Row],[Total Quantity]]*VLOOKUP(OtherClients[[#This Row],[Part]],PartControl!$A$2:$E$564,2,FALSE)),0)</f>
        <v>0</v>
      </c>
      <c r="Z2791" s="108">
        <f>IF(OtherClients[[#This Row],[Re-certified or New]]&lt;&gt;"Re-certified",IF(OtherClients[[#This Row],[Client]]="infasco",VLOOKUP(OtherClients[[#This Row],[Part]],PartControl!$A$2:$E$564,2,FALSE),OtherClients[[#This Row],[Total Quantity]]*VLOOKUP(OtherClients[[#This Row],[Part]],PartControl!$A$2:$E$564,2,FALSE)),0)</f>
        <v>0</v>
      </c>
    </row>
    <row r="2792" spans="1:26" ht="25.15" hidden="1" customHeight="1" x14ac:dyDescent="0.25">
      <c r="A2792" s="112">
        <v>46274.707060185188</v>
      </c>
      <c r="B2792" s="5" t="s">
        <v>243</v>
      </c>
      <c r="C2792" s="5" t="s">
        <v>862</v>
      </c>
      <c r="D2792" s="5">
        <v>718067</v>
      </c>
      <c r="E2792" s="33">
        <v>23</v>
      </c>
      <c r="F2792" s="60">
        <v>4500</v>
      </c>
      <c r="G2792" s="60">
        <f>+OtherClients[[#This Row],[Boxes / Pieces]]*OtherClients[[#This Row],[Unit Quantity]]</f>
        <v>103500</v>
      </c>
      <c r="H2792" s="60">
        <v>292</v>
      </c>
      <c r="I2792" s="60" t="s">
        <v>278</v>
      </c>
      <c r="J2792" s="104"/>
      <c r="K2792" s="33" t="s">
        <v>278</v>
      </c>
      <c r="L2792" s="111"/>
      <c r="M2792" s="33" t="s">
        <v>278</v>
      </c>
      <c r="N2792" s="111"/>
      <c r="O2792" s="33" t="s">
        <v>278</v>
      </c>
      <c r="P2792" s="111"/>
      <c r="Q2792" s="33" t="s">
        <v>587</v>
      </c>
      <c r="R2792" s="111"/>
      <c r="S2792" s="33" t="s">
        <v>278</v>
      </c>
      <c r="T2792" s="111"/>
      <c r="U2792" s="33" t="s">
        <v>278</v>
      </c>
      <c r="V2792" s="111"/>
      <c r="W2792" s="59" t="s">
        <v>633</v>
      </c>
      <c r="X2792" s="33" t="str">
        <f>+VLOOKUP(OtherClients[[#This Row],[Part]],PartControl!$A$2:$E$564,5,FALSE)</f>
        <v>infasco</v>
      </c>
      <c r="Y2792" s="108">
        <f>IF(OtherClients[[#This Row],[Re-certified or New]]&lt;&gt;"Re-certified",IF(OtherClients[[#This Row],[Client]]="infasco",VLOOKUP(OtherClients[[#This Row],[Part]],PartControl!$A$2:$E$564,2,FALSE),OtherClients[[#This Row],[Total Quantity]]*VLOOKUP(OtherClients[[#This Row],[Part]],PartControl!$A$2:$E$564,2,FALSE)),0)</f>
        <v>0</v>
      </c>
      <c r="Z2792" s="108">
        <f>IF(OtherClients[[#This Row],[Re-certified or New]]&lt;&gt;"Re-certified",IF(OtherClients[[#This Row],[Client]]="infasco",VLOOKUP(OtherClients[[#This Row],[Part]],PartControl!$A$2:$E$564,2,FALSE),OtherClients[[#This Row],[Total Quantity]]*VLOOKUP(OtherClients[[#This Row],[Part]],PartControl!$A$2:$E$564,2,FALSE)),0)</f>
        <v>0</v>
      </c>
    </row>
    <row r="2793" spans="1:26" ht="25.15" hidden="1" customHeight="1" x14ac:dyDescent="0.25">
      <c r="A2793" s="112">
        <v>46274.707060185188</v>
      </c>
      <c r="B2793" s="5" t="s">
        <v>623</v>
      </c>
      <c r="C2793" s="5" t="s">
        <v>705</v>
      </c>
      <c r="D2793" s="5">
        <v>717016</v>
      </c>
      <c r="E2793" s="33">
        <f>20-18</f>
        <v>2</v>
      </c>
      <c r="F2793" s="60">
        <v>450</v>
      </c>
      <c r="G2793" s="60">
        <f>+OtherClients[[#This Row],[Boxes / Pieces]]*OtherClients[[#This Row],[Unit Quantity]]</f>
        <v>900</v>
      </c>
      <c r="H2793" s="60">
        <v>292</v>
      </c>
      <c r="I2793" s="60" t="s">
        <v>278</v>
      </c>
      <c r="J2793" s="104"/>
      <c r="K2793" s="33" t="s">
        <v>278</v>
      </c>
      <c r="L2793" s="111"/>
      <c r="M2793" s="33" t="s">
        <v>278</v>
      </c>
      <c r="N2793" s="111"/>
      <c r="O2793" s="33" t="s">
        <v>278</v>
      </c>
      <c r="P2793" s="111"/>
      <c r="Q2793" s="33" t="s">
        <v>587</v>
      </c>
      <c r="R2793" s="111"/>
      <c r="S2793" s="33" t="s">
        <v>278</v>
      </c>
      <c r="T2793" s="111"/>
      <c r="U2793" s="33" t="s">
        <v>278</v>
      </c>
      <c r="V2793" s="111"/>
      <c r="W2793" s="59" t="s">
        <v>548</v>
      </c>
      <c r="X2793" s="33" t="str">
        <f>+VLOOKUP(OtherClients[[#This Row],[Part]],PartControl!$A$2:$E$564,5,FALSE)</f>
        <v>infasco</v>
      </c>
      <c r="Y2793" s="108">
        <f>IF(OtherClients[[#This Row],[Re-certified or New]]&lt;&gt;"Re-certified",IF(OtherClients[[#This Row],[Client]]="infasco",VLOOKUP(OtherClients[[#This Row],[Part]],PartControl!$A$2:$E$564,2,FALSE),OtherClients[[#This Row],[Total Quantity]]*VLOOKUP(OtherClients[[#This Row],[Part]],PartControl!$A$2:$E$564,2,FALSE)),0)</f>
        <v>106.94</v>
      </c>
      <c r="Z2793" s="108">
        <f>IF(OtherClients[[#This Row],[Re-certified or New]]&lt;&gt;"Re-certified",IF(OtherClients[[#This Row],[Client]]="infasco",VLOOKUP(OtherClients[[#This Row],[Part]],PartControl!$A$2:$E$564,2,FALSE),OtherClients[[#This Row],[Total Quantity]]*VLOOKUP(OtherClients[[#This Row],[Part]],PartControl!$A$2:$E$564,2,FALSE)),0)</f>
        <v>106.94</v>
      </c>
    </row>
    <row r="2794" spans="1:26" ht="25.15" hidden="1" customHeight="1" x14ac:dyDescent="0.25">
      <c r="A2794" s="112">
        <v>46274.707060185188</v>
      </c>
      <c r="B2794" s="5" t="s">
        <v>623</v>
      </c>
      <c r="C2794" s="5">
        <v>11549170</v>
      </c>
      <c r="D2794" s="5">
        <v>717349</v>
      </c>
      <c r="E2794" s="33">
        <v>36</v>
      </c>
      <c r="F2794" s="60">
        <v>400</v>
      </c>
      <c r="G2794" s="60">
        <f>+OtherClients[[#This Row],[Boxes / Pieces]]*OtherClients[[#This Row],[Unit Quantity]]</f>
        <v>14400</v>
      </c>
      <c r="H2794" s="60">
        <v>292</v>
      </c>
      <c r="I2794" s="60" t="s">
        <v>278</v>
      </c>
      <c r="J2794" s="104"/>
      <c r="K2794" s="33" t="s">
        <v>278</v>
      </c>
      <c r="L2794" s="111"/>
      <c r="M2794" s="33" t="s">
        <v>278</v>
      </c>
      <c r="N2794" s="111"/>
      <c r="O2794" s="33" t="s">
        <v>278</v>
      </c>
      <c r="P2794" s="111"/>
      <c r="Q2794" s="33" t="s">
        <v>587</v>
      </c>
      <c r="R2794" s="111"/>
      <c r="S2794" s="33" t="s">
        <v>278</v>
      </c>
      <c r="T2794" s="111"/>
      <c r="U2794" s="33" t="s">
        <v>278</v>
      </c>
      <c r="V2794" s="111"/>
      <c r="W2794" s="59" t="s">
        <v>548</v>
      </c>
      <c r="X2794" s="33" t="str">
        <f>+VLOOKUP(OtherClients[[#This Row],[Part]],PartControl!$A$2:$E$564,5,FALSE)</f>
        <v>INFASCO</v>
      </c>
      <c r="Y2794" s="108">
        <f>IF(OtherClients[[#This Row],[Re-certified or New]]&lt;&gt;"Re-certified",IF(OtherClients[[#This Row],[Client]]="infasco",VLOOKUP(OtherClients[[#This Row],[Part]],PartControl!$A$2:$E$564,2,FALSE),OtherClients[[#This Row],[Total Quantity]]*VLOOKUP(OtherClients[[#This Row],[Part]],PartControl!$A$2:$E$564,2,FALSE)),0)</f>
        <v>106.94</v>
      </c>
      <c r="Z2794" s="108">
        <f>IF(OtherClients[[#This Row],[Re-certified or New]]&lt;&gt;"Re-certified",IF(OtherClients[[#This Row],[Client]]="infasco",VLOOKUP(OtherClients[[#This Row],[Part]],PartControl!$A$2:$E$564,2,FALSE),OtherClients[[#This Row],[Total Quantity]]*VLOOKUP(OtherClients[[#This Row],[Part]],PartControl!$A$2:$E$564,2,FALSE)),0)</f>
        <v>106.94</v>
      </c>
    </row>
    <row r="2795" spans="1:26" ht="25.15" hidden="1" customHeight="1" x14ac:dyDescent="0.25">
      <c r="A2795" s="112">
        <v>46274.707060185188</v>
      </c>
      <c r="B2795" s="5" t="s">
        <v>623</v>
      </c>
      <c r="C2795" s="5">
        <v>11549170</v>
      </c>
      <c r="D2795" s="5">
        <v>717347</v>
      </c>
      <c r="E2795" s="33">
        <v>36</v>
      </c>
      <c r="F2795" s="60">
        <v>400</v>
      </c>
      <c r="G2795" s="60">
        <f>+OtherClients[[#This Row],[Boxes / Pieces]]*OtherClients[[#This Row],[Unit Quantity]]</f>
        <v>14400</v>
      </c>
      <c r="H2795" s="60">
        <v>292</v>
      </c>
      <c r="I2795" s="60" t="s">
        <v>278</v>
      </c>
      <c r="J2795" s="104"/>
      <c r="K2795" s="33" t="s">
        <v>278</v>
      </c>
      <c r="L2795" s="111"/>
      <c r="M2795" s="33" t="s">
        <v>278</v>
      </c>
      <c r="N2795" s="111"/>
      <c r="O2795" s="33" t="s">
        <v>278</v>
      </c>
      <c r="P2795" s="111"/>
      <c r="Q2795" s="33" t="s">
        <v>587</v>
      </c>
      <c r="R2795" s="111"/>
      <c r="S2795" s="33" t="s">
        <v>278</v>
      </c>
      <c r="T2795" s="111"/>
      <c r="U2795" s="33" t="s">
        <v>278</v>
      </c>
      <c r="V2795" s="111"/>
      <c r="W2795" s="59" t="s">
        <v>548</v>
      </c>
      <c r="X2795" s="33" t="str">
        <f>+VLOOKUP(OtherClients[[#This Row],[Part]],PartControl!$A$2:$E$564,5,FALSE)</f>
        <v>INFASCO</v>
      </c>
      <c r="Y2795" s="108">
        <f>IF(OtherClients[[#This Row],[Re-certified or New]]&lt;&gt;"Re-certified",IF(OtherClients[[#This Row],[Client]]="infasco",VLOOKUP(OtherClients[[#This Row],[Part]],PartControl!$A$2:$E$564,2,FALSE),OtherClients[[#This Row],[Total Quantity]]*VLOOKUP(OtherClients[[#This Row],[Part]],PartControl!$A$2:$E$564,2,FALSE)),0)</f>
        <v>106.94</v>
      </c>
      <c r="Z2795" s="108">
        <f>IF(OtherClients[[#This Row],[Re-certified or New]]&lt;&gt;"Re-certified",IF(OtherClients[[#This Row],[Client]]="infasco",VLOOKUP(OtherClients[[#This Row],[Part]],PartControl!$A$2:$E$564,2,FALSE),OtherClients[[#This Row],[Total Quantity]]*VLOOKUP(OtherClients[[#This Row],[Part]],PartControl!$A$2:$E$564,2,FALSE)),0)</f>
        <v>106.94</v>
      </c>
    </row>
    <row r="2796" spans="1:26" ht="25.15" hidden="1" customHeight="1" x14ac:dyDescent="0.25">
      <c r="A2796" s="112">
        <v>46274.707060185188</v>
      </c>
      <c r="B2796" s="5" t="s">
        <v>623</v>
      </c>
      <c r="C2796" s="5">
        <v>11549170</v>
      </c>
      <c r="D2796" s="5">
        <v>717354</v>
      </c>
      <c r="E2796" s="33">
        <v>36</v>
      </c>
      <c r="F2796" s="60">
        <v>400</v>
      </c>
      <c r="G2796" s="60">
        <f>+OtherClients[[#This Row],[Boxes / Pieces]]*OtherClients[[#This Row],[Unit Quantity]]</f>
        <v>14400</v>
      </c>
      <c r="H2796" s="60">
        <v>292</v>
      </c>
      <c r="I2796" s="60" t="s">
        <v>278</v>
      </c>
      <c r="J2796" s="104"/>
      <c r="K2796" s="33" t="s">
        <v>278</v>
      </c>
      <c r="L2796" s="111"/>
      <c r="M2796" s="33" t="s">
        <v>278</v>
      </c>
      <c r="N2796" s="111"/>
      <c r="O2796" s="33" t="s">
        <v>278</v>
      </c>
      <c r="P2796" s="111"/>
      <c r="Q2796" s="33" t="s">
        <v>587</v>
      </c>
      <c r="R2796" s="111"/>
      <c r="S2796" s="33" t="s">
        <v>278</v>
      </c>
      <c r="T2796" s="111"/>
      <c r="U2796" s="33" t="s">
        <v>278</v>
      </c>
      <c r="V2796" s="111"/>
      <c r="W2796" s="59" t="s">
        <v>548</v>
      </c>
      <c r="X2796" s="33" t="str">
        <f>+VLOOKUP(OtherClients[[#This Row],[Part]],PartControl!$A$2:$E$564,5,FALSE)</f>
        <v>INFASCO</v>
      </c>
      <c r="Y2796" s="108">
        <f>IF(OtherClients[[#This Row],[Re-certified or New]]&lt;&gt;"Re-certified",IF(OtherClients[[#This Row],[Client]]="infasco",VLOOKUP(OtherClients[[#This Row],[Part]],PartControl!$A$2:$E$564,2,FALSE),OtherClients[[#This Row],[Total Quantity]]*VLOOKUP(OtherClients[[#This Row],[Part]],PartControl!$A$2:$E$564,2,FALSE)),0)</f>
        <v>106.94</v>
      </c>
      <c r="Z2796" s="108">
        <f>IF(OtherClients[[#This Row],[Re-certified or New]]&lt;&gt;"Re-certified",IF(OtherClients[[#This Row],[Client]]="infasco",VLOOKUP(OtherClients[[#This Row],[Part]],PartControl!$A$2:$E$564,2,FALSE),OtherClients[[#This Row],[Total Quantity]]*VLOOKUP(OtherClients[[#This Row],[Part]],PartControl!$A$2:$E$564,2,FALSE)),0)</f>
        <v>106.94</v>
      </c>
    </row>
    <row r="2797" spans="1:26" ht="25.15" hidden="1" customHeight="1" x14ac:dyDescent="0.25">
      <c r="A2797" s="112">
        <v>46274.707060185188</v>
      </c>
      <c r="B2797" s="5" t="s">
        <v>232</v>
      </c>
      <c r="C2797" s="5" t="s">
        <v>728</v>
      </c>
      <c r="D2797" s="5">
        <v>717780</v>
      </c>
      <c r="E2797" s="33">
        <f>72-8</f>
        <v>64</v>
      </c>
      <c r="F2797" s="60">
        <v>1500</v>
      </c>
      <c r="G2797" s="60">
        <f>+OtherClients[[#This Row],[Boxes / Pieces]]*OtherClients[[#This Row],[Unit Quantity]]</f>
        <v>96000</v>
      </c>
      <c r="H2797" s="60">
        <v>275</v>
      </c>
      <c r="I2797" s="60" t="s">
        <v>278</v>
      </c>
      <c r="J2797" s="104"/>
      <c r="K2797" s="33" t="s">
        <v>278</v>
      </c>
      <c r="L2797" s="111"/>
      <c r="M2797" s="33" t="s">
        <v>278</v>
      </c>
      <c r="N2797" s="111"/>
      <c r="O2797" s="33" t="s">
        <v>278</v>
      </c>
      <c r="P2797" s="111"/>
      <c r="Q2797" s="33" t="s">
        <v>587</v>
      </c>
      <c r="R2797" s="111"/>
      <c r="S2797" s="33" t="s">
        <v>278</v>
      </c>
      <c r="T2797" s="111"/>
      <c r="U2797" s="33" t="s">
        <v>278</v>
      </c>
      <c r="V2797" s="111"/>
      <c r="W2797" s="59" t="s">
        <v>548</v>
      </c>
      <c r="X2797" s="33" t="str">
        <f>+VLOOKUP(OtherClients[[#This Row],[Part]],PartControl!$A$2:$E$564,5,FALSE)</f>
        <v>infasco</v>
      </c>
      <c r="Y2797" s="108">
        <f>IF(OtherClients[[#This Row],[Re-certified or New]]&lt;&gt;"Re-certified",IF(OtherClients[[#This Row],[Client]]="infasco",VLOOKUP(OtherClients[[#This Row],[Part]],PartControl!$A$2:$E$564,2,FALSE),OtherClients[[#This Row],[Total Quantity]]*VLOOKUP(OtherClients[[#This Row],[Part]],PartControl!$A$2:$E$564,2,FALSE)),0)</f>
        <v>106.94</v>
      </c>
      <c r="Z2797" s="108">
        <f>IF(OtherClients[[#This Row],[Re-certified or New]]&lt;&gt;"Re-certified",IF(OtherClients[[#This Row],[Client]]="infasco",VLOOKUP(OtherClients[[#This Row],[Part]],PartControl!$A$2:$E$564,2,FALSE),OtherClients[[#This Row],[Total Quantity]]*VLOOKUP(OtherClients[[#This Row],[Part]],PartControl!$A$2:$E$564,2,FALSE)),0)</f>
        <v>106.94</v>
      </c>
    </row>
    <row r="2798" spans="1:26" ht="25.15" hidden="1" customHeight="1" x14ac:dyDescent="0.25">
      <c r="A2798" s="112">
        <v>46274.707060185188</v>
      </c>
      <c r="B2798" s="5" t="s">
        <v>232</v>
      </c>
      <c r="C2798" s="5" t="s">
        <v>728</v>
      </c>
      <c r="D2798" s="5">
        <v>718010</v>
      </c>
      <c r="E2798" s="33">
        <v>10</v>
      </c>
      <c r="F2798" s="60">
        <v>1500</v>
      </c>
      <c r="G2798" s="60">
        <f>+OtherClients[[#This Row],[Boxes / Pieces]]*OtherClients[[#This Row],[Unit Quantity]]</f>
        <v>15000</v>
      </c>
      <c r="H2798" s="60">
        <v>275</v>
      </c>
      <c r="I2798" s="60" t="s">
        <v>278</v>
      </c>
      <c r="J2798" s="104"/>
      <c r="K2798" s="33" t="s">
        <v>278</v>
      </c>
      <c r="L2798" s="111"/>
      <c r="M2798" s="33" t="s">
        <v>278</v>
      </c>
      <c r="N2798" s="111"/>
      <c r="O2798" s="33" t="s">
        <v>278</v>
      </c>
      <c r="P2798" s="111"/>
      <c r="Q2798" s="33" t="s">
        <v>587</v>
      </c>
      <c r="R2798" s="111"/>
      <c r="S2798" s="33" t="s">
        <v>278</v>
      </c>
      <c r="T2798" s="111"/>
      <c r="U2798" s="33" t="s">
        <v>278</v>
      </c>
      <c r="V2798" s="111"/>
      <c r="W2798" s="59" t="s">
        <v>633</v>
      </c>
      <c r="X2798" s="33" t="str">
        <f>+VLOOKUP(OtherClients[[#This Row],[Part]],PartControl!$A$2:$E$564,5,FALSE)</f>
        <v>infasco</v>
      </c>
      <c r="Y2798" s="108">
        <f>IF(OtherClients[[#This Row],[Re-certified or New]]&lt;&gt;"Re-certified",IF(OtherClients[[#This Row],[Client]]="infasco",VLOOKUP(OtherClients[[#This Row],[Part]],PartControl!$A$2:$E$564,2,FALSE),OtherClients[[#This Row],[Total Quantity]]*VLOOKUP(OtherClients[[#This Row],[Part]],PartControl!$A$2:$E$564,2,FALSE)),0)</f>
        <v>0</v>
      </c>
      <c r="Z2798" s="108">
        <f>IF(OtherClients[[#This Row],[Re-certified or New]]&lt;&gt;"Re-certified",IF(OtherClients[[#This Row],[Client]]="infasco",VLOOKUP(OtherClients[[#This Row],[Part]],PartControl!$A$2:$E$564,2,FALSE),OtherClients[[#This Row],[Total Quantity]]*VLOOKUP(OtherClients[[#This Row],[Part]],PartControl!$A$2:$E$564,2,FALSE)),0)</f>
        <v>0</v>
      </c>
    </row>
    <row r="2799" spans="1:26" ht="25.15" hidden="1" customHeight="1" x14ac:dyDescent="0.25">
      <c r="A2799" s="112">
        <v>46274.707060185188</v>
      </c>
      <c r="B2799" s="5" t="s">
        <v>242</v>
      </c>
      <c r="C2799" s="5" t="s">
        <v>705</v>
      </c>
      <c r="D2799" s="5">
        <v>717513</v>
      </c>
      <c r="E2799" s="33">
        <f>36-16</f>
        <v>20</v>
      </c>
      <c r="F2799" s="60">
        <v>450</v>
      </c>
      <c r="G2799" s="60">
        <f>+OtherClients[[#This Row],[Boxes / Pieces]]*OtherClients[[#This Row],[Unit Quantity]]</f>
        <v>9000</v>
      </c>
      <c r="H2799" s="60">
        <v>275</v>
      </c>
      <c r="I2799" s="60" t="s">
        <v>278</v>
      </c>
      <c r="J2799" s="104"/>
      <c r="K2799" s="33" t="s">
        <v>278</v>
      </c>
      <c r="L2799" s="111"/>
      <c r="M2799" s="33" t="s">
        <v>278</v>
      </c>
      <c r="N2799" s="111"/>
      <c r="O2799" s="33" t="s">
        <v>278</v>
      </c>
      <c r="P2799" s="111"/>
      <c r="Q2799" s="33" t="s">
        <v>587</v>
      </c>
      <c r="R2799" s="111"/>
      <c r="S2799" s="33" t="s">
        <v>278</v>
      </c>
      <c r="T2799" s="111"/>
      <c r="U2799" s="33" t="s">
        <v>278</v>
      </c>
      <c r="V2799" s="111"/>
      <c r="W2799" s="59" t="s">
        <v>548</v>
      </c>
      <c r="X2799" s="33" t="str">
        <f>+VLOOKUP(OtherClients[[#This Row],[Part]],PartControl!$A$2:$E$564,5,FALSE)</f>
        <v>infasco</v>
      </c>
      <c r="Y2799" s="108">
        <f>IF(OtherClients[[#This Row],[Re-certified or New]]&lt;&gt;"Re-certified",IF(OtherClients[[#This Row],[Client]]="infasco",VLOOKUP(OtherClients[[#This Row],[Part]],PartControl!$A$2:$E$564,2,FALSE),OtherClients[[#This Row],[Total Quantity]]*VLOOKUP(OtherClients[[#This Row],[Part]],PartControl!$A$2:$E$564,2,FALSE)),0)</f>
        <v>106.94</v>
      </c>
      <c r="Z2799" s="108">
        <f>IF(OtherClients[[#This Row],[Re-certified or New]]&lt;&gt;"Re-certified",IF(OtherClients[[#This Row],[Client]]="infasco",VLOOKUP(OtherClients[[#This Row],[Part]],PartControl!$A$2:$E$564,2,FALSE),OtherClients[[#This Row],[Total Quantity]]*VLOOKUP(OtherClients[[#This Row],[Part]],PartControl!$A$2:$E$564,2,FALSE)),0)</f>
        <v>106.94</v>
      </c>
    </row>
    <row r="2800" spans="1:26" ht="25.15" hidden="1" customHeight="1" x14ac:dyDescent="0.25">
      <c r="A2800" s="112">
        <v>46274.707060185188</v>
      </c>
      <c r="B2800" s="5" t="s">
        <v>242</v>
      </c>
      <c r="C2800" s="5">
        <v>11549170</v>
      </c>
      <c r="D2800" s="5">
        <v>717368</v>
      </c>
      <c r="E2800" s="33">
        <v>36</v>
      </c>
      <c r="F2800" s="60">
        <v>400</v>
      </c>
      <c r="G2800" s="60">
        <f>+OtherClients[[#This Row],[Boxes / Pieces]]*OtherClients[[#This Row],[Unit Quantity]]</f>
        <v>14400</v>
      </c>
      <c r="H2800" s="60">
        <v>275</v>
      </c>
      <c r="I2800" s="60" t="s">
        <v>278</v>
      </c>
      <c r="J2800" s="104"/>
      <c r="K2800" s="33" t="s">
        <v>278</v>
      </c>
      <c r="L2800" s="111"/>
      <c r="M2800" s="33" t="s">
        <v>278</v>
      </c>
      <c r="N2800" s="111"/>
      <c r="O2800" s="33" t="s">
        <v>278</v>
      </c>
      <c r="P2800" s="111"/>
      <c r="Q2800" s="33" t="s">
        <v>587</v>
      </c>
      <c r="R2800" s="111"/>
      <c r="S2800" s="33" t="s">
        <v>278</v>
      </c>
      <c r="T2800" s="111"/>
      <c r="U2800" s="33" t="s">
        <v>278</v>
      </c>
      <c r="V2800" s="111"/>
      <c r="W2800" s="59" t="s">
        <v>548</v>
      </c>
      <c r="X2800" s="33" t="str">
        <f>+VLOOKUP(OtherClients[[#This Row],[Part]],PartControl!$A$2:$E$564,5,FALSE)</f>
        <v>INFASCO</v>
      </c>
      <c r="Y2800" s="108">
        <f>IF(OtherClients[[#This Row],[Re-certified or New]]&lt;&gt;"Re-certified",IF(OtherClients[[#This Row],[Client]]="infasco",VLOOKUP(OtherClients[[#This Row],[Part]],PartControl!$A$2:$E$564,2,FALSE),OtherClients[[#This Row],[Total Quantity]]*VLOOKUP(OtherClients[[#This Row],[Part]],PartControl!$A$2:$E$564,2,FALSE)),0)</f>
        <v>106.94</v>
      </c>
      <c r="Z2800" s="108">
        <f>IF(OtherClients[[#This Row],[Re-certified or New]]&lt;&gt;"Re-certified",IF(OtherClients[[#This Row],[Client]]="infasco",VLOOKUP(OtherClients[[#This Row],[Part]],PartControl!$A$2:$E$564,2,FALSE),OtherClients[[#This Row],[Total Quantity]]*VLOOKUP(OtherClients[[#This Row],[Part]],PartControl!$A$2:$E$564,2,FALSE)),0)</f>
        <v>106.94</v>
      </c>
    </row>
    <row r="2801" spans="1:26" ht="25.15" hidden="1" customHeight="1" x14ac:dyDescent="0.25">
      <c r="A2801" s="112">
        <v>46274.707060185188</v>
      </c>
      <c r="B2801" s="5" t="s">
        <v>242</v>
      </c>
      <c r="C2801" s="5">
        <v>11549170</v>
      </c>
      <c r="D2801" s="5">
        <v>717355</v>
      </c>
      <c r="E2801" s="33">
        <v>30</v>
      </c>
      <c r="F2801" s="60">
        <v>400</v>
      </c>
      <c r="G2801" s="60">
        <f>+OtherClients[[#This Row],[Boxes / Pieces]]*OtherClients[[#This Row],[Unit Quantity]]</f>
        <v>12000</v>
      </c>
      <c r="H2801" s="60">
        <v>275</v>
      </c>
      <c r="I2801" s="60" t="s">
        <v>278</v>
      </c>
      <c r="J2801" s="104"/>
      <c r="K2801" s="33" t="s">
        <v>278</v>
      </c>
      <c r="L2801" s="111"/>
      <c r="M2801" s="33" t="s">
        <v>278</v>
      </c>
      <c r="N2801" s="111"/>
      <c r="O2801" s="33" t="s">
        <v>278</v>
      </c>
      <c r="P2801" s="111"/>
      <c r="Q2801" s="33" t="s">
        <v>587</v>
      </c>
      <c r="R2801" s="111"/>
      <c r="S2801" s="33" t="s">
        <v>278</v>
      </c>
      <c r="T2801" s="111"/>
      <c r="U2801" s="33" t="s">
        <v>278</v>
      </c>
      <c r="V2801" s="111"/>
      <c r="W2801" s="59" t="s">
        <v>633</v>
      </c>
      <c r="X2801" s="33" t="str">
        <f>+VLOOKUP(OtherClients[[#This Row],[Part]],PartControl!$A$2:$E$564,5,FALSE)</f>
        <v>INFASCO</v>
      </c>
      <c r="Y2801" s="108">
        <f>IF(OtherClients[[#This Row],[Re-certified or New]]&lt;&gt;"Re-certified",IF(OtherClients[[#This Row],[Client]]="infasco",VLOOKUP(OtherClients[[#This Row],[Part]],PartControl!$A$2:$E$564,2,FALSE),OtherClients[[#This Row],[Total Quantity]]*VLOOKUP(OtherClients[[#This Row],[Part]],PartControl!$A$2:$E$564,2,FALSE)),0)</f>
        <v>0</v>
      </c>
      <c r="Z2801" s="108">
        <f>IF(OtherClients[[#This Row],[Re-certified or New]]&lt;&gt;"Re-certified",IF(OtherClients[[#This Row],[Client]]="infasco",VLOOKUP(OtherClients[[#This Row],[Part]],PartControl!$A$2:$E$564,2,FALSE),OtherClients[[#This Row],[Total Quantity]]*VLOOKUP(OtherClients[[#This Row],[Part]],PartControl!$A$2:$E$564,2,FALSE)),0)</f>
        <v>0</v>
      </c>
    </row>
    <row r="2802" spans="1:26" ht="25.15" hidden="1" customHeight="1" x14ac:dyDescent="0.25">
      <c r="A2802" s="112">
        <v>46274.707060185188</v>
      </c>
      <c r="B2802" s="5" t="s">
        <v>233</v>
      </c>
      <c r="C2802" s="5" t="s">
        <v>715</v>
      </c>
      <c r="D2802" s="5">
        <v>717234</v>
      </c>
      <c r="E2802" s="33">
        <f>43-9</f>
        <v>34</v>
      </c>
      <c r="F2802" s="60">
        <v>1050</v>
      </c>
      <c r="G2802" s="60">
        <f>+OtherClients[[#This Row],[Boxes / Pieces]]*OtherClients[[#This Row],[Unit Quantity]]</f>
        <v>35700</v>
      </c>
      <c r="H2802" s="60">
        <v>275</v>
      </c>
      <c r="I2802" s="60" t="s">
        <v>278</v>
      </c>
      <c r="J2802" s="104"/>
      <c r="K2802" s="33" t="s">
        <v>278</v>
      </c>
      <c r="L2802" s="111"/>
      <c r="M2802" s="33" t="s">
        <v>278</v>
      </c>
      <c r="N2802" s="111"/>
      <c r="O2802" s="33" t="s">
        <v>278</v>
      </c>
      <c r="P2802" s="111"/>
      <c r="Q2802" s="33" t="s">
        <v>587</v>
      </c>
      <c r="R2802" s="111"/>
      <c r="S2802" s="33" t="s">
        <v>278</v>
      </c>
      <c r="T2802" s="111"/>
      <c r="U2802" s="33" t="s">
        <v>278</v>
      </c>
      <c r="V2802" s="111"/>
      <c r="W2802" s="59" t="s">
        <v>548</v>
      </c>
      <c r="X2802" s="33" t="str">
        <f>+VLOOKUP(OtherClients[[#This Row],[Part]],PartControl!$A$2:$E$564,5,FALSE)</f>
        <v>infasco</v>
      </c>
      <c r="Y2802" s="108">
        <f>IF(OtherClients[[#This Row],[Re-certified or New]]&lt;&gt;"Re-certified",IF(OtherClients[[#This Row],[Client]]="infasco",VLOOKUP(OtherClients[[#This Row],[Part]],PartControl!$A$2:$E$564,2,FALSE),OtherClients[[#This Row],[Total Quantity]]*VLOOKUP(OtherClients[[#This Row],[Part]],PartControl!$A$2:$E$564,2,FALSE)),0)</f>
        <v>106.94</v>
      </c>
      <c r="Z2802" s="108">
        <f>IF(OtherClients[[#This Row],[Re-certified or New]]&lt;&gt;"Re-certified",IF(OtherClients[[#This Row],[Client]]="infasco",VLOOKUP(OtherClients[[#This Row],[Part]],PartControl!$A$2:$E$564,2,FALSE),OtherClients[[#This Row],[Total Quantity]]*VLOOKUP(OtherClients[[#This Row],[Part]],PartControl!$A$2:$E$564,2,FALSE)),0)</f>
        <v>106.94</v>
      </c>
    </row>
    <row r="2803" spans="1:26" ht="25.15" hidden="1" customHeight="1" x14ac:dyDescent="0.25">
      <c r="A2803" s="112">
        <v>46274.707060185188</v>
      </c>
      <c r="B2803" s="5" t="s">
        <v>233</v>
      </c>
      <c r="C2803" s="5" t="s">
        <v>728</v>
      </c>
      <c r="D2803" s="5">
        <v>718008</v>
      </c>
      <c r="E2803" s="33">
        <v>12</v>
      </c>
      <c r="F2803" s="60">
        <v>1500</v>
      </c>
      <c r="G2803" s="60">
        <f>+OtherClients[[#This Row],[Boxes / Pieces]]*OtherClients[[#This Row],[Unit Quantity]]</f>
        <v>18000</v>
      </c>
      <c r="H2803" s="60">
        <v>275</v>
      </c>
      <c r="I2803" s="60" t="s">
        <v>278</v>
      </c>
      <c r="J2803" s="104"/>
      <c r="K2803" s="33" t="s">
        <v>278</v>
      </c>
      <c r="L2803" s="111"/>
      <c r="M2803" s="33" t="s">
        <v>278</v>
      </c>
      <c r="N2803" s="111"/>
      <c r="O2803" s="33" t="s">
        <v>278</v>
      </c>
      <c r="P2803" s="111"/>
      <c r="Q2803" s="33" t="s">
        <v>587</v>
      </c>
      <c r="R2803" s="111"/>
      <c r="S2803" s="33" t="s">
        <v>278</v>
      </c>
      <c r="T2803" s="111"/>
      <c r="U2803" s="33" t="s">
        <v>278</v>
      </c>
      <c r="V2803" s="111"/>
      <c r="W2803" s="59" t="s">
        <v>633</v>
      </c>
      <c r="X2803" s="33" t="str">
        <f>+VLOOKUP(OtherClients[[#This Row],[Part]],PartControl!$A$2:$E$564,5,FALSE)</f>
        <v>infasco</v>
      </c>
      <c r="Y2803" s="108">
        <f>IF(OtherClients[[#This Row],[Re-certified or New]]&lt;&gt;"Re-certified",IF(OtherClients[[#This Row],[Client]]="infasco",VLOOKUP(OtherClients[[#This Row],[Part]],PartControl!$A$2:$E$564,2,FALSE),OtherClients[[#This Row],[Total Quantity]]*VLOOKUP(OtherClients[[#This Row],[Part]],PartControl!$A$2:$E$564,2,FALSE)),0)</f>
        <v>0</v>
      </c>
      <c r="Z2803" s="108">
        <f>IF(OtherClients[[#This Row],[Re-certified or New]]&lt;&gt;"Re-certified",IF(OtherClients[[#This Row],[Client]]="infasco",VLOOKUP(OtherClients[[#This Row],[Part]],PartControl!$A$2:$E$564,2,FALSE),OtherClients[[#This Row],[Total Quantity]]*VLOOKUP(OtherClients[[#This Row],[Part]],PartControl!$A$2:$E$564,2,FALSE)),0)</f>
        <v>0</v>
      </c>
    </row>
    <row r="2804" spans="1:26" ht="25.15" hidden="1" customHeight="1" x14ac:dyDescent="0.25">
      <c r="A2804" s="112">
        <v>46274.707060185188</v>
      </c>
      <c r="B2804" s="5" t="s">
        <v>238</v>
      </c>
      <c r="C2804" s="5" t="s">
        <v>705</v>
      </c>
      <c r="D2804" s="5">
        <v>717025</v>
      </c>
      <c r="E2804" s="33">
        <f>31-16</f>
        <v>15</v>
      </c>
      <c r="F2804" s="60">
        <v>450</v>
      </c>
      <c r="G2804" s="60">
        <f>+OtherClients[[#This Row],[Boxes / Pieces]]*OtherClients[[#This Row],[Unit Quantity]]</f>
        <v>6750</v>
      </c>
      <c r="H2804" s="60">
        <v>275</v>
      </c>
      <c r="I2804" s="60" t="s">
        <v>278</v>
      </c>
      <c r="J2804" s="104"/>
      <c r="K2804" s="33" t="s">
        <v>278</v>
      </c>
      <c r="L2804" s="111"/>
      <c r="M2804" s="33" t="s">
        <v>278</v>
      </c>
      <c r="N2804" s="111"/>
      <c r="O2804" s="33" t="s">
        <v>278</v>
      </c>
      <c r="P2804" s="111"/>
      <c r="Q2804" s="33" t="s">
        <v>587</v>
      </c>
      <c r="R2804" s="111"/>
      <c r="S2804" s="33" t="s">
        <v>278</v>
      </c>
      <c r="T2804" s="111"/>
      <c r="U2804" s="33" t="s">
        <v>278</v>
      </c>
      <c r="V2804" s="111"/>
      <c r="W2804" s="59" t="s">
        <v>548</v>
      </c>
      <c r="X2804" s="33" t="str">
        <f>+VLOOKUP(OtherClients[[#This Row],[Part]],PartControl!$A$2:$E$564,5,FALSE)</f>
        <v>infasco</v>
      </c>
      <c r="Y2804" s="108">
        <f>IF(OtherClients[[#This Row],[Re-certified or New]]&lt;&gt;"Re-certified",IF(OtherClients[[#This Row],[Client]]="infasco",VLOOKUP(OtherClients[[#This Row],[Part]],PartControl!$A$2:$E$564,2,FALSE),OtherClients[[#This Row],[Total Quantity]]*VLOOKUP(OtherClients[[#This Row],[Part]],PartControl!$A$2:$E$564,2,FALSE)),0)</f>
        <v>106.94</v>
      </c>
      <c r="Z2804" s="108">
        <f>IF(OtherClients[[#This Row],[Re-certified or New]]&lt;&gt;"Re-certified",IF(OtherClients[[#This Row],[Client]]="infasco",VLOOKUP(OtherClients[[#This Row],[Part]],PartControl!$A$2:$E$564,2,FALSE),OtherClients[[#This Row],[Total Quantity]]*VLOOKUP(OtherClients[[#This Row],[Part]],PartControl!$A$2:$E$564,2,FALSE)),0)</f>
        <v>106.94</v>
      </c>
    </row>
    <row r="2805" spans="1:26" ht="25.15" hidden="1" customHeight="1" x14ac:dyDescent="0.25">
      <c r="A2805" s="112">
        <v>46274.707060185188</v>
      </c>
      <c r="B2805" s="5" t="s">
        <v>238</v>
      </c>
      <c r="C2805" s="5">
        <v>11549170</v>
      </c>
      <c r="D2805" s="5">
        <v>717350</v>
      </c>
      <c r="E2805" s="33">
        <v>36</v>
      </c>
      <c r="F2805" s="60">
        <v>400</v>
      </c>
      <c r="G2805" s="60">
        <f>+OtherClients[[#This Row],[Boxes / Pieces]]*OtherClients[[#This Row],[Unit Quantity]]</f>
        <v>14400</v>
      </c>
      <c r="H2805" s="60">
        <v>275</v>
      </c>
      <c r="I2805" s="60" t="s">
        <v>278</v>
      </c>
      <c r="J2805" s="104"/>
      <c r="K2805" s="33" t="s">
        <v>278</v>
      </c>
      <c r="L2805" s="111"/>
      <c r="M2805" s="33" t="s">
        <v>278</v>
      </c>
      <c r="N2805" s="111"/>
      <c r="O2805" s="33" t="s">
        <v>278</v>
      </c>
      <c r="P2805" s="111"/>
      <c r="Q2805" s="33" t="s">
        <v>587</v>
      </c>
      <c r="R2805" s="111"/>
      <c r="S2805" s="33" t="s">
        <v>278</v>
      </c>
      <c r="T2805" s="111"/>
      <c r="U2805" s="33" t="s">
        <v>278</v>
      </c>
      <c r="V2805" s="111"/>
      <c r="W2805" s="59" t="s">
        <v>548</v>
      </c>
      <c r="X2805" s="33" t="str">
        <f>+VLOOKUP(OtherClients[[#This Row],[Part]],PartControl!$A$2:$E$564,5,FALSE)</f>
        <v>INFASCO</v>
      </c>
      <c r="Y2805" s="108">
        <f>IF(OtherClients[[#This Row],[Re-certified or New]]&lt;&gt;"Re-certified",IF(OtherClients[[#This Row],[Client]]="infasco",VLOOKUP(OtherClients[[#This Row],[Part]],PartControl!$A$2:$E$564,2,FALSE),OtherClients[[#This Row],[Total Quantity]]*VLOOKUP(OtherClients[[#This Row],[Part]],PartControl!$A$2:$E$564,2,FALSE)),0)</f>
        <v>106.94</v>
      </c>
      <c r="Z2805" s="108">
        <f>IF(OtherClients[[#This Row],[Re-certified or New]]&lt;&gt;"Re-certified",IF(OtherClients[[#This Row],[Client]]="infasco",VLOOKUP(OtherClients[[#This Row],[Part]],PartControl!$A$2:$E$564,2,FALSE),OtherClients[[#This Row],[Total Quantity]]*VLOOKUP(OtherClients[[#This Row],[Part]],PartControl!$A$2:$E$564,2,FALSE)),0)</f>
        <v>106.94</v>
      </c>
    </row>
    <row r="2806" spans="1:26" ht="25.15" hidden="1" customHeight="1" x14ac:dyDescent="0.25">
      <c r="A2806" s="112">
        <v>46274.707060185188</v>
      </c>
      <c r="B2806" s="5" t="s">
        <v>238</v>
      </c>
      <c r="C2806" s="5">
        <v>11549170</v>
      </c>
      <c r="D2806" s="5">
        <v>717367</v>
      </c>
      <c r="E2806" s="33">
        <v>36</v>
      </c>
      <c r="F2806" s="60">
        <v>400</v>
      </c>
      <c r="G2806" s="60">
        <f>+OtherClients[[#This Row],[Boxes / Pieces]]*OtherClients[[#This Row],[Unit Quantity]]</f>
        <v>14400</v>
      </c>
      <c r="H2806" s="60">
        <v>275</v>
      </c>
      <c r="I2806" s="60" t="s">
        <v>278</v>
      </c>
      <c r="J2806" s="104"/>
      <c r="K2806" s="33" t="s">
        <v>278</v>
      </c>
      <c r="L2806" s="111"/>
      <c r="M2806" s="33" t="s">
        <v>278</v>
      </c>
      <c r="N2806" s="111"/>
      <c r="O2806" s="33" t="s">
        <v>278</v>
      </c>
      <c r="P2806" s="111"/>
      <c r="Q2806" s="33" t="s">
        <v>587</v>
      </c>
      <c r="R2806" s="111"/>
      <c r="S2806" s="33" t="s">
        <v>278</v>
      </c>
      <c r="T2806" s="111"/>
      <c r="U2806" s="33" t="s">
        <v>278</v>
      </c>
      <c r="V2806" s="111"/>
      <c r="W2806" s="59" t="s">
        <v>548</v>
      </c>
      <c r="X2806" s="33" t="str">
        <f>+VLOOKUP(OtherClients[[#This Row],[Part]],PartControl!$A$2:$E$564,5,FALSE)</f>
        <v>INFASCO</v>
      </c>
      <c r="Y2806" s="108">
        <f>IF(OtherClients[[#This Row],[Re-certified or New]]&lt;&gt;"Re-certified",IF(OtherClients[[#This Row],[Client]]="infasco",VLOOKUP(OtherClients[[#This Row],[Part]],PartControl!$A$2:$E$564,2,FALSE),OtherClients[[#This Row],[Total Quantity]]*VLOOKUP(OtherClients[[#This Row],[Part]],PartControl!$A$2:$E$564,2,FALSE)),0)</f>
        <v>106.94</v>
      </c>
      <c r="Z2806" s="108">
        <f>IF(OtherClients[[#This Row],[Re-certified or New]]&lt;&gt;"Re-certified",IF(OtherClients[[#This Row],[Client]]="infasco",VLOOKUP(OtherClients[[#This Row],[Part]],PartControl!$A$2:$E$564,2,FALSE),OtherClients[[#This Row],[Total Quantity]]*VLOOKUP(OtherClients[[#This Row],[Part]],PartControl!$A$2:$E$564,2,FALSE)),0)</f>
        <v>106.94</v>
      </c>
    </row>
    <row r="2807" spans="1:26" ht="25.15" hidden="1" customHeight="1" x14ac:dyDescent="0.25">
      <c r="A2807" s="112">
        <v>46274.707060185188</v>
      </c>
      <c r="B2807" s="5" t="s">
        <v>234</v>
      </c>
      <c r="C2807" s="5" t="s">
        <v>733</v>
      </c>
      <c r="D2807" s="5">
        <v>716783</v>
      </c>
      <c r="E2807" s="33">
        <f>29-19</f>
        <v>10</v>
      </c>
      <c r="F2807" s="60">
        <v>2500</v>
      </c>
      <c r="G2807" s="60">
        <f>+OtherClients[[#This Row],[Boxes / Pieces]]*OtherClients[[#This Row],[Unit Quantity]]</f>
        <v>25000</v>
      </c>
      <c r="H2807" s="60">
        <v>275</v>
      </c>
      <c r="I2807" s="60" t="s">
        <v>278</v>
      </c>
      <c r="J2807" s="104"/>
      <c r="K2807" s="33" t="s">
        <v>278</v>
      </c>
      <c r="L2807" s="111"/>
      <c r="M2807" s="33" t="s">
        <v>278</v>
      </c>
      <c r="N2807" s="111"/>
      <c r="O2807" s="33" t="s">
        <v>278</v>
      </c>
      <c r="P2807" s="111"/>
      <c r="Q2807" s="33" t="s">
        <v>587</v>
      </c>
      <c r="R2807" s="111"/>
      <c r="S2807" s="33" t="s">
        <v>278</v>
      </c>
      <c r="T2807" s="111"/>
      <c r="U2807" s="33" t="s">
        <v>278</v>
      </c>
      <c r="V2807" s="111"/>
      <c r="W2807" s="59" t="s">
        <v>548</v>
      </c>
      <c r="X2807" s="33" t="str">
        <f>+VLOOKUP(OtherClients[[#This Row],[Part]],PartControl!$A$2:$E$564,5,FALSE)</f>
        <v>infasco</v>
      </c>
      <c r="Y2807" s="108">
        <f>IF(OtherClients[[#This Row],[Re-certified or New]]&lt;&gt;"Re-certified",IF(OtherClients[[#This Row],[Client]]="infasco",VLOOKUP(OtherClients[[#This Row],[Part]],PartControl!$A$2:$E$564,2,FALSE),OtherClients[[#This Row],[Total Quantity]]*VLOOKUP(OtherClients[[#This Row],[Part]],PartControl!$A$2:$E$564,2,FALSE)),0)</f>
        <v>213.88</v>
      </c>
      <c r="Z2807" s="108">
        <f>IF(OtherClients[[#This Row],[Re-certified or New]]&lt;&gt;"Re-certified",IF(OtherClients[[#This Row],[Client]]="infasco",VLOOKUP(OtherClients[[#This Row],[Part]],PartControl!$A$2:$E$564,2,FALSE),OtherClients[[#This Row],[Total Quantity]]*VLOOKUP(OtherClients[[#This Row],[Part]],PartControl!$A$2:$E$564,2,FALSE)),0)</f>
        <v>213.88</v>
      </c>
    </row>
    <row r="2808" spans="1:26" ht="25.15" hidden="1" customHeight="1" x14ac:dyDescent="0.25">
      <c r="A2808" s="112">
        <v>46274.707060185188</v>
      </c>
      <c r="B2808" s="5" t="s">
        <v>234</v>
      </c>
      <c r="C2808" s="5" t="s">
        <v>728</v>
      </c>
      <c r="D2808" s="5">
        <v>717770</v>
      </c>
      <c r="E2808" s="33">
        <v>46</v>
      </c>
      <c r="F2808" s="60">
        <v>1500</v>
      </c>
      <c r="G2808" s="60">
        <f>+OtherClients[[#This Row],[Boxes / Pieces]]*OtherClients[[#This Row],[Unit Quantity]]</f>
        <v>69000</v>
      </c>
      <c r="H2808" s="60">
        <v>275</v>
      </c>
      <c r="I2808" s="60" t="s">
        <v>278</v>
      </c>
      <c r="J2808" s="104"/>
      <c r="K2808" s="33" t="s">
        <v>278</v>
      </c>
      <c r="L2808" s="111"/>
      <c r="M2808" s="33" t="s">
        <v>278</v>
      </c>
      <c r="N2808" s="111"/>
      <c r="O2808" s="33" t="s">
        <v>278</v>
      </c>
      <c r="P2808" s="111"/>
      <c r="Q2808" s="33" t="s">
        <v>587</v>
      </c>
      <c r="R2808" s="111"/>
      <c r="S2808" s="33" t="s">
        <v>278</v>
      </c>
      <c r="T2808" s="111"/>
      <c r="U2808" s="33" t="s">
        <v>278</v>
      </c>
      <c r="V2808" s="111"/>
      <c r="W2808" s="59" t="s">
        <v>633</v>
      </c>
      <c r="X2808" s="33" t="str">
        <f>+VLOOKUP(OtherClients[[#This Row],[Part]],PartControl!$A$2:$E$564,5,FALSE)</f>
        <v>infasco</v>
      </c>
      <c r="Y2808" s="108">
        <f>IF(OtherClients[[#This Row],[Re-certified or New]]&lt;&gt;"Re-certified",IF(OtherClients[[#This Row],[Client]]="infasco",VLOOKUP(OtherClients[[#This Row],[Part]],PartControl!$A$2:$E$564,2,FALSE),OtherClients[[#This Row],[Total Quantity]]*VLOOKUP(OtherClients[[#This Row],[Part]],PartControl!$A$2:$E$564,2,FALSE)),0)</f>
        <v>0</v>
      </c>
      <c r="Z2808" s="108">
        <f>IF(OtherClients[[#This Row],[Re-certified or New]]&lt;&gt;"Re-certified",IF(OtherClients[[#This Row],[Client]]="infasco",VLOOKUP(OtherClients[[#This Row],[Part]],PartControl!$A$2:$E$564,2,FALSE),OtherClients[[#This Row],[Total Quantity]]*VLOOKUP(OtherClients[[#This Row],[Part]],PartControl!$A$2:$E$564,2,FALSE)),0)</f>
        <v>0</v>
      </c>
    </row>
    <row r="2809" spans="1:26" ht="25.15" hidden="1" customHeight="1" x14ac:dyDescent="0.25">
      <c r="A2809" s="112">
        <v>46274.707060185188</v>
      </c>
      <c r="B2809" s="5" t="s">
        <v>636</v>
      </c>
      <c r="C2809" s="5" t="s">
        <v>645</v>
      </c>
      <c r="D2809" s="5">
        <v>717393</v>
      </c>
      <c r="E2809" s="33">
        <f>36+2</f>
        <v>38</v>
      </c>
      <c r="F2809" s="60">
        <v>1000</v>
      </c>
      <c r="G2809" s="60">
        <f>+OtherClients[[#This Row],[Boxes / Pieces]]*OtherClients[[#This Row],[Unit Quantity]]</f>
        <v>38000</v>
      </c>
      <c r="H2809" s="60">
        <v>280</v>
      </c>
      <c r="I2809" s="60" t="s">
        <v>278</v>
      </c>
      <c r="J2809" s="104"/>
      <c r="K2809" s="33" t="s">
        <v>278</v>
      </c>
      <c r="L2809" s="111"/>
      <c r="M2809" s="33" t="s">
        <v>278</v>
      </c>
      <c r="N2809" s="111"/>
      <c r="O2809" s="33" t="s">
        <v>278</v>
      </c>
      <c r="P2809" s="111"/>
      <c r="Q2809" s="33" t="s">
        <v>587</v>
      </c>
      <c r="R2809" s="111"/>
      <c r="S2809" s="33" t="s">
        <v>278</v>
      </c>
      <c r="T2809" s="111"/>
      <c r="U2809" s="33" t="s">
        <v>278</v>
      </c>
      <c r="V2809" s="111"/>
      <c r="W2809" s="59" t="s">
        <v>548</v>
      </c>
      <c r="X2809" s="33" t="str">
        <f>+VLOOKUP(OtherClients[[#This Row],[Part]],PartControl!$A$2:$E$564,5,FALSE)</f>
        <v>infasco</v>
      </c>
      <c r="Y2809" s="108">
        <f>IF(OtherClients[[#This Row],[Re-certified or New]]&lt;&gt;"Re-certified",IF(OtherClients[[#This Row],[Client]]="infasco",VLOOKUP(OtherClients[[#This Row],[Part]],PartControl!$A$2:$E$564,2,FALSE),OtherClients[[#This Row],[Total Quantity]]*VLOOKUP(OtherClients[[#This Row],[Part]],PartControl!$A$2:$E$564,2,FALSE)),0)</f>
        <v>106.94</v>
      </c>
      <c r="Z2809" s="108">
        <f>IF(OtherClients[[#This Row],[Re-certified or New]]&lt;&gt;"Re-certified",IF(OtherClients[[#This Row],[Client]]="infasco",VLOOKUP(OtherClients[[#This Row],[Part]],PartControl!$A$2:$E$564,2,FALSE),OtherClients[[#This Row],[Total Quantity]]*VLOOKUP(OtherClients[[#This Row],[Part]],PartControl!$A$2:$E$564,2,FALSE)),0)</f>
        <v>106.94</v>
      </c>
    </row>
    <row r="2810" spans="1:26" ht="25.15" hidden="1" customHeight="1" x14ac:dyDescent="0.25">
      <c r="A2810" s="112">
        <v>46274.707060185188</v>
      </c>
      <c r="B2810" s="5" t="s">
        <v>357</v>
      </c>
      <c r="C2810" s="5" t="s">
        <v>728</v>
      </c>
      <c r="D2810" s="5">
        <v>717771</v>
      </c>
      <c r="E2810" s="33">
        <v>60</v>
      </c>
      <c r="F2810" s="60">
        <v>1500</v>
      </c>
      <c r="G2810" s="60">
        <f>+OtherClients[[#This Row],[Boxes / Pieces]]*OtherClients[[#This Row],[Unit Quantity]]</f>
        <v>90000</v>
      </c>
      <c r="H2810" s="60">
        <v>280</v>
      </c>
      <c r="I2810" s="60" t="s">
        <v>278</v>
      </c>
      <c r="J2810" s="104"/>
      <c r="K2810" s="33" t="s">
        <v>278</v>
      </c>
      <c r="L2810" s="111"/>
      <c r="M2810" s="33" t="s">
        <v>278</v>
      </c>
      <c r="N2810" s="111"/>
      <c r="O2810" s="33" t="s">
        <v>278</v>
      </c>
      <c r="P2810" s="111"/>
      <c r="Q2810" s="33" t="s">
        <v>587</v>
      </c>
      <c r="R2810" s="111"/>
      <c r="S2810" s="33" t="s">
        <v>278</v>
      </c>
      <c r="T2810" s="111"/>
      <c r="U2810" s="33" t="s">
        <v>278</v>
      </c>
      <c r="V2810" s="111"/>
      <c r="W2810" s="59" t="s">
        <v>548</v>
      </c>
      <c r="X2810" s="33" t="str">
        <f>+VLOOKUP(OtherClients[[#This Row],[Part]],PartControl!$A$2:$E$564,5,FALSE)</f>
        <v>infasco</v>
      </c>
      <c r="Y2810" s="108">
        <f>IF(OtherClients[[#This Row],[Re-certified or New]]&lt;&gt;"Re-certified",IF(OtherClients[[#This Row],[Client]]="infasco",VLOOKUP(OtherClients[[#This Row],[Part]],PartControl!$A$2:$E$564,2,FALSE),OtherClients[[#This Row],[Total Quantity]]*VLOOKUP(OtherClients[[#This Row],[Part]],PartControl!$A$2:$E$564,2,FALSE)),0)</f>
        <v>106.94</v>
      </c>
      <c r="Z2810" s="108">
        <f>IF(OtherClients[[#This Row],[Re-certified or New]]&lt;&gt;"Re-certified",IF(OtherClients[[#This Row],[Client]]="infasco",VLOOKUP(OtherClients[[#This Row],[Part]],PartControl!$A$2:$E$564,2,FALSE),OtherClients[[#This Row],[Total Quantity]]*VLOOKUP(OtherClients[[#This Row],[Part]],PartControl!$A$2:$E$564,2,FALSE)),0)</f>
        <v>106.94</v>
      </c>
    </row>
    <row r="2811" spans="1:26" ht="25.15" hidden="1" customHeight="1" x14ac:dyDescent="0.25">
      <c r="A2811" s="112">
        <v>46274.707060185188</v>
      </c>
      <c r="B2811" s="5" t="s">
        <v>357</v>
      </c>
      <c r="C2811" s="5" t="s">
        <v>728</v>
      </c>
      <c r="D2811" s="5">
        <v>718009</v>
      </c>
      <c r="E2811" s="33">
        <v>36</v>
      </c>
      <c r="F2811" s="60">
        <v>1500</v>
      </c>
      <c r="G2811" s="60">
        <f>+OtherClients[[#This Row],[Boxes / Pieces]]*OtherClients[[#This Row],[Unit Quantity]]</f>
        <v>54000</v>
      </c>
      <c r="H2811" s="60">
        <v>280</v>
      </c>
      <c r="I2811" s="60" t="s">
        <v>278</v>
      </c>
      <c r="J2811" s="104"/>
      <c r="K2811" s="33" t="s">
        <v>278</v>
      </c>
      <c r="L2811" s="111"/>
      <c r="M2811" s="33" t="s">
        <v>278</v>
      </c>
      <c r="N2811" s="111"/>
      <c r="O2811" s="33" t="s">
        <v>278</v>
      </c>
      <c r="P2811" s="111"/>
      <c r="Q2811" s="33" t="s">
        <v>587</v>
      </c>
      <c r="R2811" s="111"/>
      <c r="S2811" s="33" t="s">
        <v>278</v>
      </c>
      <c r="T2811" s="111"/>
      <c r="U2811" s="33" t="s">
        <v>278</v>
      </c>
      <c r="V2811" s="111"/>
      <c r="W2811" s="59" t="s">
        <v>633</v>
      </c>
      <c r="X2811" s="33" t="str">
        <f>+VLOOKUP(OtherClients[[#This Row],[Part]],PartControl!$A$2:$E$564,5,FALSE)</f>
        <v>infasco</v>
      </c>
      <c r="Y2811" s="108">
        <f>IF(OtherClients[[#This Row],[Re-certified or New]]&lt;&gt;"Re-certified",IF(OtherClients[[#This Row],[Client]]="infasco",VLOOKUP(OtherClients[[#This Row],[Part]],PartControl!$A$2:$E$564,2,FALSE),OtherClients[[#This Row],[Total Quantity]]*VLOOKUP(OtherClients[[#This Row],[Part]],PartControl!$A$2:$E$564,2,FALSE)),0)</f>
        <v>0</v>
      </c>
      <c r="Z2811" s="108">
        <f>IF(OtherClients[[#This Row],[Re-certified or New]]&lt;&gt;"Re-certified",IF(OtherClients[[#This Row],[Client]]="infasco",VLOOKUP(OtherClients[[#This Row],[Part]],PartControl!$A$2:$E$564,2,FALSE),OtherClients[[#This Row],[Total Quantity]]*VLOOKUP(OtherClients[[#This Row],[Part]],PartControl!$A$2:$E$564,2,FALSE)),0)</f>
        <v>0</v>
      </c>
    </row>
    <row r="2812" spans="1:26" ht="25.15" hidden="1" customHeight="1" x14ac:dyDescent="0.25">
      <c r="A2812" s="112">
        <v>46274.707060185188</v>
      </c>
      <c r="B2812" s="5" t="s">
        <v>637</v>
      </c>
      <c r="C2812" s="5" t="s">
        <v>728</v>
      </c>
      <c r="D2812" s="5">
        <v>717773</v>
      </c>
      <c r="E2812" s="33">
        <f>36+28</f>
        <v>64</v>
      </c>
      <c r="F2812" s="60">
        <v>1500</v>
      </c>
      <c r="G2812" s="60">
        <f>+OtherClients[[#This Row],[Boxes / Pieces]]*OtherClients[[#This Row],[Unit Quantity]]</f>
        <v>96000</v>
      </c>
      <c r="H2812" s="60">
        <v>280</v>
      </c>
      <c r="I2812" s="60" t="s">
        <v>278</v>
      </c>
      <c r="J2812" s="104"/>
      <c r="K2812" s="33" t="s">
        <v>278</v>
      </c>
      <c r="L2812" s="111"/>
      <c r="M2812" s="33" t="s">
        <v>278</v>
      </c>
      <c r="N2812" s="111"/>
      <c r="O2812" s="33" t="s">
        <v>278</v>
      </c>
      <c r="P2812" s="111"/>
      <c r="Q2812" s="33" t="s">
        <v>587</v>
      </c>
      <c r="R2812" s="111"/>
      <c r="S2812" s="33" t="s">
        <v>278</v>
      </c>
      <c r="T2812" s="111"/>
      <c r="U2812" s="33" t="s">
        <v>278</v>
      </c>
      <c r="V2812" s="111"/>
      <c r="W2812" s="59" t="s">
        <v>548</v>
      </c>
      <c r="X2812" s="33" t="str">
        <f>+VLOOKUP(OtherClients[[#This Row],[Part]],PartControl!$A$2:$E$564,5,FALSE)</f>
        <v>infasco</v>
      </c>
      <c r="Y2812" s="108">
        <f>IF(OtherClients[[#This Row],[Re-certified or New]]&lt;&gt;"Re-certified",IF(OtherClients[[#This Row],[Client]]="infasco",VLOOKUP(OtherClients[[#This Row],[Part]],PartControl!$A$2:$E$564,2,FALSE),OtherClients[[#This Row],[Total Quantity]]*VLOOKUP(OtherClients[[#This Row],[Part]],PartControl!$A$2:$E$564,2,FALSE)),0)</f>
        <v>106.94</v>
      </c>
      <c r="Z2812" s="108">
        <f>IF(OtherClients[[#This Row],[Re-certified or New]]&lt;&gt;"Re-certified",IF(OtherClients[[#This Row],[Client]]="infasco",VLOOKUP(OtherClients[[#This Row],[Part]],PartControl!$A$2:$E$564,2,FALSE),OtherClients[[#This Row],[Total Quantity]]*VLOOKUP(OtherClients[[#This Row],[Part]],PartControl!$A$2:$E$564,2,FALSE)),0)</f>
        <v>106.94</v>
      </c>
    </row>
    <row r="2813" spans="1:26" ht="25.15" hidden="1" customHeight="1" x14ac:dyDescent="0.25">
      <c r="A2813" s="112">
        <v>46274.707060185188</v>
      </c>
      <c r="B2813" s="5" t="s">
        <v>637</v>
      </c>
      <c r="C2813" s="5" t="s">
        <v>728</v>
      </c>
      <c r="D2813" s="5">
        <v>717768</v>
      </c>
      <c r="E2813" s="33">
        <v>57</v>
      </c>
      <c r="F2813" s="60">
        <v>1500</v>
      </c>
      <c r="G2813" s="60">
        <f>+OtherClients[[#This Row],[Boxes / Pieces]]*OtherClients[[#This Row],[Unit Quantity]]</f>
        <v>85500</v>
      </c>
      <c r="H2813" s="60">
        <v>280</v>
      </c>
      <c r="I2813" s="60" t="s">
        <v>278</v>
      </c>
      <c r="J2813" s="104"/>
      <c r="K2813" s="33" t="s">
        <v>278</v>
      </c>
      <c r="L2813" s="111"/>
      <c r="M2813" s="33" t="s">
        <v>278</v>
      </c>
      <c r="N2813" s="111"/>
      <c r="O2813" s="33" t="s">
        <v>278</v>
      </c>
      <c r="P2813" s="111"/>
      <c r="Q2813" s="33" t="s">
        <v>587</v>
      </c>
      <c r="R2813" s="111"/>
      <c r="S2813" s="33" t="s">
        <v>278</v>
      </c>
      <c r="T2813" s="111"/>
      <c r="U2813" s="33" t="s">
        <v>278</v>
      </c>
      <c r="V2813" s="111"/>
      <c r="W2813" s="59" t="s">
        <v>548</v>
      </c>
      <c r="X2813" s="33" t="str">
        <f>+VLOOKUP(OtherClients[[#This Row],[Part]],PartControl!$A$2:$E$564,5,FALSE)</f>
        <v>infasco</v>
      </c>
      <c r="Y2813" s="108">
        <f>IF(OtherClients[[#This Row],[Re-certified or New]]&lt;&gt;"Re-certified",IF(OtherClients[[#This Row],[Client]]="infasco",VLOOKUP(OtherClients[[#This Row],[Part]],PartControl!$A$2:$E$564,2,FALSE),OtherClients[[#This Row],[Total Quantity]]*VLOOKUP(OtherClients[[#This Row],[Part]],PartControl!$A$2:$E$564,2,FALSE)),0)</f>
        <v>106.94</v>
      </c>
      <c r="Z2813" s="108">
        <f>IF(OtherClients[[#This Row],[Re-certified or New]]&lt;&gt;"Re-certified",IF(OtherClients[[#This Row],[Client]]="infasco",VLOOKUP(OtherClients[[#This Row],[Part]],PartControl!$A$2:$E$564,2,FALSE),OtherClients[[#This Row],[Total Quantity]]*VLOOKUP(OtherClients[[#This Row],[Part]],PartControl!$A$2:$E$564,2,FALSE)),0)</f>
        <v>106.94</v>
      </c>
    </row>
    <row r="2814" spans="1:26" ht="25.15" hidden="1" customHeight="1" x14ac:dyDescent="0.25">
      <c r="A2814" s="112">
        <v>46274.707060185188</v>
      </c>
      <c r="B2814" s="5" t="s">
        <v>637</v>
      </c>
      <c r="C2814" s="5" t="s">
        <v>728</v>
      </c>
      <c r="D2814" s="5">
        <v>718007</v>
      </c>
      <c r="E2814" s="33">
        <v>12</v>
      </c>
      <c r="F2814" s="60">
        <v>1500</v>
      </c>
      <c r="G2814" s="60">
        <f>+OtherClients[[#This Row],[Boxes / Pieces]]*OtherClients[[#This Row],[Unit Quantity]]</f>
        <v>18000</v>
      </c>
      <c r="H2814" s="60">
        <v>280</v>
      </c>
      <c r="I2814" s="60" t="s">
        <v>278</v>
      </c>
      <c r="J2814" s="104"/>
      <c r="K2814" s="33" t="s">
        <v>278</v>
      </c>
      <c r="L2814" s="111"/>
      <c r="M2814" s="33" t="s">
        <v>278</v>
      </c>
      <c r="N2814" s="111"/>
      <c r="O2814" s="33" t="s">
        <v>278</v>
      </c>
      <c r="P2814" s="111"/>
      <c r="Q2814" s="33" t="s">
        <v>587</v>
      </c>
      <c r="R2814" s="111"/>
      <c r="S2814" s="33" t="s">
        <v>278</v>
      </c>
      <c r="T2814" s="111"/>
      <c r="U2814" s="33" t="s">
        <v>278</v>
      </c>
      <c r="V2814" s="111"/>
      <c r="W2814" s="59" t="s">
        <v>633</v>
      </c>
      <c r="X2814" s="33" t="str">
        <f>+VLOOKUP(OtherClients[[#This Row],[Part]],PartControl!$A$2:$E$564,5,FALSE)</f>
        <v>infasco</v>
      </c>
      <c r="Y2814" s="108">
        <f>IF(OtherClients[[#This Row],[Re-certified or New]]&lt;&gt;"Re-certified",IF(OtherClients[[#This Row],[Client]]="infasco",VLOOKUP(OtherClients[[#This Row],[Part]],PartControl!$A$2:$E$564,2,FALSE),OtherClients[[#This Row],[Total Quantity]]*VLOOKUP(OtherClients[[#This Row],[Part]],PartControl!$A$2:$E$564,2,FALSE)),0)</f>
        <v>0</v>
      </c>
      <c r="Z2814" s="108">
        <f>IF(OtherClients[[#This Row],[Re-certified or New]]&lt;&gt;"Re-certified",IF(OtherClients[[#This Row],[Client]]="infasco",VLOOKUP(OtherClients[[#This Row],[Part]],PartControl!$A$2:$E$564,2,FALSE),OtherClients[[#This Row],[Total Quantity]]*VLOOKUP(OtherClients[[#This Row],[Part]],PartControl!$A$2:$E$564,2,FALSE)),0)</f>
        <v>0</v>
      </c>
    </row>
    <row r="2815" spans="1:26" ht="25.15" hidden="1" customHeight="1" x14ac:dyDescent="0.25">
      <c r="A2815" s="112">
        <v>46274.707060185188</v>
      </c>
      <c r="B2815" s="5" t="s">
        <v>635</v>
      </c>
      <c r="C2815" s="5" t="s">
        <v>848</v>
      </c>
      <c r="D2815" s="5">
        <v>717765</v>
      </c>
      <c r="E2815" s="33">
        <f>34-15</f>
        <v>19</v>
      </c>
      <c r="F2815" s="60">
        <v>3200</v>
      </c>
      <c r="G2815" s="60">
        <f>+OtherClients[[#This Row],[Boxes / Pieces]]*OtherClients[[#This Row],[Unit Quantity]]</f>
        <v>60800</v>
      </c>
      <c r="H2815" s="60">
        <v>280</v>
      </c>
      <c r="I2815" s="60" t="s">
        <v>278</v>
      </c>
      <c r="J2815" s="104"/>
      <c r="K2815" s="33" t="s">
        <v>278</v>
      </c>
      <c r="L2815" s="111"/>
      <c r="M2815" s="33" t="s">
        <v>278</v>
      </c>
      <c r="N2815" s="111"/>
      <c r="O2815" s="33" t="s">
        <v>278</v>
      </c>
      <c r="P2815" s="111"/>
      <c r="Q2815" s="33" t="s">
        <v>587</v>
      </c>
      <c r="R2815" s="111"/>
      <c r="S2815" s="33" t="s">
        <v>278</v>
      </c>
      <c r="T2815" s="111"/>
      <c r="U2815" s="33" t="s">
        <v>278</v>
      </c>
      <c r="V2815" s="111"/>
      <c r="W2815" s="59" t="s">
        <v>633</v>
      </c>
      <c r="X2815" s="33" t="str">
        <f>+VLOOKUP(OtherClients[[#This Row],[Part]],PartControl!$A$2:$E$564,5,FALSE)</f>
        <v>infasco</v>
      </c>
      <c r="Y2815" s="108">
        <f>IF(OtherClients[[#This Row],[Re-certified or New]]&lt;&gt;"Re-certified",IF(OtherClients[[#This Row],[Client]]="infasco",VLOOKUP(OtherClients[[#This Row],[Part]],PartControl!$A$2:$E$564,2,FALSE),OtherClients[[#This Row],[Total Quantity]]*VLOOKUP(OtherClients[[#This Row],[Part]],PartControl!$A$2:$E$564,2,FALSE)),0)</f>
        <v>0</v>
      </c>
      <c r="Z2815" s="108">
        <f>IF(OtherClients[[#This Row],[Re-certified or New]]&lt;&gt;"Re-certified",IF(OtherClients[[#This Row],[Client]]="infasco",VLOOKUP(OtherClients[[#This Row],[Part]],PartControl!$A$2:$E$564,2,FALSE),OtherClients[[#This Row],[Total Quantity]]*VLOOKUP(OtherClients[[#This Row],[Part]],PartControl!$A$2:$E$564,2,FALSE)),0)</f>
        <v>0</v>
      </c>
    </row>
    <row r="2816" spans="1:26" ht="25.15" hidden="1" customHeight="1" x14ac:dyDescent="0.25">
      <c r="A2816" s="112">
        <v>46274.707060185188</v>
      </c>
      <c r="B2816" s="5" t="s">
        <v>634</v>
      </c>
      <c r="C2816" s="5" t="s">
        <v>715</v>
      </c>
      <c r="D2816" s="5">
        <v>717235</v>
      </c>
      <c r="E2816" s="33">
        <f>36-6</f>
        <v>30</v>
      </c>
      <c r="F2816" s="60">
        <v>1050</v>
      </c>
      <c r="G2816" s="60">
        <f>+OtherClients[[#This Row],[Boxes / Pieces]]*OtherClients[[#This Row],[Unit Quantity]]</f>
        <v>31500</v>
      </c>
      <c r="H2816" s="60">
        <v>280</v>
      </c>
      <c r="I2816" s="60" t="s">
        <v>278</v>
      </c>
      <c r="J2816" s="104"/>
      <c r="K2816" s="33" t="s">
        <v>278</v>
      </c>
      <c r="L2816" s="111"/>
      <c r="M2816" s="33" t="s">
        <v>278</v>
      </c>
      <c r="N2816" s="111"/>
      <c r="O2816" s="33" t="s">
        <v>278</v>
      </c>
      <c r="P2816" s="111"/>
      <c r="Q2816" s="33" t="s">
        <v>587</v>
      </c>
      <c r="R2816" s="111"/>
      <c r="S2816" s="33" t="s">
        <v>278</v>
      </c>
      <c r="T2816" s="111"/>
      <c r="U2816" s="33" t="s">
        <v>278</v>
      </c>
      <c r="V2816" s="111"/>
      <c r="W2816" s="59" t="s">
        <v>548</v>
      </c>
      <c r="X2816" s="33" t="str">
        <f>+VLOOKUP(OtherClients[[#This Row],[Part]],PartControl!$A$2:$E$564,5,FALSE)</f>
        <v>infasco</v>
      </c>
      <c r="Y2816" s="108">
        <f>IF(OtherClients[[#This Row],[Re-certified or New]]&lt;&gt;"Re-certified",IF(OtherClients[[#This Row],[Client]]="infasco",VLOOKUP(OtherClients[[#This Row],[Part]],PartControl!$A$2:$E$564,2,FALSE),OtherClients[[#This Row],[Total Quantity]]*VLOOKUP(OtherClients[[#This Row],[Part]],PartControl!$A$2:$E$564,2,FALSE)),0)</f>
        <v>106.94</v>
      </c>
      <c r="Z2816" s="108">
        <f>IF(OtherClients[[#This Row],[Re-certified or New]]&lt;&gt;"Re-certified",IF(OtherClients[[#This Row],[Client]]="infasco",VLOOKUP(OtherClients[[#This Row],[Part]],PartControl!$A$2:$E$564,2,FALSE),OtherClients[[#This Row],[Total Quantity]]*VLOOKUP(OtherClients[[#This Row],[Part]],PartControl!$A$2:$E$564,2,FALSE)),0)</f>
        <v>106.94</v>
      </c>
    </row>
    <row r="2817" spans="1:26" ht="25.15" hidden="1" customHeight="1" x14ac:dyDescent="0.25">
      <c r="A2817" s="112">
        <v>46274.707060185188</v>
      </c>
      <c r="B2817" s="5" t="s">
        <v>252</v>
      </c>
      <c r="C2817" s="5">
        <v>11546389</v>
      </c>
      <c r="D2817" s="5">
        <v>718040</v>
      </c>
      <c r="E2817" s="33">
        <v>36</v>
      </c>
      <c r="F2817" s="60">
        <v>4500</v>
      </c>
      <c r="G2817" s="60">
        <f>+OtherClients[[#This Row],[Boxes / Pieces]]*OtherClients[[#This Row],[Unit Quantity]]</f>
        <v>162000</v>
      </c>
      <c r="H2817" s="60">
        <v>275</v>
      </c>
      <c r="I2817" s="60" t="s">
        <v>278</v>
      </c>
      <c r="J2817" s="104"/>
      <c r="K2817" s="33" t="s">
        <v>278</v>
      </c>
      <c r="L2817" s="111"/>
      <c r="M2817" s="33" t="s">
        <v>278</v>
      </c>
      <c r="N2817" s="111"/>
      <c r="O2817" s="33" t="s">
        <v>278</v>
      </c>
      <c r="P2817" s="111"/>
      <c r="Q2817" s="33" t="s">
        <v>587</v>
      </c>
      <c r="R2817" s="111"/>
      <c r="S2817" s="33" t="s">
        <v>278</v>
      </c>
      <c r="T2817" s="111"/>
      <c r="U2817" s="33" t="s">
        <v>278</v>
      </c>
      <c r="V2817" s="111"/>
      <c r="W2817" s="59" t="s">
        <v>548</v>
      </c>
      <c r="X2817" s="33" t="str">
        <f>+VLOOKUP(OtherClients[[#This Row],[Part]],PartControl!$A$2:$E$564,5,FALSE)</f>
        <v>INFASCO</v>
      </c>
      <c r="Y2817" s="108">
        <f>IF(OtherClients[[#This Row],[Re-certified or New]]&lt;&gt;"Re-certified",IF(OtherClients[[#This Row],[Client]]="infasco",VLOOKUP(OtherClients[[#This Row],[Part]],PartControl!$A$2:$E$564,2,FALSE),OtherClients[[#This Row],[Total Quantity]]*VLOOKUP(OtherClients[[#This Row],[Part]],PartControl!$A$2:$E$564,2,FALSE)),0)</f>
        <v>106.94</v>
      </c>
      <c r="Z2817" s="108">
        <f>IF(OtherClients[[#This Row],[Re-certified or New]]&lt;&gt;"Re-certified",IF(OtherClients[[#This Row],[Client]]="infasco",VLOOKUP(OtherClients[[#This Row],[Part]],PartControl!$A$2:$E$564,2,FALSE),OtherClients[[#This Row],[Total Quantity]]*VLOOKUP(OtherClients[[#This Row],[Part]],PartControl!$A$2:$E$564,2,FALSE)),0)</f>
        <v>106.94</v>
      </c>
    </row>
    <row r="2818" spans="1:26" ht="25.15" hidden="1" customHeight="1" x14ac:dyDescent="0.25">
      <c r="A2818" s="112">
        <v>46274.707060185188</v>
      </c>
      <c r="B2818" s="5" t="s">
        <v>246</v>
      </c>
      <c r="C2818" s="5" t="s">
        <v>732</v>
      </c>
      <c r="D2818" s="5">
        <v>711867</v>
      </c>
      <c r="E2818" s="33">
        <f>36-13</f>
        <v>23</v>
      </c>
      <c r="F2818" s="60">
        <v>1000</v>
      </c>
      <c r="G2818" s="60">
        <f>+OtherClients[[#This Row],[Boxes / Pieces]]*OtherClients[[#This Row],[Unit Quantity]]</f>
        <v>23000</v>
      </c>
      <c r="H2818" s="60">
        <v>285</v>
      </c>
      <c r="I2818" s="60" t="s">
        <v>278</v>
      </c>
      <c r="J2818" s="104"/>
      <c r="K2818" s="33" t="s">
        <v>278</v>
      </c>
      <c r="L2818" s="111"/>
      <c r="M2818" s="33" t="s">
        <v>278</v>
      </c>
      <c r="N2818" s="111"/>
      <c r="O2818" s="33" t="s">
        <v>278</v>
      </c>
      <c r="P2818" s="111"/>
      <c r="Q2818" s="33" t="s">
        <v>587</v>
      </c>
      <c r="R2818" s="111"/>
      <c r="S2818" s="33" t="s">
        <v>278</v>
      </c>
      <c r="T2818" s="111"/>
      <c r="U2818" s="33" t="s">
        <v>278</v>
      </c>
      <c r="V2818" s="111"/>
      <c r="W2818" s="59" t="s">
        <v>548</v>
      </c>
      <c r="X2818" s="33" t="str">
        <f>+VLOOKUP(OtherClients[[#This Row],[Part]],PartControl!$A$2:$E$564,5,FALSE)</f>
        <v>infasco</v>
      </c>
      <c r="Y2818" s="108">
        <f>IF(OtherClients[[#This Row],[Re-certified or New]]&lt;&gt;"Re-certified",IF(OtherClients[[#This Row],[Client]]="infasco",VLOOKUP(OtherClients[[#This Row],[Part]],PartControl!$A$2:$E$564,2,FALSE),OtherClients[[#This Row],[Total Quantity]]*VLOOKUP(OtherClients[[#This Row],[Part]],PartControl!$A$2:$E$564,2,FALSE)),0)</f>
        <v>213.88</v>
      </c>
      <c r="Z2818" s="108">
        <f>IF(OtherClients[[#This Row],[Re-certified or New]]&lt;&gt;"Re-certified",IF(OtherClients[[#This Row],[Client]]="infasco",VLOOKUP(OtherClients[[#This Row],[Part]],PartControl!$A$2:$E$564,2,FALSE),OtherClients[[#This Row],[Total Quantity]]*VLOOKUP(OtherClients[[#This Row],[Part]],PartControl!$A$2:$E$564,2,FALSE)),0)</f>
        <v>213.88</v>
      </c>
    </row>
    <row r="2819" spans="1:26" ht="25.15" hidden="1" customHeight="1" x14ac:dyDescent="0.25">
      <c r="A2819" s="112">
        <v>46274.707060185188</v>
      </c>
      <c r="B2819" s="5" t="s">
        <v>246</v>
      </c>
      <c r="C2819" s="5" t="s">
        <v>732</v>
      </c>
      <c r="D2819" s="5">
        <v>707555</v>
      </c>
      <c r="E2819" s="33">
        <v>3</v>
      </c>
      <c r="F2819" s="60">
        <v>1000</v>
      </c>
      <c r="G2819" s="60">
        <f>+OtherClients[[#This Row],[Boxes / Pieces]]*OtherClients[[#This Row],[Unit Quantity]]</f>
        <v>3000</v>
      </c>
      <c r="H2819" s="60">
        <v>285</v>
      </c>
      <c r="I2819" s="60" t="s">
        <v>278</v>
      </c>
      <c r="J2819" s="104"/>
      <c r="K2819" s="33" t="s">
        <v>278</v>
      </c>
      <c r="L2819" s="111"/>
      <c r="M2819" s="33" t="s">
        <v>278</v>
      </c>
      <c r="N2819" s="111"/>
      <c r="O2819" s="33" t="s">
        <v>278</v>
      </c>
      <c r="P2819" s="111"/>
      <c r="Q2819" s="33" t="s">
        <v>587</v>
      </c>
      <c r="R2819" s="111"/>
      <c r="S2819" s="33" t="s">
        <v>278</v>
      </c>
      <c r="T2819" s="111"/>
      <c r="U2819" s="33" t="s">
        <v>278</v>
      </c>
      <c r="V2819" s="111"/>
      <c r="W2819" s="59" t="s">
        <v>633</v>
      </c>
      <c r="X2819" s="33" t="str">
        <f>+VLOOKUP(OtherClients[[#This Row],[Part]],PartControl!$A$2:$E$564,5,FALSE)</f>
        <v>infasco</v>
      </c>
      <c r="Y2819" s="108">
        <f>IF(OtherClients[[#This Row],[Re-certified or New]]&lt;&gt;"Re-certified",IF(OtherClients[[#This Row],[Client]]="infasco",VLOOKUP(OtherClients[[#This Row],[Part]],PartControl!$A$2:$E$564,2,FALSE),OtherClients[[#This Row],[Total Quantity]]*VLOOKUP(OtherClients[[#This Row],[Part]],PartControl!$A$2:$E$564,2,FALSE)),0)</f>
        <v>0</v>
      </c>
      <c r="Z2819" s="108">
        <f>IF(OtherClients[[#This Row],[Re-certified or New]]&lt;&gt;"Re-certified",IF(OtherClients[[#This Row],[Client]]="infasco",VLOOKUP(OtherClients[[#This Row],[Part]],PartControl!$A$2:$E$564,2,FALSE),OtherClients[[#This Row],[Total Quantity]]*VLOOKUP(OtherClients[[#This Row],[Part]],PartControl!$A$2:$E$564,2,FALSE)),0)</f>
        <v>0</v>
      </c>
    </row>
    <row r="2820" spans="1:26" ht="25.15" hidden="1" customHeight="1" x14ac:dyDescent="0.25">
      <c r="A2820" s="112">
        <v>46274.707060185188</v>
      </c>
      <c r="B2820" s="113" t="s">
        <v>342</v>
      </c>
      <c r="C2820" s="113" t="s">
        <v>906</v>
      </c>
      <c r="D2820" s="113">
        <v>710203</v>
      </c>
      <c r="E2820" s="114">
        <v>1</v>
      </c>
      <c r="F2820" s="115">
        <f>25000-13050</f>
        <v>11950</v>
      </c>
      <c r="G2820" s="115">
        <f>+OtherClients[[#This Row],[Boxes / Pieces]]*OtherClients[[#This Row],[Unit Quantity]]</f>
        <v>11950</v>
      </c>
      <c r="H2820" s="60">
        <v>157</v>
      </c>
      <c r="I2820" s="60" t="s">
        <v>278</v>
      </c>
      <c r="J2820" s="104"/>
      <c r="K2820" s="33" t="s">
        <v>278</v>
      </c>
      <c r="L2820" s="111"/>
      <c r="M2820" s="33" t="s">
        <v>278</v>
      </c>
      <c r="N2820" s="111"/>
      <c r="O2820" s="33" t="s">
        <v>278</v>
      </c>
      <c r="P2820" s="111"/>
      <c r="Q2820" s="33" t="s">
        <v>587</v>
      </c>
      <c r="R2820" s="111"/>
      <c r="S2820" s="33" t="s">
        <v>278</v>
      </c>
      <c r="T2820" s="111"/>
      <c r="U2820" s="33" t="s">
        <v>278</v>
      </c>
      <c r="V2820" s="111"/>
      <c r="W2820" s="59" t="s">
        <v>548</v>
      </c>
      <c r="X2820" s="33" t="str">
        <f>+VLOOKUP(OtherClients[[#This Row],[Part]],PartControl!$A$2:$E$564,5,FALSE)</f>
        <v>infasco</v>
      </c>
      <c r="Y2820" s="108">
        <f>11950*0.012</f>
        <v>143.4</v>
      </c>
      <c r="Z2820" s="103">
        <f>+OtherClients[[#This Row],[Unit Price]]</f>
        <v>143.4</v>
      </c>
    </row>
    <row r="2821" spans="1:26" ht="25.15" hidden="1" customHeight="1" x14ac:dyDescent="0.25">
      <c r="A2821" s="112">
        <v>46274.707060185188</v>
      </c>
      <c r="B2821" s="5" t="s">
        <v>343</v>
      </c>
      <c r="C2821" s="5" t="s">
        <v>656</v>
      </c>
      <c r="D2821" s="5">
        <v>717791</v>
      </c>
      <c r="E2821" s="33">
        <v>20</v>
      </c>
      <c r="F2821" s="60">
        <v>825</v>
      </c>
      <c r="G2821" s="60">
        <f>+OtherClients[[#This Row],[Boxes / Pieces]]*OtherClients[[#This Row],[Unit Quantity]]</f>
        <v>16500</v>
      </c>
      <c r="H2821" s="60" t="s">
        <v>899</v>
      </c>
      <c r="I2821" s="60" t="s">
        <v>278</v>
      </c>
      <c r="J2821" s="104"/>
      <c r="K2821" s="33" t="s">
        <v>278</v>
      </c>
      <c r="L2821" s="111"/>
      <c r="M2821" s="33" t="s">
        <v>278</v>
      </c>
      <c r="N2821" s="111"/>
      <c r="O2821" s="33" t="s">
        <v>278</v>
      </c>
      <c r="P2821" s="111"/>
      <c r="Q2821" s="33" t="s">
        <v>587</v>
      </c>
      <c r="R2821" s="111"/>
      <c r="S2821" s="33" t="s">
        <v>278</v>
      </c>
      <c r="T2821" s="111"/>
      <c r="U2821" s="33" t="s">
        <v>278</v>
      </c>
      <c r="V2821" s="111"/>
      <c r="W2821" s="59" t="s">
        <v>548</v>
      </c>
      <c r="X2821" s="33" t="str">
        <f>+VLOOKUP(OtherClients[[#This Row],[Part]],PartControl!$A$2:$E$564,5,FALSE)</f>
        <v>infasco</v>
      </c>
      <c r="Y2821" s="108">
        <f>IF(OtherClients[[#This Row],[Re-certified or New]]&lt;&gt;"Re-certified",IF(OtherClients[[#This Row],[Client]]="infasco",VLOOKUP(OtherClients[[#This Row],[Part]],PartControl!$A$2:$E$564,2,FALSE),OtherClients[[#This Row],[Total Quantity]]*VLOOKUP(OtherClients[[#This Row],[Part]],PartControl!$A$2:$E$564,2,FALSE)),0)</f>
        <v>280.16000000000003</v>
      </c>
      <c r="Z2821" s="108">
        <f>IF(OtherClients[[#This Row],[Re-certified or New]]&lt;&gt;"Re-certified",IF(OtherClients[[#This Row],[Client]]="infasco",VLOOKUP(OtherClients[[#This Row],[Part]],PartControl!$A$2:$E$564,2,FALSE),OtherClients[[#This Row],[Total Quantity]]*VLOOKUP(OtherClients[[#This Row],[Part]],PartControl!$A$2:$E$564,2,FALSE)),0)</f>
        <v>280.16000000000003</v>
      </c>
    </row>
    <row r="2822" spans="1:26" ht="25.15" hidden="1" customHeight="1" x14ac:dyDescent="0.25">
      <c r="A2822" s="112">
        <v>46274.707060185188</v>
      </c>
      <c r="B2822" s="5" t="s">
        <v>343</v>
      </c>
      <c r="C2822" s="5" t="s">
        <v>921</v>
      </c>
      <c r="D2822" s="5">
        <v>717816</v>
      </c>
      <c r="E2822" s="33">
        <v>28</v>
      </c>
      <c r="F2822" s="60">
        <v>220</v>
      </c>
      <c r="G2822" s="60">
        <f>+OtherClients[[#This Row],[Boxes / Pieces]]*OtherClients[[#This Row],[Unit Quantity]]</f>
        <v>6160</v>
      </c>
      <c r="H2822" s="60" t="s">
        <v>899</v>
      </c>
      <c r="I2822" s="60" t="s">
        <v>278</v>
      </c>
      <c r="J2822" s="104"/>
      <c r="K2822" s="33" t="s">
        <v>278</v>
      </c>
      <c r="L2822" s="111"/>
      <c r="M2822" s="33" t="s">
        <v>278</v>
      </c>
      <c r="N2822" s="111"/>
      <c r="O2822" s="33" t="s">
        <v>278</v>
      </c>
      <c r="P2822" s="111"/>
      <c r="Q2822" s="33" t="s">
        <v>587</v>
      </c>
      <c r="R2822" s="111"/>
      <c r="S2822" s="33" t="s">
        <v>278</v>
      </c>
      <c r="T2822" s="111"/>
      <c r="U2822" s="33" t="s">
        <v>278</v>
      </c>
      <c r="V2822" s="111"/>
      <c r="W2822" s="59" t="s">
        <v>548</v>
      </c>
      <c r="X2822" s="33" t="str">
        <f>+VLOOKUP(OtherClients[[#This Row],[Part]],PartControl!$A$2:$E$564,5,FALSE)</f>
        <v>infasco</v>
      </c>
      <c r="Y2822" s="108">
        <f>IF(OtherClients[[#This Row],[Re-certified or New]]&lt;&gt;"Re-certified",IF(OtherClients[[#This Row],[Client]]="infasco",VLOOKUP(OtherClients[[#This Row],[Part]],PartControl!$A$2:$E$564,2,FALSE),OtherClients[[#This Row],[Total Quantity]]*VLOOKUP(OtherClients[[#This Row],[Part]],PartControl!$A$2:$E$564,2,FALSE)),0)</f>
        <v>106.94</v>
      </c>
      <c r="Z2822" s="108">
        <f>IF(OtherClients[[#This Row],[Re-certified or New]]&lt;&gt;"Re-certified",IF(OtherClients[[#This Row],[Client]]="infasco",VLOOKUP(OtherClients[[#This Row],[Part]],PartControl!$A$2:$E$564,2,FALSE),OtherClients[[#This Row],[Total Quantity]]*VLOOKUP(OtherClients[[#This Row],[Part]],PartControl!$A$2:$E$564,2,FALSE)),0)</f>
        <v>106.94</v>
      </c>
    </row>
    <row r="2823" spans="1:26" ht="25.15" hidden="1" customHeight="1" x14ac:dyDescent="0.25">
      <c r="A2823" s="112">
        <v>46274.707060185188</v>
      </c>
      <c r="B2823" s="5" t="s">
        <v>343</v>
      </c>
      <c r="C2823" s="5" t="s">
        <v>835</v>
      </c>
      <c r="D2823" s="5">
        <v>718438</v>
      </c>
      <c r="E2823" s="33">
        <v>31</v>
      </c>
      <c r="F2823" s="60">
        <v>660</v>
      </c>
      <c r="G2823" s="60">
        <f>+OtherClients[[#This Row],[Boxes / Pieces]]*OtherClients[[#This Row],[Unit Quantity]]</f>
        <v>20460</v>
      </c>
      <c r="H2823" s="60" t="s">
        <v>899</v>
      </c>
      <c r="I2823" s="60" t="s">
        <v>278</v>
      </c>
      <c r="J2823" s="104"/>
      <c r="K2823" s="33" t="s">
        <v>278</v>
      </c>
      <c r="L2823" s="111"/>
      <c r="M2823" s="33" t="s">
        <v>278</v>
      </c>
      <c r="N2823" s="111"/>
      <c r="O2823" s="33" t="s">
        <v>278</v>
      </c>
      <c r="P2823" s="111"/>
      <c r="Q2823" s="33" t="s">
        <v>587</v>
      </c>
      <c r="R2823" s="111"/>
      <c r="S2823" s="33" t="s">
        <v>278</v>
      </c>
      <c r="T2823" s="111"/>
      <c r="U2823" s="33" t="s">
        <v>278</v>
      </c>
      <c r="V2823" s="111"/>
      <c r="W2823" s="59" t="s">
        <v>548</v>
      </c>
      <c r="X2823" s="33" t="str">
        <f>+VLOOKUP(OtherClients[[#This Row],[Part]],PartControl!$A$2:$E$564,5,FALSE)</f>
        <v>infasco</v>
      </c>
      <c r="Y2823" s="108">
        <f>IF(OtherClients[[#This Row],[Re-certified or New]]&lt;&gt;"Re-certified",IF(OtherClients[[#This Row],[Client]]="infasco",VLOOKUP(OtherClients[[#This Row],[Part]],PartControl!$A$2:$E$564,2,FALSE),OtherClients[[#This Row],[Total Quantity]]*VLOOKUP(OtherClients[[#This Row],[Part]],PartControl!$A$2:$E$564,2,FALSE)),0)</f>
        <v>135.08000000000001</v>
      </c>
      <c r="Z2823" s="108">
        <f>IF(OtherClients[[#This Row],[Re-certified or New]]&lt;&gt;"Re-certified",IF(OtherClients[[#This Row],[Client]]="infasco",VLOOKUP(OtherClients[[#This Row],[Part]],PartControl!$A$2:$E$564,2,FALSE),OtherClients[[#This Row],[Total Quantity]]*VLOOKUP(OtherClients[[#This Row],[Part]],PartControl!$A$2:$E$564,2,FALSE)),0)</f>
        <v>135.08000000000001</v>
      </c>
    </row>
    <row r="2824" spans="1:26" ht="25.15" hidden="1" customHeight="1" x14ac:dyDescent="0.25">
      <c r="A2824" s="112">
        <v>46274.707060185188</v>
      </c>
      <c r="B2824" s="5" t="s">
        <v>343</v>
      </c>
      <c r="C2824" s="5" t="s">
        <v>856</v>
      </c>
      <c r="D2824" s="5">
        <v>718442</v>
      </c>
      <c r="E2824" s="33">
        <v>14</v>
      </c>
      <c r="F2824" s="60">
        <v>440</v>
      </c>
      <c r="G2824" s="60">
        <f>+OtherClients[[#This Row],[Boxes / Pieces]]*OtherClients[[#This Row],[Unit Quantity]]</f>
        <v>6160</v>
      </c>
      <c r="H2824" s="60" t="s">
        <v>899</v>
      </c>
      <c r="I2824" s="60" t="s">
        <v>278</v>
      </c>
      <c r="J2824" s="104"/>
      <c r="K2824" s="33" t="s">
        <v>278</v>
      </c>
      <c r="L2824" s="111"/>
      <c r="M2824" s="33" t="s">
        <v>278</v>
      </c>
      <c r="N2824" s="111"/>
      <c r="O2824" s="33" t="s">
        <v>278</v>
      </c>
      <c r="P2824" s="111"/>
      <c r="Q2824" s="33" t="s">
        <v>587</v>
      </c>
      <c r="R2824" s="111"/>
      <c r="S2824" s="33" t="s">
        <v>278</v>
      </c>
      <c r="T2824" s="111"/>
      <c r="U2824" s="33" t="s">
        <v>278</v>
      </c>
      <c r="V2824" s="111"/>
      <c r="W2824" s="59" t="s">
        <v>548</v>
      </c>
      <c r="X2824" s="33" t="str">
        <f>+VLOOKUP(OtherClients[[#This Row],[Part]],PartControl!$A$2:$E$564,5,FALSE)</f>
        <v>infasco</v>
      </c>
      <c r="Y2824" s="108">
        <f>IF(OtherClients[[#This Row],[Re-certified or New]]&lt;&gt;"Re-certified",IF(OtherClients[[#This Row],[Client]]="infasco",VLOOKUP(OtherClients[[#This Row],[Part]],PartControl!$A$2:$E$564,2,FALSE),OtherClients[[#This Row],[Total Quantity]]*VLOOKUP(OtherClients[[#This Row],[Part]],PartControl!$A$2:$E$564,2,FALSE)),0)</f>
        <v>106.94</v>
      </c>
      <c r="Z2824" s="108">
        <f>IF(OtherClients[[#This Row],[Re-certified or New]]&lt;&gt;"Re-certified",IF(OtherClients[[#This Row],[Client]]="infasco",VLOOKUP(OtherClients[[#This Row],[Part]],PartControl!$A$2:$E$564,2,FALSE),OtherClients[[#This Row],[Total Quantity]]*VLOOKUP(OtherClients[[#This Row],[Part]],PartControl!$A$2:$E$564,2,FALSE)),0)</f>
        <v>106.94</v>
      </c>
    </row>
    <row r="2825" spans="1:26" ht="25.15" hidden="1" customHeight="1" x14ac:dyDescent="0.25">
      <c r="A2825" s="112">
        <v>46274.707060185188</v>
      </c>
      <c r="B2825" s="5" t="s">
        <v>343</v>
      </c>
      <c r="C2825" s="5" t="s">
        <v>701</v>
      </c>
      <c r="D2825" s="5">
        <v>717797</v>
      </c>
      <c r="E2825" s="33">
        <v>19</v>
      </c>
      <c r="F2825" s="60">
        <v>400</v>
      </c>
      <c r="G2825" s="60">
        <f>+OtherClients[[#This Row],[Boxes / Pieces]]*OtherClients[[#This Row],[Unit Quantity]]</f>
        <v>7600</v>
      </c>
      <c r="H2825" s="60" t="s">
        <v>899</v>
      </c>
      <c r="I2825" s="60" t="s">
        <v>278</v>
      </c>
      <c r="J2825" s="104"/>
      <c r="K2825" s="33" t="s">
        <v>278</v>
      </c>
      <c r="L2825" s="111"/>
      <c r="M2825" s="33" t="s">
        <v>278</v>
      </c>
      <c r="N2825" s="111"/>
      <c r="O2825" s="33" t="s">
        <v>278</v>
      </c>
      <c r="P2825" s="111"/>
      <c r="Q2825" s="33" t="s">
        <v>587</v>
      </c>
      <c r="R2825" s="111"/>
      <c r="S2825" s="33" t="s">
        <v>278</v>
      </c>
      <c r="T2825" s="111"/>
      <c r="U2825" s="33" t="s">
        <v>278</v>
      </c>
      <c r="V2825" s="111"/>
      <c r="W2825" s="59" t="s">
        <v>548</v>
      </c>
      <c r="X2825" s="33" t="str">
        <f>+VLOOKUP(OtherClients[[#This Row],[Part]],PartControl!$A$2:$E$564,5,FALSE)</f>
        <v>infasco</v>
      </c>
      <c r="Y2825" s="108">
        <f>IF(OtherClients[[#This Row],[Re-certified or New]]&lt;&gt;"Re-certified",IF(OtherClients[[#This Row],[Client]]="infasco",VLOOKUP(OtherClients[[#This Row],[Part]],PartControl!$A$2:$E$564,2,FALSE),OtherClients[[#This Row],[Total Quantity]]*VLOOKUP(OtherClients[[#This Row],[Part]],PartControl!$A$2:$E$564,2,FALSE)),0)</f>
        <v>135.07999999999998</v>
      </c>
      <c r="Z2825" s="108">
        <f>IF(OtherClients[[#This Row],[Re-certified or New]]&lt;&gt;"Re-certified",IF(OtherClients[[#This Row],[Client]]="infasco",VLOOKUP(OtherClients[[#This Row],[Part]],PartControl!$A$2:$E$564,2,FALSE),OtherClients[[#This Row],[Total Quantity]]*VLOOKUP(OtherClients[[#This Row],[Part]],PartControl!$A$2:$E$564,2,FALSE)),0)</f>
        <v>135.07999999999998</v>
      </c>
    </row>
    <row r="2826" spans="1:26" ht="25.15" hidden="1" customHeight="1" x14ac:dyDescent="0.25">
      <c r="A2826" s="112">
        <v>46274.707060185188</v>
      </c>
      <c r="B2826" s="5" t="s">
        <v>343</v>
      </c>
      <c r="C2826" s="5" t="s">
        <v>906</v>
      </c>
      <c r="D2826" s="5">
        <v>710204</v>
      </c>
      <c r="E2826" s="33">
        <v>1</v>
      </c>
      <c r="F2826" s="60">
        <f>15*1450</f>
        <v>21750</v>
      </c>
      <c r="G2826" s="60">
        <f>+OtherClients[[#This Row],[Boxes / Pieces]]*OtherClients[[#This Row],[Unit Quantity]]</f>
        <v>21750</v>
      </c>
      <c r="H2826" s="60" t="s">
        <v>899</v>
      </c>
      <c r="I2826" s="60" t="s">
        <v>278</v>
      </c>
      <c r="J2826" s="104"/>
      <c r="K2826" s="33" t="s">
        <v>278</v>
      </c>
      <c r="L2826" s="111"/>
      <c r="M2826" s="33" t="s">
        <v>278</v>
      </c>
      <c r="N2826" s="111"/>
      <c r="O2826" s="33" t="s">
        <v>278</v>
      </c>
      <c r="P2826" s="111"/>
      <c r="Q2826" s="33" t="s">
        <v>587</v>
      </c>
      <c r="R2826" s="111"/>
      <c r="S2826" s="33" t="s">
        <v>278</v>
      </c>
      <c r="T2826" s="111"/>
      <c r="U2826" s="33" t="s">
        <v>278</v>
      </c>
      <c r="V2826" s="111"/>
      <c r="W2826" s="59" t="s">
        <v>633</v>
      </c>
      <c r="X2826" s="33" t="str">
        <f>+VLOOKUP(OtherClients[[#This Row],[Part]],PartControl!$A$2:$E$564,5,FALSE)</f>
        <v>infasco</v>
      </c>
      <c r="Y2826" s="108">
        <f>21750*0.012</f>
        <v>261</v>
      </c>
      <c r="Z2826" s="103">
        <f>+OtherClients[[#This Row],[Unit Price]]</f>
        <v>261</v>
      </c>
    </row>
    <row r="2827" spans="1:26" ht="25.15" hidden="1" customHeight="1" x14ac:dyDescent="0.25">
      <c r="A2827" s="112">
        <v>46274.707060185188</v>
      </c>
      <c r="B2827" s="5" t="s">
        <v>344</v>
      </c>
      <c r="C2827" s="5" t="s">
        <v>835</v>
      </c>
      <c r="D2827" s="5">
        <v>718439</v>
      </c>
      <c r="E2827" s="33">
        <v>30</v>
      </c>
      <c r="F2827" s="60">
        <v>660</v>
      </c>
      <c r="G2827" s="60">
        <f>+OtherClients[[#This Row],[Boxes / Pieces]]*OtherClients[[#This Row],[Unit Quantity]]</f>
        <v>19800</v>
      </c>
      <c r="H2827" s="60" t="s">
        <v>816</v>
      </c>
      <c r="I2827" s="60" t="s">
        <v>278</v>
      </c>
      <c r="J2827" s="104"/>
      <c r="K2827" s="33" t="s">
        <v>278</v>
      </c>
      <c r="L2827" s="111"/>
      <c r="M2827" s="33" t="s">
        <v>278</v>
      </c>
      <c r="N2827" s="111"/>
      <c r="O2827" s="33" t="s">
        <v>278</v>
      </c>
      <c r="P2827" s="111"/>
      <c r="Q2827" s="33" t="s">
        <v>587</v>
      </c>
      <c r="R2827" s="111"/>
      <c r="S2827" s="33" t="s">
        <v>278</v>
      </c>
      <c r="T2827" s="111"/>
      <c r="U2827" s="33" t="s">
        <v>278</v>
      </c>
      <c r="V2827" s="111"/>
      <c r="W2827" s="59" t="s">
        <v>548</v>
      </c>
      <c r="X2827" s="33" t="str">
        <f>+VLOOKUP(OtherClients[[#This Row],[Part]],PartControl!$A$2:$E$564,5,FALSE)</f>
        <v>infasco</v>
      </c>
      <c r="Y2827" s="108">
        <f>IF(OtherClients[[#This Row],[Re-certified or New]]&lt;&gt;"Re-certified",IF(OtherClients[[#This Row],[Client]]="infasco",VLOOKUP(OtherClients[[#This Row],[Part]],PartControl!$A$2:$E$564,2,FALSE),OtherClients[[#This Row],[Total Quantity]]*VLOOKUP(OtherClients[[#This Row],[Part]],PartControl!$A$2:$E$564,2,FALSE)),0)</f>
        <v>135.08000000000001</v>
      </c>
      <c r="Z2827" s="108">
        <f>IF(OtherClients[[#This Row],[Re-certified or New]]&lt;&gt;"Re-certified",IF(OtherClients[[#This Row],[Client]]="infasco",VLOOKUP(OtherClients[[#This Row],[Part]],PartControl!$A$2:$E$564,2,FALSE),OtherClients[[#This Row],[Total Quantity]]*VLOOKUP(OtherClients[[#This Row],[Part]],PartControl!$A$2:$E$564,2,FALSE)),0)</f>
        <v>135.08000000000001</v>
      </c>
    </row>
    <row r="2828" spans="1:26" ht="25.15" hidden="1" customHeight="1" x14ac:dyDescent="0.25">
      <c r="A2828" s="112">
        <v>46274.707060185188</v>
      </c>
      <c r="B2828" s="5" t="s">
        <v>344</v>
      </c>
      <c r="C2828" s="5" t="s">
        <v>770</v>
      </c>
      <c r="D2828" s="5">
        <v>717844</v>
      </c>
      <c r="E2828" s="33">
        <v>24</v>
      </c>
      <c r="F2828" s="60">
        <v>6000</v>
      </c>
      <c r="G2828" s="60">
        <f>+OtherClients[[#This Row],[Boxes / Pieces]]*OtherClients[[#This Row],[Unit Quantity]]</f>
        <v>144000</v>
      </c>
      <c r="H2828" s="60" t="s">
        <v>816</v>
      </c>
      <c r="I2828" s="60" t="s">
        <v>278</v>
      </c>
      <c r="J2828" s="104"/>
      <c r="K2828" s="33" t="s">
        <v>278</v>
      </c>
      <c r="L2828" s="111"/>
      <c r="M2828" s="33" t="s">
        <v>278</v>
      </c>
      <c r="N2828" s="111"/>
      <c r="O2828" s="33" t="s">
        <v>278</v>
      </c>
      <c r="P2828" s="111"/>
      <c r="Q2828" s="33" t="s">
        <v>587</v>
      </c>
      <c r="R2828" s="111"/>
      <c r="S2828" s="33" t="s">
        <v>278</v>
      </c>
      <c r="T2828" s="111"/>
      <c r="U2828" s="33" t="s">
        <v>278</v>
      </c>
      <c r="V2828" s="111"/>
      <c r="W2828" s="59" t="s">
        <v>548</v>
      </c>
      <c r="X2828" s="33" t="str">
        <f>+VLOOKUP(OtherClients[[#This Row],[Part]],PartControl!$A$2:$E$564,5,FALSE)</f>
        <v>infasco</v>
      </c>
      <c r="Y2828" s="108">
        <f>IF(OtherClients[[#This Row],[Re-certified or New]]&lt;&gt;"Re-certified",IF(OtherClients[[#This Row],[Client]]="infasco",VLOOKUP(OtherClients[[#This Row],[Part]],PartControl!$A$2:$E$564,2,FALSE),OtherClients[[#This Row],[Total Quantity]]*VLOOKUP(OtherClients[[#This Row],[Part]],PartControl!$A$2:$E$564,2,FALSE)),0)</f>
        <v>135.08000000000001</v>
      </c>
      <c r="Z2828" s="108">
        <f>IF(OtherClients[[#This Row],[Re-certified or New]]&lt;&gt;"Re-certified",IF(OtherClients[[#This Row],[Client]]="infasco",VLOOKUP(OtherClients[[#This Row],[Part]],PartControl!$A$2:$E$564,2,FALSE),OtherClients[[#This Row],[Total Quantity]]*VLOOKUP(OtherClients[[#This Row],[Part]],PartControl!$A$2:$E$564,2,FALSE)),0)</f>
        <v>135.08000000000001</v>
      </c>
    </row>
    <row r="2829" spans="1:26" ht="25.15" hidden="1" customHeight="1" x14ac:dyDescent="0.25">
      <c r="A2829" s="112">
        <v>46274.707060185188</v>
      </c>
      <c r="B2829" s="5" t="s">
        <v>344</v>
      </c>
      <c r="C2829" s="5" t="s">
        <v>835</v>
      </c>
      <c r="D2829" s="5">
        <v>718437</v>
      </c>
      <c r="E2829" s="33">
        <v>30</v>
      </c>
      <c r="F2829" s="60">
        <v>660</v>
      </c>
      <c r="G2829" s="60">
        <f>+OtherClients[[#This Row],[Boxes / Pieces]]*OtherClients[[#This Row],[Unit Quantity]]</f>
        <v>19800</v>
      </c>
      <c r="H2829" s="60" t="s">
        <v>816</v>
      </c>
      <c r="I2829" s="60" t="s">
        <v>278</v>
      </c>
      <c r="J2829" s="104"/>
      <c r="K2829" s="33" t="s">
        <v>278</v>
      </c>
      <c r="L2829" s="111"/>
      <c r="M2829" s="33" t="s">
        <v>278</v>
      </c>
      <c r="N2829" s="111"/>
      <c r="O2829" s="33" t="s">
        <v>278</v>
      </c>
      <c r="P2829" s="111"/>
      <c r="Q2829" s="33" t="s">
        <v>587</v>
      </c>
      <c r="R2829" s="111"/>
      <c r="S2829" s="33" t="s">
        <v>278</v>
      </c>
      <c r="T2829" s="111"/>
      <c r="U2829" s="33" t="s">
        <v>278</v>
      </c>
      <c r="V2829" s="111"/>
      <c r="W2829" s="59" t="s">
        <v>548</v>
      </c>
      <c r="X2829" s="33" t="str">
        <f>+VLOOKUP(OtherClients[[#This Row],[Part]],PartControl!$A$2:$E$564,5,FALSE)</f>
        <v>infasco</v>
      </c>
      <c r="Y2829" s="108">
        <f>IF(OtherClients[[#This Row],[Re-certified or New]]&lt;&gt;"Re-certified",IF(OtherClients[[#This Row],[Client]]="infasco",VLOOKUP(OtherClients[[#This Row],[Part]],PartControl!$A$2:$E$564,2,FALSE),OtherClients[[#This Row],[Total Quantity]]*VLOOKUP(OtherClients[[#This Row],[Part]],PartControl!$A$2:$E$564,2,FALSE)),0)</f>
        <v>135.08000000000001</v>
      </c>
      <c r="Z2829" s="108">
        <f>IF(OtherClients[[#This Row],[Re-certified or New]]&lt;&gt;"Re-certified",IF(OtherClients[[#This Row],[Client]]="infasco",VLOOKUP(OtherClients[[#This Row],[Part]],PartControl!$A$2:$E$564,2,FALSE),OtherClients[[#This Row],[Total Quantity]]*VLOOKUP(OtherClients[[#This Row],[Part]],PartControl!$A$2:$E$564,2,FALSE)),0)</f>
        <v>135.08000000000001</v>
      </c>
    </row>
    <row r="2830" spans="1:26" ht="25.15" hidden="1" customHeight="1" x14ac:dyDescent="0.25">
      <c r="A2830" s="112">
        <v>46274.707060185188</v>
      </c>
      <c r="B2830" s="5" t="s">
        <v>344</v>
      </c>
      <c r="C2830" s="5" t="s">
        <v>770</v>
      </c>
      <c r="D2830" s="5">
        <v>717860</v>
      </c>
      <c r="E2830" s="33">
        <v>32</v>
      </c>
      <c r="F2830" s="60">
        <v>6000</v>
      </c>
      <c r="G2830" s="60">
        <f>+OtherClients[[#This Row],[Boxes / Pieces]]*OtherClients[[#This Row],[Unit Quantity]]</f>
        <v>192000</v>
      </c>
      <c r="H2830" s="60" t="s">
        <v>816</v>
      </c>
      <c r="I2830" s="60" t="s">
        <v>278</v>
      </c>
      <c r="J2830" s="104"/>
      <c r="K2830" s="33" t="s">
        <v>278</v>
      </c>
      <c r="L2830" s="111"/>
      <c r="M2830" s="33" t="s">
        <v>278</v>
      </c>
      <c r="N2830" s="111"/>
      <c r="O2830" s="33" t="s">
        <v>278</v>
      </c>
      <c r="P2830" s="111"/>
      <c r="Q2830" s="33" t="s">
        <v>587</v>
      </c>
      <c r="R2830" s="111"/>
      <c r="S2830" s="33" t="s">
        <v>278</v>
      </c>
      <c r="T2830" s="111"/>
      <c r="U2830" s="33" t="s">
        <v>278</v>
      </c>
      <c r="V2830" s="111"/>
      <c r="W2830" s="59" t="s">
        <v>548</v>
      </c>
      <c r="X2830" s="33" t="str">
        <f>+VLOOKUP(OtherClients[[#This Row],[Part]],PartControl!$A$2:$E$564,5,FALSE)</f>
        <v>infasco</v>
      </c>
      <c r="Y2830" s="108">
        <f>IF(OtherClients[[#This Row],[Re-certified or New]]&lt;&gt;"Re-certified",IF(OtherClients[[#This Row],[Client]]="infasco",VLOOKUP(OtherClients[[#This Row],[Part]],PartControl!$A$2:$E$564,2,FALSE),OtherClients[[#This Row],[Total Quantity]]*VLOOKUP(OtherClients[[#This Row],[Part]],PartControl!$A$2:$E$564,2,FALSE)),0)</f>
        <v>135.08000000000001</v>
      </c>
      <c r="Z2830" s="108">
        <f>IF(OtherClients[[#This Row],[Re-certified or New]]&lt;&gt;"Re-certified",IF(OtherClients[[#This Row],[Client]]="infasco",VLOOKUP(OtherClients[[#This Row],[Part]],PartControl!$A$2:$E$564,2,FALSE),OtherClients[[#This Row],[Total Quantity]]*VLOOKUP(OtherClients[[#This Row],[Part]],PartControl!$A$2:$E$564,2,FALSE)),0)</f>
        <v>135.08000000000001</v>
      </c>
    </row>
    <row r="2831" spans="1:26" ht="25.15" hidden="1" customHeight="1" x14ac:dyDescent="0.25">
      <c r="A2831" s="112">
        <v>46274.707060185188</v>
      </c>
      <c r="B2831" s="5" t="s">
        <v>344</v>
      </c>
      <c r="C2831" s="5" t="s">
        <v>656</v>
      </c>
      <c r="D2831" s="5">
        <v>718514</v>
      </c>
      <c r="E2831" s="33">
        <v>22</v>
      </c>
      <c r="F2831" s="60">
        <v>825</v>
      </c>
      <c r="G2831" s="60">
        <f>+OtherClients[[#This Row],[Boxes / Pieces]]*OtherClients[[#This Row],[Unit Quantity]]</f>
        <v>18150</v>
      </c>
      <c r="H2831" s="60" t="s">
        <v>816</v>
      </c>
      <c r="I2831" s="60" t="s">
        <v>278</v>
      </c>
      <c r="J2831" s="104"/>
      <c r="K2831" s="33" t="s">
        <v>278</v>
      </c>
      <c r="L2831" s="111"/>
      <c r="M2831" s="33" t="s">
        <v>278</v>
      </c>
      <c r="N2831" s="111"/>
      <c r="O2831" s="33" t="s">
        <v>278</v>
      </c>
      <c r="P2831" s="111"/>
      <c r="Q2831" s="33" t="s">
        <v>587</v>
      </c>
      <c r="R2831" s="111"/>
      <c r="S2831" s="33" t="s">
        <v>278</v>
      </c>
      <c r="T2831" s="111"/>
      <c r="U2831" s="33" t="s">
        <v>278</v>
      </c>
      <c r="V2831" s="111"/>
      <c r="W2831" s="59" t="s">
        <v>548</v>
      </c>
      <c r="X2831" s="33" t="str">
        <f>+VLOOKUP(OtherClients[[#This Row],[Part]],PartControl!$A$2:$E$564,5,FALSE)</f>
        <v>infasco</v>
      </c>
      <c r="Y2831" s="108">
        <f>IF(OtherClients[[#This Row],[Re-certified or New]]&lt;&gt;"Re-certified",IF(OtherClients[[#This Row],[Client]]="infasco",VLOOKUP(OtherClients[[#This Row],[Part]],PartControl!$A$2:$E$564,2,FALSE),OtherClients[[#This Row],[Total Quantity]]*VLOOKUP(OtherClients[[#This Row],[Part]],PartControl!$A$2:$E$564,2,FALSE)),0)</f>
        <v>280.16000000000003</v>
      </c>
      <c r="Z2831" s="108">
        <f>IF(OtherClients[[#This Row],[Re-certified or New]]&lt;&gt;"Re-certified",IF(OtherClients[[#This Row],[Client]]="infasco",VLOOKUP(OtherClients[[#This Row],[Part]],PartControl!$A$2:$E$564,2,FALSE),OtherClients[[#This Row],[Total Quantity]]*VLOOKUP(OtherClients[[#This Row],[Part]],PartControl!$A$2:$E$564,2,FALSE)),0)</f>
        <v>280.16000000000003</v>
      </c>
    </row>
    <row r="2832" spans="1:26" ht="25.15" hidden="1" customHeight="1" x14ac:dyDescent="0.25">
      <c r="A2832" s="112">
        <v>46274.707060185188</v>
      </c>
      <c r="B2832" s="5" t="s">
        <v>344</v>
      </c>
      <c r="C2832" s="5">
        <v>11611960</v>
      </c>
      <c r="D2832" s="5">
        <v>717850</v>
      </c>
      <c r="E2832" s="33">
        <v>18</v>
      </c>
      <c r="F2832" s="60">
        <v>8000</v>
      </c>
      <c r="G2832" s="60">
        <f>+OtherClients[[#This Row],[Boxes / Pieces]]*OtherClients[[#This Row],[Unit Quantity]]</f>
        <v>144000</v>
      </c>
      <c r="H2832" s="60" t="s">
        <v>816</v>
      </c>
      <c r="I2832" s="60" t="s">
        <v>278</v>
      </c>
      <c r="J2832" s="104"/>
      <c r="K2832" s="33" t="s">
        <v>278</v>
      </c>
      <c r="L2832" s="111"/>
      <c r="M2832" s="33" t="s">
        <v>278</v>
      </c>
      <c r="N2832" s="111"/>
      <c r="O2832" s="33" t="s">
        <v>278</v>
      </c>
      <c r="P2832" s="111"/>
      <c r="Q2832" s="33" t="s">
        <v>587</v>
      </c>
      <c r="R2832" s="111"/>
      <c r="S2832" s="33" t="s">
        <v>278</v>
      </c>
      <c r="T2832" s="111"/>
      <c r="U2832" s="33" t="s">
        <v>278</v>
      </c>
      <c r="V2832" s="111"/>
      <c r="W2832" s="59" t="s">
        <v>548</v>
      </c>
      <c r="X2832" s="33" t="str">
        <f>+VLOOKUP(OtherClients[[#This Row],[Part]],PartControl!$A$2:$E$564,5,FALSE)</f>
        <v>infasco</v>
      </c>
      <c r="Y2832" s="108">
        <f>IF(OtherClients[[#This Row],[Re-certified or New]]&lt;&gt;"Re-certified",IF(OtherClients[[#This Row],[Client]]="infasco",VLOOKUP(OtherClients[[#This Row],[Part]],PartControl!$A$2:$E$564,2,FALSE),OtherClients[[#This Row],[Total Quantity]]*VLOOKUP(OtherClients[[#This Row],[Part]],PartControl!$A$2:$E$564,2,FALSE)),0)</f>
        <v>135.07999999999998</v>
      </c>
      <c r="Z2832" s="108">
        <f>IF(OtherClients[[#This Row],[Re-certified or New]]&lt;&gt;"Re-certified",IF(OtherClients[[#This Row],[Client]]="infasco",VLOOKUP(OtherClients[[#This Row],[Part]],PartControl!$A$2:$E$564,2,FALSE),OtherClients[[#This Row],[Total Quantity]]*VLOOKUP(OtherClients[[#This Row],[Part]],PartControl!$A$2:$E$564,2,FALSE)),0)</f>
        <v>135.07999999999998</v>
      </c>
    </row>
    <row r="2833" spans="1:26" ht="25.15" hidden="1" customHeight="1" x14ac:dyDescent="0.25">
      <c r="A2833" s="112">
        <v>46274.707060185188</v>
      </c>
      <c r="B2833" s="5" t="s">
        <v>344</v>
      </c>
      <c r="C2833" s="5" t="s">
        <v>750</v>
      </c>
      <c r="D2833" s="5">
        <v>717544</v>
      </c>
      <c r="E2833" s="33">
        <v>36</v>
      </c>
      <c r="F2833" s="60">
        <v>1300</v>
      </c>
      <c r="G2833" s="60">
        <f>+OtherClients[[#This Row],[Boxes / Pieces]]*OtherClients[[#This Row],[Unit Quantity]]</f>
        <v>46800</v>
      </c>
      <c r="H2833" s="60" t="s">
        <v>816</v>
      </c>
      <c r="I2833" s="60" t="s">
        <v>278</v>
      </c>
      <c r="J2833" s="104"/>
      <c r="K2833" s="33" t="s">
        <v>278</v>
      </c>
      <c r="L2833" s="111"/>
      <c r="M2833" s="33" t="s">
        <v>278</v>
      </c>
      <c r="N2833" s="111"/>
      <c r="O2833" s="33" t="s">
        <v>278</v>
      </c>
      <c r="P2833" s="111"/>
      <c r="Q2833" s="33" t="s">
        <v>587</v>
      </c>
      <c r="R2833" s="111"/>
      <c r="S2833" s="33" t="s">
        <v>278</v>
      </c>
      <c r="T2833" s="111"/>
      <c r="U2833" s="33" t="s">
        <v>278</v>
      </c>
      <c r="V2833" s="111"/>
      <c r="W2833" s="59" t="s">
        <v>548</v>
      </c>
      <c r="X2833" s="33" t="str">
        <f>+VLOOKUP(OtherClients[[#This Row],[Part]],PartControl!$A$2:$E$564,5,FALSE)</f>
        <v>infasco</v>
      </c>
      <c r="Y2833" s="108">
        <f>IF(OtherClients[[#This Row],[Re-certified or New]]&lt;&gt;"Re-certified",IF(OtherClients[[#This Row],[Client]]="infasco",VLOOKUP(OtherClients[[#This Row],[Part]],PartControl!$A$2:$E$564,2,FALSE),OtherClients[[#This Row],[Total Quantity]]*VLOOKUP(OtherClients[[#This Row],[Part]],PartControl!$A$2:$E$564,2,FALSE)),0)</f>
        <v>129.44999999999999</v>
      </c>
      <c r="Z2833" s="108">
        <f>IF(OtherClients[[#This Row],[Re-certified or New]]&lt;&gt;"Re-certified",IF(OtherClients[[#This Row],[Client]]="infasco",VLOOKUP(OtherClients[[#This Row],[Part]],PartControl!$A$2:$E$564,2,FALSE),OtherClients[[#This Row],[Total Quantity]]*VLOOKUP(OtherClients[[#This Row],[Part]],PartControl!$A$2:$E$564,2,FALSE)),0)</f>
        <v>129.44999999999999</v>
      </c>
    </row>
    <row r="2834" spans="1:26" ht="25.15" hidden="1" customHeight="1" x14ac:dyDescent="0.25">
      <c r="A2834" s="112">
        <v>46274.707060185188</v>
      </c>
      <c r="B2834" s="5" t="s">
        <v>344</v>
      </c>
      <c r="C2834" s="5" t="s">
        <v>656</v>
      </c>
      <c r="D2834" s="5">
        <v>718513</v>
      </c>
      <c r="E2834" s="33">
        <v>12</v>
      </c>
      <c r="F2834" s="60">
        <v>825</v>
      </c>
      <c r="G2834" s="60">
        <f>+OtherClients[[#This Row],[Boxes / Pieces]]*OtherClients[[#This Row],[Unit Quantity]]</f>
        <v>9900</v>
      </c>
      <c r="H2834" s="60" t="s">
        <v>816</v>
      </c>
      <c r="I2834" s="60" t="s">
        <v>278</v>
      </c>
      <c r="J2834" s="104"/>
      <c r="K2834" s="33" t="s">
        <v>278</v>
      </c>
      <c r="L2834" s="111"/>
      <c r="M2834" s="33" t="s">
        <v>278</v>
      </c>
      <c r="N2834" s="111"/>
      <c r="O2834" s="33" t="s">
        <v>278</v>
      </c>
      <c r="P2834" s="111"/>
      <c r="Q2834" s="33" t="s">
        <v>587</v>
      </c>
      <c r="R2834" s="111"/>
      <c r="S2834" s="33" t="s">
        <v>278</v>
      </c>
      <c r="T2834" s="111"/>
      <c r="U2834" s="33" t="s">
        <v>278</v>
      </c>
      <c r="V2834" s="111"/>
      <c r="W2834" s="59" t="s">
        <v>633</v>
      </c>
      <c r="X2834" s="33" t="str">
        <f>+VLOOKUP(OtherClients[[#This Row],[Part]],PartControl!$A$2:$E$564,5,FALSE)</f>
        <v>infasco</v>
      </c>
      <c r="Y2834" s="108">
        <f>IF(OtherClients[[#This Row],[Re-certified or New]]&lt;&gt;"Re-certified",IF(OtherClients[[#This Row],[Client]]="infasco",VLOOKUP(OtherClients[[#This Row],[Part]],PartControl!$A$2:$E$564,2,FALSE),OtherClients[[#This Row],[Total Quantity]]*VLOOKUP(OtherClients[[#This Row],[Part]],PartControl!$A$2:$E$564,2,FALSE)),0)</f>
        <v>0</v>
      </c>
      <c r="Z2834" s="108">
        <f>IF(OtherClients[[#This Row],[Re-certified or New]]&lt;&gt;"Re-certified",IF(OtherClients[[#This Row],[Client]]="infasco",VLOOKUP(OtherClients[[#This Row],[Part]],PartControl!$A$2:$E$564,2,FALSE),OtherClients[[#This Row],[Total Quantity]]*VLOOKUP(OtherClients[[#This Row],[Part]],PartControl!$A$2:$E$564,2,FALSE)),0)</f>
        <v>0</v>
      </c>
    </row>
    <row r="2835" spans="1:26" ht="25.15" hidden="1" customHeight="1" x14ac:dyDescent="0.25">
      <c r="A2835" s="112">
        <v>46274.707060185188</v>
      </c>
      <c r="B2835" s="5" t="s">
        <v>345</v>
      </c>
      <c r="C2835" s="5" t="s">
        <v>835</v>
      </c>
      <c r="D2835" s="5">
        <v>718440</v>
      </c>
      <c r="E2835" s="33">
        <v>27</v>
      </c>
      <c r="F2835" s="60">
        <v>660</v>
      </c>
      <c r="G2835" s="60">
        <f>+OtherClients[[#This Row],[Boxes / Pieces]]*OtherClients[[#This Row],[Unit Quantity]]</f>
        <v>17820</v>
      </c>
      <c r="H2835" s="60" t="s">
        <v>864</v>
      </c>
      <c r="I2835" s="60" t="s">
        <v>278</v>
      </c>
      <c r="J2835" s="104"/>
      <c r="K2835" s="33" t="s">
        <v>278</v>
      </c>
      <c r="L2835" s="111"/>
      <c r="M2835" s="33" t="s">
        <v>278</v>
      </c>
      <c r="N2835" s="111"/>
      <c r="O2835" s="33" t="s">
        <v>278</v>
      </c>
      <c r="P2835" s="111"/>
      <c r="Q2835" s="33" t="s">
        <v>587</v>
      </c>
      <c r="R2835" s="111"/>
      <c r="S2835" s="33" t="s">
        <v>278</v>
      </c>
      <c r="T2835" s="111"/>
      <c r="U2835" s="33" t="s">
        <v>278</v>
      </c>
      <c r="V2835" s="111"/>
      <c r="W2835" s="59" t="s">
        <v>548</v>
      </c>
      <c r="X2835" s="33" t="str">
        <f>+VLOOKUP(OtherClients[[#This Row],[Part]],PartControl!$A$2:$E$564,5,FALSE)</f>
        <v>infasco</v>
      </c>
      <c r="Y2835" s="108">
        <f>IF(OtherClients[[#This Row],[Re-certified or New]]&lt;&gt;"Re-certified",IF(OtherClients[[#This Row],[Client]]="infasco",VLOOKUP(OtherClients[[#This Row],[Part]],PartControl!$A$2:$E$564,2,FALSE),OtherClients[[#This Row],[Total Quantity]]*VLOOKUP(OtherClients[[#This Row],[Part]],PartControl!$A$2:$E$564,2,FALSE)),0)</f>
        <v>135.08000000000001</v>
      </c>
      <c r="Z2835" s="108">
        <f>IF(OtherClients[[#This Row],[Re-certified or New]]&lt;&gt;"Re-certified",IF(OtherClients[[#This Row],[Client]]="infasco",VLOOKUP(OtherClients[[#This Row],[Part]],PartControl!$A$2:$E$564,2,FALSE),OtherClients[[#This Row],[Total Quantity]]*VLOOKUP(OtherClients[[#This Row],[Part]],PartControl!$A$2:$E$564,2,FALSE)),0)</f>
        <v>135.08000000000001</v>
      </c>
    </row>
    <row r="2836" spans="1:26" ht="25.15" hidden="1" customHeight="1" x14ac:dyDescent="0.25">
      <c r="A2836" s="112">
        <v>46274.707060185188</v>
      </c>
      <c r="B2836" s="5" t="s">
        <v>345</v>
      </c>
      <c r="C2836" s="5" t="s">
        <v>921</v>
      </c>
      <c r="D2836" s="5">
        <v>717671</v>
      </c>
      <c r="E2836" s="33">
        <v>36</v>
      </c>
      <c r="F2836" s="60">
        <v>220</v>
      </c>
      <c r="G2836" s="60">
        <f>+OtherClients[[#This Row],[Boxes / Pieces]]*OtherClients[[#This Row],[Unit Quantity]]</f>
        <v>7920</v>
      </c>
      <c r="H2836" s="60" t="s">
        <v>864</v>
      </c>
      <c r="I2836" s="60" t="s">
        <v>278</v>
      </c>
      <c r="J2836" s="104"/>
      <c r="K2836" s="33" t="s">
        <v>278</v>
      </c>
      <c r="L2836" s="111"/>
      <c r="M2836" s="33" t="s">
        <v>278</v>
      </c>
      <c r="N2836" s="111"/>
      <c r="O2836" s="33" t="s">
        <v>278</v>
      </c>
      <c r="P2836" s="111"/>
      <c r="Q2836" s="33" t="s">
        <v>587</v>
      </c>
      <c r="R2836" s="111"/>
      <c r="S2836" s="33" t="s">
        <v>278</v>
      </c>
      <c r="T2836" s="111"/>
      <c r="U2836" s="33" t="s">
        <v>278</v>
      </c>
      <c r="V2836" s="111"/>
      <c r="W2836" s="59" t="s">
        <v>548</v>
      </c>
      <c r="X2836" s="33" t="str">
        <f>+VLOOKUP(OtherClients[[#This Row],[Part]],PartControl!$A$2:$E$564,5,FALSE)</f>
        <v>infasco</v>
      </c>
      <c r="Y2836" s="108">
        <f>IF(OtherClients[[#This Row],[Re-certified or New]]&lt;&gt;"Re-certified",IF(OtherClients[[#This Row],[Client]]="infasco",VLOOKUP(OtherClients[[#This Row],[Part]],PartControl!$A$2:$E$564,2,FALSE),OtherClients[[#This Row],[Total Quantity]]*VLOOKUP(OtherClients[[#This Row],[Part]],PartControl!$A$2:$E$564,2,FALSE)),0)</f>
        <v>106.94</v>
      </c>
      <c r="Z2836" s="108">
        <f>IF(OtherClients[[#This Row],[Re-certified or New]]&lt;&gt;"Re-certified",IF(OtherClients[[#This Row],[Client]]="infasco",VLOOKUP(OtherClients[[#This Row],[Part]],PartControl!$A$2:$E$564,2,FALSE),OtherClients[[#This Row],[Total Quantity]]*VLOOKUP(OtherClients[[#This Row],[Part]],PartControl!$A$2:$E$564,2,FALSE)),0)</f>
        <v>106.94</v>
      </c>
    </row>
    <row r="2837" spans="1:26" ht="25.15" hidden="1" customHeight="1" x14ac:dyDescent="0.25">
      <c r="A2837" s="112">
        <v>46274.707060185188</v>
      </c>
      <c r="B2837" s="5" t="s">
        <v>345</v>
      </c>
      <c r="C2837" s="5" t="s">
        <v>921</v>
      </c>
      <c r="D2837" s="5">
        <v>717818</v>
      </c>
      <c r="E2837" s="33">
        <v>37</v>
      </c>
      <c r="F2837" s="60">
        <v>220</v>
      </c>
      <c r="G2837" s="60">
        <f>+OtherClients[[#This Row],[Boxes / Pieces]]*OtherClients[[#This Row],[Unit Quantity]]</f>
        <v>8140</v>
      </c>
      <c r="H2837" s="60" t="s">
        <v>864</v>
      </c>
      <c r="I2837" s="60" t="s">
        <v>278</v>
      </c>
      <c r="J2837" s="104"/>
      <c r="K2837" s="33" t="s">
        <v>278</v>
      </c>
      <c r="L2837" s="111"/>
      <c r="M2837" s="33" t="s">
        <v>278</v>
      </c>
      <c r="N2837" s="111"/>
      <c r="O2837" s="33" t="s">
        <v>278</v>
      </c>
      <c r="P2837" s="111"/>
      <c r="Q2837" s="33" t="s">
        <v>587</v>
      </c>
      <c r="R2837" s="111"/>
      <c r="S2837" s="33" t="s">
        <v>278</v>
      </c>
      <c r="T2837" s="111"/>
      <c r="U2837" s="33" t="s">
        <v>278</v>
      </c>
      <c r="V2837" s="111"/>
      <c r="W2837" s="59" t="s">
        <v>548</v>
      </c>
      <c r="X2837" s="33" t="str">
        <f>+VLOOKUP(OtherClients[[#This Row],[Part]],PartControl!$A$2:$E$564,5,FALSE)</f>
        <v>infasco</v>
      </c>
      <c r="Y2837" s="108">
        <f>IF(OtherClients[[#This Row],[Re-certified or New]]&lt;&gt;"Re-certified",IF(OtherClients[[#This Row],[Client]]="infasco",VLOOKUP(OtherClients[[#This Row],[Part]],PartControl!$A$2:$E$564,2,FALSE),OtherClients[[#This Row],[Total Quantity]]*VLOOKUP(OtherClients[[#This Row],[Part]],PartControl!$A$2:$E$564,2,FALSE)),0)</f>
        <v>106.94</v>
      </c>
      <c r="Z2837" s="108">
        <f>IF(OtherClients[[#This Row],[Re-certified or New]]&lt;&gt;"Re-certified",IF(OtherClients[[#This Row],[Client]]="infasco",VLOOKUP(OtherClients[[#This Row],[Part]],PartControl!$A$2:$E$564,2,FALSE),OtherClients[[#This Row],[Total Quantity]]*VLOOKUP(OtherClients[[#This Row],[Part]],PartControl!$A$2:$E$564,2,FALSE)),0)</f>
        <v>106.94</v>
      </c>
    </row>
    <row r="2838" spans="1:26" ht="25.15" hidden="1" customHeight="1" x14ac:dyDescent="0.25">
      <c r="A2838" s="112">
        <v>46274.707060185188</v>
      </c>
      <c r="B2838" s="5" t="s">
        <v>345</v>
      </c>
      <c r="C2838" s="5" t="s">
        <v>856</v>
      </c>
      <c r="D2838" s="5">
        <v>718441</v>
      </c>
      <c r="E2838" s="33">
        <v>31</v>
      </c>
      <c r="F2838" s="60">
        <v>440</v>
      </c>
      <c r="G2838" s="60">
        <f>+OtherClients[[#This Row],[Boxes / Pieces]]*OtherClients[[#This Row],[Unit Quantity]]</f>
        <v>13640</v>
      </c>
      <c r="H2838" s="60" t="s">
        <v>864</v>
      </c>
      <c r="I2838" s="60" t="s">
        <v>278</v>
      </c>
      <c r="J2838" s="104"/>
      <c r="K2838" s="33" t="s">
        <v>278</v>
      </c>
      <c r="L2838" s="111"/>
      <c r="M2838" s="33" t="s">
        <v>278</v>
      </c>
      <c r="N2838" s="111"/>
      <c r="O2838" s="33" t="s">
        <v>278</v>
      </c>
      <c r="P2838" s="111"/>
      <c r="Q2838" s="33" t="s">
        <v>587</v>
      </c>
      <c r="R2838" s="111"/>
      <c r="S2838" s="33" t="s">
        <v>278</v>
      </c>
      <c r="T2838" s="111"/>
      <c r="U2838" s="33" t="s">
        <v>278</v>
      </c>
      <c r="V2838" s="111"/>
      <c r="W2838" s="59" t="s">
        <v>548</v>
      </c>
      <c r="X2838" s="33" t="str">
        <f>+VLOOKUP(OtherClients[[#This Row],[Part]],PartControl!$A$2:$E$564,5,FALSE)</f>
        <v>infasco</v>
      </c>
      <c r="Y2838" s="108">
        <f>IF(OtherClients[[#This Row],[Re-certified or New]]&lt;&gt;"Re-certified",IF(OtherClients[[#This Row],[Client]]="infasco",VLOOKUP(OtherClients[[#This Row],[Part]],PartControl!$A$2:$E$564,2,FALSE),OtherClients[[#This Row],[Total Quantity]]*VLOOKUP(OtherClients[[#This Row],[Part]],PartControl!$A$2:$E$564,2,FALSE)),0)</f>
        <v>106.94</v>
      </c>
      <c r="Z2838" s="108">
        <f>IF(OtherClients[[#This Row],[Re-certified or New]]&lt;&gt;"Re-certified",IF(OtherClients[[#This Row],[Client]]="infasco",VLOOKUP(OtherClients[[#This Row],[Part]],PartControl!$A$2:$E$564,2,FALSE),OtherClients[[#This Row],[Total Quantity]]*VLOOKUP(OtherClients[[#This Row],[Part]],PartControl!$A$2:$E$564,2,FALSE)),0)</f>
        <v>106.94</v>
      </c>
    </row>
    <row r="2839" spans="1:26" ht="25.15" hidden="1" customHeight="1" x14ac:dyDescent="0.25">
      <c r="A2839" s="112">
        <v>46274.707060185188</v>
      </c>
      <c r="B2839" s="5" t="s">
        <v>345</v>
      </c>
      <c r="C2839" s="5" t="s">
        <v>701</v>
      </c>
      <c r="D2839" s="5">
        <v>717796</v>
      </c>
      <c r="E2839" s="33">
        <v>30</v>
      </c>
      <c r="F2839" s="60">
        <v>400</v>
      </c>
      <c r="G2839" s="60">
        <f>+OtherClients[[#This Row],[Boxes / Pieces]]*OtherClients[[#This Row],[Unit Quantity]]</f>
        <v>12000</v>
      </c>
      <c r="H2839" s="60" t="s">
        <v>864</v>
      </c>
      <c r="I2839" s="60" t="s">
        <v>278</v>
      </c>
      <c r="J2839" s="104"/>
      <c r="K2839" s="33" t="s">
        <v>278</v>
      </c>
      <c r="L2839" s="111"/>
      <c r="M2839" s="33" t="s">
        <v>278</v>
      </c>
      <c r="N2839" s="111"/>
      <c r="O2839" s="33" t="s">
        <v>278</v>
      </c>
      <c r="P2839" s="111"/>
      <c r="Q2839" s="33" t="s">
        <v>587</v>
      </c>
      <c r="R2839" s="111"/>
      <c r="S2839" s="33" t="s">
        <v>278</v>
      </c>
      <c r="T2839" s="111"/>
      <c r="U2839" s="33" t="s">
        <v>278</v>
      </c>
      <c r="V2839" s="111"/>
      <c r="W2839" s="59" t="s">
        <v>548</v>
      </c>
      <c r="X2839" s="33" t="str">
        <f>+VLOOKUP(OtherClients[[#This Row],[Part]],PartControl!$A$2:$E$564,5,FALSE)</f>
        <v>infasco</v>
      </c>
      <c r="Y2839" s="108">
        <f>IF(OtherClients[[#This Row],[Re-certified or New]]&lt;&gt;"Re-certified",IF(OtherClients[[#This Row],[Client]]="infasco",VLOOKUP(OtherClients[[#This Row],[Part]],PartControl!$A$2:$E$564,2,FALSE),OtherClients[[#This Row],[Total Quantity]]*VLOOKUP(OtherClients[[#This Row],[Part]],PartControl!$A$2:$E$564,2,FALSE)),0)</f>
        <v>135.07999999999998</v>
      </c>
      <c r="Z2839" s="108">
        <f>IF(OtherClients[[#This Row],[Re-certified or New]]&lt;&gt;"Re-certified",IF(OtherClients[[#This Row],[Client]]="infasco",VLOOKUP(OtherClients[[#This Row],[Part]],PartControl!$A$2:$E$564,2,FALSE),OtherClients[[#This Row],[Total Quantity]]*VLOOKUP(OtherClients[[#This Row],[Part]],PartControl!$A$2:$E$564,2,FALSE)),0)</f>
        <v>135.07999999999998</v>
      </c>
    </row>
    <row r="2840" spans="1:26" ht="25.15" hidden="1" customHeight="1" x14ac:dyDescent="0.25">
      <c r="A2840" s="112">
        <v>46275.707291666666</v>
      </c>
      <c r="B2840" s="5" t="s">
        <v>246</v>
      </c>
      <c r="C2840" s="5" t="s">
        <v>732</v>
      </c>
      <c r="D2840" s="5">
        <v>707555</v>
      </c>
      <c r="E2840" s="33">
        <v>38</v>
      </c>
      <c r="F2840" s="60">
        <v>1000</v>
      </c>
      <c r="G2840" s="60">
        <v>38000</v>
      </c>
      <c r="H2840" s="60">
        <v>285</v>
      </c>
      <c r="I2840" s="60" t="s">
        <v>278</v>
      </c>
      <c r="J2840" s="104"/>
      <c r="K2840" s="33" t="s">
        <v>278</v>
      </c>
      <c r="L2840" s="111"/>
      <c r="M2840" s="33" t="s">
        <v>278</v>
      </c>
      <c r="N2840" s="111"/>
      <c r="O2840" s="33" t="s">
        <v>278</v>
      </c>
      <c r="P2840" s="111"/>
      <c r="Q2840" s="33" t="s">
        <v>587</v>
      </c>
      <c r="R2840" s="111"/>
      <c r="S2840" s="33" t="s">
        <v>278</v>
      </c>
      <c r="T2840" s="111"/>
      <c r="U2840" s="33" t="s">
        <v>278</v>
      </c>
      <c r="V2840" s="111"/>
      <c r="W2840" s="59" t="s">
        <v>548</v>
      </c>
      <c r="X2840" s="33" t="str">
        <f>+VLOOKUP(OtherClients[[#This Row],[Part]],PartControl!$A$2:$E$564,5,FALSE)</f>
        <v>infasco</v>
      </c>
      <c r="Y2840" s="111">
        <v>213.88</v>
      </c>
      <c r="Z2840" s="108">
        <f>IF(OtherClients[[#This Row],[Re-certified or New]]&lt;&gt;"Re-certified",IF(OtherClients[[#This Row],[Client]]="infasco",VLOOKUP(OtherClients[[#This Row],[Part]],PartControl!$A$2:$E$564,2,FALSE),OtherClients[[#This Row],[Total Quantity]]*VLOOKUP(OtherClients[[#This Row],[Part]],PartControl!$A$2:$E$564,2,FALSE)),0)</f>
        <v>213.88</v>
      </c>
    </row>
    <row r="2841" spans="1:26" ht="25.15" hidden="1" customHeight="1" x14ac:dyDescent="0.25">
      <c r="A2841" s="112">
        <v>46275.707291666666</v>
      </c>
      <c r="B2841" s="5" t="s">
        <v>234</v>
      </c>
      <c r="C2841" s="5" t="s">
        <v>728</v>
      </c>
      <c r="D2841" s="5">
        <v>717770</v>
      </c>
      <c r="E2841" s="33">
        <f>72-46</f>
        <v>26</v>
      </c>
      <c r="F2841" s="60">
        <v>1500</v>
      </c>
      <c r="G2841" s="60">
        <f>+OtherClients[[#This Row],[Boxes / Pieces]]*OtherClients[[#This Row],[Unit Quantity]]</f>
        <v>39000</v>
      </c>
      <c r="H2841" s="60">
        <v>275</v>
      </c>
      <c r="I2841" s="60" t="s">
        <v>278</v>
      </c>
      <c r="J2841" s="104"/>
      <c r="K2841" s="33" t="s">
        <v>278</v>
      </c>
      <c r="L2841" s="111"/>
      <c r="M2841" s="33" t="s">
        <v>278</v>
      </c>
      <c r="N2841" s="111"/>
      <c r="O2841" s="33" t="s">
        <v>278</v>
      </c>
      <c r="P2841" s="111"/>
      <c r="Q2841" s="33" t="s">
        <v>587</v>
      </c>
      <c r="R2841" s="111"/>
      <c r="S2841" s="33" t="s">
        <v>278</v>
      </c>
      <c r="T2841" s="111"/>
      <c r="U2841" s="33" t="s">
        <v>278</v>
      </c>
      <c r="V2841" s="111"/>
      <c r="W2841" s="59" t="s">
        <v>548</v>
      </c>
      <c r="X2841" s="33" t="str">
        <f>+VLOOKUP(OtherClients[[#This Row],[Part]],PartControl!$A$2:$E$564,5,FALSE)</f>
        <v>infasco</v>
      </c>
      <c r="Y2841" s="108">
        <f>IF(OtherClients[[#This Row],[Re-certified or New]]&lt;&gt;"Re-certified",IF(OtherClients[[#This Row],[Client]]="infasco",VLOOKUP(OtherClients[[#This Row],[Part]],PartControl!$A$2:$E$564,2,FALSE),OtherClients[[#This Row],[Total Quantity]]*VLOOKUP(OtherClients[[#This Row],[Part]],PartControl!$A$2:$E$564,2,FALSE)),0)</f>
        <v>106.94</v>
      </c>
      <c r="Z2841" s="108">
        <f>IF(OtherClients[[#This Row],[Re-certified or New]]&lt;&gt;"Re-certified",IF(OtherClients[[#This Row],[Client]]="infasco",VLOOKUP(OtherClients[[#This Row],[Part]],PartControl!$A$2:$E$564,2,FALSE),OtherClients[[#This Row],[Total Quantity]]*VLOOKUP(OtherClients[[#This Row],[Part]],PartControl!$A$2:$E$564,2,FALSE)),0)</f>
        <v>106.94</v>
      </c>
    </row>
    <row r="2842" spans="1:26" ht="25.15" hidden="1" customHeight="1" x14ac:dyDescent="0.25">
      <c r="A2842" s="112">
        <v>46275.707291666666</v>
      </c>
      <c r="B2842" s="5" t="s">
        <v>234</v>
      </c>
      <c r="C2842" s="5" t="s">
        <v>728</v>
      </c>
      <c r="D2842" s="5">
        <v>718015</v>
      </c>
      <c r="E2842" s="33">
        <v>30</v>
      </c>
      <c r="F2842" s="60">
        <v>1500</v>
      </c>
      <c r="G2842" s="60">
        <f>+OtherClients[[#This Row],[Boxes / Pieces]]*OtherClients[[#This Row],[Unit Quantity]]</f>
        <v>45000</v>
      </c>
      <c r="H2842" s="60">
        <v>275</v>
      </c>
      <c r="I2842" s="60" t="s">
        <v>278</v>
      </c>
      <c r="J2842" s="104"/>
      <c r="K2842" s="33" t="s">
        <v>278</v>
      </c>
      <c r="L2842" s="111"/>
      <c r="M2842" s="33" t="s">
        <v>278</v>
      </c>
      <c r="N2842" s="111"/>
      <c r="O2842" s="33" t="s">
        <v>278</v>
      </c>
      <c r="P2842" s="111"/>
      <c r="Q2842" s="33" t="s">
        <v>587</v>
      </c>
      <c r="R2842" s="111"/>
      <c r="S2842" s="33" t="s">
        <v>278</v>
      </c>
      <c r="T2842" s="111"/>
      <c r="U2842" s="33" t="s">
        <v>278</v>
      </c>
      <c r="V2842" s="111"/>
      <c r="W2842" s="59" t="s">
        <v>633</v>
      </c>
      <c r="X2842" s="33" t="str">
        <f>+VLOOKUP(OtherClients[[#This Row],[Part]],PartControl!$A$2:$E$564,5,FALSE)</f>
        <v>infasco</v>
      </c>
      <c r="Y2842" s="108">
        <f>IF(OtherClients[[#This Row],[Re-certified or New]]&lt;&gt;"Re-certified",IF(OtherClients[[#This Row],[Client]]="infasco",VLOOKUP(OtherClients[[#This Row],[Part]],PartControl!$A$2:$E$564,2,FALSE),OtherClients[[#This Row],[Total Quantity]]*VLOOKUP(OtherClients[[#This Row],[Part]],PartControl!$A$2:$E$564,2,FALSE)),0)</f>
        <v>0</v>
      </c>
      <c r="Z2842" s="108">
        <f>IF(OtherClients[[#This Row],[Re-certified or New]]&lt;&gt;"Re-certified",IF(OtherClients[[#This Row],[Client]]="infasco",VLOOKUP(OtherClients[[#This Row],[Part]],PartControl!$A$2:$E$564,2,FALSE),OtherClients[[#This Row],[Total Quantity]]*VLOOKUP(OtherClients[[#This Row],[Part]],PartControl!$A$2:$E$564,2,FALSE)),0)</f>
        <v>0</v>
      </c>
    </row>
    <row r="2843" spans="1:26" ht="25.15" hidden="1" customHeight="1" x14ac:dyDescent="0.25">
      <c r="A2843" s="112">
        <v>46275.707291666666</v>
      </c>
      <c r="B2843" s="5" t="s">
        <v>232</v>
      </c>
      <c r="C2843" s="5" t="s">
        <v>728</v>
      </c>
      <c r="D2843" s="5">
        <v>718010</v>
      </c>
      <c r="E2843" s="33">
        <f>36-10</f>
        <v>26</v>
      </c>
      <c r="F2843" s="60">
        <v>1500</v>
      </c>
      <c r="G2843" s="60">
        <f>+OtherClients[[#This Row],[Boxes / Pieces]]*OtherClients[[#This Row],[Unit Quantity]]</f>
        <v>39000</v>
      </c>
      <c r="H2843" s="60">
        <v>275</v>
      </c>
      <c r="I2843" s="60" t="s">
        <v>278</v>
      </c>
      <c r="J2843" s="104"/>
      <c r="K2843" s="33" t="s">
        <v>278</v>
      </c>
      <c r="L2843" s="111"/>
      <c r="M2843" s="33" t="s">
        <v>278</v>
      </c>
      <c r="N2843" s="111"/>
      <c r="O2843" s="33" t="s">
        <v>278</v>
      </c>
      <c r="P2843" s="111"/>
      <c r="Q2843" s="33" t="s">
        <v>587</v>
      </c>
      <c r="R2843" s="111"/>
      <c r="S2843" s="33" t="s">
        <v>278</v>
      </c>
      <c r="T2843" s="111"/>
      <c r="U2843" s="33" t="s">
        <v>278</v>
      </c>
      <c r="V2843" s="111"/>
      <c r="W2843" s="59" t="s">
        <v>548</v>
      </c>
      <c r="X2843" s="33" t="str">
        <f>+VLOOKUP(OtherClients[[#This Row],[Part]],PartControl!$A$2:$E$564,5,FALSE)</f>
        <v>infasco</v>
      </c>
      <c r="Y2843" s="108">
        <f>IF(OtherClients[[#This Row],[Re-certified or New]]&lt;&gt;"Re-certified",IF(OtherClients[[#This Row],[Client]]="infasco",VLOOKUP(OtherClients[[#This Row],[Part]],PartControl!$A$2:$E$564,2,FALSE),OtherClients[[#This Row],[Total Quantity]]*VLOOKUP(OtherClients[[#This Row],[Part]],PartControl!$A$2:$E$564,2,FALSE)),0)</f>
        <v>106.94</v>
      </c>
      <c r="Z2843" s="108">
        <f>IF(OtherClients[[#This Row],[Re-certified or New]]&lt;&gt;"Re-certified",IF(OtherClients[[#This Row],[Client]]="infasco",VLOOKUP(OtherClients[[#This Row],[Part]],PartControl!$A$2:$E$564,2,FALSE),OtherClients[[#This Row],[Total Quantity]]*VLOOKUP(OtherClients[[#This Row],[Part]],PartControl!$A$2:$E$564,2,FALSE)),0)</f>
        <v>106.94</v>
      </c>
    </row>
    <row r="2844" spans="1:26" ht="25.15" hidden="1" customHeight="1" x14ac:dyDescent="0.25">
      <c r="A2844" s="112">
        <v>46275.707291666666</v>
      </c>
      <c r="B2844" s="5" t="s">
        <v>232</v>
      </c>
      <c r="C2844" s="5" t="s">
        <v>728</v>
      </c>
      <c r="D2844" s="5">
        <v>718012</v>
      </c>
      <c r="E2844" s="33">
        <v>54</v>
      </c>
      <c r="F2844" s="60">
        <v>1500</v>
      </c>
      <c r="G2844" s="60">
        <f>+OtherClients[[#This Row],[Boxes / Pieces]]*OtherClients[[#This Row],[Unit Quantity]]</f>
        <v>81000</v>
      </c>
      <c r="H2844" s="60">
        <v>275</v>
      </c>
      <c r="I2844" s="60" t="s">
        <v>278</v>
      </c>
      <c r="J2844" s="104"/>
      <c r="K2844" s="33" t="s">
        <v>278</v>
      </c>
      <c r="L2844" s="111"/>
      <c r="M2844" s="33" t="s">
        <v>278</v>
      </c>
      <c r="N2844" s="111"/>
      <c r="O2844" s="33" t="s">
        <v>278</v>
      </c>
      <c r="P2844" s="111"/>
      <c r="Q2844" s="33" t="s">
        <v>587</v>
      </c>
      <c r="R2844" s="111"/>
      <c r="S2844" s="33" t="s">
        <v>278</v>
      </c>
      <c r="T2844" s="111"/>
      <c r="U2844" s="33" t="s">
        <v>278</v>
      </c>
      <c r="V2844" s="111"/>
      <c r="W2844" s="59" t="s">
        <v>633</v>
      </c>
      <c r="X2844" s="33" t="str">
        <f>+VLOOKUP(OtherClients[[#This Row],[Part]],PartControl!$A$2:$E$564,5,FALSE)</f>
        <v>infasco</v>
      </c>
      <c r="Y2844" s="108">
        <f>IF(OtherClients[[#This Row],[Re-certified or New]]&lt;&gt;"Re-certified",IF(OtherClients[[#This Row],[Client]]="infasco",VLOOKUP(OtherClients[[#This Row],[Part]],PartControl!$A$2:$E$564,2,FALSE),OtherClients[[#This Row],[Total Quantity]]*VLOOKUP(OtherClients[[#This Row],[Part]],PartControl!$A$2:$E$564,2,FALSE)),0)</f>
        <v>0</v>
      </c>
      <c r="Z2844" s="108">
        <f>IF(OtherClients[[#This Row],[Re-certified or New]]&lt;&gt;"Re-certified",IF(OtherClients[[#This Row],[Client]]="infasco",VLOOKUP(OtherClients[[#This Row],[Part]],PartControl!$A$2:$E$564,2,FALSE),OtherClients[[#This Row],[Total Quantity]]*VLOOKUP(OtherClients[[#This Row],[Part]],PartControl!$A$2:$E$564,2,FALSE)),0)</f>
        <v>0</v>
      </c>
    </row>
    <row r="2845" spans="1:26" ht="25.15" hidden="1" customHeight="1" x14ac:dyDescent="0.25">
      <c r="A2845" s="112">
        <v>46275.707291666666</v>
      </c>
      <c r="B2845" s="5" t="s">
        <v>252</v>
      </c>
      <c r="C2845" s="5">
        <v>11546389</v>
      </c>
      <c r="D2845" s="5">
        <v>718037</v>
      </c>
      <c r="E2845" s="33">
        <v>9</v>
      </c>
      <c r="F2845" s="60">
        <v>4500</v>
      </c>
      <c r="G2845" s="60">
        <f>+OtherClients[[#This Row],[Boxes / Pieces]]*OtherClients[[#This Row],[Unit Quantity]]</f>
        <v>40500</v>
      </c>
      <c r="H2845" s="60">
        <v>275</v>
      </c>
      <c r="I2845" s="60" t="s">
        <v>278</v>
      </c>
      <c r="J2845" s="104"/>
      <c r="K2845" s="33" t="s">
        <v>278</v>
      </c>
      <c r="L2845" s="111"/>
      <c r="M2845" s="33" t="s">
        <v>278</v>
      </c>
      <c r="N2845" s="111"/>
      <c r="O2845" s="33" t="s">
        <v>278</v>
      </c>
      <c r="P2845" s="111"/>
      <c r="Q2845" s="33" t="s">
        <v>587</v>
      </c>
      <c r="R2845" s="111"/>
      <c r="S2845" s="33" t="s">
        <v>278</v>
      </c>
      <c r="T2845" s="111"/>
      <c r="U2845" s="33" t="s">
        <v>278</v>
      </c>
      <c r="V2845" s="111"/>
      <c r="W2845" s="59" t="s">
        <v>548</v>
      </c>
      <c r="X2845" s="33" t="str">
        <f>+VLOOKUP(OtherClients[[#This Row],[Part]],PartControl!$A$2:$E$564,5,FALSE)</f>
        <v>INFASCO</v>
      </c>
      <c r="Y2845" s="108">
        <f>IF(OtherClients[[#This Row],[Re-certified or New]]&lt;&gt;"Re-certified",IF(OtherClients[[#This Row],[Client]]="infasco",VLOOKUP(OtherClients[[#This Row],[Part]],PartControl!$A$2:$E$564,2,FALSE),OtherClients[[#This Row],[Total Quantity]]*VLOOKUP(OtherClients[[#This Row],[Part]],PartControl!$A$2:$E$564,2,FALSE)),0)</f>
        <v>106.94</v>
      </c>
      <c r="Z2845" s="108">
        <f>IF(OtherClients[[#This Row],[Re-certified or New]]&lt;&gt;"Re-certified",IF(OtherClients[[#This Row],[Client]]="infasco",VLOOKUP(OtherClients[[#This Row],[Part]],PartControl!$A$2:$E$564,2,FALSE),OtherClients[[#This Row],[Total Quantity]]*VLOOKUP(OtherClients[[#This Row],[Part]],PartControl!$A$2:$E$564,2,FALSE)),0)</f>
        <v>106.94</v>
      </c>
    </row>
    <row r="2846" spans="1:26" ht="25.15" hidden="1" customHeight="1" x14ac:dyDescent="0.25">
      <c r="A2846" s="112">
        <v>46275.707291666666</v>
      </c>
      <c r="B2846" s="5" t="s">
        <v>252</v>
      </c>
      <c r="C2846" s="5">
        <v>11546389</v>
      </c>
      <c r="D2846" s="5">
        <v>718039</v>
      </c>
      <c r="E2846" s="33">
        <v>30</v>
      </c>
      <c r="F2846" s="60">
        <v>4500</v>
      </c>
      <c r="G2846" s="60">
        <f>+OtherClients[[#This Row],[Boxes / Pieces]]*OtherClients[[#This Row],[Unit Quantity]]</f>
        <v>135000</v>
      </c>
      <c r="H2846" s="60">
        <v>275</v>
      </c>
      <c r="I2846" s="60" t="s">
        <v>278</v>
      </c>
      <c r="J2846" s="104"/>
      <c r="K2846" s="33" t="s">
        <v>278</v>
      </c>
      <c r="L2846" s="111"/>
      <c r="M2846" s="33" t="s">
        <v>278</v>
      </c>
      <c r="N2846" s="111"/>
      <c r="O2846" s="33" t="s">
        <v>278</v>
      </c>
      <c r="P2846" s="111"/>
      <c r="Q2846" s="33" t="s">
        <v>587</v>
      </c>
      <c r="R2846" s="111"/>
      <c r="S2846" s="33" t="s">
        <v>278</v>
      </c>
      <c r="T2846" s="111"/>
      <c r="U2846" s="33" t="s">
        <v>278</v>
      </c>
      <c r="V2846" s="111"/>
      <c r="W2846" s="59" t="s">
        <v>633</v>
      </c>
      <c r="X2846" s="33" t="str">
        <f>+VLOOKUP(OtherClients[[#This Row],[Part]],PartControl!$A$2:$E$564,5,FALSE)</f>
        <v>INFASCO</v>
      </c>
      <c r="Y2846" s="108">
        <f>IF(OtherClients[[#This Row],[Re-certified or New]]&lt;&gt;"Re-certified",IF(OtherClients[[#This Row],[Client]]="infasco",VLOOKUP(OtherClients[[#This Row],[Part]],PartControl!$A$2:$E$564,2,FALSE),OtherClients[[#This Row],[Total Quantity]]*VLOOKUP(OtherClients[[#This Row],[Part]],PartControl!$A$2:$E$564,2,FALSE)),0)</f>
        <v>0</v>
      </c>
      <c r="Z2846" s="108">
        <f>IF(OtherClients[[#This Row],[Re-certified or New]]&lt;&gt;"Re-certified",IF(OtherClients[[#This Row],[Client]]="infasco",VLOOKUP(OtherClients[[#This Row],[Part]],PartControl!$A$2:$E$564,2,FALSE),OtherClients[[#This Row],[Total Quantity]]*VLOOKUP(OtherClients[[#This Row],[Part]],PartControl!$A$2:$E$564,2,FALSE)),0)</f>
        <v>0</v>
      </c>
    </row>
    <row r="2847" spans="1:26" ht="25.15" hidden="1" customHeight="1" x14ac:dyDescent="0.25">
      <c r="A2847" s="112">
        <v>46275.707291666666</v>
      </c>
      <c r="B2847" s="5" t="s">
        <v>242</v>
      </c>
      <c r="C2847" s="5">
        <v>11549170</v>
      </c>
      <c r="D2847" s="5">
        <v>717355</v>
      </c>
      <c r="E2847" s="33">
        <f>36-30</f>
        <v>6</v>
      </c>
      <c r="F2847" s="60">
        <v>400</v>
      </c>
      <c r="G2847" s="60">
        <f>+OtherClients[[#This Row],[Boxes / Pieces]]*OtherClients[[#This Row],[Unit Quantity]]</f>
        <v>2400</v>
      </c>
      <c r="H2847" s="60">
        <v>275</v>
      </c>
      <c r="I2847" s="60" t="s">
        <v>278</v>
      </c>
      <c r="J2847" s="104"/>
      <c r="K2847" s="33" t="s">
        <v>278</v>
      </c>
      <c r="L2847" s="111"/>
      <c r="M2847" s="33" t="s">
        <v>278</v>
      </c>
      <c r="N2847" s="111"/>
      <c r="O2847" s="33" t="s">
        <v>278</v>
      </c>
      <c r="P2847" s="111"/>
      <c r="Q2847" s="33" t="s">
        <v>587</v>
      </c>
      <c r="R2847" s="111"/>
      <c r="S2847" s="33" t="s">
        <v>278</v>
      </c>
      <c r="T2847" s="111"/>
      <c r="U2847" s="33" t="s">
        <v>278</v>
      </c>
      <c r="V2847" s="111"/>
      <c r="W2847" s="59" t="s">
        <v>548</v>
      </c>
      <c r="X2847" s="33" t="str">
        <f>+VLOOKUP(OtherClients[[#This Row],[Part]],PartControl!$A$2:$E$564,5,FALSE)</f>
        <v>INFASCO</v>
      </c>
      <c r="Y2847" s="108">
        <f>IF(OtherClients[[#This Row],[Re-certified or New]]&lt;&gt;"Re-certified",IF(OtherClients[[#This Row],[Client]]="infasco",VLOOKUP(OtherClients[[#This Row],[Part]],PartControl!$A$2:$E$564,2,FALSE),OtherClients[[#This Row],[Total Quantity]]*VLOOKUP(OtherClients[[#This Row],[Part]],PartControl!$A$2:$E$564,2,FALSE)),0)</f>
        <v>106.94</v>
      </c>
      <c r="Z2847" s="108">
        <f>IF(OtherClients[[#This Row],[Re-certified or New]]&lt;&gt;"Re-certified",IF(OtherClients[[#This Row],[Client]]="infasco",VLOOKUP(OtherClients[[#This Row],[Part]],PartControl!$A$2:$E$564,2,FALSE),OtherClients[[#This Row],[Total Quantity]]*VLOOKUP(OtherClients[[#This Row],[Part]],PartControl!$A$2:$E$564,2,FALSE)),0)</f>
        <v>106.94</v>
      </c>
    </row>
    <row r="2848" spans="1:26" ht="25.15" hidden="1" customHeight="1" x14ac:dyDescent="0.25">
      <c r="A2848" s="112">
        <v>46275.707291666666</v>
      </c>
      <c r="B2848" s="5" t="s">
        <v>242</v>
      </c>
      <c r="C2848" s="5">
        <v>11549170</v>
      </c>
      <c r="D2848" s="5">
        <v>717364</v>
      </c>
      <c r="E2848" s="33">
        <v>50</v>
      </c>
      <c r="F2848" s="60">
        <v>400</v>
      </c>
      <c r="G2848" s="60">
        <f>+OtherClients[[#This Row],[Boxes / Pieces]]*OtherClients[[#This Row],[Unit Quantity]]</f>
        <v>20000</v>
      </c>
      <c r="H2848" s="60">
        <v>275</v>
      </c>
      <c r="I2848" s="60" t="s">
        <v>278</v>
      </c>
      <c r="J2848" s="104"/>
      <c r="K2848" s="33" t="s">
        <v>278</v>
      </c>
      <c r="L2848" s="111"/>
      <c r="M2848" s="33" t="s">
        <v>278</v>
      </c>
      <c r="N2848" s="111"/>
      <c r="O2848" s="33" t="s">
        <v>278</v>
      </c>
      <c r="P2848" s="111"/>
      <c r="Q2848" s="33" t="s">
        <v>587</v>
      </c>
      <c r="R2848" s="111"/>
      <c r="S2848" s="33" t="s">
        <v>278</v>
      </c>
      <c r="T2848" s="111"/>
      <c r="U2848" s="33" t="s">
        <v>278</v>
      </c>
      <c r="V2848" s="111"/>
      <c r="W2848" s="59" t="s">
        <v>548</v>
      </c>
      <c r="X2848" s="33" t="str">
        <f>+VLOOKUP(OtherClients[[#This Row],[Part]],PartControl!$A$2:$E$564,5,FALSE)</f>
        <v>INFASCO</v>
      </c>
      <c r="Y2848" s="108">
        <f>IF(OtherClients[[#This Row],[Re-certified or New]]&lt;&gt;"Re-certified",IF(OtherClients[[#This Row],[Client]]="infasco",VLOOKUP(OtherClients[[#This Row],[Part]],PartControl!$A$2:$E$564,2,FALSE),OtherClients[[#This Row],[Total Quantity]]*VLOOKUP(OtherClients[[#This Row],[Part]],PartControl!$A$2:$E$564,2,FALSE)),0)</f>
        <v>106.94</v>
      </c>
      <c r="Z2848" s="108">
        <f>IF(OtherClients[[#This Row],[Re-certified or New]]&lt;&gt;"Re-certified",IF(OtherClients[[#This Row],[Client]]="infasco",VLOOKUP(OtherClients[[#This Row],[Part]],PartControl!$A$2:$E$564,2,FALSE),OtherClients[[#This Row],[Total Quantity]]*VLOOKUP(OtherClients[[#This Row],[Part]],PartControl!$A$2:$E$564,2,FALSE)),0)</f>
        <v>106.94</v>
      </c>
    </row>
    <row r="2849" spans="1:26" ht="25.15" hidden="1" customHeight="1" x14ac:dyDescent="0.25">
      <c r="A2849" s="112">
        <v>46275.707291666666</v>
      </c>
      <c r="B2849" s="5" t="s">
        <v>242</v>
      </c>
      <c r="C2849" s="5" t="s">
        <v>703</v>
      </c>
      <c r="D2849" s="5">
        <v>718077</v>
      </c>
      <c r="E2849" s="33">
        <v>30</v>
      </c>
      <c r="F2849" s="60">
        <v>700</v>
      </c>
      <c r="G2849" s="60">
        <f>+OtherClients[[#This Row],[Boxes / Pieces]]*OtherClients[[#This Row],[Unit Quantity]]</f>
        <v>21000</v>
      </c>
      <c r="H2849" s="60">
        <v>275</v>
      </c>
      <c r="I2849" s="60" t="s">
        <v>278</v>
      </c>
      <c r="J2849" s="104"/>
      <c r="K2849" s="33" t="s">
        <v>278</v>
      </c>
      <c r="L2849" s="111"/>
      <c r="M2849" s="33" t="s">
        <v>278</v>
      </c>
      <c r="N2849" s="111"/>
      <c r="O2849" s="33" t="s">
        <v>278</v>
      </c>
      <c r="P2849" s="111"/>
      <c r="Q2849" s="33" t="s">
        <v>587</v>
      </c>
      <c r="R2849" s="111"/>
      <c r="S2849" s="33" t="s">
        <v>278</v>
      </c>
      <c r="T2849" s="111"/>
      <c r="U2849" s="33" t="s">
        <v>278</v>
      </c>
      <c r="V2849" s="111"/>
      <c r="W2849" s="59" t="s">
        <v>633</v>
      </c>
      <c r="X2849" s="33" t="str">
        <f>+VLOOKUP(OtherClients[[#This Row],[Part]],PartControl!$A$2:$E$564,5,FALSE)</f>
        <v>infasco</v>
      </c>
      <c r="Y2849" s="108">
        <f>IF(OtherClients[[#This Row],[Re-certified or New]]&lt;&gt;"Re-certified",IF(OtherClients[[#This Row],[Client]]="infasco",VLOOKUP(OtherClients[[#This Row],[Part]],PartControl!$A$2:$E$564,2,FALSE),OtherClients[[#This Row],[Total Quantity]]*VLOOKUP(OtherClients[[#This Row],[Part]],PartControl!$A$2:$E$564,2,FALSE)),0)</f>
        <v>0</v>
      </c>
      <c r="Z2849" s="108">
        <f>IF(OtherClients[[#This Row],[Re-certified or New]]&lt;&gt;"Re-certified",IF(OtherClients[[#This Row],[Client]]="infasco",VLOOKUP(OtherClients[[#This Row],[Part]],PartControl!$A$2:$E$564,2,FALSE),OtherClients[[#This Row],[Total Quantity]]*VLOOKUP(OtherClients[[#This Row],[Part]],PartControl!$A$2:$E$564,2,FALSE)),0)</f>
        <v>0</v>
      </c>
    </row>
    <row r="2850" spans="1:26" ht="25.15" hidden="1" customHeight="1" x14ac:dyDescent="0.25">
      <c r="A2850" s="112">
        <v>46275.707291666666</v>
      </c>
      <c r="B2850" s="5" t="s">
        <v>233</v>
      </c>
      <c r="C2850" s="5" t="s">
        <v>728</v>
      </c>
      <c r="D2850" s="5">
        <v>718008</v>
      </c>
      <c r="E2850" s="33">
        <f>58-12</f>
        <v>46</v>
      </c>
      <c r="F2850" s="60">
        <v>1500</v>
      </c>
      <c r="G2850" s="60">
        <f>+OtherClients[[#This Row],[Boxes / Pieces]]*OtherClients[[#This Row],[Unit Quantity]]</f>
        <v>69000</v>
      </c>
      <c r="H2850" s="60">
        <v>275</v>
      </c>
      <c r="I2850" s="60" t="s">
        <v>278</v>
      </c>
      <c r="J2850" s="104"/>
      <c r="K2850" s="33" t="s">
        <v>278</v>
      </c>
      <c r="L2850" s="111"/>
      <c r="M2850" s="33" t="s">
        <v>278</v>
      </c>
      <c r="N2850" s="111"/>
      <c r="O2850" s="33" t="s">
        <v>278</v>
      </c>
      <c r="P2850" s="111"/>
      <c r="Q2850" s="33" t="s">
        <v>587</v>
      </c>
      <c r="R2850" s="111"/>
      <c r="S2850" s="33" t="s">
        <v>278</v>
      </c>
      <c r="T2850" s="111"/>
      <c r="U2850" s="33" t="s">
        <v>278</v>
      </c>
      <c r="V2850" s="111"/>
      <c r="W2850" s="59" t="s">
        <v>548</v>
      </c>
      <c r="X2850" s="33" t="str">
        <f>+VLOOKUP(OtherClients[[#This Row],[Part]],PartControl!$A$2:$E$564,5,FALSE)</f>
        <v>infasco</v>
      </c>
      <c r="Y2850" s="108">
        <f>IF(OtherClients[[#This Row],[Re-certified or New]]&lt;&gt;"Re-certified",IF(OtherClients[[#This Row],[Client]]="infasco",VLOOKUP(OtherClients[[#This Row],[Part]],PartControl!$A$2:$E$564,2,FALSE),OtherClients[[#This Row],[Total Quantity]]*VLOOKUP(OtherClients[[#This Row],[Part]],PartControl!$A$2:$E$564,2,FALSE)),0)</f>
        <v>106.94</v>
      </c>
      <c r="Z2850" s="108">
        <f>IF(OtherClients[[#This Row],[Re-certified or New]]&lt;&gt;"Re-certified",IF(OtherClients[[#This Row],[Client]]="infasco",VLOOKUP(OtherClients[[#This Row],[Part]],PartControl!$A$2:$E$564,2,FALSE),OtherClients[[#This Row],[Total Quantity]]*VLOOKUP(OtherClients[[#This Row],[Part]],PartControl!$A$2:$E$564,2,FALSE)),0)</f>
        <v>106.94</v>
      </c>
    </row>
    <row r="2851" spans="1:26" ht="25.15" hidden="1" customHeight="1" x14ac:dyDescent="0.25">
      <c r="A2851" s="112">
        <v>46275.707291666666</v>
      </c>
      <c r="B2851" s="5" t="s">
        <v>238</v>
      </c>
      <c r="C2851" s="5">
        <v>11549170</v>
      </c>
      <c r="D2851" s="5">
        <v>716921</v>
      </c>
      <c r="E2851" s="33">
        <v>43</v>
      </c>
      <c r="F2851" s="60">
        <v>400</v>
      </c>
      <c r="G2851" s="60">
        <f>+OtherClients[[#This Row],[Boxes / Pieces]]*OtherClients[[#This Row],[Unit Quantity]]</f>
        <v>17200</v>
      </c>
      <c r="H2851" s="60">
        <v>275</v>
      </c>
      <c r="I2851" s="60" t="s">
        <v>278</v>
      </c>
      <c r="J2851" s="104"/>
      <c r="K2851" s="33" t="s">
        <v>278</v>
      </c>
      <c r="L2851" s="111"/>
      <c r="M2851" s="33" t="s">
        <v>278</v>
      </c>
      <c r="N2851" s="111"/>
      <c r="O2851" s="33" t="s">
        <v>278</v>
      </c>
      <c r="P2851" s="111"/>
      <c r="Q2851" s="33" t="s">
        <v>587</v>
      </c>
      <c r="R2851" s="111"/>
      <c r="S2851" s="33" t="s">
        <v>278</v>
      </c>
      <c r="T2851" s="111"/>
      <c r="U2851" s="33" t="s">
        <v>278</v>
      </c>
      <c r="V2851" s="111"/>
      <c r="W2851" s="59" t="s">
        <v>548</v>
      </c>
      <c r="X2851" s="33" t="str">
        <f>+VLOOKUP(OtherClients[[#This Row],[Part]],PartControl!$A$2:$E$564,5,FALSE)</f>
        <v>INFASCO</v>
      </c>
      <c r="Y2851" s="108">
        <f>IF(OtherClients[[#This Row],[Re-certified or New]]&lt;&gt;"Re-certified",IF(OtherClients[[#This Row],[Client]]="infasco",VLOOKUP(OtherClients[[#This Row],[Part]],PartControl!$A$2:$E$564,2,FALSE),OtherClients[[#This Row],[Total Quantity]]*VLOOKUP(OtherClients[[#This Row],[Part]],PartControl!$A$2:$E$564,2,FALSE)),0)</f>
        <v>106.94</v>
      </c>
      <c r="Z2851" s="108">
        <f>IF(OtherClients[[#This Row],[Re-certified or New]]&lt;&gt;"Re-certified",IF(OtherClients[[#This Row],[Client]]="infasco",VLOOKUP(OtherClients[[#This Row],[Part]],PartControl!$A$2:$E$564,2,FALSE),OtherClients[[#This Row],[Total Quantity]]*VLOOKUP(OtherClients[[#This Row],[Part]],PartControl!$A$2:$E$564,2,FALSE)),0)</f>
        <v>106.94</v>
      </c>
    </row>
    <row r="2852" spans="1:26" ht="25.15" hidden="1" customHeight="1" x14ac:dyDescent="0.25">
      <c r="A2852" s="112">
        <v>46275.707291666666</v>
      </c>
      <c r="B2852" s="5" t="s">
        <v>238</v>
      </c>
      <c r="C2852" s="5" t="s">
        <v>664</v>
      </c>
      <c r="D2852" s="5">
        <v>717233</v>
      </c>
      <c r="E2852" s="33">
        <v>41</v>
      </c>
      <c r="F2852" s="60">
        <v>1050</v>
      </c>
      <c r="G2852" s="60">
        <f>+OtherClients[[#This Row],[Boxes / Pieces]]*OtherClients[[#This Row],[Unit Quantity]]</f>
        <v>43050</v>
      </c>
      <c r="H2852" s="60">
        <v>275</v>
      </c>
      <c r="I2852" s="60" t="s">
        <v>278</v>
      </c>
      <c r="J2852" s="104"/>
      <c r="K2852" s="33" t="s">
        <v>278</v>
      </c>
      <c r="L2852" s="111"/>
      <c r="M2852" s="33" t="s">
        <v>278</v>
      </c>
      <c r="N2852" s="111"/>
      <c r="O2852" s="33" t="s">
        <v>278</v>
      </c>
      <c r="P2852" s="111"/>
      <c r="Q2852" s="33" t="s">
        <v>587</v>
      </c>
      <c r="R2852" s="111"/>
      <c r="S2852" s="33" t="s">
        <v>278</v>
      </c>
      <c r="T2852" s="111"/>
      <c r="U2852" s="33" t="s">
        <v>278</v>
      </c>
      <c r="V2852" s="111"/>
      <c r="W2852" s="59" t="s">
        <v>548</v>
      </c>
      <c r="X2852" s="33" t="str">
        <f>+VLOOKUP(OtherClients[[#This Row],[Part]],PartControl!$A$2:$E$564,5,FALSE)</f>
        <v>infasco</v>
      </c>
      <c r="Y2852" s="108">
        <f>IF(OtherClients[[#This Row],[Re-certified or New]]&lt;&gt;"Re-certified",IF(OtherClients[[#This Row],[Client]]="infasco",VLOOKUP(OtherClients[[#This Row],[Part]],PartControl!$A$2:$E$564,2,FALSE),OtherClients[[#This Row],[Total Quantity]]*VLOOKUP(OtherClients[[#This Row],[Part]],PartControl!$A$2:$E$564,2,FALSE)),0)</f>
        <v>106.94</v>
      </c>
      <c r="Z2852" s="108">
        <f>IF(OtherClients[[#This Row],[Re-certified or New]]&lt;&gt;"Re-certified",IF(OtherClients[[#This Row],[Client]]="infasco",VLOOKUP(OtherClients[[#This Row],[Part]],PartControl!$A$2:$E$564,2,FALSE),OtherClients[[#This Row],[Total Quantity]]*VLOOKUP(OtherClients[[#This Row],[Part]],PartControl!$A$2:$E$564,2,FALSE)),0)</f>
        <v>106.94</v>
      </c>
    </row>
    <row r="2853" spans="1:26" ht="25.15" hidden="1" customHeight="1" x14ac:dyDescent="0.25">
      <c r="A2853" s="112">
        <v>46275.707291666666</v>
      </c>
      <c r="B2853" s="5" t="s">
        <v>239</v>
      </c>
      <c r="C2853" s="5">
        <v>11549170</v>
      </c>
      <c r="D2853" s="5">
        <v>716920</v>
      </c>
      <c r="E2853" s="33">
        <f>53-4</f>
        <v>49</v>
      </c>
      <c r="F2853" s="60">
        <v>400</v>
      </c>
      <c r="G2853" s="60">
        <f>+OtherClients[[#This Row],[Boxes / Pieces]]*OtherClients[[#This Row],[Unit Quantity]]</f>
        <v>19600</v>
      </c>
      <c r="H2853" s="60">
        <v>290</v>
      </c>
      <c r="I2853" s="60" t="s">
        <v>278</v>
      </c>
      <c r="J2853" s="104"/>
      <c r="K2853" s="33" t="s">
        <v>278</v>
      </c>
      <c r="L2853" s="111"/>
      <c r="M2853" s="33" t="s">
        <v>278</v>
      </c>
      <c r="N2853" s="111"/>
      <c r="O2853" s="33" t="s">
        <v>278</v>
      </c>
      <c r="P2853" s="111"/>
      <c r="Q2853" s="33" t="s">
        <v>587</v>
      </c>
      <c r="R2853" s="111"/>
      <c r="S2853" s="33" t="s">
        <v>278</v>
      </c>
      <c r="T2853" s="111"/>
      <c r="U2853" s="33" t="s">
        <v>278</v>
      </c>
      <c r="V2853" s="111"/>
      <c r="W2853" s="59" t="s">
        <v>548</v>
      </c>
      <c r="X2853" s="33" t="str">
        <f>+VLOOKUP(OtherClients[[#This Row],[Part]],PartControl!$A$2:$E$564,5,FALSE)</f>
        <v>INFASCO</v>
      </c>
      <c r="Y2853" s="108">
        <f>IF(OtherClients[[#This Row],[Re-certified or New]]&lt;&gt;"Re-certified",IF(OtherClients[[#This Row],[Client]]="infasco",VLOOKUP(OtherClients[[#This Row],[Part]],PartControl!$A$2:$E$564,2,FALSE),OtherClients[[#This Row],[Total Quantity]]*VLOOKUP(OtherClients[[#This Row],[Part]],PartControl!$A$2:$E$564,2,FALSE)),0)</f>
        <v>106.94</v>
      </c>
      <c r="Z2853" s="108">
        <f>IF(OtherClients[[#This Row],[Re-certified or New]]&lt;&gt;"Re-certified",IF(OtherClients[[#This Row],[Client]]="infasco",VLOOKUP(OtherClients[[#This Row],[Part]],PartControl!$A$2:$E$564,2,FALSE),OtherClients[[#This Row],[Total Quantity]]*VLOOKUP(OtherClients[[#This Row],[Part]],PartControl!$A$2:$E$564,2,FALSE)),0)</f>
        <v>106.94</v>
      </c>
    </row>
    <row r="2854" spans="1:26" ht="25.15" hidden="1" customHeight="1" x14ac:dyDescent="0.25">
      <c r="A2854" s="112">
        <v>46275.707291666666</v>
      </c>
      <c r="B2854" s="5" t="s">
        <v>239</v>
      </c>
      <c r="C2854" s="5" t="s">
        <v>703</v>
      </c>
      <c r="D2854" s="5">
        <v>717495</v>
      </c>
      <c r="E2854" s="33">
        <v>36</v>
      </c>
      <c r="F2854" s="60">
        <v>700</v>
      </c>
      <c r="G2854" s="60">
        <f>+OtherClients[[#This Row],[Boxes / Pieces]]*OtherClients[[#This Row],[Unit Quantity]]</f>
        <v>25200</v>
      </c>
      <c r="H2854" s="60">
        <v>290</v>
      </c>
      <c r="I2854" s="60" t="s">
        <v>278</v>
      </c>
      <c r="J2854" s="104"/>
      <c r="K2854" s="33" t="s">
        <v>278</v>
      </c>
      <c r="L2854" s="111"/>
      <c r="M2854" s="33" t="s">
        <v>278</v>
      </c>
      <c r="N2854" s="111"/>
      <c r="O2854" s="33" t="s">
        <v>278</v>
      </c>
      <c r="P2854" s="111"/>
      <c r="Q2854" s="33" t="s">
        <v>587</v>
      </c>
      <c r="R2854" s="111"/>
      <c r="S2854" s="33" t="s">
        <v>278</v>
      </c>
      <c r="T2854" s="111"/>
      <c r="U2854" s="33" t="s">
        <v>278</v>
      </c>
      <c r="V2854" s="111"/>
      <c r="W2854" s="59" t="s">
        <v>548</v>
      </c>
      <c r="X2854" s="33" t="str">
        <f>+VLOOKUP(OtherClients[[#This Row],[Part]],PartControl!$A$2:$E$564,5,FALSE)</f>
        <v>infasco</v>
      </c>
      <c r="Y2854" s="108">
        <f>IF(OtherClients[[#This Row],[Re-certified or New]]&lt;&gt;"Re-certified",IF(OtherClients[[#This Row],[Client]]="infasco",VLOOKUP(OtherClients[[#This Row],[Part]],PartControl!$A$2:$E$564,2,FALSE),OtherClients[[#This Row],[Total Quantity]]*VLOOKUP(OtherClients[[#This Row],[Part]],PartControl!$A$2:$E$564,2,FALSE)),0)</f>
        <v>106.94</v>
      </c>
      <c r="Z2854" s="108">
        <f>IF(OtherClients[[#This Row],[Re-certified or New]]&lt;&gt;"Re-certified",IF(OtherClients[[#This Row],[Client]]="infasco",VLOOKUP(OtherClients[[#This Row],[Part]],PartControl!$A$2:$E$564,2,FALSE),OtherClients[[#This Row],[Total Quantity]]*VLOOKUP(OtherClients[[#This Row],[Part]],PartControl!$A$2:$E$564,2,FALSE)),0)</f>
        <v>106.94</v>
      </c>
    </row>
    <row r="2855" spans="1:26" ht="25.15" hidden="1" customHeight="1" x14ac:dyDescent="0.25">
      <c r="A2855" s="112">
        <v>46275.707291666666</v>
      </c>
      <c r="B2855" s="5" t="s">
        <v>239</v>
      </c>
      <c r="C2855" s="5" t="s">
        <v>703</v>
      </c>
      <c r="D2855" s="5">
        <v>717496</v>
      </c>
      <c r="E2855" s="33">
        <v>23</v>
      </c>
      <c r="F2855" s="60">
        <v>700</v>
      </c>
      <c r="G2855" s="60">
        <f>+OtherClients[[#This Row],[Boxes / Pieces]]*OtherClients[[#This Row],[Unit Quantity]]</f>
        <v>16100</v>
      </c>
      <c r="H2855" s="60">
        <v>290</v>
      </c>
      <c r="I2855" s="60" t="s">
        <v>278</v>
      </c>
      <c r="J2855" s="104"/>
      <c r="K2855" s="33" t="s">
        <v>278</v>
      </c>
      <c r="L2855" s="111"/>
      <c r="M2855" s="33" t="s">
        <v>278</v>
      </c>
      <c r="N2855" s="111"/>
      <c r="O2855" s="33" t="s">
        <v>278</v>
      </c>
      <c r="P2855" s="111"/>
      <c r="Q2855" s="33" t="s">
        <v>587</v>
      </c>
      <c r="R2855" s="111"/>
      <c r="S2855" s="33" t="s">
        <v>278</v>
      </c>
      <c r="T2855" s="111"/>
      <c r="U2855" s="33" t="s">
        <v>278</v>
      </c>
      <c r="V2855" s="111"/>
      <c r="W2855" s="59" t="s">
        <v>633</v>
      </c>
      <c r="X2855" s="33" t="str">
        <f>+VLOOKUP(OtherClients[[#This Row],[Part]],PartControl!$A$2:$E$564,5,FALSE)</f>
        <v>infasco</v>
      </c>
      <c r="Y2855" s="108">
        <f>IF(OtherClients[[#This Row],[Re-certified or New]]&lt;&gt;"Re-certified",IF(OtherClients[[#This Row],[Client]]="infasco",VLOOKUP(OtherClients[[#This Row],[Part]],PartControl!$A$2:$E$564,2,FALSE),OtherClients[[#This Row],[Total Quantity]]*VLOOKUP(OtherClients[[#This Row],[Part]],PartControl!$A$2:$E$564,2,FALSE)),0)</f>
        <v>0</v>
      </c>
      <c r="Z2855" s="108">
        <f>IF(OtherClients[[#This Row],[Re-certified or New]]&lt;&gt;"Re-certified",IF(OtherClients[[#This Row],[Client]]="infasco",VLOOKUP(OtherClients[[#This Row],[Part]],PartControl!$A$2:$E$564,2,FALSE),OtherClients[[#This Row],[Total Quantity]]*VLOOKUP(OtherClients[[#This Row],[Part]],PartControl!$A$2:$E$564,2,FALSE)),0)</f>
        <v>0</v>
      </c>
    </row>
    <row r="2856" spans="1:26" ht="25.15" hidden="1" customHeight="1" x14ac:dyDescent="0.25">
      <c r="A2856" s="112">
        <v>46275.707291666666</v>
      </c>
      <c r="B2856" s="5" t="s">
        <v>236</v>
      </c>
      <c r="C2856" s="5" t="s">
        <v>728</v>
      </c>
      <c r="D2856" s="5">
        <v>718011</v>
      </c>
      <c r="E2856" s="33">
        <f>13+36</f>
        <v>49</v>
      </c>
      <c r="F2856" s="60">
        <v>1500</v>
      </c>
      <c r="G2856" s="60">
        <f>+OtherClients[[#This Row],[Boxes / Pieces]]*OtherClients[[#This Row],[Unit Quantity]]</f>
        <v>73500</v>
      </c>
      <c r="H2856" s="60">
        <v>290</v>
      </c>
      <c r="I2856" s="60" t="s">
        <v>278</v>
      </c>
      <c r="J2856" s="104"/>
      <c r="K2856" s="33" t="s">
        <v>278</v>
      </c>
      <c r="L2856" s="111"/>
      <c r="M2856" s="33" t="s">
        <v>278</v>
      </c>
      <c r="N2856" s="111"/>
      <c r="O2856" s="33" t="s">
        <v>278</v>
      </c>
      <c r="P2856" s="111"/>
      <c r="Q2856" s="33" t="s">
        <v>587</v>
      </c>
      <c r="R2856" s="111"/>
      <c r="S2856" s="33" t="s">
        <v>278</v>
      </c>
      <c r="T2856" s="111"/>
      <c r="U2856" s="33" t="s">
        <v>278</v>
      </c>
      <c r="V2856" s="111"/>
      <c r="W2856" s="59" t="s">
        <v>548</v>
      </c>
      <c r="X2856" s="33" t="str">
        <f>+VLOOKUP(OtherClients[[#This Row],[Part]],PartControl!$A$2:$E$564,5,FALSE)</f>
        <v>infasco</v>
      </c>
      <c r="Y2856" s="108">
        <f>IF(OtherClients[[#This Row],[Re-certified or New]]&lt;&gt;"Re-certified",IF(OtherClients[[#This Row],[Client]]="infasco",VLOOKUP(OtherClients[[#This Row],[Part]],PartControl!$A$2:$E$564,2,FALSE),OtherClients[[#This Row],[Total Quantity]]*VLOOKUP(OtherClients[[#This Row],[Part]],PartControl!$A$2:$E$564,2,FALSE)),0)</f>
        <v>106.94</v>
      </c>
      <c r="Z2856" s="108">
        <f>IF(OtherClients[[#This Row],[Re-certified or New]]&lt;&gt;"Re-certified",IF(OtherClients[[#This Row],[Client]]="infasco",VLOOKUP(OtherClients[[#This Row],[Part]],PartControl!$A$2:$E$564,2,FALSE),OtherClients[[#This Row],[Total Quantity]]*VLOOKUP(OtherClients[[#This Row],[Part]],PartControl!$A$2:$E$564,2,FALSE)),0)</f>
        <v>106.94</v>
      </c>
    </row>
    <row r="2857" spans="1:26" ht="25.15" hidden="1" customHeight="1" x14ac:dyDescent="0.25">
      <c r="A2857" s="112">
        <v>46275.707291666666</v>
      </c>
      <c r="B2857" s="5" t="s">
        <v>236</v>
      </c>
      <c r="C2857" s="5" t="s">
        <v>728</v>
      </c>
      <c r="D2857" s="5">
        <v>718017</v>
      </c>
      <c r="E2857" s="33">
        <v>20</v>
      </c>
      <c r="F2857" s="60">
        <v>1500</v>
      </c>
      <c r="G2857" s="60">
        <f>+OtherClients[[#This Row],[Boxes / Pieces]]*OtherClients[[#This Row],[Unit Quantity]]</f>
        <v>30000</v>
      </c>
      <c r="H2857" s="60">
        <v>290</v>
      </c>
      <c r="I2857" s="60" t="s">
        <v>278</v>
      </c>
      <c r="J2857" s="104"/>
      <c r="K2857" s="33" t="s">
        <v>278</v>
      </c>
      <c r="L2857" s="111"/>
      <c r="M2857" s="33" t="s">
        <v>278</v>
      </c>
      <c r="N2857" s="111"/>
      <c r="O2857" s="33" t="s">
        <v>278</v>
      </c>
      <c r="P2857" s="111"/>
      <c r="Q2857" s="33" t="s">
        <v>587</v>
      </c>
      <c r="R2857" s="111"/>
      <c r="S2857" s="33" t="s">
        <v>278</v>
      </c>
      <c r="T2857" s="111"/>
      <c r="U2857" s="33" t="s">
        <v>278</v>
      </c>
      <c r="V2857" s="111"/>
      <c r="W2857" s="59" t="s">
        <v>633</v>
      </c>
      <c r="X2857" s="33" t="str">
        <f>+VLOOKUP(OtherClients[[#This Row],[Part]],PartControl!$A$2:$E$564,5,FALSE)</f>
        <v>infasco</v>
      </c>
      <c r="Y2857" s="108">
        <f>IF(OtherClients[[#This Row],[Re-certified or New]]&lt;&gt;"Re-certified",IF(OtherClients[[#This Row],[Client]]="infasco",VLOOKUP(OtherClients[[#This Row],[Part]],PartControl!$A$2:$E$564,2,FALSE),OtherClients[[#This Row],[Total Quantity]]*VLOOKUP(OtherClients[[#This Row],[Part]],PartControl!$A$2:$E$564,2,FALSE)),0)</f>
        <v>0</v>
      </c>
      <c r="Z2857" s="108">
        <f>IF(OtherClients[[#This Row],[Re-certified or New]]&lt;&gt;"Re-certified",IF(OtherClients[[#This Row],[Client]]="infasco",VLOOKUP(OtherClients[[#This Row],[Part]],PartControl!$A$2:$E$564,2,FALSE),OtherClients[[#This Row],[Total Quantity]]*VLOOKUP(OtherClients[[#This Row],[Part]],PartControl!$A$2:$E$564,2,FALSE)),0)</f>
        <v>0</v>
      </c>
    </row>
    <row r="2858" spans="1:26" ht="25.15" hidden="1" customHeight="1" x14ac:dyDescent="0.25">
      <c r="A2858" s="112">
        <v>46275.707291666666</v>
      </c>
      <c r="B2858" s="5" t="s">
        <v>235</v>
      </c>
      <c r="C2858" s="5" t="s">
        <v>656</v>
      </c>
      <c r="D2858" s="5">
        <v>718156</v>
      </c>
      <c r="E2858" s="33">
        <f>36-19</f>
        <v>17</v>
      </c>
      <c r="F2858" s="60">
        <v>825</v>
      </c>
      <c r="G2858" s="60">
        <f>+OtherClients[[#This Row],[Boxes / Pieces]]*OtherClients[[#This Row],[Unit Quantity]]</f>
        <v>14025</v>
      </c>
      <c r="H2858" s="60">
        <v>290</v>
      </c>
      <c r="I2858" s="60" t="s">
        <v>278</v>
      </c>
      <c r="J2858" s="104"/>
      <c r="K2858" s="33" t="s">
        <v>278</v>
      </c>
      <c r="L2858" s="111"/>
      <c r="M2858" s="33" t="s">
        <v>278</v>
      </c>
      <c r="N2858" s="111"/>
      <c r="O2858" s="33" t="s">
        <v>278</v>
      </c>
      <c r="P2858" s="111"/>
      <c r="Q2858" s="33" t="s">
        <v>587</v>
      </c>
      <c r="R2858" s="111"/>
      <c r="S2858" s="33" t="s">
        <v>278</v>
      </c>
      <c r="T2858" s="111"/>
      <c r="U2858" s="33" t="s">
        <v>278</v>
      </c>
      <c r="V2858" s="111"/>
      <c r="W2858" s="59" t="s">
        <v>548</v>
      </c>
      <c r="X2858" s="33" t="str">
        <f>+VLOOKUP(OtherClients[[#This Row],[Part]],PartControl!$A$2:$E$564,5,FALSE)</f>
        <v>infasco</v>
      </c>
      <c r="Y2858" s="108">
        <f>IF(OtherClients[[#This Row],[Re-certified or New]]&lt;&gt;"Re-certified",IF(OtherClients[[#This Row],[Client]]="infasco",VLOOKUP(OtherClients[[#This Row],[Part]],PartControl!$A$2:$E$564,2,FALSE),OtherClients[[#This Row],[Total Quantity]]*VLOOKUP(OtherClients[[#This Row],[Part]],PartControl!$A$2:$E$564,2,FALSE)),0)</f>
        <v>280.16000000000003</v>
      </c>
      <c r="Z2858" s="108">
        <f>IF(OtherClients[[#This Row],[Re-certified or New]]&lt;&gt;"Re-certified",IF(OtherClients[[#This Row],[Client]]="infasco",VLOOKUP(OtherClients[[#This Row],[Part]],PartControl!$A$2:$E$564,2,FALSE),OtherClients[[#This Row],[Total Quantity]]*VLOOKUP(OtherClients[[#This Row],[Part]],PartControl!$A$2:$E$564,2,FALSE)),0)</f>
        <v>280.16000000000003</v>
      </c>
    </row>
    <row r="2859" spans="1:26" ht="25.15" hidden="1" customHeight="1" x14ac:dyDescent="0.25">
      <c r="A2859" s="112">
        <v>46275.707291666666</v>
      </c>
      <c r="B2859" s="5" t="s">
        <v>235</v>
      </c>
      <c r="C2859" s="5" t="s">
        <v>656</v>
      </c>
      <c r="D2859" s="5">
        <v>718155</v>
      </c>
      <c r="E2859" s="33">
        <v>12</v>
      </c>
      <c r="F2859" s="60">
        <v>825</v>
      </c>
      <c r="G2859" s="60">
        <f>+OtherClients[[#This Row],[Boxes / Pieces]]*OtherClients[[#This Row],[Unit Quantity]]</f>
        <v>9900</v>
      </c>
      <c r="H2859" s="60">
        <v>290</v>
      </c>
      <c r="I2859" s="60" t="s">
        <v>278</v>
      </c>
      <c r="J2859" s="104"/>
      <c r="K2859" s="33" t="s">
        <v>278</v>
      </c>
      <c r="L2859" s="111"/>
      <c r="M2859" s="33" t="s">
        <v>278</v>
      </c>
      <c r="N2859" s="111"/>
      <c r="O2859" s="33" t="s">
        <v>278</v>
      </c>
      <c r="P2859" s="111"/>
      <c r="Q2859" s="33" t="s">
        <v>587</v>
      </c>
      <c r="R2859" s="111"/>
      <c r="S2859" s="33" t="s">
        <v>278</v>
      </c>
      <c r="T2859" s="111"/>
      <c r="U2859" s="33" t="s">
        <v>278</v>
      </c>
      <c r="V2859" s="111"/>
      <c r="W2859" s="59" t="s">
        <v>548</v>
      </c>
      <c r="X2859" s="33" t="str">
        <f>+VLOOKUP(OtherClients[[#This Row],[Part]],PartControl!$A$2:$E$564,5,FALSE)</f>
        <v>infasco</v>
      </c>
      <c r="Y2859" s="108">
        <f>IF(OtherClients[[#This Row],[Re-certified or New]]&lt;&gt;"Re-certified",IF(OtherClients[[#This Row],[Client]]="infasco",VLOOKUP(OtherClients[[#This Row],[Part]],PartControl!$A$2:$E$564,2,FALSE),OtherClients[[#This Row],[Total Quantity]]*VLOOKUP(OtherClients[[#This Row],[Part]],PartControl!$A$2:$E$564,2,FALSE)),0)</f>
        <v>280.16000000000003</v>
      </c>
      <c r="Z2859" s="108">
        <f>IF(OtherClients[[#This Row],[Re-certified or New]]&lt;&gt;"Re-certified",IF(OtherClients[[#This Row],[Client]]="infasco",VLOOKUP(OtherClients[[#This Row],[Part]],PartControl!$A$2:$E$564,2,FALSE),OtherClients[[#This Row],[Total Quantity]]*VLOOKUP(OtherClients[[#This Row],[Part]],PartControl!$A$2:$E$564,2,FALSE)),0)</f>
        <v>280.16000000000003</v>
      </c>
    </row>
    <row r="2860" spans="1:26" ht="25.15" hidden="1" customHeight="1" x14ac:dyDescent="0.25">
      <c r="A2860" s="112">
        <v>46275.707291666666</v>
      </c>
      <c r="B2860" s="5" t="s">
        <v>235</v>
      </c>
      <c r="C2860" s="5">
        <v>11546566</v>
      </c>
      <c r="D2860" s="5">
        <v>718048</v>
      </c>
      <c r="E2860" s="33">
        <v>3</v>
      </c>
      <c r="F2860" s="60">
        <v>1800</v>
      </c>
      <c r="G2860" s="60">
        <f>+OtherClients[[#This Row],[Boxes / Pieces]]*OtherClients[[#This Row],[Unit Quantity]]</f>
        <v>5400</v>
      </c>
      <c r="H2860" s="60">
        <v>290</v>
      </c>
      <c r="I2860" s="60" t="s">
        <v>278</v>
      </c>
      <c r="J2860" s="104"/>
      <c r="K2860" s="33" t="s">
        <v>278</v>
      </c>
      <c r="L2860" s="111"/>
      <c r="M2860" s="33" t="s">
        <v>278</v>
      </c>
      <c r="N2860" s="111"/>
      <c r="O2860" s="33" t="s">
        <v>278</v>
      </c>
      <c r="P2860" s="111"/>
      <c r="Q2860" s="33" t="s">
        <v>587</v>
      </c>
      <c r="R2860" s="111"/>
      <c r="S2860" s="33" t="s">
        <v>278</v>
      </c>
      <c r="T2860" s="111"/>
      <c r="U2860" s="33" t="s">
        <v>278</v>
      </c>
      <c r="V2860" s="111"/>
      <c r="W2860" s="59" t="s">
        <v>633</v>
      </c>
      <c r="X2860" s="33" t="str">
        <f>+VLOOKUP(OtherClients[[#This Row],[Part]],PartControl!$A$2:$E$564,5,FALSE)</f>
        <v>infasco</v>
      </c>
      <c r="Y2860" s="108">
        <f>IF(OtherClients[[#This Row],[Re-certified or New]]&lt;&gt;"Re-certified",IF(OtherClients[[#This Row],[Client]]="infasco",VLOOKUP(OtherClients[[#This Row],[Part]],PartControl!$A$2:$E$564,2,FALSE),OtherClients[[#This Row],[Total Quantity]]*VLOOKUP(OtherClients[[#This Row],[Part]],PartControl!$A$2:$E$564,2,FALSE)),0)</f>
        <v>0</v>
      </c>
      <c r="Z2860" s="108">
        <f>IF(OtherClients[[#This Row],[Re-certified or New]]&lt;&gt;"Re-certified",IF(OtherClients[[#This Row],[Client]]="infasco",VLOOKUP(OtherClients[[#This Row],[Part]],PartControl!$A$2:$E$564,2,FALSE),OtherClients[[#This Row],[Total Quantity]]*VLOOKUP(OtherClients[[#This Row],[Part]],PartControl!$A$2:$E$564,2,FALSE)),0)</f>
        <v>0</v>
      </c>
    </row>
    <row r="2861" spans="1:26" ht="25.15" hidden="1" customHeight="1" x14ac:dyDescent="0.25">
      <c r="A2861" s="112">
        <v>46275.707291666666</v>
      </c>
      <c r="B2861" s="5" t="s">
        <v>240</v>
      </c>
      <c r="C2861" s="5">
        <v>11549168</v>
      </c>
      <c r="D2861" s="5">
        <v>717373</v>
      </c>
      <c r="E2861" s="33">
        <f>36-18</f>
        <v>18</v>
      </c>
      <c r="F2861" s="60">
        <v>1000</v>
      </c>
      <c r="G2861" s="60">
        <f>+OtherClients[[#This Row],[Boxes / Pieces]]*OtherClients[[#This Row],[Unit Quantity]]</f>
        <v>18000</v>
      </c>
      <c r="H2861" s="60">
        <v>290</v>
      </c>
      <c r="I2861" s="60" t="s">
        <v>278</v>
      </c>
      <c r="J2861" s="104"/>
      <c r="K2861" s="33" t="s">
        <v>278</v>
      </c>
      <c r="L2861" s="111"/>
      <c r="M2861" s="33" t="s">
        <v>278</v>
      </c>
      <c r="N2861" s="111"/>
      <c r="O2861" s="33" t="s">
        <v>278</v>
      </c>
      <c r="P2861" s="111"/>
      <c r="Q2861" s="33" t="s">
        <v>587</v>
      </c>
      <c r="R2861" s="111"/>
      <c r="S2861" s="33" t="s">
        <v>278</v>
      </c>
      <c r="T2861" s="111"/>
      <c r="U2861" s="33" t="s">
        <v>278</v>
      </c>
      <c r="V2861" s="111"/>
      <c r="W2861" s="59" t="s">
        <v>548</v>
      </c>
      <c r="X2861" s="33" t="str">
        <f>+VLOOKUP(OtherClients[[#This Row],[Part]],PartControl!$A$2:$E$564,5,FALSE)</f>
        <v>INFASCO</v>
      </c>
      <c r="Y2861" s="108">
        <f>IF(OtherClients[[#This Row],[Re-certified or New]]&lt;&gt;"Re-certified",IF(OtherClients[[#This Row],[Client]]="infasco",VLOOKUP(OtherClients[[#This Row],[Part]],PartControl!$A$2:$E$564,2,FALSE),OtherClients[[#This Row],[Total Quantity]]*VLOOKUP(OtherClients[[#This Row],[Part]],PartControl!$A$2:$E$564,2,FALSE)),0)</f>
        <v>106.94</v>
      </c>
      <c r="Z2861" s="108">
        <f>IF(OtherClients[[#This Row],[Re-certified or New]]&lt;&gt;"Re-certified",IF(OtherClients[[#This Row],[Client]]="infasco",VLOOKUP(OtherClients[[#This Row],[Part]],PartControl!$A$2:$E$564,2,FALSE),OtherClients[[#This Row],[Total Quantity]]*VLOOKUP(OtherClients[[#This Row],[Part]],PartControl!$A$2:$E$564,2,FALSE)),0)</f>
        <v>106.94</v>
      </c>
    </row>
    <row r="2862" spans="1:26" ht="25.15" hidden="1" customHeight="1" x14ac:dyDescent="0.25">
      <c r="A2862" s="112">
        <v>46275.707291666666</v>
      </c>
      <c r="B2862" s="5" t="s">
        <v>240</v>
      </c>
      <c r="C2862" s="5">
        <v>11549168</v>
      </c>
      <c r="D2862" s="5">
        <v>717376</v>
      </c>
      <c r="E2862" s="33">
        <v>44</v>
      </c>
      <c r="F2862" s="60">
        <v>1000</v>
      </c>
      <c r="G2862" s="60">
        <f>+OtherClients[[#This Row],[Boxes / Pieces]]*OtherClients[[#This Row],[Unit Quantity]]</f>
        <v>44000</v>
      </c>
      <c r="H2862" s="60">
        <v>290</v>
      </c>
      <c r="I2862" s="60" t="s">
        <v>278</v>
      </c>
      <c r="J2862" s="104"/>
      <c r="K2862" s="33" t="s">
        <v>278</v>
      </c>
      <c r="L2862" s="111"/>
      <c r="M2862" s="33" t="s">
        <v>278</v>
      </c>
      <c r="N2862" s="111"/>
      <c r="O2862" s="33" t="s">
        <v>278</v>
      </c>
      <c r="P2862" s="111"/>
      <c r="Q2862" s="33" t="s">
        <v>587</v>
      </c>
      <c r="R2862" s="111"/>
      <c r="S2862" s="33" t="s">
        <v>278</v>
      </c>
      <c r="T2862" s="111"/>
      <c r="U2862" s="33" t="s">
        <v>278</v>
      </c>
      <c r="V2862" s="111"/>
      <c r="W2862" s="59" t="s">
        <v>548</v>
      </c>
      <c r="X2862" s="33" t="str">
        <f>+VLOOKUP(OtherClients[[#This Row],[Part]],PartControl!$A$2:$E$564,5,FALSE)</f>
        <v>INFASCO</v>
      </c>
      <c r="Y2862" s="108">
        <f>IF(OtherClients[[#This Row],[Re-certified or New]]&lt;&gt;"Re-certified",IF(OtherClients[[#This Row],[Client]]="infasco",VLOOKUP(OtherClients[[#This Row],[Part]],PartControl!$A$2:$E$564,2,FALSE),OtherClients[[#This Row],[Total Quantity]]*VLOOKUP(OtherClients[[#This Row],[Part]],PartControl!$A$2:$E$564,2,FALSE)),0)</f>
        <v>106.94</v>
      </c>
      <c r="Z2862" s="108">
        <f>IF(OtherClients[[#This Row],[Re-certified or New]]&lt;&gt;"Re-certified",IF(OtherClients[[#This Row],[Client]]="infasco",VLOOKUP(OtherClients[[#This Row],[Part]],PartControl!$A$2:$E$564,2,FALSE),OtherClients[[#This Row],[Total Quantity]]*VLOOKUP(OtherClients[[#This Row],[Part]],PartControl!$A$2:$E$564,2,FALSE)),0)</f>
        <v>106.94</v>
      </c>
    </row>
    <row r="2863" spans="1:26" ht="25.15" hidden="1" customHeight="1" x14ac:dyDescent="0.25">
      <c r="A2863" s="112">
        <v>46275.707291666666</v>
      </c>
      <c r="B2863" s="5" t="s">
        <v>240</v>
      </c>
      <c r="C2863" s="5">
        <v>11546462</v>
      </c>
      <c r="D2863" s="5">
        <v>718640</v>
      </c>
      <c r="E2863" s="33">
        <v>36</v>
      </c>
      <c r="F2863" s="60">
        <v>650</v>
      </c>
      <c r="G2863" s="60">
        <f>+OtherClients[[#This Row],[Boxes / Pieces]]*OtherClients[[#This Row],[Unit Quantity]]</f>
        <v>23400</v>
      </c>
      <c r="H2863" s="60">
        <v>290</v>
      </c>
      <c r="I2863" s="60" t="s">
        <v>278</v>
      </c>
      <c r="J2863" s="104"/>
      <c r="K2863" s="33" t="s">
        <v>278</v>
      </c>
      <c r="L2863" s="111"/>
      <c r="M2863" s="33" t="s">
        <v>278</v>
      </c>
      <c r="N2863" s="111"/>
      <c r="O2863" s="33" t="s">
        <v>278</v>
      </c>
      <c r="P2863" s="111"/>
      <c r="Q2863" s="33" t="s">
        <v>587</v>
      </c>
      <c r="R2863" s="111"/>
      <c r="S2863" s="33" t="s">
        <v>278</v>
      </c>
      <c r="T2863" s="111"/>
      <c r="U2863" s="33" t="s">
        <v>278</v>
      </c>
      <c r="V2863" s="111"/>
      <c r="W2863" s="59" t="s">
        <v>548</v>
      </c>
      <c r="X2863" s="33" t="str">
        <f>+VLOOKUP(OtherClients[[#This Row],[Part]],PartControl!$A$2:$E$564,5,FALSE)</f>
        <v>INFASCO</v>
      </c>
      <c r="Y2863" s="108">
        <f>IF(OtherClients[[#This Row],[Re-certified or New]]&lt;&gt;"Re-certified",IF(OtherClients[[#This Row],[Client]]="infasco",VLOOKUP(OtherClients[[#This Row],[Part]],PartControl!$A$2:$E$564,2,FALSE),OtherClients[[#This Row],[Total Quantity]]*VLOOKUP(OtherClients[[#This Row],[Part]],PartControl!$A$2:$E$564,2,FALSE)),0)</f>
        <v>106.94</v>
      </c>
      <c r="Z2863" s="108">
        <f>IF(OtherClients[[#This Row],[Re-certified or New]]&lt;&gt;"Re-certified",IF(OtherClients[[#This Row],[Client]]="infasco",VLOOKUP(OtherClients[[#This Row],[Part]],PartControl!$A$2:$E$564,2,FALSE),OtherClients[[#This Row],[Total Quantity]]*VLOOKUP(OtherClients[[#This Row],[Part]],PartControl!$A$2:$E$564,2,FALSE)),0)</f>
        <v>106.94</v>
      </c>
    </row>
    <row r="2864" spans="1:26" ht="25.15" hidden="1" customHeight="1" x14ac:dyDescent="0.25">
      <c r="A2864" s="112">
        <v>46275.707291666666</v>
      </c>
      <c r="B2864" s="5" t="s">
        <v>240</v>
      </c>
      <c r="C2864" s="5">
        <v>11546462</v>
      </c>
      <c r="D2864" s="5">
        <v>718642</v>
      </c>
      <c r="E2864" s="33">
        <v>20</v>
      </c>
      <c r="F2864" s="60">
        <v>650</v>
      </c>
      <c r="G2864" s="60">
        <f>+OtherClients[[#This Row],[Boxes / Pieces]]*OtherClients[[#This Row],[Unit Quantity]]</f>
        <v>13000</v>
      </c>
      <c r="H2864" s="60">
        <v>290</v>
      </c>
      <c r="I2864" s="60" t="s">
        <v>278</v>
      </c>
      <c r="J2864" s="104"/>
      <c r="K2864" s="33" t="s">
        <v>278</v>
      </c>
      <c r="L2864" s="111"/>
      <c r="M2864" s="33" t="s">
        <v>278</v>
      </c>
      <c r="N2864" s="111"/>
      <c r="O2864" s="33" t="s">
        <v>278</v>
      </c>
      <c r="P2864" s="111"/>
      <c r="Q2864" s="33" t="s">
        <v>587</v>
      </c>
      <c r="R2864" s="111"/>
      <c r="S2864" s="33" t="s">
        <v>278</v>
      </c>
      <c r="T2864" s="111"/>
      <c r="U2864" s="33" t="s">
        <v>278</v>
      </c>
      <c r="V2864" s="111"/>
      <c r="W2864" s="59" t="s">
        <v>633</v>
      </c>
      <c r="X2864" s="33" t="str">
        <f>+VLOOKUP(OtherClients[[#This Row],[Part]],PartControl!$A$2:$E$564,5,FALSE)</f>
        <v>INFASCO</v>
      </c>
      <c r="Y2864" s="108">
        <f>IF(OtherClients[[#This Row],[Re-certified or New]]&lt;&gt;"Re-certified",IF(OtherClients[[#This Row],[Client]]="infasco",VLOOKUP(OtherClients[[#This Row],[Part]],PartControl!$A$2:$E$564,2,FALSE),OtherClients[[#This Row],[Total Quantity]]*VLOOKUP(OtherClients[[#This Row],[Part]],PartControl!$A$2:$E$564,2,FALSE)),0)</f>
        <v>0</v>
      </c>
      <c r="Z2864" s="108">
        <f>IF(OtherClients[[#This Row],[Re-certified or New]]&lt;&gt;"Re-certified",IF(OtherClients[[#This Row],[Client]]="infasco",VLOOKUP(OtherClients[[#This Row],[Part]],PartControl!$A$2:$E$564,2,FALSE),OtherClients[[#This Row],[Total Quantity]]*VLOOKUP(OtherClients[[#This Row],[Part]],PartControl!$A$2:$E$564,2,FALSE)),0)</f>
        <v>0</v>
      </c>
    </row>
    <row r="2865" spans="1:26" ht="25.15" hidden="1" customHeight="1" x14ac:dyDescent="0.25">
      <c r="A2865" s="112">
        <v>46275.707291666666</v>
      </c>
      <c r="B2865" s="5" t="s">
        <v>237</v>
      </c>
      <c r="C2865" s="5" t="s">
        <v>565</v>
      </c>
      <c r="D2865" s="5">
        <v>717245</v>
      </c>
      <c r="E2865" s="33">
        <v>1</v>
      </c>
      <c r="F2865" s="60">
        <f>20000-13125+15225</f>
        <v>22100</v>
      </c>
      <c r="G2865" s="60">
        <f>+OtherClients[[#This Row],[Boxes / Pieces]]*OtherClients[[#This Row],[Unit Quantity]]</f>
        <v>22100</v>
      </c>
      <c r="H2865" s="60">
        <v>290</v>
      </c>
      <c r="I2865" s="60" t="s">
        <v>278</v>
      </c>
      <c r="J2865" s="104"/>
      <c r="K2865" s="33" t="s">
        <v>278</v>
      </c>
      <c r="L2865" s="111"/>
      <c r="M2865" s="33" t="s">
        <v>278</v>
      </c>
      <c r="N2865" s="111"/>
      <c r="O2865" s="33" t="s">
        <v>278</v>
      </c>
      <c r="P2865" s="111"/>
      <c r="Q2865" s="33" t="s">
        <v>587</v>
      </c>
      <c r="R2865" s="111"/>
      <c r="S2865" s="33" t="s">
        <v>278</v>
      </c>
      <c r="T2865" s="111"/>
      <c r="U2865" s="33" t="s">
        <v>278</v>
      </c>
      <c r="V2865" s="111"/>
      <c r="W2865" s="59" t="s">
        <v>548</v>
      </c>
      <c r="X2865" s="33" t="str">
        <f>+VLOOKUP(OtherClients[[#This Row],[Part]],PartControl!$A$2:$E$564,5,FALSE)</f>
        <v>Infasco</v>
      </c>
      <c r="Y2865" s="108">
        <f>IF(OtherClients[[#This Row],[Re-certified or New]]&lt;&gt;"Re-certified",IF(OtherClients[[#This Row],[Client]]="infasco",VLOOKUP(OtherClients[[#This Row],[Part]],PartControl!$A$2:$E$564,2,FALSE),OtherClients[[#This Row],[Total Quantity]]*VLOOKUP(OtherClients[[#This Row],[Part]],PartControl!$A$2:$E$564,2,FALSE)),0)</f>
        <v>106.94</v>
      </c>
      <c r="Z2865" s="108">
        <f>IF(OtherClients[[#This Row],[Re-certified or New]]&lt;&gt;"Re-certified",IF(OtherClients[[#This Row],[Client]]="infasco",VLOOKUP(OtherClients[[#This Row],[Part]],PartControl!$A$2:$E$564,2,FALSE),OtherClients[[#This Row],[Total Quantity]]*VLOOKUP(OtherClients[[#This Row],[Part]],PartControl!$A$2:$E$564,2,FALSE)),0)</f>
        <v>106.94</v>
      </c>
    </row>
    <row r="2866" spans="1:26" ht="25.15" hidden="1" customHeight="1" x14ac:dyDescent="0.25">
      <c r="A2866" s="112">
        <v>46275.707291666666</v>
      </c>
      <c r="B2866" s="5" t="s">
        <v>237</v>
      </c>
      <c r="C2866" s="5" t="s">
        <v>703</v>
      </c>
      <c r="D2866" s="5">
        <v>717502</v>
      </c>
      <c r="E2866" s="33">
        <v>36</v>
      </c>
      <c r="F2866" s="60">
        <v>700</v>
      </c>
      <c r="G2866" s="60">
        <f>+OtherClients[[#This Row],[Boxes / Pieces]]*OtherClients[[#This Row],[Unit Quantity]]</f>
        <v>25200</v>
      </c>
      <c r="H2866" s="60">
        <v>290</v>
      </c>
      <c r="I2866" s="60" t="s">
        <v>278</v>
      </c>
      <c r="J2866" s="104"/>
      <c r="K2866" s="33" t="s">
        <v>278</v>
      </c>
      <c r="L2866" s="111"/>
      <c r="M2866" s="33" t="s">
        <v>278</v>
      </c>
      <c r="N2866" s="111"/>
      <c r="O2866" s="33" t="s">
        <v>278</v>
      </c>
      <c r="P2866" s="111"/>
      <c r="Q2866" s="33" t="s">
        <v>587</v>
      </c>
      <c r="R2866" s="111"/>
      <c r="S2866" s="33" t="s">
        <v>278</v>
      </c>
      <c r="T2866" s="111"/>
      <c r="U2866" s="33" t="s">
        <v>278</v>
      </c>
      <c r="V2866" s="111"/>
      <c r="W2866" s="59" t="s">
        <v>548</v>
      </c>
      <c r="X2866" s="33" t="str">
        <f>+VLOOKUP(OtherClients[[#This Row],[Part]],PartControl!$A$2:$E$564,5,FALSE)</f>
        <v>infasco</v>
      </c>
      <c r="Y2866" s="108">
        <f>IF(OtherClients[[#This Row],[Re-certified or New]]&lt;&gt;"Re-certified",IF(OtherClients[[#This Row],[Client]]="infasco",VLOOKUP(OtherClients[[#This Row],[Part]],PartControl!$A$2:$E$564,2,FALSE),OtherClients[[#This Row],[Total Quantity]]*VLOOKUP(OtherClients[[#This Row],[Part]],PartControl!$A$2:$E$564,2,FALSE)),0)</f>
        <v>106.94</v>
      </c>
      <c r="Z2866" s="108">
        <f>IF(OtherClients[[#This Row],[Re-certified or New]]&lt;&gt;"Re-certified",IF(OtherClients[[#This Row],[Client]]="infasco",VLOOKUP(OtherClients[[#This Row],[Part]],PartControl!$A$2:$E$564,2,FALSE),OtherClients[[#This Row],[Total Quantity]]*VLOOKUP(OtherClients[[#This Row],[Part]],PartControl!$A$2:$E$564,2,FALSE)),0)</f>
        <v>106.94</v>
      </c>
    </row>
    <row r="2867" spans="1:26" ht="25.15" hidden="1" customHeight="1" x14ac:dyDescent="0.25">
      <c r="A2867" s="112">
        <v>46275.707291666666</v>
      </c>
      <c r="B2867" s="5" t="s">
        <v>237</v>
      </c>
      <c r="C2867" s="5" t="s">
        <v>703</v>
      </c>
      <c r="D2867" s="5">
        <v>718075</v>
      </c>
      <c r="E2867" s="33">
        <v>25</v>
      </c>
      <c r="F2867" s="60">
        <v>700</v>
      </c>
      <c r="G2867" s="60">
        <f>+OtherClients[[#This Row],[Boxes / Pieces]]*OtherClients[[#This Row],[Unit Quantity]]</f>
        <v>17500</v>
      </c>
      <c r="H2867" s="60">
        <v>290</v>
      </c>
      <c r="I2867" s="60" t="s">
        <v>278</v>
      </c>
      <c r="J2867" s="104"/>
      <c r="K2867" s="33" t="s">
        <v>278</v>
      </c>
      <c r="L2867" s="111"/>
      <c r="M2867" s="33" t="s">
        <v>278</v>
      </c>
      <c r="N2867" s="111"/>
      <c r="O2867" s="33" t="s">
        <v>278</v>
      </c>
      <c r="P2867" s="111"/>
      <c r="Q2867" s="33" t="s">
        <v>587</v>
      </c>
      <c r="R2867" s="111"/>
      <c r="S2867" s="33" t="s">
        <v>278</v>
      </c>
      <c r="T2867" s="111"/>
      <c r="U2867" s="33" t="s">
        <v>278</v>
      </c>
      <c r="V2867" s="111"/>
      <c r="W2867" s="59" t="s">
        <v>633</v>
      </c>
      <c r="X2867" s="33" t="str">
        <f>+VLOOKUP(OtherClients[[#This Row],[Part]],PartControl!$A$2:$E$564,5,FALSE)</f>
        <v>infasco</v>
      </c>
      <c r="Y2867" s="108">
        <f>IF(OtherClients[[#This Row],[Re-certified or New]]&lt;&gt;"Re-certified",IF(OtherClients[[#This Row],[Client]]="infasco",VLOOKUP(OtherClients[[#This Row],[Part]],PartControl!$A$2:$E$564,2,FALSE),OtherClients[[#This Row],[Total Quantity]]*VLOOKUP(OtherClients[[#This Row],[Part]],PartControl!$A$2:$E$564,2,FALSE)),0)</f>
        <v>0</v>
      </c>
      <c r="Z2867" s="108">
        <f>IF(OtherClients[[#This Row],[Re-certified or New]]&lt;&gt;"Re-certified",IF(OtherClients[[#This Row],[Client]]="infasco",VLOOKUP(OtherClients[[#This Row],[Part]],PartControl!$A$2:$E$564,2,FALSE),OtherClients[[#This Row],[Total Quantity]]*VLOOKUP(OtherClients[[#This Row],[Part]],PartControl!$A$2:$E$564,2,FALSE)),0)</f>
        <v>0</v>
      </c>
    </row>
    <row r="2868" spans="1:26" ht="25.15" hidden="1" customHeight="1" x14ac:dyDescent="0.25">
      <c r="A2868" s="112">
        <v>46275.707291666666</v>
      </c>
      <c r="B2868" s="5" t="s">
        <v>250</v>
      </c>
      <c r="C2868" s="5">
        <v>11549170</v>
      </c>
      <c r="D2868" s="5">
        <v>716917</v>
      </c>
      <c r="E2868" s="33">
        <v>36</v>
      </c>
      <c r="F2868" s="60">
        <v>400</v>
      </c>
      <c r="G2868" s="60">
        <f>+OtherClients[[#This Row],[Boxes / Pieces]]*OtherClients[[#This Row],[Unit Quantity]]</f>
        <v>14400</v>
      </c>
      <c r="H2868" s="60">
        <v>290</v>
      </c>
      <c r="I2868" s="60" t="s">
        <v>278</v>
      </c>
      <c r="J2868" s="104"/>
      <c r="K2868" s="33" t="s">
        <v>278</v>
      </c>
      <c r="L2868" s="111"/>
      <c r="M2868" s="33" t="s">
        <v>278</v>
      </c>
      <c r="N2868" s="111"/>
      <c r="O2868" s="33" t="s">
        <v>278</v>
      </c>
      <c r="P2868" s="111"/>
      <c r="Q2868" s="33" t="s">
        <v>587</v>
      </c>
      <c r="R2868" s="111"/>
      <c r="S2868" s="33" t="s">
        <v>278</v>
      </c>
      <c r="T2868" s="111"/>
      <c r="U2868" s="33" t="s">
        <v>278</v>
      </c>
      <c r="V2868" s="111"/>
      <c r="W2868" s="59" t="s">
        <v>548</v>
      </c>
      <c r="X2868" s="33" t="str">
        <f>+VLOOKUP(OtherClients[[#This Row],[Part]],PartControl!$A$2:$E$564,5,FALSE)</f>
        <v>INFASCO</v>
      </c>
      <c r="Y2868" s="108">
        <f>IF(OtherClients[[#This Row],[Re-certified or New]]&lt;&gt;"Re-certified",IF(OtherClients[[#This Row],[Client]]="infasco",VLOOKUP(OtherClients[[#This Row],[Part]],PartControl!$A$2:$E$564,2,FALSE),OtherClients[[#This Row],[Total Quantity]]*VLOOKUP(OtherClients[[#This Row],[Part]],PartControl!$A$2:$E$564,2,FALSE)),0)</f>
        <v>106.94</v>
      </c>
      <c r="Z2868" s="108">
        <f>IF(OtherClients[[#This Row],[Re-certified or New]]&lt;&gt;"Re-certified",IF(OtherClients[[#This Row],[Client]]="infasco",VLOOKUP(OtherClients[[#This Row],[Part]],PartControl!$A$2:$E$564,2,FALSE),OtherClients[[#This Row],[Total Quantity]]*VLOOKUP(OtherClients[[#This Row],[Part]],PartControl!$A$2:$E$564,2,FALSE)),0)</f>
        <v>106.94</v>
      </c>
    </row>
    <row r="2869" spans="1:26" ht="25.15" hidden="1" customHeight="1" x14ac:dyDescent="0.25">
      <c r="A2869" s="112">
        <v>46275.707291666666</v>
      </c>
      <c r="B2869" s="5" t="s">
        <v>250</v>
      </c>
      <c r="C2869" s="5">
        <v>11549170</v>
      </c>
      <c r="D2869" s="5">
        <v>717365</v>
      </c>
      <c r="E2869" s="33">
        <v>51</v>
      </c>
      <c r="F2869" s="60">
        <v>400</v>
      </c>
      <c r="G2869" s="60">
        <f>+OtherClients[[#This Row],[Boxes / Pieces]]*OtherClients[[#This Row],[Unit Quantity]]</f>
        <v>20400</v>
      </c>
      <c r="H2869" s="60">
        <v>290</v>
      </c>
      <c r="I2869" s="60" t="s">
        <v>278</v>
      </c>
      <c r="J2869" s="104"/>
      <c r="K2869" s="33" t="s">
        <v>278</v>
      </c>
      <c r="L2869" s="111"/>
      <c r="M2869" s="33" t="s">
        <v>278</v>
      </c>
      <c r="N2869" s="111"/>
      <c r="O2869" s="33" t="s">
        <v>278</v>
      </c>
      <c r="P2869" s="111"/>
      <c r="Q2869" s="33" t="s">
        <v>587</v>
      </c>
      <c r="R2869" s="111"/>
      <c r="S2869" s="33" t="s">
        <v>278</v>
      </c>
      <c r="T2869" s="111"/>
      <c r="U2869" s="33" t="s">
        <v>278</v>
      </c>
      <c r="V2869" s="111"/>
      <c r="W2869" s="59" t="s">
        <v>548</v>
      </c>
      <c r="X2869" s="33" t="str">
        <f>+VLOOKUP(OtherClients[[#This Row],[Part]],PartControl!$A$2:$E$564,5,FALSE)</f>
        <v>INFASCO</v>
      </c>
      <c r="Y2869" s="108">
        <f>IF(OtherClients[[#This Row],[Re-certified or New]]&lt;&gt;"Re-certified",IF(OtherClients[[#This Row],[Client]]="infasco",VLOOKUP(OtherClients[[#This Row],[Part]],PartControl!$A$2:$E$564,2,FALSE),OtherClients[[#This Row],[Total Quantity]]*VLOOKUP(OtherClients[[#This Row],[Part]],PartControl!$A$2:$E$564,2,FALSE)),0)</f>
        <v>106.94</v>
      </c>
      <c r="Z2869" s="108">
        <f>IF(OtherClients[[#This Row],[Re-certified or New]]&lt;&gt;"Re-certified",IF(OtherClients[[#This Row],[Client]]="infasco",VLOOKUP(OtherClients[[#This Row],[Part]],PartControl!$A$2:$E$564,2,FALSE),OtherClients[[#This Row],[Total Quantity]]*VLOOKUP(OtherClients[[#This Row],[Part]],PartControl!$A$2:$E$564,2,FALSE)),0)</f>
        <v>106.94</v>
      </c>
    </row>
    <row r="2870" spans="1:26" ht="25.15" hidden="1" customHeight="1" x14ac:dyDescent="0.25">
      <c r="A2870" s="112">
        <v>46275.707291666666</v>
      </c>
      <c r="B2870" s="5" t="s">
        <v>250</v>
      </c>
      <c r="C2870" s="5">
        <v>11549170</v>
      </c>
      <c r="D2870" s="5">
        <v>716916</v>
      </c>
      <c r="E2870" s="33">
        <v>18</v>
      </c>
      <c r="F2870" s="60">
        <v>400</v>
      </c>
      <c r="G2870" s="60">
        <f>+OtherClients[[#This Row],[Boxes / Pieces]]*OtherClients[[#This Row],[Unit Quantity]]</f>
        <v>7200</v>
      </c>
      <c r="H2870" s="60">
        <v>290</v>
      </c>
      <c r="I2870" s="60" t="s">
        <v>278</v>
      </c>
      <c r="J2870" s="104"/>
      <c r="K2870" s="33" t="s">
        <v>278</v>
      </c>
      <c r="L2870" s="111"/>
      <c r="M2870" s="33" t="s">
        <v>278</v>
      </c>
      <c r="N2870" s="111"/>
      <c r="O2870" s="33" t="s">
        <v>278</v>
      </c>
      <c r="P2870" s="111"/>
      <c r="Q2870" s="33" t="s">
        <v>587</v>
      </c>
      <c r="R2870" s="111"/>
      <c r="S2870" s="33" t="s">
        <v>278</v>
      </c>
      <c r="T2870" s="111"/>
      <c r="U2870" s="33" t="s">
        <v>278</v>
      </c>
      <c r="V2870" s="111"/>
      <c r="W2870" s="59" t="s">
        <v>633</v>
      </c>
      <c r="X2870" s="33" t="str">
        <f>+VLOOKUP(OtherClients[[#This Row],[Part]],PartControl!$A$2:$E$564,5,FALSE)</f>
        <v>INFASCO</v>
      </c>
      <c r="Y2870" s="108">
        <f>IF(OtherClients[[#This Row],[Re-certified or New]]&lt;&gt;"Re-certified",IF(OtherClients[[#This Row],[Client]]="infasco",VLOOKUP(OtherClients[[#This Row],[Part]],PartControl!$A$2:$E$564,2,FALSE),OtherClients[[#This Row],[Total Quantity]]*VLOOKUP(OtherClients[[#This Row],[Part]],PartControl!$A$2:$E$564,2,FALSE)),0)</f>
        <v>0</v>
      </c>
      <c r="Z2870" s="108">
        <f>IF(OtherClients[[#This Row],[Re-certified or New]]&lt;&gt;"Re-certified",IF(OtherClients[[#This Row],[Client]]="infasco",VLOOKUP(OtherClients[[#This Row],[Part]],PartControl!$A$2:$E$564,2,FALSE),OtherClients[[#This Row],[Total Quantity]]*VLOOKUP(OtherClients[[#This Row],[Part]],PartControl!$A$2:$E$564,2,FALSE)),0)</f>
        <v>0</v>
      </c>
    </row>
    <row r="2871" spans="1:26" ht="25.15" hidden="1" customHeight="1" x14ac:dyDescent="0.25">
      <c r="A2871" s="112">
        <v>46275.707291666666</v>
      </c>
      <c r="B2871" s="5" t="s">
        <v>243</v>
      </c>
      <c r="C2871" s="5" t="s">
        <v>862</v>
      </c>
      <c r="D2871" s="5">
        <v>718067</v>
      </c>
      <c r="E2871" s="33">
        <f>25-23</f>
        <v>2</v>
      </c>
      <c r="F2871" s="60">
        <v>4500</v>
      </c>
      <c r="G2871" s="60">
        <f>+OtherClients[[#This Row],[Boxes / Pieces]]*OtherClients[[#This Row],[Unit Quantity]]</f>
        <v>9000</v>
      </c>
      <c r="H2871" s="60">
        <v>4</v>
      </c>
      <c r="I2871" s="60" t="s">
        <v>278</v>
      </c>
      <c r="J2871" s="104"/>
      <c r="K2871" s="33" t="s">
        <v>278</v>
      </c>
      <c r="L2871" s="111"/>
      <c r="M2871" s="33" t="s">
        <v>278</v>
      </c>
      <c r="N2871" s="111"/>
      <c r="O2871" s="33" t="s">
        <v>278</v>
      </c>
      <c r="P2871" s="111"/>
      <c r="Q2871" s="33" t="s">
        <v>587</v>
      </c>
      <c r="R2871" s="111"/>
      <c r="S2871" s="33" t="s">
        <v>278</v>
      </c>
      <c r="T2871" s="111"/>
      <c r="U2871" s="33" t="s">
        <v>278</v>
      </c>
      <c r="V2871" s="111"/>
      <c r="W2871" s="59" t="s">
        <v>548</v>
      </c>
      <c r="X2871" s="33" t="str">
        <f>+VLOOKUP(OtherClients[[#This Row],[Part]],PartControl!$A$2:$E$564,5,FALSE)</f>
        <v>infasco</v>
      </c>
      <c r="Y2871" s="108">
        <f>IF(OtherClients[[#This Row],[Re-certified or New]]&lt;&gt;"Re-certified",IF(OtherClients[[#This Row],[Client]]="infasco",VLOOKUP(OtherClients[[#This Row],[Part]],PartControl!$A$2:$E$564,2,FALSE),OtherClients[[#This Row],[Total Quantity]]*VLOOKUP(OtherClients[[#This Row],[Part]],PartControl!$A$2:$E$564,2,FALSE)),0)</f>
        <v>106.94</v>
      </c>
      <c r="Z2871" s="108">
        <f>IF(OtherClients[[#This Row],[Re-certified or New]]&lt;&gt;"Re-certified",IF(OtherClients[[#This Row],[Client]]="infasco",VLOOKUP(OtherClients[[#This Row],[Part]],PartControl!$A$2:$E$564,2,FALSE),OtherClients[[#This Row],[Total Quantity]]*VLOOKUP(OtherClients[[#This Row],[Part]],PartControl!$A$2:$E$564,2,FALSE)),0)</f>
        <v>106.94</v>
      </c>
    </row>
    <row r="2872" spans="1:26" ht="25.15" hidden="1" customHeight="1" x14ac:dyDescent="0.25">
      <c r="A2872" s="112">
        <v>46275.707291666666</v>
      </c>
      <c r="B2872" s="5" t="s">
        <v>243</v>
      </c>
      <c r="C2872" s="5" t="s">
        <v>862</v>
      </c>
      <c r="D2872" s="5">
        <v>718068</v>
      </c>
      <c r="E2872" s="33">
        <v>23</v>
      </c>
      <c r="F2872" s="60">
        <v>4500</v>
      </c>
      <c r="G2872" s="60">
        <f>+OtherClients[[#This Row],[Boxes / Pieces]]*OtherClients[[#This Row],[Unit Quantity]]</f>
        <v>103500</v>
      </c>
      <c r="H2872" s="60">
        <v>4</v>
      </c>
      <c r="I2872" s="60" t="s">
        <v>278</v>
      </c>
      <c r="J2872" s="104"/>
      <c r="K2872" s="33" t="s">
        <v>278</v>
      </c>
      <c r="L2872" s="111"/>
      <c r="M2872" s="33" t="s">
        <v>278</v>
      </c>
      <c r="N2872" s="111"/>
      <c r="O2872" s="33" t="s">
        <v>278</v>
      </c>
      <c r="P2872" s="111"/>
      <c r="Q2872" s="33" t="s">
        <v>587</v>
      </c>
      <c r="R2872" s="111"/>
      <c r="S2872" s="33" t="s">
        <v>278</v>
      </c>
      <c r="T2872" s="111"/>
      <c r="U2872" s="33" t="s">
        <v>278</v>
      </c>
      <c r="V2872" s="111"/>
      <c r="W2872" s="59" t="s">
        <v>548</v>
      </c>
      <c r="X2872" s="33" t="str">
        <f>+VLOOKUP(OtherClients[[#This Row],[Part]],PartControl!$A$2:$E$564,5,FALSE)</f>
        <v>infasco</v>
      </c>
      <c r="Y2872" s="108">
        <f>IF(OtherClients[[#This Row],[Re-certified or New]]&lt;&gt;"Re-certified",IF(OtherClients[[#This Row],[Client]]="infasco",VLOOKUP(OtherClients[[#This Row],[Part]],PartControl!$A$2:$E$564,2,FALSE),OtherClients[[#This Row],[Total Quantity]]*VLOOKUP(OtherClients[[#This Row],[Part]],PartControl!$A$2:$E$564,2,FALSE)),0)</f>
        <v>106.94</v>
      </c>
      <c r="Z2872" s="108">
        <f>IF(OtherClients[[#This Row],[Re-certified or New]]&lt;&gt;"Re-certified",IF(OtherClients[[#This Row],[Client]]="infasco",VLOOKUP(OtherClients[[#This Row],[Part]],PartControl!$A$2:$E$564,2,FALSE),OtherClients[[#This Row],[Total Quantity]]*VLOOKUP(OtherClients[[#This Row],[Part]],PartControl!$A$2:$E$564,2,FALSE)),0)</f>
        <v>106.94</v>
      </c>
    </row>
    <row r="2873" spans="1:26" ht="25.15" hidden="1" customHeight="1" x14ac:dyDescent="0.25">
      <c r="A2873" s="112">
        <v>46275.707291666666</v>
      </c>
      <c r="B2873" s="5" t="s">
        <v>243</v>
      </c>
      <c r="C2873" s="5">
        <v>11546377</v>
      </c>
      <c r="D2873" s="5">
        <v>718866</v>
      </c>
      <c r="E2873" s="33">
        <v>2</v>
      </c>
      <c r="F2873" s="60">
        <v>2150</v>
      </c>
      <c r="G2873" s="60">
        <f>+OtherClients[[#This Row],[Boxes / Pieces]]*OtherClients[[#This Row],[Unit Quantity]]</f>
        <v>4300</v>
      </c>
      <c r="H2873" s="60">
        <v>4</v>
      </c>
      <c r="I2873" s="60" t="s">
        <v>278</v>
      </c>
      <c r="J2873" s="104"/>
      <c r="K2873" s="33" t="s">
        <v>278</v>
      </c>
      <c r="L2873" s="111"/>
      <c r="M2873" s="33" t="s">
        <v>278</v>
      </c>
      <c r="N2873" s="111"/>
      <c r="O2873" s="33" t="s">
        <v>278</v>
      </c>
      <c r="P2873" s="111"/>
      <c r="Q2873" s="33" t="s">
        <v>587</v>
      </c>
      <c r="R2873" s="111"/>
      <c r="S2873" s="33" t="s">
        <v>278</v>
      </c>
      <c r="T2873" s="111"/>
      <c r="U2873" s="33" t="s">
        <v>278</v>
      </c>
      <c r="V2873" s="111"/>
      <c r="W2873" s="59" t="s">
        <v>633</v>
      </c>
      <c r="X2873" s="33" t="str">
        <f>+VLOOKUP(OtherClients[[#This Row],[Part]],PartControl!$A$2:$E$564,5,FALSE)</f>
        <v>INFASCO</v>
      </c>
      <c r="Y2873" s="108">
        <f>IF(OtherClients[[#This Row],[Re-certified or New]]&lt;&gt;"Re-certified",IF(OtherClients[[#This Row],[Client]]="infasco",VLOOKUP(OtherClients[[#This Row],[Part]],PartControl!$A$2:$E$564,2,FALSE),OtherClients[[#This Row],[Total Quantity]]*VLOOKUP(OtherClients[[#This Row],[Part]],PartControl!$A$2:$E$564,2,FALSE)),0)</f>
        <v>0</v>
      </c>
      <c r="Z2873" s="108">
        <f>IF(OtherClients[[#This Row],[Re-certified or New]]&lt;&gt;"Re-certified",IF(OtherClients[[#This Row],[Client]]="infasco",VLOOKUP(OtherClients[[#This Row],[Part]],PartControl!$A$2:$E$564,2,FALSE),OtherClients[[#This Row],[Total Quantity]]*VLOOKUP(OtherClients[[#This Row],[Part]],PartControl!$A$2:$E$564,2,FALSE)),0)</f>
        <v>0</v>
      </c>
    </row>
    <row r="2874" spans="1:26" ht="25.15" hidden="1" customHeight="1" x14ac:dyDescent="0.25">
      <c r="A2874" s="112">
        <v>46275.707291666666</v>
      </c>
      <c r="B2874" s="5" t="s">
        <v>623</v>
      </c>
      <c r="C2874" s="5">
        <v>11549170</v>
      </c>
      <c r="D2874" s="5">
        <v>716926</v>
      </c>
      <c r="E2874" s="33">
        <v>36</v>
      </c>
      <c r="F2874" s="60">
        <v>400</v>
      </c>
      <c r="G2874" s="60">
        <f>+OtherClients[[#This Row],[Boxes / Pieces]]*OtherClients[[#This Row],[Unit Quantity]]</f>
        <v>14400</v>
      </c>
      <c r="H2874" s="60">
        <v>4</v>
      </c>
      <c r="I2874" s="60" t="s">
        <v>278</v>
      </c>
      <c r="J2874" s="104"/>
      <c r="K2874" s="33" t="s">
        <v>278</v>
      </c>
      <c r="L2874" s="111"/>
      <c r="M2874" s="33" t="s">
        <v>278</v>
      </c>
      <c r="N2874" s="111"/>
      <c r="O2874" s="33" t="s">
        <v>278</v>
      </c>
      <c r="P2874" s="111"/>
      <c r="Q2874" s="33" t="s">
        <v>587</v>
      </c>
      <c r="R2874" s="111"/>
      <c r="S2874" s="33" t="s">
        <v>278</v>
      </c>
      <c r="T2874" s="111"/>
      <c r="U2874" s="33" t="s">
        <v>278</v>
      </c>
      <c r="V2874" s="111"/>
      <c r="W2874" s="59" t="s">
        <v>548</v>
      </c>
      <c r="X2874" s="33" t="str">
        <f>+VLOOKUP(OtherClients[[#This Row],[Part]],PartControl!$A$2:$E$564,5,FALSE)</f>
        <v>INFASCO</v>
      </c>
      <c r="Y2874" s="108">
        <f>IF(OtherClients[[#This Row],[Re-certified or New]]&lt;&gt;"Re-certified",IF(OtherClients[[#This Row],[Client]]="infasco",VLOOKUP(OtherClients[[#This Row],[Part]],PartControl!$A$2:$E$564,2,FALSE),OtherClients[[#This Row],[Total Quantity]]*VLOOKUP(OtherClients[[#This Row],[Part]],PartControl!$A$2:$E$564,2,FALSE)),0)</f>
        <v>106.94</v>
      </c>
      <c r="Z2874" s="108">
        <f>IF(OtherClients[[#This Row],[Re-certified or New]]&lt;&gt;"Re-certified",IF(OtherClients[[#This Row],[Client]]="infasco",VLOOKUP(OtherClients[[#This Row],[Part]],PartControl!$A$2:$E$564,2,FALSE),OtherClients[[#This Row],[Total Quantity]]*VLOOKUP(OtherClients[[#This Row],[Part]],PartControl!$A$2:$E$564,2,FALSE)),0)</f>
        <v>106.94</v>
      </c>
    </row>
    <row r="2875" spans="1:26" ht="25.15" hidden="1" customHeight="1" x14ac:dyDescent="0.25">
      <c r="A2875" s="112">
        <v>46275.707291666666</v>
      </c>
      <c r="B2875" s="5" t="s">
        <v>623</v>
      </c>
      <c r="C2875" s="5" t="s">
        <v>652</v>
      </c>
      <c r="D2875" s="5">
        <v>718045</v>
      </c>
      <c r="E2875" s="33">
        <v>28</v>
      </c>
      <c r="F2875" s="60">
        <v>1750</v>
      </c>
      <c r="G2875" s="60">
        <f>+OtherClients[[#This Row],[Boxes / Pieces]]*OtherClients[[#This Row],[Unit Quantity]]</f>
        <v>49000</v>
      </c>
      <c r="H2875" s="60">
        <v>4</v>
      </c>
      <c r="I2875" s="60" t="s">
        <v>278</v>
      </c>
      <c r="J2875" s="104"/>
      <c r="K2875" s="33" t="s">
        <v>278</v>
      </c>
      <c r="L2875" s="111"/>
      <c r="M2875" s="33" t="s">
        <v>278</v>
      </c>
      <c r="N2875" s="111"/>
      <c r="O2875" s="33" t="s">
        <v>278</v>
      </c>
      <c r="P2875" s="111"/>
      <c r="Q2875" s="33" t="s">
        <v>587</v>
      </c>
      <c r="R2875" s="111"/>
      <c r="S2875" s="33" t="s">
        <v>278</v>
      </c>
      <c r="T2875" s="111"/>
      <c r="U2875" s="33" t="s">
        <v>278</v>
      </c>
      <c r="V2875" s="111"/>
      <c r="W2875" s="59" t="s">
        <v>633</v>
      </c>
      <c r="X2875" s="33" t="str">
        <f>+VLOOKUP(OtherClients[[#This Row],[Part]],PartControl!$A$2:$E$564,5,FALSE)</f>
        <v>infasco</v>
      </c>
      <c r="Y2875" s="108">
        <f>IF(OtherClients[[#This Row],[Re-certified or New]]&lt;&gt;"Re-certified",IF(OtherClients[[#This Row],[Client]]="infasco",VLOOKUP(OtherClients[[#This Row],[Part]],PartControl!$A$2:$E$564,2,FALSE),OtherClients[[#This Row],[Total Quantity]]*VLOOKUP(OtherClients[[#This Row],[Part]],PartControl!$A$2:$E$564,2,FALSE)),0)</f>
        <v>0</v>
      </c>
      <c r="Z2875" s="108">
        <f>IF(OtherClients[[#This Row],[Re-certified or New]]&lt;&gt;"Re-certified",IF(OtherClients[[#This Row],[Client]]="infasco",VLOOKUP(OtherClients[[#This Row],[Part]],PartControl!$A$2:$E$564,2,FALSE),OtherClients[[#This Row],[Total Quantity]]*VLOOKUP(OtherClients[[#This Row],[Part]],PartControl!$A$2:$E$564,2,FALSE)),0)</f>
        <v>0</v>
      </c>
    </row>
    <row r="2876" spans="1:26" ht="25.15" hidden="1" customHeight="1" x14ac:dyDescent="0.25">
      <c r="A2876" s="112">
        <v>46275.707291666666</v>
      </c>
      <c r="B2876" s="5" t="s">
        <v>624</v>
      </c>
      <c r="C2876" s="5">
        <v>11549170</v>
      </c>
      <c r="D2876" s="5">
        <v>717363</v>
      </c>
      <c r="E2876" s="33">
        <f>36+4-15</f>
        <v>25</v>
      </c>
      <c r="F2876" s="60">
        <v>400</v>
      </c>
      <c r="G2876" s="60">
        <f>+OtherClients[[#This Row],[Boxes / Pieces]]*OtherClients[[#This Row],[Unit Quantity]]</f>
        <v>10000</v>
      </c>
      <c r="H2876" s="60">
        <v>4</v>
      </c>
      <c r="I2876" s="60" t="s">
        <v>278</v>
      </c>
      <c r="J2876" s="104"/>
      <c r="K2876" s="33" t="s">
        <v>278</v>
      </c>
      <c r="L2876" s="111"/>
      <c r="M2876" s="33" t="s">
        <v>278</v>
      </c>
      <c r="N2876" s="111"/>
      <c r="O2876" s="33" t="s">
        <v>278</v>
      </c>
      <c r="P2876" s="111"/>
      <c r="Q2876" s="33" t="s">
        <v>587</v>
      </c>
      <c r="R2876" s="111"/>
      <c r="S2876" s="33" t="s">
        <v>278</v>
      </c>
      <c r="T2876" s="111"/>
      <c r="U2876" s="33" t="s">
        <v>278</v>
      </c>
      <c r="V2876" s="111"/>
      <c r="W2876" s="59" t="s">
        <v>548</v>
      </c>
      <c r="X2876" s="33" t="str">
        <f>+VLOOKUP(OtherClients[[#This Row],[Part]],PartControl!$A$2:$E$564,5,FALSE)</f>
        <v>INFASCO</v>
      </c>
      <c r="Y2876" s="108">
        <f>IF(OtherClients[[#This Row],[Re-certified or New]]&lt;&gt;"Re-certified",IF(OtherClients[[#This Row],[Client]]="infasco",VLOOKUP(OtherClients[[#This Row],[Part]],PartControl!$A$2:$E$564,2,FALSE),OtherClients[[#This Row],[Total Quantity]]*VLOOKUP(OtherClients[[#This Row],[Part]],PartControl!$A$2:$E$564,2,FALSE)),0)</f>
        <v>106.94</v>
      </c>
      <c r="Z2876" s="108">
        <f>IF(OtherClients[[#This Row],[Re-certified or New]]&lt;&gt;"Re-certified",IF(OtherClients[[#This Row],[Client]]="infasco",VLOOKUP(OtherClients[[#This Row],[Part]],PartControl!$A$2:$E$564,2,FALSE),OtherClients[[#This Row],[Total Quantity]]*VLOOKUP(OtherClients[[#This Row],[Part]],PartControl!$A$2:$E$564,2,FALSE)),0)</f>
        <v>106.94</v>
      </c>
    </row>
    <row r="2877" spans="1:26" ht="25.15" hidden="1" customHeight="1" x14ac:dyDescent="0.25">
      <c r="A2877" s="112">
        <v>46275.707291666666</v>
      </c>
      <c r="B2877" s="5" t="s">
        <v>624</v>
      </c>
      <c r="C2877" s="5">
        <v>11549170</v>
      </c>
      <c r="D2877" s="5">
        <v>716927</v>
      </c>
      <c r="E2877" s="33">
        <v>36</v>
      </c>
      <c r="F2877" s="60">
        <v>400</v>
      </c>
      <c r="G2877" s="60">
        <f>+OtherClients[[#This Row],[Boxes / Pieces]]*OtherClients[[#This Row],[Unit Quantity]]</f>
        <v>14400</v>
      </c>
      <c r="H2877" s="60">
        <v>4</v>
      </c>
      <c r="I2877" s="60" t="s">
        <v>278</v>
      </c>
      <c r="J2877" s="104"/>
      <c r="K2877" s="33" t="s">
        <v>278</v>
      </c>
      <c r="L2877" s="111"/>
      <c r="M2877" s="33" t="s">
        <v>278</v>
      </c>
      <c r="N2877" s="111"/>
      <c r="O2877" s="33" t="s">
        <v>278</v>
      </c>
      <c r="P2877" s="111"/>
      <c r="Q2877" s="33" t="s">
        <v>587</v>
      </c>
      <c r="R2877" s="111"/>
      <c r="S2877" s="33" t="s">
        <v>278</v>
      </c>
      <c r="T2877" s="111"/>
      <c r="U2877" s="33" t="s">
        <v>278</v>
      </c>
      <c r="V2877" s="111"/>
      <c r="W2877" s="59" t="s">
        <v>548</v>
      </c>
      <c r="X2877" s="33" t="str">
        <f>+VLOOKUP(OtherClients[[#This Row],[Part]],PartControl!$A$2:$E$564,5,FALSE)</f>
        <v>INFASCO</v>
      </c>
      <c r="Y2877" s="108">
        <f>IF(OtherClients[[#This Row],[Re-certified or New]]&lt;&gt;"Re-certified",IF(OtherClients[[#This Row],[Client]]="infasco",VLOOKUP(OtherClients[[#This Row],[Part]],PartControl!$A$2:$E$564,2,FALSE),OtherClients[[#This Row],[Total Quantity]]*VLOOKUP(OtherClients[[#This Row],[Part]],PartControl!$A$2:$E$564,2,FALSE)),0)</f>
        <v>106.94</v>
      </c>
      <c r="Z2877" s="108">
        <f>IF(OtherClients[[#This Row],[Re-certified or New]]&lt;&gt;"Re-certified",IF(OtherClients[[#This Row],[Client]]="infasco",VLOOKUP(OtherClients[[#This Row],[Part]],PartControl!$A$2:$E$564,2,FALSE),OtherClients[[#This Row],[Total Quantity]]*VLOOKUP(OtherClients[[#This Row],[Part]],PartControl!$A$2:$E$564,2,FALSE)),0)</f>
        <v>106.94</v>
      </c>
    </row>
    <row r="2878" spans="1:26" ht="25.15" hidden="1" customHeight="1" x14ac:dyDescent="0.25">
      <c r="A2878" s="112">
        <v>46275.707291666666</v>
      </c>
      <c r="B2878" s="5" t="s">
        <v>624</v>
      </c>
      <c r="C2878" s="5" t="s">
        <v>703</v>
      </c>
      <c r="D2878" s="5">
        <v>717500</v>
      </c>
      <c r="E2878" s="33">
        <v>36</v>
      </c>
      <c r="F2878" s="60">
        <v>700</v>
      </c>
      <c r="G2878" s="60">
        <f>+OtherClients[[#This Row],[Boxes / Pieces]]*OtherClients[[#This Row],[Unit Quantity]]</f>
        <v>25200</v>
      </c>
      <c r="H2878" s="60">
        <v>4</v>
      </c>
      <c r="I2878" s="60" t="s">
        <v>278</v>
      </c>
      <c r="J2878" s="104"/>
      <c r="K2878" s="33" t="s">
        <v>278</v>
      </c>
      <c r="L2878" s="111"/>
      <c r="M2878" s="33" t="s">
        <v>278</v>
      </c>
      <c r="N2878" s="111"/>
      <c r="O2878" s="33" t="s">
        <v>278</v>
      </c>
      <c r="P2878" s="111"/>
      <c r="Q2878" s="33" t="s">
        <v>587</v>
      </c>
      <c r="R2878" s="111"/>
      <c r="S2878" s="33" t="s">
        <v>278</v>
      </c>
      <c r="T2878" s="111"/>
      <c r="U2878" s="33" t="s">
        <v>278</v>
      </c>
      <c r="V2878" s="111"/>
      <c r="W2878" s="59" t="s">
        <v>548</v>
      </c>
      <c r="X2878" s="33" t="str">
        <f>+VLOOKUP(OtherClients[[#This Row],[Part]],PartControl!$A$2:$E$564,5,FALSE)</f>
        <v>infasco</v>
      </c>
      <c r="Y2878" s="108">
        <f>IF(OtherClients[[#This Row],[Re-certified or New]]&lt;&gt;"Re-certified",IF(OtherClients[[#This Row],[Client]]="infasco",VLOOKUP(OtherClients[[#This Row],[Part]],PartControl!$A$2:$E$564,2,FALSE),OtherClients[[#This Row],[Total Quantity]]*VLOOKUP(OtherClients[[#This Row],[Part]],PartControl!$A$2:$E$564,2,FALSE)),0)</f>
        <v>106.94</v>
      </c>
      <c r="Z2878" s="108">
        <f>IF(OtherClients[[#This Row],[Re-certified or New]]&lt;&gt;"Re-certified",IF(OtherClients[[#This Row],[Client]]="infasco",VLOOKUP(OtherClients[[#This Row],[Part]],PartControl!$A$2:$E$564,2,FALSE),OtherClients[[#This Row],[Total Quantity]]*VLOOKUP(OtherClients[[#This Row],[Part]],PartControl!$A$2:$E$564,2,FALSE)),0)</f>
        <v>106.94</v>
      </c>
    </row>
    <row r="2879" spans="1:26" ht="25.15" hidden="1" customHeight="1" x14ac:dyDescent="0.25">
      <c r="A2879" s="112">
        <v>46275.707291666666</v>
      </c>
      <c r="B2879" s="5" t="s">
        <v>624</v>
      </c>
      <c r="C2879" s="5" t="s">
        <v>703</v>
      </c>
      <c r="D2879" s="5">
        <v>718074</v>
      </c>
      <c r="E2879" s="33">
        <v>36</v>
      </c>
      <c r="F2879" s="60">
        <v>700</v>
      </c>
      <c r="G2879" s="60">
        <f>+OtherClients[[#This Row],[Boxes / Pieces]]*OtherClients[[#This Row],[Unit Quantity]]</f>
        <v>25200</v>
      </c>
      <c r="H2879" s="60">
        <v>4</v>
      </c>
      <c r="I2879" s="60" t="s">
        <v>278</v>
      </c>
      <c r="J2879" s="104"/>
      <c r="K2879" s="33" t="s">
        <v>278</v>
      </c>
      <c r="L2879" s="111"/>
      <c r="M2879" s="33" t="s">
        <v>278</v>
      </c>
      <c r="N2879" s="111"/>
      <c r="O2879" s="33" t="s">
        <v>278</v>
      </c>
      <c r="P2879" s="111"/>
      <c r="Q2879" s="33" t="s">
        <v>587</v>
      </c>
      <c r="R2879" s="111"/>
      <c r="S2879" s="33" t="s">
        <v>278</v>
      </c>
      <c r="T2879" s="111"/>
      <c r="U2879" s="33" t="s">
        <v>278</v>
      </c>
      <c r="V2879" s="111"/>
      <c r="W2879" s="59" t="s">
        <v>548</v>
      </c>
      <c r="X2879" s="33" t="str">
        <f>+VLOOKUP(OtherClients[[#This Row],[Part]],PartControl!$A$2:$E$564,5,FALSE)</f>
        <v>infasco</v>
      </c>
      <c r="Y2879" s="108">
        <f>IF(OtherClients[[#This Row],[Re-certified or New]]&lt;&gt;"Re-certified",IF(OtherClients[[#This Row],[Client]]="infasco",VLOOKUP(OtherClients[[#This Row],[Part]],PartControl!$A$2:$E$564,2,FALSE),OtherClients[[#This Row],[Total Quantity]]*VLOOKUP(OtherClients[[#This Row],[Part]],PartControl!$A$2:$E$564,2,FALSE)),0)</f>
        <v>106.94</v>
      </c>
      <c r="Z2879" s="108">
        <f>IF(OtherClients[[#This Row],[Re-certified or New]]&lt;&gt;"Re-certified",IF(OtherClients[[#This Row],[Client]]="infasco",VLOOKUP(OtherClients[[#This Row],[Part]],PartControl!$A$2:$E$564,2,FALSE),OtherClients[[#This Row],[Total Quantity]]*VLOOKUP(OtherClients[[#This Row],[Part]],PartControl!$A$2:$E$564,2,FALSE)),0)</f>
        <v>106.94</v>
      </c>
    </row>
    <row r="2880" spans="1:26" ht="25.15" hidden="1" customHeight="1" x14ac:dyDescent="0.25">
      <c r="A2880" s="112">
        <v>46275.707291666666</v>
      </c>
      <c r="B2880" s="5" t="s">
        <v>245</v>
      </c>
      <c r="C2880" s="5" t="s">
        <v>728</v>
      </c>
      <c r="D2880" s="5">
        <v>718014</v>
      </c>
      <c r="E2880" s="33">
        <f>36+20-27</f>
        <v>29</v>
      </c>
      <c r="F2880" s="60">
        <v>1500</v>
      </c>
      <c r="G2880" s="60">
        <f>+OtherClients[[#This Row],[Boxes / Pieces]]*OtherClients[[#This Row],[Unit Quantity]]</f>
        <v>43500</v>
      </c>
      <c r="H2880" s="60">
        <v>4</v>
      </c>
      <c r="I2880" s="60" t="s">
        <v>278</v>
      </c>
      <c r="J2880" s="104"/>
      <c r="K2880" s="33" t="s">
        <v>278</v>
      </c>
      <c r="L2880" s="111"/>
      <c r="M2880" s="33" t="s">
        <v>278</v>
      </c>
      <c r="N2880" s="111"/>
      <c r="O2880" s="33" t="s">
        <v>278</v>
      </c>
      <c r="P2880" s="111"/>
      <c r="Q2880" s="33" t="s">
        <v>587</v>
      </c>
      <c r="R2880" s="111"/>
      <c r="S2880" s="33" t="s">
        <v>278</v>
      </c>
      <c r="T2880" s="111"/>
      <c r="U2880" s="33" t="s">
        <v>278</v>
      </c>
      <c r="V2880" s="111"/>
      <c r="W2880" s="59" t="s">
        <v>548</v>
      </c>
      <c r="X2880" s="33" t="str">
        <f>+VLOOKUP(OtherClients[[#This Row],[Part]],PartControl!$A$2:$E$564,5,FALSE)</f>
        <v>infasco</v>
      </c>
      <c r="Y2880" s="108">
        <f>IF(OtherClients[[#This Row],[Re-certified or New]]&lt;&gt;"Re-certified",IF(OtherClients[[#This Row],[Client]]="infasco",VLOOKUP(OtherClients[[#This Row],[Part]],PartControl!$A$2:$E$564,2,FALSE),OtherClients[[#This Row],[Total Quantity]]*VLOOKUP(OtherClients[[#This Row],[Part]],PartControl!$A$2:$E$564,2,FALSE)),0)</f>
        <v>106.94</v>
      </c>
      <c r="Z2880" s="108">
        <f>IF(OtherClients[[#This Row],[Re-certified or New]]&lt;&gt;"Re-certified",IF(OtherClients[[#This Row],[Client]]="infasco",VLOOKUP(OtherClients[[#This Row],[Part]],PartControl!$A$2:$E$564,2,FALSE),OtherClients[[#This Row],[Total Quantity]]*VLOOKUP(OtherClients[[#This Row],[Part]],PartControl!$A$2:$E$564,2,FALSE)),0)</f>
        <v>106.94</v>
      </c>
    </row>
    <row r="2881" spans="1:26" ht="25.15" hidden="1" customHeight="1" x14ac:dyDescent="0.25">
      <c r="A2881" s="112">
        <v>46275.707291666666</v>
      </c>
      <c r="B2881" s="5" t="s">
        <v>245</v>
      </c>
      <c r="C2881" s="5" t="s">
        <v>728</v>
      </c>
      <c r="D2881" s="5">
        <v>718016</v>
      </c>
      <c r="E2881" s="33">
        <v>24</v>
      </c>
      <c r="F2881" s="60">
        <v>1500</v>
      </c>
      <c r="G2881" s="60">
        <f>+OtherClients[[#This Row],[Boxes / Pieces]]*OtherClients[[#This Row],[Unit Quantity]]</f>
        <v>36000</v>
      </c>
      <c r="H2881" s="60">
        <v>4</v>
      </c>
      <c r="I2881" s="60" t="s">
        <v>278</v>
      </c>
      <c r="J2881" s="104"/>
      <c r="K2881" s="33" t="s">
        <v>278</v>
      </c>
      <c r="L2881" s="111"/>
      <c r="M2881" s="33" t="s">
        <v>278</v>
      </c>
      <c r="N2881" s="111"/>
      <c r="O2881" s="33" t="s">
        <v>278</v>
      </c>
      <c r="P2881" s="111"/>
      <c r="Q2881" s="33" t="s">
        <v>587</v>
      </c>
      <c r="R2881" s="111"/>
      <c r="S2881" s="33" t="s">
        <v>278</v>
      </c>
      <c r="T2881" s="111"/>
      <c r="U2881" s="33" t="s">
        <v>278</v>
      </c>
      <c r="V2881" s="111"/>
      <c r="W2881" s="59" t="s">
        <v>633</v>
      </c>
      <c r="X2881" s="33" t="str">
        <f>+VLOOKUP(OtherClients[[#This Row],[Part]],PartControl!$A$2:$E$564,5,FALSE)</f>
        <v>infasco</v>
      </c>
      <c r="Y2881" s="108">
        <f>IF(OtherClients[[#This Row],[Re-certified or New]]&lt;&gt;"Re-certified",IF(OtherClients[[#This Row],[Client]]="infasco",VLOOKUP(OtherClients[[#This Row],[Part]],PartControl!$A$2:$E$564,2,FALSE),OtherClients[[#This Row],[Total Quantity]]*VLOOKUP(OtherClients[[#This Row],[Part]],PartControl!$A$2:$E$564,2,FALSE)),0)</f>
        <v>0</v>
      </c>
      <c r="Z2881" s="108">
        <f>IF(OtherClients[[#This Row],[Re-certified or New]]&lt;&gt;"Re-certified",IF(OtherClients[[#This Row],[Client]]="infasco",VLOOKUP(OtherClients[[#This Row],[Part]],PartControl!$A$2:$E$564,2,FALSE),OtherClients[[#This Row],[Total Quantity]]*VLOOKUP(OtherClients[[#This Row],[Part]],PartControl!$A$2:$E$564,2,FALSE)),0)</f>
        <v>0</v>
      </c>
    </row>
    <row r="2882" spans="1:26" ht="25.15" hidden="1" customHeight="1" x14ac:dyDescent="0.25">
      <c r="A2882" s="112">
        <v>46275.707291666666</v>
      </c>
      <c r="B2882" s="5" t="s">
        <v>251</v>
      </c>
      <c r="C2882" s="5">
        <v>11549168</v>
      </c>
      <c r="D2882" s="5">
        <v>717370</v>
      </c>
      <c r="E2882" s="33">
        <v>12</v>
      </c>
      <c r="F2882" s="60">
        <v>1000</v>
      </c>
      <c r="G2882" s="60">
        <f>+OtherClients[[#This Row],[Boxes / Pieces]]*OtherClients[[#This Row],[Unit Quantity]]</f>
        <v>12000</v>
      </c>
      <c r="H2882" s="60">
        <v>4</v>
      </c>
      <c r="I2882" s="60" t="s">
        <v>278</v>
      </c>
      <c r="J2882" s="104"/>
      <c r="K2882" s="33" t="s">
        <v>278</v>
      </c>
      <c r="L2882" s="111"/>
      <c r="M2882" s="33" t="s">
        <v>278</v>
      </c>
      <c r="N2882" s="111"/>
      <c r="O2882" s="33" t="s">
        <v>278</v>
      </c>
      <c r="P2882" s="111"/>
      <c r="Q2882" s="33" t="s">
        <v>587</v>
      </c>
      <c r="R2882" s="111"/>
      <c r="S2882" s="33" t="s">
        <v>278</v>
      </c>
      <c r="T2882" s="111"/>
      <c r="U2882" s="33" t="s">
        <v>278</v>
      </c>
      <c r="V2882" s="111"/>
      <c r="W2882" s="59" t="s">
        <v>548</v>
      </c>
      <c r="X2882" s="33" t="str">
        <f>+VLOOKUP(OtherClients[[#This Row],[Part]],PartControl!$A$2:$E$564,5,FALSE)</f>
        <v>INFASCO</v>
      </c>
      <c r="Y2882" s="108">
        <f>IF(OtherClients[[#This Row],[Re-certified or New]]&lt;&gt;"Re-certified",IF(OtherClients[[#This Row],[Client]]="infasco",VLOOKUP(OtherClients[[#This Row],[Part]],PartControl!$A$2:$E$564,2,FALSE),OtherClients[[#This Row],[Total Quantity]]*VLOOKUP(OtherClients[[#This Row],[Part]],PartControl!$A$2:$E$564,2,FALSE)),0)</f>
        <v>106.94</v>
      </c>
      <c r="Z2882" s="108">
        <f>IF(OtherClients[[#This Row],[Re-certified or New]]&lt;&gt;"Re-certified",IF(OtherClients[[#This Row],[Client]]="infasco",VLOOKUP(OtherClients[[#This Row],[Part]],PartControl!$A$2:$E$564,2,FALSE),OtherClients[[#This Row],[Total Quantity]]*VLOOKUP(OtherClients[[#This Row],[Part]],PartControl!$A$2:$E$564,2,FALSE)),0)</f>
        <v>106.94</v>
      </c>
    </row>
    <row r="2883" spans="1:26" ht="25.15" hidden="1" customHeight="1" x14ac:dyDescent="0.25">
      <c r="A2883" s="112">
        <v>46275.707291666666</v>
      </c>
      <c r="B2883" s="5" t="s">
        <v>251</v>
      </c>
      <c r="C2883" s="5">
        <v>11549168</v>
      </c>
      <c r="D2883" s="5">
        <v>717375</v>
      </c>
      <c r="E2883" s="33">
        <v>24</v>
      </c>
      <c r="F2883" s="60">
        <v>1000</v>
      </c>
      <c r="G2883" s="60">
        <f>+OtherClients[[#This Row],[Boxes / Pieces]]*OtherClients[[#This Row],[Unit Quantity]]</f>
        <v>24000</v>
      </c>
      <c r="H2883" s="60">
        <v>4</v>
      </c>
      <c r="I2883" s="60" t="s">
        <v>278</v>
      </c>
      <c r="J2883" s="104"/>
      <c r="K2883" s="33" t="s">
        <v>278</v>
      </c>
      <c r="L2883" s="111"/>
      <c r="M2883" s="33" t="s">
        <v>278</v>
      </c>
      <c r="N2883" s="111"/>
      <c r="O2883" s="33" t="s">
        <v>278</v>
      </c>
      <c r="P2883" s="111"/>
      <c r="Q2883" s="33" t="s">
        <v>587</v>
      </c>
      <c r="R2883" s="111"/>
      <c r="S2883" s="33" t="s">
        <v>278</v>
      </c>
      <c r="T2883" s="111"/>
      <c r="U2883" s="33" t="s">
        <v>278</v>
      </c>
      <c r="V2883" s="111"/>
      <c r="W2883" s="59" t="s">
        <v>633</v>
      </c>
      <c r="X2883" s="33" t="str">
        <f>+VLOOKUP(OtherClients[[#This Row],[Part]],PartControl!$A$2:$E$564,5,FALSE)</f>
        <v>INFASCO</v>
      </c>
      <c r="Y2883" s="108">
        <f>IF(OtherClients[[#This Row],[Re-certified or New]]&lt;&gt;"Re-certified",IF(OtherClients[[#This Row],[Client]]="infasco",VLOOKUP(OtherClients[[#This Row],[Part]],PartControl!$A$2:$E$564,2,FALSE),OtherClients[[#This Row],[Total Quantity]]*VLOOKUP(OtherClients[[#This Row],[Part]],PartControl!$A$2:$E$564,2,FALSE)),0)</f>
        <v>0</v>
      </c>
      <c r="Z2883" s="108">
        <f>IF(OtherClients[[#This Row],[Re-certified or New]]&lt;&gt;"Re-certified",IF(OtherClients[[#This Row],[Client]]="infasco",VLOOKUP(OtherClients[[#This Row],[Part]],PartControl!$A$2:$E$564,2,FALSE),OtherClients[[#This Row],[Total Quantity]]*VLOOKUP(OtherClients[[#This Row],[Part]],PartControl!$A$2:$E$564,2,FALSE)),0)</f>
        <v>0</v>
      </c>
    </row>
    <row r="2884" spans="1:26" ht="25.15" hidden="1" customHeight="1" x14ac:dyDescent="0.25">
      <c r="A2884" s="112">
        <v>46275.707291666666</v>
      </c>
      <c r="B2884" s="5" t="s">
        <v>244</v>
      </c>
      <c r="C2884" s="5" t="s">
        <v>845</v>
      </c>
      <c r="D2884" s="5">
        <v>717431</v>
      </c>
      <c r="E2884" s="33">
        <f>36+5-10</f>
        <v>31</v>
      </c>
      <c r="F2884" s="60">
        <v>1000</v>
      </c>
      <c r="G2884" s="60">
        <f>+OtherClients[[#This Row],[Boxes / Pieces]]*OtherClients[[#This Row],[Unit Quantity]]</f>
        <v>31000</v>
      </c>
      <c r="H2884" s="60">
        <v>4</v>
      </c>
      <c r="I2884" s="60" t="s">
        <v>278</v>
      </c>
      <c r="J2884" s="104"/>
      <c r="K2884" s="33" t="s">
        <v>278</v>
      </c>
      <c r="L2884" s="111"/>
      <c r="M2884" s="33" t="s">
        <v>278</v>
      </c>
      <c r="N2884" s="111"/>
      <c r="O2884" s="33" t="s">
        <v>278</v>
      </c>
      <c r="P2884" s="111"/>
      <c r="Q2884" s="33" t="s">
        <v>587</v>
      </c>
      <c r="R2884" s="111"/>
      <c r="S2884" s="33" t="s">
        <v>278</v>
      </c>
      <c r="T2884" s="111"/>
      <c r="U2884" s="33" t="s">
        <v>278</v>
      </c>
      <c r="V2884" s="111"/>
      <c r="W2884" s="59" t="s">
        <v>548</v>
      </c>
      <c r="X2884" s="33" t="str">
        <f>+VLOOKUP(OtherClients[[#This Row],[Part]],PartControl!$A$2:$E$564,5,FALSE)</f>
        <v>infasco</v>
      </c>
      <c r="Y2884" s="108">
        <f>IF(OtherClients[[#This Row],[Re-certified or New]]&lt;&gt;"Re-certified",IF(OtherClients[[#This Row],[Client]]="infasco",VLOOKUP(OtherClients[[#This Row],[Part]],PartControl!$A$2:$E$564,2,FALSE),OtherClients[[#This Row],[Total Quantity]]*VLOOKUP(OtherClients[[#This Row],[Part]],PartControl!$A$2:$E$564,2,FALSE)),0)</f>
        <v>106.94</v>
      </c>
      <c r="Z2884" s="108">
        <f>IF(OtherClients[[#This Row],[Re-certified or New]]&lt;&gt;"Re-certified",IF(OtherClients[[#This Row],[Client]]="infasco",VLOOKUP(OtherClients[[#This Row],[Part]],PartControl!$A$2:$E$564,2,FALSE),OtherClients[[#This Row],[Total Quantity]]*VLOOKUP(OtherClients[[#This Row],[Part]],PartControl!$A$2:$E$564,2,FALSE)),0)</f>
        <v>106.94</v>
      </c>
    </row>
    <row r="2885" spans="1:26" ht="25.15" hidden="1" customHeight="1" x14ac:dyDescent="0.25">
      <c r="A2885" s="112">
        <v>46275.707291666666</v>
      </c>
      <c r="B2885" s="5" t="s">
        <v>244</v>
      </c>
      <c r="C2885" s="5">
        <v>11546377</v>
      </c>
      <c r="D2885" s="5">
        <v>718865</v>
      </c>
      <c r="E2885" s="33">
        <v>2</v>
      </c>
      <c r="F2885" s="60">
        <v>2150</v>
      </c>
      <c r="G2885" s="60">
        <f>+OtherClients[[#This Row],[Boxes / Pieces]]*OtherClients[[#This Row],[Unit Quantity]]</f>
        <v>4300</v>
      </c>
      <c r="H2885" s="60">
        <v>4</v>
      </c>
      <c r="I2885" s="60" t="s">
        <v>278</v>
      </c>
      <c r="J2885" s="104"/>
      <c r="K2885" s="33" t="s">
        <v>278</v>
      </c>
      <c r="L2885" s="111"/>
      <c r="M2885" s="33" t="s">
        <v>278</v>
      </c>
      <c r="N2885" s="111"/>
      <c r="O2885" s="33" t="s">
        <v>278</v>
      </c>
      <c r="P2885" s="111"/>
      <c r="Q2885" s="33" t="s">
        <v>587</v>
      </c>
      <c r="R2885" s="111"/>
      <c r="S2885" s="33" t="s">
        <v>278</v>
      </c>
      <c r="T2885" s="111"/>
      <c r="U2885" s="33" t="s">
        <v>278</v>
      </c>
      <c r="V2885" s="111"/>
      <c r="W2885" s="59" t="s">
        <v>633</v>
      </c>
      <c r="X2885" s="33" t="str">
        <f>+VLOOKUP(OtherClients[[#This Row],[Part]],PartControl!$A$2:$E$564,5,FALSE)</f>
        <v>INFASCO</v>
      </c>
      <c r="Y2885" s="108">
        <f>IF(OtherClients[[#This Row],[Re-certified or New]]&lt;&gt;"Re-certified",IF(OtherClients[[#This Row],[Client]]="infasco",VLOOKUP(OtherClients[[#This Row],[Part]],PartControl!$A$2:$E$564,2,FALSE),OtherClients[[#This Row],[Total Quantity]]*VLOOKUP(OtherClients[[#This Row],[Part]],PartControl!$A$2:$E$564,2,FALSE)),0)</f>
        <v>0</v>
      </c>
      <c r="Z2885" s="108">
        <f>IF(OtherClients[[#This Row],[Re-certified or New]]&lt;&gt;"Re-certified",IF(OtherClients[[#This Row],[Client]]="infasco",VLOOKUP(OtherClients[[#This Row],[Part]],PartControl!$A$2:$E$564,2,FALSE),OtherClients[[#This Row],[Total Quantity]]*VLOOKUP(OtherClients[[#This Row],[Part]],PartControl!$A$2:$E$564,2,FALSE)),0)</f>
        <v>0</v>
      </c>
    </row>
    <row r="2886" spans="1:26" ht="25.15" hidden="1" customHeight="1" x14ac:dyDescent="0.25">
      <c r="A2886" s="112">
        <v>46275.707291666666</v>
      </c>
      <c r="B2886" s="5" t="s">
        <v>634</v>
      </c>
      <c r="C2886" s="5">
        <v>11561645</v>
      </c>
      <c r="D2886" s="5">
        <v>718060</v>
      </c>
      <c r="E2886" s="33">
        <v>19</v>
      </c>
      <c r="F2886" s="60">
        <v>4000</v>
      </c>
      <c r="G2886" s="60">
        <f>+OtherClients[[#This Row],[Boxes / Pieces]]*OtherClients[[#This Row],[Unit Quantity]]</f>
        <v>76000</v>
      </c>
      <c r="H2886" s="60">
        <v>280</v>
      </c>
      <c r="I2886" s="60" t="s">
        <v>278</v>
      </c>
      <c r="J2886" s="104"/>
      <c r="K2886" s="33" t="s">
        <v>278</v>
      </c>
      <c r="L2886" s="111"/>
      <c r="M2886" s="33" t="s">
        <v>278</v>
      </c>
      <c r="N2886" s="111"/>
      <c r="O2886" s="33" t="s">
        <v>278</v>
      </c>
      <c r="P2886" s="111"/>
      <c r="Q2886" s="33" t="s">
        <v>587</v>
      </c>
      <c r="R2886" s="111"/>
      <c r="S2886" s="33" t="s">
        <v>278</v>
      </c>
      <c r="T2886" s="111"/>
      <c r="U2886" s="33" t="s">
        <v>278</v>
      </c>
      <c r="V2886" s="111"/>
      <c r="W2886" s="59" t="s">
        <v>548</v>
      </c>
      <c r="X2886" s="33" t="str">
        <f>+VLOOKUP(OtherClients[[#This Row],[Part]],PartControl!$A$2:$E$564,5,FALSE)</f>
        <v>infasco</v>
      </c>
      <c r="Y2886" s="108">
        <f>IF(OtherClients[[#This Row],[Re-certified or New]]&lt;&gt;"Re-certified",IF(OtherClients[[#This Row],[Client]]="infasco",VLOOKUP(OtherClients[[#This Row],[Part]],PartControl!$A$2:$E$564,2,FALSE),OtherClients[[#This Row],[Total Quantity]]*VLOOKUP(OtherClients[[#This Row],[Part]],PartControl!$A$2:$E$564,2,FALSE)),0)</f>
        <v>106.94</v>
      </c>
      <c r="Z2886" s="108">
        <f>IF(OtherClients[[#This Row],[Re-certified or New]]&lt;&gt;"Re-certified",IF(OtherClients[[#This Row],[Client]]="infasco",VLOOKUP(OtherClients[[#This Row],[Part]],PartControl!$A$2:$E$564,2,FALSE),OtherClients[[#This Row],[Total Quantity]]*VLOOKUP(OtherClients[[#This Row],[Part]],PartControl!$A$2:$E$564,2,FALSE)),0)</f>
        <v>106.94</v>
      </c>
    </row>
    <row r="2887" spans="1:26" ht="25.15" hidden="1" customHeight="1" x14ac:dyDescent="0.25">
      <c r="A2887" s="112">
        <v>46275.707291666666</v>
      </c>
      <c r="B2887" s="5" t="s">
        <v>634</v>
      </c>
      <c r="C2887" s="5">
        <v>11561645</v>
      </c>
      <c r="D2887" s="5">
        <v>718058</v>
      </c>
      <c r="E2887" s="33">
        <v>6</v>
      </c>
      <c r="F2887" s="60">
        <v>4000</v>
      </c>
      <c r="G2887" s="60">
        <f>+OtherClients[[#This Row],[Boxes / Pieces]]*OtherClients[[#This Row],[Unit Quantity]]</f>
        <v>24000</v>
      </c>
      <c r="H2887" s="60">
        <v>280</v>
      </c>
      <c r="I2887" s="60" t="s">
        <v>278</v>
      </c>
      <c r="J2887" s="104"/>
      <c r="K2887" s="33" t="s">
        <v>278</v>
      </c>
      <c r="L2887" s="111"/>
      <c r="M2887" s="33" t="s">
        <v>278</v>
      </c>
      <c r="N2887" s="111"/>
      <c r="O2887" s="33" t="s">
        <v>278</v>
      </c>
      <c r="P2887" s="111"/>
      <c r="Q2887" s="33" t="s">
        <v>587</v>
      </c>
      <c r="R2887" s="111"/>
      <c r="S2887" s="33" t="s">
        <v>278</v>
      </c>
      <c r="T2887" s="111"/>
      <c r="U2887" s="33" t="s">
        <v>278</v>
      </c>
      <c r="V2887" s="111"/>
      <c r="W2887" s="59" t="s">
        <v>633</v>
      </c>
      <c r="X2887" s="33" t="str">
        <f>+VLOOKUP(OtherClients[[#This Row],[Part]],PartControl!$A$2:$E$564,5,FALSE)</f>
        <v>infasco</v>
      </c>
      <c r="Y2887" s="108">
        <f>IF(OtherClients[[#This Row],[Re-certified or New]]&lt;&gt;"Re-certified",IF(OtherClients[[#This Row],[Client]]="infasco",VLOOKUP(OtherClients[[#This Row],[Part]],PartControl!$A$2:$E$564,2,FALSE),OtherClients[[#This Row],[Total Quantity]]*VLOOKUP(OtherClients[[#This Row],[Part]],PartControl!$A$2:$E$564,2,FALSE)),0)</f>
        <v>0</v>
      </c>
      <c r="Z2887" s="108">
        <f>IF(OtherClients[[#This Row],[Re-certified or New]]&lt;&gt;"Re-certified",IF(OtherClients[[#This Row],[Client]]="infasco",VLOOKUP(OtherClients[[#This Row],[Part]],PartControl!$A$2:$E$564,2,FALSE),OtherClients[[#This Row],[Total Quantity]]*VLOOKUP(OtherClients[[#This Row],[Part]],PartControl!$A$2:$E$564,2,FALSE)),0)</f>
        <v>0</v>
      </c>
    </row>
    <row r="2888" spans="1:26" ht="25.15" hidden="1" customHeight="1" x14ac:dyDescent="0.25">
      <c r="A2888" s="112">
        <v>46275.707291666666</v>
      </c>
      <c r="B2888" s="5" t="s">
        <v>635</v>
      </c>
      <c r="C2888" s="5" t="s">
        <v>848</v>
      </c>
      <c r="D2888" s="5">
        <v>717765</v>
      </c>
      <c r="E2888" s="33">
        <f>36+2-19-15</f>
        <v>4</v>
      </c>
      <c r="F2888" s="60">
        <v>3200</v>
      </c>
      <c r="G2888" s="60">
        <f>+OtherClients[[#This Row],[Boxes / Pieces]]*OtherClients[[#This Row],[Unit Quantity]]</f>
        <v>12800</v>
      </c>
      <c r="H2888" s="60">
        <v>280</v>
      </c>
      <c r="I2888" s="60" t="s">
        <v>278</v>
      </c>
      <c r="J2888" s="104"/>
      <c r="K2888" s="33" t="s">
        <v>278</v>
      </c>
      <c r="L2888" s="111"/>
      <c r="M2888" s="33" t="s">
        <v>278</v>
      </c>
      <c r="N2888" s="111"/>
      <c r="O2888" s="33" t="s">
        <v>278</v>
      </c>
      <c r="P2888" s="111"/>
      <c r="Q2888" s="33" t="s">
        <v>587</v>
      </c>
      <c r="R2888" s="111"/>
      <c r="S2888" s="33" t="s">
        <v>278</v>
      </c>
      <c r="T2888" s="111"/>
      <c r="U2888" s="33" t="s">
        <v>278</v>
      </c>
      <c r="V2888" s="111"/>
      <c r="W2888" s="59" t="s">
        <v>548</v>
      </c>
      <c r="X2888" s="33" t="str">
        <f>+VLOOKUP(OtherClients[[#This Row],[Part]],PartControl!$A$2:$E$564,5,FALSE)</f>
        <v>infasco</v>
      </c>
      <c r="Y2888" s="108">
        <f>IF(OtherClients[[#This Row],[Re-certified or New]]&lt;&gt;"Re-certified",IF(OtherClients[[#This Row],[Client]]="infasco",VLOOKUP(OtherClients[[#This Row],[Part]],PartControl!$A$2:$E$564,2,FALSE),OtherClients[[#This Row],[Total Quantity]]*VLOOKUP(OtherClients[[#This Row],[Part]],PartControl!$A$2:$E$564,2,FALSE)),0)</f>
        <v>106.94</v>
      </c>
      <c r="Z2888" s="108">
        <f>IF(OtherClients[[#This Row],[Re-certified or New]]&lt;&gt;"Re-certified",IF(OtherClients[[#This Row],[Client]]="infasco",VLOOKUP(OtherClients[[#This Row],[Part]],PartControl!$A$2:$E$564,2,FALSE),OtherClients[[#This Row],[Total Quantity]]*VLOOKUP(OtherClients[[#This Row],[Part]],PartControl!$A$2:$E$564,2,FALSE)),0)</f>
        <v>106.94</v>
      </c>
    </row>
    <row r="2889" spans="1:26" ht="25.15" hidden="1" customHeight="1" x14ac:dyDescent="0.25">
      <c r="A2889" s="112">
        <v>46275.707291666666</v>
      </c>
      <c r="B2889" s="5" t="s">
        <v>635</v>
      </c>
      <c r="C2889" s="5">
        <v>11561645</v>
      </c>
      <c r="D2889" s="5">
        <v>718057</v>
      </c>
      <c r="E2889" s="33">
        <v>22</v>
      </c>
      <c r="F2889" s="60">
        <v>4000</v>
      </c>
      <c r="G2889" s="60">
        <f>+OtherClients[[#This Row],[Boxes / Pieces]]*OtherClients[[#This Row],[Unit Quantity]]</f>
        <v>88000</v>
      </c>
      <c r="H2889" s="60">
        <v>280</v>
      </c>
      <c r="I2889" s="60" t="s">
        <v>278</v>
      </c>
      <c r="J2889" s="104"/>
      <c r="K2889" s="33" t="s">
        <v>278</v>
      </c>
      <c r="L2889" s="111"/>
      <c r="M2889" s="33" t="s">
        <v>278</v>
      </c>
      <c r="N2889" s="111"/>
      <c r="O2889" s="33" t="s">
        <v>278</v>
      </c>
      <c r="P2889" s="111"/>
      <c r="Q2889" s="33" t="s">
        <v>587</v>
      </c>
      <c r="R2889" s="111"/>
      <c r="S2889" s="33" t="s">
        <v>278</v>
      </c>
      <c r="T2889" s="111"/>
      <c r="U2889" s="33" t="s">
        <v>278</v>
      </c>
      <c r="V2889" s="111"/>
      <c r="W2889" s="59" t="s">
        <v>633</v>
      </c>
      <c r="X2889" s="33" t="str">
        <f>+VLOOKUP(OtherClients[[#This Row],[Part]],PartControl!$A$2:$E$564,5,FALSE)</f>
        <v>infasco</v>
      </c>
      <c r="Y2889" s="108">
        <f>IF(OtherClients[[#This Row],[Re-certified or New]]&lt;&gt;"Re-certified",IF(OtherClients[[#This Row],[Client]]="infasco",VLOOKUP(OtherClients[[#This Row],[Part]],PartControl!$A$2:$E$564,2,FALSE),OtherClients[[#This Row],[Total Quantity]]*VLOOKUP(OtherClients[[#This Row],[Part]],PartControl!$A$2:$E$564,2,FALSE)),0)</f>
        <v>0</v>
      </c>
      <c r="Z2889" s="108">
        <f>IF(OtherClients[[#This Row],[Re-certified or New]]&lt;&gt;"Re-certified",IF(OtherClients[[#This Row],[Client]]="infasco",VLOOKUP(OtherClients[[#This Row],[Part]],PartControl!$A$2:$E$564,2,FALSE),OtherClients[[#This Row],[Total Quantity]]*VLOOKUP(OtherClients[[#This Row],[Part]],PartControl!$A$2:$E$564,2,FALSE)),0)</f>
        <v>0</v>
      </c>
    </row>
    <row r="2890" spans="1:26" ht="25.15" hidden="1" customHeight="1" x14ac:dyDescent="0.25">
      <c r="A2890" s="112">
        <v>46275.707291666666</v>
      </c>
      <c r="B2890" s="5" t="s">
        <v>834</v>
      </c>
      <c r="C2890" s="5" t="s">
        <v>814</v>
      </c>
      <c r="D2890" s="5">
        <v>717286</v>
      </c>
      <c r="E2890" s="33">
        <v>27</v>
      </c>
      <c r="F2890" s="60">
        <v>2500</v>
      </c>
      <c r="G2890" s="60">
        <f>+OtherClients[[#This Row],[Boxes / Pieces]]*OtherClients[[#This Row],[Unit Quantity]]</f>
        <v>67500</v>
      </c>
      <c r="H2890" s="60">
        <v>280</v>
      </c>
      <c r="I2890" s="60" t="s">
        <v>278</v>
      </c>
      <c r="J2890" s="104"/>
      <c r="K2890" s="33" t="s">
        <v>278</v>
      </c>
      <c r="L2890" s="111"/>
      <c r="M2890" s="33" t="s">
        <v>278</v>
      </c>
      <c r="N2890" s="111"/>
      <c r="O2890" s="33" t="s">
        <v>278</v>
      </c>
      <c r="P2890" s="111"/>
      <c r="Q2890" s="33" t="s">
        <v>587</v>
      </c>
      <c r="R2890" s="111"/>
      <c r="S2890" s="33" t="s">
        <v>278</v>
      </c>
      <c r="T2890" s="111"/>
      <c r="U2890" s="33" t="s">
        <v>278</v>
      </c>
      <c r="V2890" s="111"/>
      <c r="W2890" s="59" t="s">
        <v>633</v>
      </c>
      <c r="X2890" s="33" t="str">
        <f>+VLOOKUP(OtherClients[[#This Row],[Part]],PartControl!$A$2:$E$564,5,FALSE)</f>
        <v>Infasco</v>
      </c>
      <c r="Y2890" s="108">
        <f>IF(OtherClients[[#This Row],[Re-certified or New]]&lt;&gt;"Re-certified",IF(OtherClients[[#This Row],[Client]]="infasco",VLOOKUP(OtherClients[[#This Row],[Part]],PartControl!$A$2:$E$564,2,FALSE),OtherClients[[#This Row],[Total Quantity]]*VLOOKUP(OtherClients[[#This Row],[Part]],PartControl!$A$2:$E$564,2,FALSE)),0)</f>
        <v>0</v>
      </c>
      <c r="Z2890" s="108">
        <f>IF(OtherClients[[#This Row],[Re-certified or New]]&lt;&gt;"Re-certified",IF(OtherClients[[#This Row],[Client]]="infasco",VLOOKUP(OtherClients[[#This Row],[Part]],PartControl!$A$2:$E$564,2,FALSE),OtherClients[[#This Row],[Total Quantity]]*VLOOKUP(OtherClients[[#This Row],[Part]],PartControl!$A$2:$E$564,2,FALSE)),0)</f>
        <v>0</v>
      </c>
    </row>
    <row r="2891" spans="1:26" ht="25.15" hidden="1" customHeight="1" x14ac:dyDescent="0.25">
      <c r="A2891" s="112">
        <v>46275.707291666666</v>
      </c>
      <c r="B2891" s="5" t="s">
        <v>637</v>
      </c>
      <c r="C2891" s="5" t="s">
        <v>728</v>
      </c>
      <c r="D2891" s="5">
        <v>718007</v>
      </c>
      <c r="E2891" s="33">
        <f>36+26-12</f>
        <v>50</v>
      </c>
      <c r="F2891" s="60">
        <v>1500</v>
      </c>
      <c r="G2891" s="60">
        <f>+OtherClients[[#This Row],[Boxes / Pieces]]*OtherClients[[#This Row],[Unit Quantity]]</f>
        <v>75000</v>
      </c>
      <c r="H2891" s="60">
        <v>280</v>
      </c>
      <c r="I2891" s="60" t="s">
        <v>278</v>
      </c>
      <c r="J2891" s="104"/>
      <c r="K2891" s="33" t="s">
        <v>278</v>
      </c>
      <c r="L2891" s="111"/>
      <c r="M2891" s="33" t="s">
        <v>278</v>
      </c>
      <c r="N2891" s="111"/>
      <c r="O2891" s="33" t="s">
        <v>278</v>
      </c>
      <c r="P2891" s="111"/>
      <c r="Q2891" s="33" t="s">
        <v>587</v>
      </c>
      <c r="R2891" s="111"/>
      <c r="S2891" s="33" t="s">
        <v>278</v>
      </c>
      <c r="T2891" s="111"/>
      <c r="U2891" s="33" t="s">
        <v>278</v>
      </c>
      <c r="V2891" s="111"/>
      <c r="W2891" s="59" t="s">
        <v>548</v>
      </c>
      <c r="X2891" s="33" t="str">
        <f>+VLOOKUP(OtherClients[[#This Row],[Part]],PartControl!$A$2:$E$564,5,FALSE)</f>
        <v>infasco</v>
      </c>
      <c r="Y2891" s="108">
        <f>IF(OtherClients[[#This Row],[Re-certified or New]]&lt;&gt;"Re-certified",IF(OtherClients[[#This Row],[Client]]="infasco",VLOOKUP(OtherClients[[#This Row],[Part]],PartControl!$A$2:$E$564,2,FALSE),OtherClients[[#This Row],[Total Quantity]]*VLOOKUP(OtherClients[[#This Row],[Part]],PartControl!$A$2:$E$564,2,FALSE)),0)</f>
        <v>106.94</v>
      </c>
      <c r="Z2891" s="108">
        <f>IF(OtherClients[[#This Row],[Re-certified or New]]&lt;&gt;"Re-certified",IF(OtherClients[[#This Row],[Client]]="infasco",VLOOKUP(OtherClients[[#This Row],[Part]],PartControl!$A$2:$E$564,2,FALSE),OtherClients[[#This Row],[Total Quantity]]*VLOOKUP(OtherClients[[#This Row],[Part]],PartControl!$A$2:$E$564,2,FALSE)),0)</f>
        <v>106.94</v>
      </c>
    </row>
    <row r="2892" spans="1:26" ht="25.15" hidden="1" customHeight="1" x14ac:dyDescent="0.25">
      <c r="A2892" s="112">
        <v>46275.707291666666</v>
      </c>
      <c r="B2892" s="5" t="s">
        <v>637</v>
      </c>
      <c r="C2892" s="5" t="s">
        <v>728</v>
      </c>
      <c r="D2892" s="5">
        <v>718013</v>
      </c>
      <c r="E2892" s="33">
        <v>61</v>
      </c>
      <c r="F2892" s="60">
        <v>1500</v>
      </c>
      <c r="G2892" s="60">
        <f>+OtherClients[[#This Row],[Boxes / Pieces]]*OtherClients[[#This Row],[Unit Quantity]]</f>
        <v>91500</v>
      </c>
      <c r="H2892" s="60">
        <v>280</v>
      </c>
      <c r="I2892" s="60" t="s">
        <v>278</v>
      </c>
      <c r="J2892" s="104"/>
      <c r="K2892" s="33" t="s">
        <v>278</v>
      </c>
      <c r="L2892" s="111"/>
      <c r="M2892" s="33" t="s">
        <v>278</v>
      </c>
      <c r="N2892" s="111"/>
      <c r="O2892" s="33" t="s">
        <v>278</v>
      </c>
      <c r="P2892" s="111"/>
      <c r="Q2892" s="33" t="s">
        <v>587</v>
      </c>
      <c r="R2892" s="111"/>
      <c r="S2892" s="33" t="s">
        <v>278</v>
      </c>
      <c r="T2892" s="111"/>
      <c r="U2892" s="33" t="s">
        <v>278</v>
      </c>
      <c r="V2892" s="111"/>
      <c r="W2892" s="59" t="s">
        <v>548</v>
      </c>
      <c r="X2892" s="33" t="str">
        <f>+VLOOKUP(OtherClients[[#This Row],[Part]],PartControl!$A$2:$E$564,5,FALSE)</f>
        <v>infasco</v>
      </c>
      <c r="Y2892" s="108">
        <f>IF(OtherClients[[#This Row],[Re-certified or New]]&lt;&gt;"Re-certified",IF(OtherClients[[#This Row],[Client]]="infasco",VLOOKUP(OtherClients[[#This Row],[Part]],PartControl!$A$2:$E$564,2,FALSE),OtherClients[[#This Row],[Total Quantity]]*VLOOKUP(OtherClients[[#This Row],[Part]],PartControl!$A$2:$E$564,2,FALSE)),0)</f>
        <v>106.94</v>
      </c>
      <c r="Z2892" s="108">
        <f>IF(OtherClients[[#This Row],[Re-certified or New]]&lt;&gt;"Re-certified",IF(OtherClients[[#This Row],[Client]]="infasco",VLOOKUP(OtherClients[[#This Row],[Part]],PartControl!$A$2:$E$564,2,FALSE),OtherClients[[#This Row],[Total Quantity]]*VLOOKUP(OtherClients[[#This Row],[Part]],PartControl!$A$2:$E$564,2,FALSE)),0)</f>
        <v>106.94</v>
      </c>
    </row>
    <row r="2893" spans="1:26" ht="25.15" hidden="1" customHeight="1" x14ac:dyDescent="0.25">
      <c r="A2893" s="112">
        <v>46275.707291666666</v>
      </c>
      <c r="B2893" s="5" t="s">
        <v>636</v>
      </c>
      <c r="C2893" s="5">
        <v>11549168</v>
      </c>
      <c r="D2893" s="5">
        <v>717374</v>
      </c>
      <c r="E2893" s="33">
        <v>36</v>
      </c>
      <c r="F2893" s="60">
        <v>1000</v>
      </c>
      <c r="G2893" s="60">
        <f>+OtherClients[[#This Row],[Boxes / Pieces]]*OtherClients[[#This Row],[Unit Quantity]]</f>
        <v>36000</v>
      </c>
      <c r="H2893" s="60">
        <v>280</v>
      </c>
      <c r="I2893" s="60" t="s">
        <v>278</v>
      </c>
      <c r="J2893" s="104"/>
      <c r="K2893" s="33" t="s">
        <v>278</v>
      </c>
      <c r="L2893" s="111"/>
      <c r="M2893" s="33" t="s">
        <v>278</v>
      </c>
      <c r="N2893" s="111"/>
      <c r="O2893" s="33" t="s">
        <v>278</v>
      </c>
      <c r="P2893" s="111"/>
      <c r="Q2893" s="33" t="s">
        <v>587</v>
      </c>
      <c r="R2893" s="111"/>
      <c r="S2893" s="33" t="s">
        <v>278</v>
      </c>
      <c r="T2893" s="111"/>
      <c r="U2893" s="33" t="s">
        <v>278</v>
      </c>
      <c r="V2893" s="111"/>
      <c r="W2893" s="59" t="s">
        <v>548</v>
      </c>
      <c r="X2893" s="33" t="str">
        <f>+VLOOKUP(OtherClients[[#This Row],[Part]],PartControl!$A$2:$E$564,5,FALSE)</f>
        <v>INFASCO</v>
      </c>
      <c r="Y2893" s="108">
        <f>IF(OtherClients[[#This Row],[Re-certified or New]]&lt;&gt;"Re-certified",IF(OtherClients[[#This Row],[Client]]="infasco",VLOOKUP(OtherClients[[#This Row],[Part]],PartControl!$A$2:$E$564,2,FALSE),OtherClients[[#This Row],[Total Quantity]]*VLOOKUP(OtherClients[[#This Row],[Part]],PartControl!$A$2:$E$564,2,FALSE)),0)</f>
        <v>106.94</v>
      </c>
      <c r="Z2893" s="108">
        <f>IF(OtherClients[[#This Row],[Re-certified or New]]&lt;&gt;"Re-certified",IF(OtherClients[[#This Row],[Client]]="infasco",VLOOKUP(OtherClients[[#This Row],[Part]],PartControl!$A$2:$E$564,2,FALSE),OtherClients[[#This Row],[Total Quantity]]*VLOOKUP(OtherClients[[#This Row],[Part]],PartControl!$A$2:$E$564,2,FALSE)),0)</f>
        <v>106.94</v>
      </c>
    </row>
    <row r="2894" spans="1:26" ht="25.15" hidden="1" customHeight="1" x14ac:dyDescent="0.25">
      <c r="A2894" s="112">
        <v>46275.707291666666</v>
      </c>
      <c r="B2894" s="5" t="s">
        <v>636</v>
      </c>
      <c r="C2894" s="5">
        <v>11546462</v>
      </c>
      <c r="D2894" s="5">
        <v>718639</v>
      </c>
      <c r="E2894" s="33">
        <v>9</v>
      </c>
      <c r="F2894" s="60">
        <v>650</v>
      </c>
      <c r="G2894" s="60">
        <f>+OtherClients[[#This Row],[Boxes / Pieces]]*OtherClients[[#This Row],[Unit Quantity]]</f>
        <v>5850</v>
      </c>
      <c r="H2894" s="60">
        <v>280</v>
      </c>
      <c r="I2894" s="60" t="s">
        <v>278</v>
      </c>
      <c r="J2894" s="104"/>
      <c r="K2894" s="33" t="s">
        <v>278</v>
      </c>
      <c r="L2894" s="111"/>
      <c r="M2894" s="33" t="s">
        <v>278</v>
      </c>
      <c r="N2894" s="111"/>
      <c r="O2894" s="33" t="s">
        <v>278</v>
      </c>
      <c r="P2894" s="111"/>
      <c r="Q2894" s="33" t="s">
        <v>587</v>
      </c>
      <c r="R2894" s="111"/>
      <c r="S2894" s="33" t="s">
        <v>278</v>
      </c>
      <c r="T2894" s="111"/>
      <c r="U2894" s="33" t="s">
        <v>278</v>
      </c>
      <c r="V2894" s="111"/>
      <c r="W2894" s="59" t="s">
        <v>633</v>
      </c>
      <c r="X2894" s="33" t="str">
        <f>+VLOOKUP(OtherClients[[#This Row],[Part]],PartControl!$A$2:$E$564,5,FALSE)</f>
        <v>INFASCO</v>
      </c>
      <c r="Y2894" s="108">
        <f>IF(OtherClients[[#This Row],[Re-certified or New]]&lt;&gt;"Re-certified",IF(OtherClients[[#This Row],[Client]]="infasco",VLOOKUP(OtherClients[[#This Row],[Part]],PartControl!$A$2:$E$564,2,FALSE),OtherClients[[#This Row],[Total Quantity]]*VLOOKUP(OtherClients[[#This Row],[Part]],PartControl!$A$2:$E$564,2,FALSE)),0)</f>
        <v>0</v>
      </c>
      <c r="Z2894" s="108">
        <f>IF(OtherClients[[#This Row],[Re-certified or New]]&lt;&gt;"Re-certified",IF(OtherClients[[#This Row],[Client]]="infasco",VLOOKUP(OtherClients[[#This Row],[Part]],PartControl!$A$2:$E$564,2,FALSE),OtherClients[[#This Row],[Total Quantity]]*VLOOKUP(OtherClients[[#This Row],[Part]],PartControl!$A$2:$E$564,2,FALSE)),0)</f>
        <v>0</v>
      </c>
    </row>
    <row r="2895" spans="1:26" ht="25.15" hidden="1" customHeight="1" x14ac:dyDescent="0.25">
      <c r="A2895" s="112">
        <v>46275.707291666666</v>
      </c>
      <c r="B2895" s="5" t="s">
        <v>357</v>
      </c>
      <c r="C2895" s="5" t="s">
        <v>728</v>
      </c>
      <c r="D2895" s="5">
        <v>718009</v>
      </c>
      <c r="E2895" s="33">
        <f>59-36</f>
        <v>23</v>
      </c>
      <c r="F2895" s="60">
        <v>1500</v>
      </c>
      <c r="G2895" s="60">
        <f>+OtherClients[[#This Row],[Boxes / Pieces]]*OtherClients[[#This Row],[Unit Quantity]]</f>
        <v>34500</v>
      </c>
      <c r="H2895" s="60">
        <v>280</v>
      </c>
      <c r="I2895" s="60" t="s">
        <v>278</v>
      </c>
      <c r="J2895" s="104"/>
      <c r="K2895" s="33" t="s">
        <v>278</v>
      </c>
      <c r="L2895" s="111"/>
      <c r="M2895" s="33" t="s">
        <v>278</v>
      </c>
      <c r="N2895" s="111"/>
      <c r="O2895" s="33" t="s">
        <v>278</v>
      </c>
      <c r="P2895" s="111"/>
      <c r="Q2895" s="33" t="s">
        <v>587</v>
      </c>
      <c r="R2895" s="111"/>
      <c r="S2895" s="33" t="s">
        <v>278</v>
      </c>
      <c r="T2895" s="111"/>
      <c r="U2895" s="33" t="s">
        <v>278</v>
      </c>
      <c r="V2895" s="111"/>
      <c r="W2895" s="59" t="s">
        <v>548</v>
      </c>
      <c r="X2895" s="33" t="str">
        <f>+VLOOKUP(OtherClients[[#This Row],[Part]],PartControl!$A$2:$E$564,5,FALSE)</f>
        <v>infasco</v>
      </c>
      <c r="Y2895" s="108">
        <f>IF(OtherClients[[#This Row],[Re-certified or New]]&lt;&gt;"Re-certified",IF(OtherClients[[#This Row],[Client]]="infasco",VLOOKUP(OtherClients[[#This Row],[Part]],PartControl!$A$2:$E$564,2,FALSE),OtherClients[[#This Row],[Total Quantity]]*VLOOKUP(OtherClients[[#This Row],[Part]],PartControl!$A$2:$E$564,2,FALSE)),0)</f>
        <v>106.94</v>
      </c>
      <c r="Z2895" s="108">
        <f>IF(OtherClients[[#This Row],[Re-certified or New]]&lt;&gt;"Re-certified",IF(OtherClients[[#This Row],[Client]]="infasco",VLOOKUP(OtherClients[[#This Row],[Part]],PartControl!$A$2:$E$564,2,FALSE),OtherClients[[#This Row],[Total Quantity]]*VLOOKUP(OtherClients[[#This Row],[Part]],PartControl!$A$2:$E$564,2,FALSE)),0)</f>
        <v>106.94</v>
      </c>
    </row>
    <row r="2896" spans="1:26" ht="25.15" hidden="1" customHeight="1" x14ac:dyDescent="0.25">
      <c r="A2896" s="112">
        <v>46275.707291666666</v>
      </c>
      <c r="B2896" s="5" t="s">
        <v>357</v>
      </c>
      <c r="C2896" s="5" t="s">
        <v>728</v>
      </c>
      <c r="D2896" s="5">
        <v>718018</v>
      </c>
      <c r="E2896" s="33">
        <v>61</v>
      </c>
      <c r="F2896" s="60">
        <v>1500</v>
      </c>
      <c r="G2896" s="60">
        <f>+OtherClients[[#This Row],[Boxes / Pieces]]*OtherClients[[#This Row],[Unit Quantity]]</f>
        <v>91500</v>
      </c>
      <c r="H2896" s="60">
        <v>280</v>
      </c>
      <c r="I2896" s="60" t="s">
        <v>278</v>
      </c>
      <c r="J2896" s="104"/>
      <c r="K2896" s="33" t="s">
        <v>278</v>
      </c>
      <c r="L2896" s="111"/>
      <c r="M2896" s="33" t="s">
        <v>278</v>
      </c>
      <c r="N2896" s="111"/>
      <c r="O2896" s="33" t="s">
        <v>278</v>
      </c>
      <c r="P2896" s="111"/>
      <c r="Q2896" s="33" t="s">
        <v>587</v>
      </c>
      <c r="R2896" s="111"/>
      <c r="S2896" s="33" t="s">
        <v>278</v>
      </c>
      <c r="T2896" s="111"/>
      <c r="U2896" s="33" t="s">
        <v>278</v>
      </c>
      <c r="V2896" s="111"/>
      <c r="W2896" s="59" t="s">
        <v>548</v>
      </c>
      <c r="X2896" s="33" t="str">
        <f>+VLOOKUP(OtherClients[[#This Row],[Part]],PartControl!$A$2:$E$564,5,FALSE)</f>
        <v>infasco</v>
      </c>
      <c r="Y2896" s="108">
        <f>IF(OtherClients[[#This Row],[Re-certified or New]]&lt;&gt;"Re-certified",IF(OtherClients[[#This Row],[Client]]="infasco",VLOOKUP(OtherClients[[#This Row],[Part]],PartControl!$A$2:$E$564,2,FALSE),OtherClients[[#This Row],[Total Quantity]]*VLOOKUP(OtherClients[[#This Row],[Part]],PartControl!$A$2:$E$564,2,FALSE)),0)</f>
        <v>106.94</v>
      </c>
      <c r="Z2896" s="108">
        <f>IF(OtherClients[[#This Row],[Re-certified or New]]&lt;&gt;"Re-certified",IF(OtherClients[[#This Row],[Client]]="infasco",VLOOKUP(OtherClients[[#This Row],[Part]],PartControl!$A$2:$E$564,2,FALSE),OtherClients[[#This Row],[Total Quantity]]*VLOOKUP(OtherClients[[#This Row],[Part]],PartControl!$A$2:$E$564,2,FALSE)),0)</f>
        <v>106.94</v>
      </c>
    </row>
    <row r="2897" spans="1:26" ht="25.15" hidden="1" customHeight="1" x14ac:dyDescent="0.25">
      <c r="A2897" s="112">
        <v>46275.707291666666</v>
      </c>
      <c r="B2897" s="5" t="s">
        <v>342</v>
      </c>
      <c r="C2897" s="5">
        <v>11602326</v>
      </c>
      <c r="D2897" s="5">
        <v>718617</v>
      </c>
      <c r="E2897" s="33">
        <v>36</v>
      </c>
      <c r="F2897" s="60">
        <v>120</v>
      </c>
      <c r="G2897" s="60">
        <f>+OtherClients[[#This Row],[Boxes / Pieces]]*OtherClients[[#This Row],[Unit Quantity]]</f>
        <v>4320</v>
      </c>
      <c r="H2897" s="60" t="s">
        <v>898</v>
      </c>
      <c r="I2897" s="60" t="s">
        <v>278</v>
      </c>
      <c r="J2897" s="104"/>
      <c r="K2897" s="33" t="s">
        <v>278</v>
      </c>
      <c r="L2897" s="111"/>
      <c r="M2897" s="33" t="s">
        <v>278</v>
      </c>
      <c r="N2897" s="111"/>
      <c r="O2897" s="33" t="s">
        <v>278</v>
      </c>
      <c r="P2897" s="111"/>
      <c r="Q2897" s="33" t="s">
        <v>587</v>
      </c>
      <c r="R2897" s="111"/>
      <c r="S2897" s="33" t="s">
        <v>278</v>
      </c>
      <c r="T2897" s="111"/>
      <c r="U2897" s="33" t="s">
        <v>278</v>
      </c>
      <c r="V2897" s="111"/>
      <c r="W2897" s="59" t="s">
        <v>548</v>
      </c>
      <c r="X2897" s="33" t="str">
        <f>+VLOOKUP(OtherClients[[#This Row],[Part]],PartControl!$A$2:$E$564,5,FALSE)</f>
        <v>INFASCO</v>
      </c>
      <c r="Y2897" s="108">
        <f>IF(OtherClients[[#This Row],[Re-certified or New]]&lt;&gt;"Re-certified",IF(OtherClients[[#This Row],[Client]]="infasco",VLOOKUP(OtherClients[[#This Row],[Part]],PartControl!$A$2:$E$564,2,FALSE),OtherClients[[#This Row],[Total Quantity]]*VLOOKUP(OtherClients[[#This Row],[Part]],PartControl!$A$2:$E$564,2,FALSE)),0)</f>
        <v>106.94</v>
      </c>
      <c r="Z2897" s="108">
        <f>IF(OtherClients[[#This Row],[Re-certified or New]]&lt;&gt;"Re-certified",IF(OtherClients[[#This Row],[Client]]="infasco",VLOOKUP(OtherClients[[#This Row],[Part]],PartControl!$A$2:$E$564,2,FALSE),OtherClients[[#This Row],[Total Quantity]]*VLOOKUP(OtherClients[[#This Row],[Part]],PartControl!$A$2:$E$564,2,FALSE)),0)</f>
        <v>106.94</v>
      </c>
    </row>
    <row r="2898" spans="1:26" ht="25.15" hidden="1" customHeight="1" x14ac:dyDescent="0.25">
      <c r="A2898" s="112">
        <v>46275.707291666666</v>
      </c>
      <c r="B2898" s="5" t="s">
        <v>342</v>
      </c>
      <c r="C2898" s="5">
        <v>11602326</v>
      </c>
      <c r="D2898" s="5">
        <v>718620</v>
      </c>
      <c r="E2898" s="33">
        <v>36</v>
      </c>
      <c r="F2898" s="60">
        <v>120</v>
      </c>
      <c r="G2898" s="60">
        <f>+OtherClients[[#This Row],[Boxes / Pieces]]*OtherClients[[#This Row],[Unit Quantity]]</f>
        <v>4320</v>
      </c>
      <c r="H2898" s="60" t="s">
        <v>898</v>
      </c>
      <c r="I2898" s="60" t="s">
        <v>278</v>
      </c>
      <c r="J2898" s="104"/>
      <c r="K2898" s="33" t="s">
        <v>278</v>
      </c>
      <c r="L2898" s="111"/>
      <c r="M2898" s="33" t="s">
        <v>278</v>
      </c>
      <c r="N2898" s="111"/>
      <c r="O2898" s="33" t="s">
        <v>278</v>
      </c>
      <c r="P2898" s="111"/>
      <c r="Q2898" s="33" t="s">
        <v>587</v>
      </c>
      <c r="R2898" s="111"/>
      <c r="S2898" s="33" t="s">
        <v>278</v>
      </c>
      <c r="T2898" s="111"/>
      <c r="U2898" s="33" t="s">
        <v>278</v>
      </c>
      <c r="V2898" s="111"/>
      <c r="W2898" s="59" t="s">
        <v>548</v>
      </c>
      <c r="X2898" s="33" t="str">
        <f>+VLOOKUP(OtherClients[[#This Row],[Part]],PartControl!$A$2:$E$564,5,FALSE)</f>
        <v>INFASCO</v>
      </c>
      <c r="Y2898" s="108">
        <f>IF(OtherClients[[#This Row],[Re-certified or New]]&lt;&gt;"Re-certified",IF(OtherClients[[#This Row],[Client]]="infasco",VLOOKUP(OtherClients[[#This Row],[Part]],PartControl!$A$2:$E$564,2,FALSE),OtherClients[[#This Row],[Total Quantity]]*VLOOKUP(OtherClients[[#This Row],[Part]],PartControl!$A$2:$E$564,2,FALSE)),0)</f>
        <v>106.94</v>
      </c>
      <c r="Z2898" s="108">
        <f>IF(OtherClients[[#This Row],[Re-certified or New]]&lt;&gt;"Re-certified",IF(OtherClients[[#This Row],[Client]]="infasco",VLOOKUP(OtherClients[[#This Row],[Part]],PartControl!$A$2:$E$564,2,FALSE),OtherClients[[#This Row],[Total Quantity]]*VLOOKUP(OtherClients[[#This Row],[Part]],PartControl!$A$2:$E$564,2,FALSE)),0)</f>
        <v>106.94</v>
      </c>
    </row>
    <row r="2899" spans="1:26" ht="25.15" hidden="1" customHeight="1" x14ac:dyDescent="0.25">
      <c r="A2899" s="112">
        <v>46275.707291666666</v>
      </c>
      <c r="B2899" s="5" t="s">
        <v>342</v>
      </c>
      <c r="C2899" s="5">
        <v>11602326</v>
      </c>
      <c r="D2899" s="5">
        <v>718618</v>
      </c>
      <c r="E2899" s="33">
        <v>34</v>
      </c>
      <c r="F2899" s="60">
        <v>120</v>
      </c>
      <c r="G2899" s="60">
        <f>+OtherClients[[#This Row],[Boxes / Pieces]]*OtherClients[[#This Row],[Unit Quantity]]</f>
        <v>4080</v>
      </c>
      <c r="H2899" s="60" t="s">
        <v>898</v>
      </c>
      <c r="I2899" s="60" t="s">
        <v>278</v>
      </c>
      <c r="J2899" s="104"/>
      <c r="K2899" s="33" t="s">
        <v>278</v>
      </c>
      <c r="L2899" s="111"/>
      <c r="M2899" s="33" t="s">
        <v>278</v>
      </c>
      <c r="N2899" s="111"/>
      <c r="O2899" s="33" t="s">
        <v>278</v>
      </c>
      <c r="P2899" s="111"/>
      <c r="Q2899" s="33" t="s">
        <v>587</v>
      </c>
      <c r="R2899" s="111"/>
      <c r="S2899" s="33" t="s">
        <v>278</v>
      </c>
      <c r="T2899" s="111"/>
      <c r="U2899" s="33" t="s">
        <v>278</v>
      </c>
      <c r="V2899" s="111"/>
      <c r="W2899" s="59" t="s">
        <v>548</v>
      </c>
      <c r="X2899" s="33" t="str">
        <f>+VLOOKUP(OtherClients[[#This Row],[Part]],PartControl!$A$2:$E$564,5,FALSE)</f>
        <v>INFASCO</v>
      </c>
      <c r="Y2899" s="108">
        <f>IF(OtherClients[[#This Row],[Re-certified or New]]&lt;&gt;"Re-certified",IF(OtherClients[[#This Row],[Client]]="infasco",VLOOKUP(OtherClients[[#This Row],[Part]],PartControl!$A$2:$E$564,2,FALSE),OtherClients[[#This Row],[Total Quantity]]*VLOOKUP(OtherClients[[#This Row],[Part]],PartControl!$A$2:$E$564,2,FALSE)),0)</f>
        <v>106.94</v>
      </c>
      <c r="Z2899" s="108">
        <f>IF(OtherClients[[#This Row],[Re-certified or New]]&lt;&gt;"Re-certified",IF(OtherClients[[#This Row],[Client]]="infasco",VLOOKUP(OtherClients[[#This Row],[Part]],PartControl!$A$2:$E$564,2,FALSE),OtherClients[[#This Row],[Total Quantity]]*VLOOKUP(OtherClients[[#This Row],[Part]],PartControl!$A$2:$E$564,2,FALSE)),0)</f>
        <v>106.94</v>
      </c>
    </row>
    <row r="2900" spans="1:26" ht="25.15" hidden="1" customHeight="1" x14ac:dyDescent="0.25">
      <c r="A2900" s="112">
        <v>46275.707291666666</v>
      </c>
      <c r="B2900" s="5" t="s">
        <v>342</v>
      </c>
      <c r="C2900" s="5">
        <v>11602326</v>
      </c>
      <c r="D2900" s="5">
        <v>718624</v>
      </c>
      <c r="E2900" s="33">
        <v>36</v>
      </c>
      <c r="F2900" s="60">
        <v>120</v>
      </c>
      <c r="G2900" s="60">
        <f>+OtherClients[[#This Row],[Boxes / Pieces]]*OtherClients[[#This Row],[Unit Quantity]]</f>
        <v>4320</v>
      </c>
      <c r="H2900" s="60" t="s">
        <v>898</v>
      </c>
      <c r="I2900" s="60" t="s">
        <v>278</v>
      </c>
      <c r="J2900" s="104"/>
      <c r="K2900" s="33" t="s">
        <v>278</v>
      </c>
      <c r="L2900" s="111"/>
      <c r="M2900" s="33" t="s">
        <v>278</v>
      </c>
      <c r="N2900" s="111"/>
      <c r="O2900" s="33" t="s">
        <v>278</v>
      </c>
      <c r="P2900" s="111"/>
      <c r="Q2900" s="33" t="s">
        <v>587</v>
      </c>
      <c r="R2900" s="111"/>
      <c r="S2900" s="33" t="s">
        <v>278</v>
      </c>
      <c r="T2900" s="111"/>
      <c r="U2900" s="33" t="s">
        <v>278</v>
      </c>
      <c r="V2900" s="111"/>
      <c r="W2900" s="59" t="s">
        <v>548</v>
      </c>
      <c r="X2900" s="33" t="str">
        <f>+VLOOKUP(OtherClients[[#This Row],[Part]],PartControl!$A$2:$E$564,5,FALSE)</f>
        <v>INFASCO</v>
      </c>
      <c r="Y2900" s="108">
        <f>IF(OtherClients[[#This Row],[Re-certified or New]]&lt;&gt;"Re-certified",IF(OtherClients[[#This Row],[Client]]="infasco",VLOOKUP(OtherClients[[#This Row],[Part]],PartControl!$A$2:$E$564,2,FALSE),OtherClients[[#This Row],[Total Quantity]]*VLOOKUP(OtherClients[[#This Row],[Part]],PartControl!$A$2:$E$564,2,FALSE)),0)</f>
        <v>106.94</v>
      </c>
      <c r="Z2900" s="108">
        <f>IF(OtherClients[[#This Row],[Re-certified or New]]&lt;&gt;"Re-certified",IF(OtherClients[[#This Row],[Client]]="infasco",VLOOKUP(OtherClients[[#This Row],[Part]],PartControl!$A$2:$E$564,2,FALSE),OtherClients[[#This Row],[Total Quantity]]*VLOOKUP(OtherClients[[#This Row],[Part]],PartControl!$A$2:$E$564,2,FALSE)),0)</f>
        <v>106.94</v>
      </c>
    </row>
    <row r="2901" spans="1:26" ht="25.15" hidden="1" customHeight="1" x14ac:dyDescent="0.25">
      <c r="A2901" s="112">
        <v>46275.707291666666</v>
      </c>
      <c r="B2901" s="5" t="s">
        <v>342</v>
      </c>
      <c r="C2901" s="5">
        <v>11602326</v>
      </c>
      <c r="D2901" s="5">
        <v>718623</v>
      </c>
      <c r="E2901" s="33">
        <v>32</v>
      </c>
      <c r="F2901" s="60">
        <v>120</v>
      </c>
      <c r="G2901" s="60">
        <f>+OtherClients[[#This Row],[Boxes / Pieces]]*OtherClients[[#This Row],[Unit Quantity]]</f>
        <v>3840</v>
      </c>
      <c r="H2901" s="60" t="s">
        <v>898</v>
      </c>
      <c r="I2901" s="60" t="s">
        <v>278</v>
      </c>
      <c r="J2901" s="104"/>
      <c r="K2901" s="33" t="s">
        <v>278</v>
      </c>
      <c r="L2901" s="111"/>
      <c r="M2901" s="33" t="s">
        <v>278</v>
      </c>
      <c r="N2901" s="111"/>
      <c r="O2901" s="33" t="s">
        <v>278</v>
      </c>
      <c r="P2901" s="111"/>
      <c r="Q2901" s="33" t="s">
        <v>587</v>
      </c>
      <c r="R2901" s="111"/>
      <c r="S2901" s="33" t="s">
        <v>278</v>
      </c>
      <c r="T2901" s="111"/>
      <c r="U2901" s="33" t="s">
        <v>278</v>
      </c>
      <c r="V2901" s="111"/>
      <c r="W2901" s="59" t="s">
        <v>548</v>
      </c>
      <c r="X2901" s="33" t="str">
        <f>+VLOOKUP(OtherClients[[#This Row],[Part]],PartControl!$A$2:$E$564,5,FALSE)</f>
        <v>INFASCO</v>
      </c>
      <c r="Y2901" s="108">
        <f>IF(OtherClients[[#This Row],[Re-certified or New]]&lt;&gt;"Re-certified",IF(OtherClients[[#This Row],[Client]]="infasco",VLOOKUP(OtherClients[[#This Row],[Part]],PartControl!$A$2:$E$564,2,FALSE),OtherClients[[#This Row],[Total Quantity]]*VLOOKUP(OtherClients[[#This Row],[Part]],PartControl!$A$2:$E$564,2,FALSE)),0)</f>
        <v>106.94</v>
      </c>
      <c r="Z2901" s="108">
        <f>IF(OtherClients[[#This Row],[Re-certified or New]]&lt;&gt;"Re-certified",IF(OtherClients[[#This Row],[Client]]="infasco",VLOOKUP(OtherClients[[#This Row],[Part]],PartControl!$A$2:$E$564,2,FALSE),OtherClients[[#This Row],[Total Quantity]]*VLOOKUP(OtherClients[[#This Row],[Part]],PartControl!$A$2:$E$564,2,FALSE)),0)</f>
        <v>106.94</v>
      </c>
    </row>
    <row r="2902" spans="1:26" ht="25.15" hidden="1" customHeight="1" x14ac:dyDescent="0.25">
      <c r="A2902" s="112">
        <v>46275.707291666666</v>
      </c>
      <c r="B2902" s="5" t="s">
        <v>342</v>
      </c>
      <c r="C2902" s="5" t="s">
        <v>922</v>
      </c>
      <c r="D2902" s="5">
        <v>717820</v>
      </c>
      <c r="E2902" s="33">
        <v>4</v>
      </c>
      <c r="F2902" s="60">
        <v>1125</v>
      </c>
      <c r="G2902" s="60">
        <f>+OtherClients[[#This Row],[Boxes / Pieces]]*OtherClients[[#This Row],[Unit Quantity]]</f>
        <v>4500</v>
      </c>
      <c r="H2902" s="60" t="s">
        <v>898</v>
      </c>
      <c r="I2902" s="60" t="s">
        <v>278</v>
      </c>
      <c r="J2902" s="104"/>
      <c r="K2902" s="33" t="s">
        <v>278</v>
      </c>
      <c r="L2902" s="111"/>
      <c r="M2902" s="33" t="s">
        <v>278</v>
      </c>
      <c r="N2902" s="111"/>
      <c r="O2902" s="33" t="s">
        <v>278</v>
      </c>
      <c r="P2902" s="111"/>
      <c r="Q2902" s="33" t="s">
        <v>587</v>
      </c>
      <c r="R2902" s="111"/>
      <c r="S2902" s="33" t="s">
        <v>278</v>
      </c>
      <c r="T2902" s="111"/>
      <c r="U2902" s="33" t="s">
        <v>278</v>
      </c>
      <c r="V2902" s="111"/>
      <c r="W2902" s="59" t="s">
        <v>548</v>
      </c>
      <c r="X2902" s="33" t="str">
        <f>+VLOOKUP(OtherClients[[#This Row],[Part]],PartControl!$A$2:$E$564,5,FALSE)</f>
        <v>infasco</v>
      </c>
      <c r="Y2902" s="108">
        <f>IF(OtherClients[[#This Row],[Re-certified or New]]&lt;&gt;"Re-certified",IF(OtherClients[[#This Row],[Client]]="infasco",VLOOKUP(OtherClients[[#This Row],[Part]],PartControl!$A$2:$E$564,2,FALSE),OtherClients[[#This Row],[Total Quantity]]*VLOOKUP(OtherClients[[#This Row],[Part]],PartControl!$A$2:$E$564,2,FALSE)),0)</f>
        <v>270.16000000000003</v>
      </c>
      <c r="Z2902" s="108">
        <f>IF(OtherClients[[#This Row],[Re-certified or New]]&lt;&gt;"Re-certified",IF(OtherClients[[#This Row],[Client]]="infasco",VLOOKUP(OtherClients[[#This Row],[Part]],PartControl!$A$2:$E$564,2,FALSE),OtherClients[[#This Row],[Total Quantity]]*VLOOKUP(OtherClients[[#This Row],[Part]],PartControl!$A$2:$E$564,2,FALSE)),0)</f>
        <v>270.16000000000003</v>
      </c>
    </row>
    <row r="2903" spans="1:26" ht="25.15" hidden="1" customHeight="1" x14ac:dyDescent="0.25">
      <c r="A2903" s="112">
        <v>46275.707291666666</v>
      </c>
      <c r="B2903" s="5" t="s">
        <v>342</v>
      </c>
      <c r="C2903" s="5">
        <v>11546703</v>
      </c>
      <c r="D2903" s="5">
        <v>715814</v>
      </c>
      <c r="E2903" s="33">
        <v>38</v>
      </c>
      <c r="F2903" s="60">
        <v>4000</v>
      </c>
      <c r="G2903" s="60">
        <f>+OtherClients[[#This Row],[Boxes / Pieces]]*OtherClients[[#This Row],[Unit Quantity]]</f>
        <v>152000</v>
      </c>
      <c r="H2903" s="60" t="s">
        <v>898</v>
      </c>
      <c r="I2903" s="60" t="s">
        <v>278</v>
      </c>
      <c r="J2903" s="104"/>
      <c r="K2903" s="33" t="s">
        <v>278</v>
      </c>
      <c r="L2903" s="111"/>
      <c r="M2903" s="33" t="s">
        <v>278</v>
      </c>
      <c r="N2903" s="111"/>
      <c r="O2903" s="33" t="s">
        <v>278</v>
      </c>
      <c r="P2903" s="111"/>
      <c r="Q2903" s="33" t="s">
        <v>587</v>
      </c>
      <c r="R2903" s="111"/>
      <c r="S2903" s="33" t="s">
        <v>278</v>
      </c>
      <c r="T2903" s="111"/>
      <c r="U2903" s="33" t="s">
        <v>278</v>
      </c>
      <c r="V2903" s="111"/>
      <c r="W2903" s="59" t="s">
        <v>548</v>
      </c>
      <c r="X2903" s="33" t="str">
        <f>+VLOOKUP(OtherClients[[#This Row],[Part]],PartControl!$A$2:$E$564,5,FALSE)</f>
        <v>infasco</v>
      </c>
      <c r="Y2903" s="108">
        <f>IF(OtherClients[[#This Row],[Re-certified or New]]&lt;&gt;"Re-certified",IF(OtherClients[[#This Row],[Client]]="infasco",VLOOKUP(OtherClients[[#This Row],[Part]],PartControl!$A$2:$E$564,2,FALSE),OtherClients[[#This Row],[Total Quantity]]*VLOOKUP(OtherClients[[#This Row],[Part]],PartControl!$A$2:$E$564,2,FALSE)),0)</f>
        <v>135.07999999999998</v>
      </c>
      <c r="Z2903" s="108">
        <f>IF(OtherClients[[#This Row],[Re-certified or New]]&lt;&gt;"Re-certified",IF(OtherClients[[#This Row],[Client]]="infasco",VLOOKUP(OtherClients[[#This Row],[Part]],PartControl!$A$2:$E$564,2,FALSE),OtherClients[[#This Row],[Total Quantity]]*VLOOKUP(OtherClients[[#This Row],[Part]],PartControl!$A$2:$E$564,2,FALSE)),0)</f>
        <v>135.07999999999998</v>
      </c>
    </row>
    <row r="2904" spans="1:26" ht="25.15" hidden="1" customHeight="1" x14ac:dyDescent="0.25">
      <c r="A2904" s="112">
        <v>46275.707291666666</v>
      </c>
      <c r="B2904" s="5" t="s">
        <v>342</v>
      </c>
      <c r="C2904" s="5" t="s">
        <v>16</v>
      </c>
      <c r="D2904" s="5">
        <v>714433</v>
      </c>
      <c r="E2904" s="33">
        <v>36</v>
      </c>
      <c r="F2904" s="60">
        <v>1400</v>
      </c>
      <c r="G2904" s="60">
        <f>+OtherClients[[#This Row],[Boxes / Pieces]]*OtherClients[[#This Row],[Unit Quantity]]</f>
        <v>50400</v>
      </c>
      <c r="H2904" s="60" t="s">
        <v>898</v>
      </c>
      <c r="I2904" s="60" t="s">
        <v>278</v>
      </c>
      <c r="J2904" s="104"/>
      <c r="K2904" s="33" t="s">
        <v>278</v>
      </c>
      <c r="L2904" s="111"/>
      <c r="M2904" s="33" t="s">
        <v>278</v>
      </c>
      <c r="N2904" s="111"/>
      <c r="O2904" s="33" t="s">
        <v>278</v>
      </c>
      <c r="P2904" s="111"/>
      <c r="Q2904" s="33" t="s">
        <v>587</v>
      </c>
      <c r="R2904" s="111"/>
      <c r="S2904" s="33" t="s">
        <v>278</v>
      </c>
      <c r="T2904" s="111"/>
      <c r="U2904" s="33" t="s">
        <v>278</v>
      </c>
      <c r="V2904" s="111"/>
      <c r="W2904" s="59" t="s">
        <v>548</v>
      </c>
      <c r="X2904" s="33" t="str">
        <f>+VLOOKUP(OtherClients[[#This Row],[Part]],PartControl!$A$2:$E$564,5,FALSE)</f>
        <v>infasco</v>
      </c>
      <c r="Y2904" s="108">
        <f>IF(OtherClients[[#This Row],[Re-certified or New]]&lt;&gt;"Re-certified",IF(OtherClients[[#This Row],[Client]]="infasco",VLOOKUP(OtherClients[[#This Row],[Part]],PartControl!$A$2:$E$564,2,FALSE),OtherClients[[#This Row],[Total Quantity]]*VLOOKUP(OtherClients[[#This Row],[Part]],PartControl!$A$2:$E$564,2,FALSE)),0)</f>
        <v>106.94</v>
      </c>
      <c r="Z2904" s="108">
        <f>IF(OtherClients[[#This Row],[Re-certified or New]]&lt;&gt;"Re-certified",IF(OtherClients[[#This Row],[Client]]="infasco",VLOOKUP(OtherClients[[#This Row],[Part]],PartControl!$A$2:$E$564,2,FALSE),OtherClients[[#This Row],[Total Quantity]]*VLOOKUP(OtherClients[[#This Row],[Part]],PartControl!$A$2:$E$564,2,FALSE)),0)</f>
        <v>106.94</v>
      </c>
    </row>
    <row r="2905" spans="1:26" ht="25.15" hidden="1" customHeight="1" x14ac:dyDescent="0.25">
      <c r="A2905" s="112">
        <v>46275.707291666666</v>
      </c>
      <c r="B2905" s="5" t="s">
        <v>342</v>
      </c>
      <c r="C2905" s="5" t="s">
        <v>16</v>
      </c>
      <c r="D2905" s="5">
        <v>714522</v>
      </c>
      <c r="E2905" s="33">
        <v>32</v>
      </c>
      <c r="F2905" s="60">
        <v>1400</v>
      </c>
      <c r="G2905" s="60">
        <f>+OtherClients[[#This Row],[Boxes / Pieces]]*OtherClients[[#This Row],[Unit Quantity]]</f>
        <v>44800</v>
      </c>
      <c r="H2905" s="60" t="s">
        <v>898</v>
      </c>
      <c r="I2905" s="60" t="s">
        <v>278</v>
      </c>
      <c r="J2905" s="104"/>
      <c r="K2905" s="33" t="s">
        <v>278</v>
      </c>
      <c r="L2905" s="111"/>
      <c r="M2905" s="33" t="s">
        <v>278</v>
      </c>
      <c r="N2905" s="111"/>
      <c r="O2905" s="33" t="s">
        <v>278</v>
      </c>
      <c r="P2905" s="111"/>
      <c r="Q2905" s="33" t="s">
        <v>587</v>
      </c>
      <c r="R2905" s="111"/>
      <c r="S2905" s="33" t="s">
        <v>278</v>
      </c>
      <c r="T2905" s="111"/>
      <c r="U2905" s="33" t="s">
        <v>278</v>
      </c>
      <c r="V2905" s="111"/>
      <c r="W2905" s="59" t="s">
        <v>548</v>
      </c>
      <c r="X2905" s="33" t="str">
        <f>+VLOOKUP(OtherClients[[#This Row],[Part]],PartControl!$A$2:$E$564,5,FALSE)</f>
        <v>infasco</v>
      </c>
      <c r="Y2905" s="108">
        <f>IF(OtherClients[[#This Row],[Re-certified or New]]&lt;&gt;"Re-certified",IF(OtherClients[[#This Row],[Client]]="infasco",VLOOKUP(OtherClients[[#This Row],[Part]],PartControl!$A$2:$E$564,2,FALSE),OtherClients[[#This Row],[Total Quantity]]*VLOOKUP(OtherClients[[#This Row],[Part]],PartControl!$A$2:$E$564,2,FALSE)),0)</f>
        <v>106.94</v>
      </c>
      <c r="Z2905" s="108">
        <f>IF(OtherClients[[#This Row],[Re-certified or New]]&lt;&gt;"Re-certified",IF(OtherClients[[#This Row],[Client]]="infasco",VLOOKUP(OtherClients[[#This Row],[Part]],PartControl!$A$2:$E$564,2,FALSE),OtherClients[[#This Row],[Total Quantity]]*VLOOKUP(OtherClients[[#This Row],[Part]],PartControl!$A$2:$E$564,2,FALSE)),0)</f>
        <v>106.94</v>
      </c>
    </row>
    <row r="2906" spans="1:26" ht="25.15" hidden="1" customHeight="1" x14ac:dyDescent="0.25">
      <c r="A2906" s="112">
        <v>46275.707291666666</v>
      </c>
      <c r="B2906" s="5" t="s">
        <v>343</v>
      </c>
      <c r="C2906" s="5" t="s">
        <v>906</v>
      </c>
      <c r="D2906" s="5">
        <v>710204</v>
      </c>
      <c r="E2906" s="33">
        <v>1</v>
      </c>
      <c r="F2906" s="60">
        <v>22000</v>
      </c>
      <c r="G2906" s="60">
        <f>+OtherClients[[#This Row],[Boxes / Pieces]]*OtherClients[[#This Row],[Unit Quantity]]</f>
        <v>22000</v>
      </c>
      <c r="H2906" s="60" t="s">
        <v>899</v>
      </c>
      <c r="I2906" s="60" t="s">
        <v>278</v>
      </c>
      <c r="J2906" s="104"/>
      <c r="K2906" s="33" t="s">
        <v>278</v>
      </c>
      <c r="L2906" s="111"/>
      <c r="M2906" s="33" t="s">
        <v>278</v>
      </c>
      <c r="N2906" s="111"/>
      <c r="O2906" s="33" t="s">
        <v>278</v>
      </c>
      <c r="P2906" s="111"/>
      <c r="Q2906" s="33" t="s">
        <v>587</v>
      </c>
      <c r="R2906" s="111"/>
      <c r="S2906" s="33" t="s">
        <v>278</v>
      </c>
      <c r="T2906" s="111"/>
      <c r="U2906" s="33" t="s">
        <v>278</v>
      </c>
      <c r="V2906" s="111"/>
      <c r="W2906" s="59" t="s">
        <v>633</v>
      </c>
      <c r="X2906" s="33" t="str">
        <f>+VLOOKUP(OtherClients[[#This Row],[Part]],PartControl!$A$2:$E$564,5,FALSE)</f>
        <v>infasco</v>
      </c>
      <c r="Y2906" s="108">
        <f>IF(OtherClients[[#This Row],[Re-certified or New]]&lt;&gt;"Re-certified",IF(OtherClients[[#This Row],[Client]]="infasco",VLOOKUP(OtherClients[[#This Row],[Part]],PartControl!$A$2:$E$564,2,FALSE),OtherClients[[#This Row],[Total Quantity]]*VLOOKUP(OtherClients[[#This Row],[Part]],PartControl!$A$2:$E$564,2,FALSE)),0)</f>
        <v>0</v>
      </c>
      <c r="Z2906" s="108">
        <f>IF(OtherClients[[#This Row],[Re-certified or New]]&lt;&gt;"Re-certified",IF(OtherClients[[#This Row],[Client]]="infasco",VLOOKUP(OtherClients[[#This Row],[Part]],PartControl!$A$2:$E$564,2,FALSE),OtherClients[[#This Row],[Total Quantity]]*VLOOKUP(OtherClients[[#This Row],[Part]],PartControl!$A$2:$E$564,2,FALSE)),0)</f>
        <v>0</v>
      </c>
    </row>
    <row r="2907" spans="1:26" ht="25.15" hidden="1" customHeight="1" x14ac:dyDescent="0.25">
      <c r="A2907" s="112">
        <v>46275.707291666666</v>
      </c>
      <c r="B2907" s="5" t="s">
        <v>343</v>
      </c>
      <c r="C2907" s="5" t="s">
        <v>720</v>
      </c>
      <c r="D2907" s="5">
        <v>714254</v>
      </c>
      <c r="E2907" s="33">
        <v>24</v>
      </c>
      <c r="F2907" s="60">
        <v>200</v>
      </c>
      <c r="G2907" s="60">
        <f>+OtherClients[[#This Row],[Boxes / Pieces]]*OtherClients[[#This Row],[Unit Quantity]]</f>
        <v>4800</v>
      </c>
      <c r="H2907" s="60" t="s">
        <v>899</v>
      </c>
      <c r="I2907" s="60" t="s">
        <v>278</v>
      </c>
      <c r="J2907" s="104"/>
      <c r="K2907" s="33" t="s">
        <v>278</v>
      </c>
      <c r="L2907" s="111"/>
      <c r="M2907" s="33" t="s">
        <v>278</v>
      </c>
      <c r="N2907" s="111"/>
      <c r="O2907" s="33" t="s">
        <v>278</v>
      </c>
      <c r="P2907" s="111"/>
      <c r="Q2907" s="33" t="s">
        <v>587</v>
      </c>
      <c r="R2907" s="111"/>
      <c r="S2907" s="33" t="s">
        <v>278</v>
      </c>
      <c r="T2907" s="111"/>
      <c r="U2907" s="33" t="s">
        <v>278</v>
      </c>
      <c r="V2907" s="111"/>
      <c r="W2907" s="59" t="s">
        <v>548</v>
      </c>
      <c r="X2907" s="33" t="str">
        <f>+VLOOKUP(OtherClients[[#This Row],[Part]],PartControl!$A$2:$E$564,5,FALSE)</f>
        <v>infasco</v>
      </c>
      <c r="Y2907" s="108">
        <f>IF(OtherClients[[#This Row],[Re-certified or New]]&lt;&gt;"Re-certified",IF(OtherClients[[#This Row],[Client]]="infasco",VLOOKUP(OtherClients[[#This Row],[Part]],PartControl!$A$2:$E$564,2,FALSE),OtherClients[[#This Row],[Total Quantity]]*VLOOKUP(OtherClients[[#This Row],[Part]],PartControl!$A$2:$E$564,2,FALSE)),0)</f>
        <v>129.44999999999999</v>
      </c>
      <c r="Z2907" s="108">
        <f>IF(OtherClients[[#This Row],[Re-certified or New]]&lt;&gt;"Re-certified",IF(OtherClients[[#This Row],[Client]]="infasco",VLOOKUP(OtherClients[[#This Row],[Part]],PartControl!$A$2:$E$564,2,FALSE),OtherClients[[#This Row],[Total Quantity]]*VLOOKUP(OtherClients[[#This Row],[Part]],PartControl!$A$2:$E$564,2,FALSE)),0)</f>
        <v>129.44999999999999</v>
      </c>
    </row>
    <row r="2908" spans="1:26" ht="25.15" hidden="1" customHeight="1" x14ac:dyDescent="0.25">
      <c r="A2908" s="112">
        <v>46275.707291666666</v>
      </c>
      <c r="B2908" s="5" t="s">
        <v>343</v>
      </c>
      <c r="C2908" s="5" t="s">
        <v>720</v>
      </c>
      <c r="D2908" s="5">
        <v>714255</v>
      </c>
      <c r="E2908" s="33">
        <v>24</v>
      </c>
      <c r="F2908" s="60">
        <v>200</v>
      </c>
      <c r="G2908" s="60">
        <f>+OtherClients[[#This Row],[Boxes / Pieces]]*OtherClients[[#This Row],[Unit Quantity]]</f>
        <v>4800</v>
      </c>
      <c r="H2908" s="60" t="s">
        <v>899</v>
      </c>
      <c r="I2908" s="60" t="s">
        <v>278</v>
      </c>
      <c r="J2908" s="104"/>
      <c r="K2908" s="33" t="s">
        <v>278</v>
      </c>
      <c r="L2908" s="111"/>
      <c r="M2908" s="33" t="s">
        <v>278</v>
      </c>
      <c r="N2908" s="111"/>
      <c r="O2908" s="33" t="s">
        <v>278</v>
      </c>
      <c r="P2908" s="111"/>
      <c r="Q2908" s="33" t="s">
        <v>587</v>
      </c>
      <c r="R2908" s="111"/>
      <c r="S2908" s="33" t="s">
        <v>278</v>
      </c>
      <c r="T2908" s="111"/>
      <c r="U2908" s="33" t="s">
        <v>278</v>
      </c>
      <c r="V2908" s="111"/>
      <c r="W2908" s="59" t="s">
        <v>548</v>
      </c>
      <c r="X2908" s="33" t="str">
        <f>+VLOOKUP(OtherClients[[#This Row],[Part]],PartControl!$A$2:$E$564,5,FALSE)</f>
        <v>infasco</v>
      </c>
      <c r="Y2908" s="108">
        <f>IF(OtherClients[[#This Row],[Re-certified or New]]&lt;&gt;"Re-certified",IF(OtherClients[[#This Row],[Client]]="infasco",VLOOKUP(OtherClients[[#This Row],[Part]],PartControl!$A$2:$E$564,2,FALSE),OtherClients[[#This Row],[Total Quantity]]*VLOOKUP(OtherClients[[#This Row],[Part]],PartControl!$A$2:$E$564,2,FALSE)),0)</f>
        <v>129.44999999999999</v>
      </c>
      <c r="Z2908" s="108">
        <f>IF(OtherClients[[#This Row],[Re-certified or New]]&lt;&gt;"Re-certified",IF(OtherClients[[#This Row],[Client]]="infasco",VLOOKUP(OtherClients[[#This Row],[Part]],PartControl!$A$2:$E$564,2,FALSE),OtherClients[[#This Row],[Total Quantity]]*VLOOKUP(OtherClients[[#This Row],[Part]],PartControl!$A$2:$E$564,2,FALSE)),0)</f>
        <v>129.44999999999999</v>
      </c>
    </row>
    <row r="2909" spans="1:26" ht="25.15" hidden="1" customHeight="1" x14ac:dyDescent="0.25">
      <c r="A2909" s="112">
        <v>46275.707291666666</v>
      </c>
      <c r="B2909" s="5" t="s">
        <v>343</v>
      </c>
      <c r="C2909" s="5" t="s">
        <v>720</v>
      </c>
      <c r="D2909" s="5">
        <v>714250</v>
      </c>
      <c r="E2909" s="33">
        <v>31</v>
      </c>
      <c r="F2909" s="60">
        <v>200</v>
      </c>
      <c r="G2909" s="60">
        <f>+OtherClients[[#This Row],[Boxes / Pieces]]*OtherClients[[#This Row],[Unit Quantity]]</f>
        <v>6200</v>
      </c>
      <c r="H2909" s="60" t="s">
        <v>899</v>
      </c>
      <c r="I2909" s="60" t="s">
        <v>278</v>
      </c>
      <c r="J2909" s="104"/>
      <c r="K2909" s="33" t="s">
        <v>278</v>
      </c>
      <c r="L2909" s="111"/>
      <c r="M2909" s="33" t="s">
        <v>278</v>
      </c>
      <c r="N2909" s="111"/>
      <c r="O2909" s="33" t="s">
        <v>278</v>
      </c>
      <c r="P2909" s="111"/>
      <c r="Q2909" s="33" t="s">
        <v>587</v>
      </c>
      <c r="R2909" s="111"/>
      <c r="S2909" s="33" t="s">
        <v>278</v>
      </c>
      <c r="T2909" s="111"/>
      <c r="U2909" s="33" t="s">
        <v>278</v>
      </c>
      <c r="V2909" s="111"/>
      <c r="W2909" s="59" t="s">
        <v>548</v>
      </c>
      <c r="X2909" s="33" t="str">
        <f>+VLOOKUP(OtherClients[[#This Row],[Part]],PartControl!$A$2:$E$564,5,FALSE)</f>
        <v>infasco</v>
      </c>
      <c r="Y2909" s="108">
        <f>IF(OtherClients[[#This Row],[Re-certified or New]]&lt;&gt;"Re-certified",IF(OtherClients[[#This Row],[Client]]="infasco",VLOOKUP(OtherClients[[#This Row],[Part]],PartControl!$A$2:$E$564,2,FALSE),OtherClients[[#This Row],[Total Quantity]]*VLOOKUP(OtherClients[[#This Row],[Part]],PartControl!$A$2:$E$564,2,FALSE)),0)</f>
        <v>129.44999999999999</v>
      </c>
      <c r="Z2909" s="108">
        <f>IF(OtherClients[[#This Row],[Re-certified or New]]&lt;&gt;"Re-certified",IF(OtherClients[[#This Row],[Client]]="infasco",VLOOKUP(OtherClients[[#This Row],[Part]],PartControl!$A$2:$E$564,2,FALSE),OtherClients[[#This Row],[Total Quantity]]*VLOOKUP(OtherClients[[#This Row],[Part]],PartControl!$A$2:$E$564,2,FALSE)),0)</f>
        <v>129.44999999999999</v>
      </c>
    </row>
    <row r="2910" spans="1:26" ht="25.15" hidden="1" customHeight="1" x14ac:dyDescent="0.25">
      <c r="A2910" s="112">
        <v>46275.707291666666</v>
      </c>
      <c r="B2910" s="5" t="s">
        <v>344</v>
      </c>
      <c r="C2910" s="5" t="s">
        <v>656</v>
      </c>
      <c r="D2910" s="5">
        <v>718513</v>
      </c>
      <c r="E2910" s="33">
        <f>24-12</f>
        <v>12</v>
      </c>
      <c r="F2910" s="60">
        <v>825</v>
      </c>
      <c r="G2910" s="60">
        <f>+OtherClients[[#This Row],[Boxes / Pieces]]*OtherClients[[#This Row],[Unit Quantity]]</f>
        <v>9900</v>
      </c>
      <c r="H2910" s="60" t="s">
        <v>816</v>
      </c>
      <c r="I2910" s="60" t="s">
        <v>278</v>
      </c>
      <c r="J2910" s="104"/>
      <c r="K2910" s="33" t="s">
        <v>278</v>
      </c>
      <c r="L2910" s="111"/>
      <c r="M2910" s="33" t="s">
        <v>278</v>
      </c>
      <c r="N2910" s="111"/>
      <c r="O2910" s="33" t="s">
        <v>278</v>
      </c>
      <c r="P2910" s="111"/>
      <c r="Q2910" s="33" t="s">
        <v>587</v>
      </c>
      <c r="R2910" s="111"/>
      <c r="S2910" s="33" t="s">
        <v>278</v>
      </c>
      <c r="T2910" s="111"/>
      <c r="U2910" s="33" t="s">
        <v>278</v>
      </c>
      <c r="V2910" s="111"/>
      <c r="W2910" s="59" t="s">
        <v>548</v>
      </c>
      <c r="X2910" s="33" t="str">
        <f>+VLOOKUP(OtherClients[[#This Row],[Part]],PartControl!$A$2:$E$564,5,FALSE)</f>
        <v>infasco</v>
      </c>
      <c r="Y2910" s="108">
        <f>IF(OtherClients[[#This Row],[Re-certified or New]]&lt;&gt;"Re-certified",IF(OtherClients[[#This Row],[Client]]="infasco",VLOOKUP(OtherClients[[#This Row],[Part]],PartControl!$A$2:$E$564,2,FALSE),OtherClients[[#This Row],[Total Quantity]]*VLOOKUP(OtherClients[[#This Row],[Part]],PartControl!$A$2:$E$564,2,FALSE)),0)</f>
        <v>280.16000000000003</v>
      </c>
      <c r="Z2910" s="108">
        <f>IF(OtherClients[[#This Row],[Re-certified or New]]&lt;&gt;"Re-certified",IF(OtherClients[[#This Row],[Client]]="infasco",VLOOKUP(OtherClients[[#This Row],[Part]],PartControl!$A$2:$E$564,2,FALSE),OtherClients[[#This Row],[Total Quantity]]*VLOOKUP(OtherClients[[#This Row],[Part]],PartControl!$A$2:$E$564,2,FALSE)),0)</f>
        <v>280.16000000000003</v>
      </c>
    </row>
    <row r="2911" spans="1:26" ht="25.15" hidden="1" customHeight="1" x14ac:dyDescent="0.25">
      <c r="A2911" s="112">
        <v>46275.707291666666</v>
      </c>
      <c r="B2911" s="5" t="s">
        <v>344</v>
      </c>
      <c r="C2911" s="5">
        <v>11546566</v>
      </c>
      <c r="D2911" s="5">
        <v>718049</v>
      </c>
      <c r="E2911" s="33">
        <v>28</v>
      </c>
      <c r="F2911" s="60">
        <v>1800</v>
      </c>
      <c r="G2911" s="60">
        <f>+OtherClients[[#This Row],[Boxes / Pieces]]*OtherClients[[#This Row],[Unit Quantity]]</f>
        <v>50400</v>
      </c>
      <c r="H2911" s="60" t="s">
        <v>816</v>
      </c>
      <c r="I2911" s="60" t="s">
        <v>278</v>
      </c>
      <c r="J2911" s="104"/>
      <c r="K2911" s="33" t="s">
        <v>278</v>
      </c>
      <c r="L2911" s="111"/>
      <c r="M2911" s="33" t="s">
        <v>278</v>
      </c>
      <c r="N2911" s="111"/>
      <c r="O2911" s="33" t="s">
        <v>278</v>
      </c>
      <c r="P2911" s="111"/>
      <c r="Q2911" s="33" t="s">
        <v>587</v>
      </c>
      <c r="R2911" s="111"/>
      <c r="S2911" s="33" t="s">
        <v>278</v>
      </c>
      <c r="T2911" s="111"/>
      <c r="U2911" s="33" t="s">
        <v>278</v>
      </c>
      <c r="V2911" s="111"/>
      <c r="W2911" s="59" t="s">
        <v>548</v>
      </c>
      <c r="X2911" s="33" t="str">
        <f>+VLOOKUP(OtherClients[[#This Row],[Part]],PartControl!$A$2:$E$564,5,FALSE)</f>
        <v>infasco</v>
      </c>
      <c r="Y2911" s="108">
        <f>IF(OtherClients[[#This Row],[Re-certified or New]]&lt;&gt;"Re-certified",IF(OtherClients[[#This Row],[Client]]="infasco",VLOOKUP(OtherClients[[#This Row],[Part]],PartControl!$A$2:$E$564,2,FALSE),OtherClients[[#This Row],[Total Quantity]]*VLOOKUP(OtherClients[[#This Row],[Part]],PartControl!$A$2:$E$564,2,FALSE)),0)</f>
        <v>135.07999999999998</v>
      </c>
      <c r="Z2911" s="108">
        <f>IF(OtherClients[[#This Row],[Re-certified or New]]&lt;&gt;"Re-certified",IF(OtherClients[[#This Row],[Client]]="infasco",VLOOKUP(OtherClients[[#This Row],[Part]],PartControl!$A$2:$E$564,2,FALSE),OtherClients[[#This Row],[Total Quantity]]*VLOOKUP(OtherClients[[#This Row],[Part]],PartControl!$A$2:$E$564,2,FALSE)),0)</f>
        <v>135.07999999999998</v>
      </c>
    </row>
    <row r="2912" spans="1:26" ht="25.15" hidden="1" customHeight="1" x14ac:dyDescent="0.25">
      <c r="A2912" s="112">
        <v>46275.707291666666</v>
      </c>
      <c r="B2912" s="5" t="s">
        <v>344</v>
      </c>
      <c r="C2912" s="5" t="s">
        <v>16</v>
      </c>
      <c r="D2912" s="5">
        <v>714432</v>
      </c>
      <c r="E2912" s="33">
        <v>29</v>
      </c>
      <c r="F2912" s="60">
        <v>1400</v>
      </c>
      <c r="G2912" s="60">
        <f>+OtherClients[[#This Row],[Boxes / Pieces]]*OtherClients[[#This Row],[Unit Quantity]]</f>
        <v>40600</v>
      </c>
      <c r="H2912" s="60" t="s">
        <v>816</v>
      </c>
      <c r="I2912" s="60" t="s">
        <v>278</v>
      </c>
      <c r="J2912" s="104"/>
      <c r="K2912" s="33" t="s">
        <v>278</v>
      </c>
      <c r="L2912" s="111"/>
      <c r="M2912" s="33" t="s">
        <v>278</v>
      </c>
      <c r="N2912" s="111"/>
      <c r="O2912" s="33" t="s">
        <v>278</v>
      </c>
      <c r="P2912" s="111"/>
      <c r="Q2912" s="33" t="s">
        <v>587</v>
      </c>
      <c r="R2912" s="111"/>
      <c r="S2912" s="33" t="s">
        <v>278</v>
      </c>
      <c r="T2912" s="111"/>
      <c r="U2912" s="33" t="s">
        <v>278</v>
      </c>
      <c r="V2912" s="111"/>
      <c r="W2912" s="59" t="s">
        <v>548</v>
      </c>
      <c r="X2912" s="33" t="str">
        <f>+VLOOKUP(OtherClients[[#This Row],[Part]],PartControl!$A$2:$E$564,5,FALSE)</f>
        <v>infasco</v>
      </c>
      <c r="Y2912" s="108">
        <f>IF(OtherClients[[#This Row],[Re-certified or New]]&lt;&gt;"Re-certified",IF(OtherClients[[#This Row],[Client]]="infasco",VLOOKUP(OtherClients[[#This Row],[Part]],PartControl!$A$2:$E$564,2,FALSE),OtherClients[[#This Row],[Total Quantity]]*VLOOKUP(OtherClients[[#This Row],[Part]],PartControl!$A$2:$E$564,2,FALSE)),0)</f>
        <v>106.94</v>
      </c>
      <c r="Z2912" s="108">
        <f>IF(OtherClients[[#This Row],[Re-certified or New]]&lt;&gt;"Re-certified",IF(OtherClients[[#This Row],[Client]]="infasco",VLOOKUP(OtherClients[[#This Row],[Part]],PartControl!$A$2:$E$564,2,FALSE),OtherClients[[#This Row],[Total Quantity]]*VLOOKUP(OtherClients[[#This Row],[Part]],PartControl!$A$2:$E$564,2,FALSE)),0)</f>
        <v>106.94</v>
      </c>
    </row>
    <row r="2913" spans="1:26" ht="25.15" hidden="1" customHeight="1" x14ac:dyDescent="0.25">
      <c r="A2913" s="112">
        <v>46275.707291666666</v>
      </c>
      <c r="B2913" s="5" t="s">
        <v>344</v>
      </c>
      <c r="C2913" s="5" t="s">
        <v>869</v>
      </c>
      <c r="D2913" s="5">
        <v>714611</v>
      </c>
      <c r="E2913" s="33">
        <v>21</v>
      </c>
      <c r="F2913" s="60">
        <v>220</v>
      </c>
      <c r="G2913" s="60">
        <f>+OtherClients[[#This Row],[Boxes / Pieces]]*OtherClients[[#This Row],[Unit Quantity]]</f>
        <v>4620</v>
      </c>
      <c r="H2913" s="60" t="s">
        <v>816</v>
      </c>
      <c r="I2913" s="60" t="s">
        <v>278</v>
      </c>
      <c r="J2913" s="104"/>
      <c r="K2913" s="33" t="s">
        <v>278</v>
      </c>
      <c r="L2913" s="111"/>
      <c r="M2913" s="33" t="s">
        <v>278</v>
      </c>
      <c r="N2913" s="111"/>
      <c r="O2913" s="33" t="s">
        <v>278</v>
      </c>
      <c r="P2913" s="111"/>
      <c r="Q2913" s="33" t="s">
        <v>587</v>
      </c>
      <c r="R2913" s="111"/>
      <c r="S2913" s="33" t="s">
        <v>278</v>
      </c>
      <c r="T2913" s="111"/>
      <c r="U2913" s="33" t="s">
        <v>278</v>
      </c>
      <c r="V2913" s="111"/>
      <c r="W2913" s="59" t="s">
        <v>548</v>
      </c>
      <c r="X2913" s="33" t="str">
        <f>+VLOOKUP(OtherClients[[#This Row],[Part]],PartControl!$A$2:$E$564,5,FALSE)</f>
        <v>infasco</v>
      </c>
      <c r="Y2913" s="108">
        <f>IF(OtherClients[[#This Row],[Re-certified or New]]&lt;&gt;"Re-certified",IF(OtherClients[[#This Row],[Client]]="infasco",VLOOKUP(OtherClients[[#This Row],[Part]],PartControl!$A$2:$E$564,2,FALSE),OtherClients[[#This Row],[Total Quantity]]*VLOOKUP(OtherClients[[#This Row],[Part]],PartControl!$A$2:$E$564,2,FALSE)),0)</f>
        <v>106.94</v>
      </c>
      <c r="Z2913" s="108">
        <f>IF(OtherClients[[#This Row],[Re-certified or New]]&lt;&gt;"Re-certified",IF(OtherClients[[#This Row],[Client]]="infasco",VLOOKUP(OtherClients[[#This Row],[Part]],PartControl!$A$2:$E$564,2,FALSE),OtherClients[[#This Row],[Total Quantity]]*VLOOKUP(OtherClients[[#This Row],[Part]],PartControl!$A$2:$E$564,2,FALSE)),0)</f>
        <v>106.94</v>
      </c>
    </row>
    <row r="2914" spans="1:26" ht="25.15" hidden="1" customHeight="1" x14ac:dyDescent="0.25">
      <c r="A2914" s="112">
        <v>46275.707291666666</v>
      </c>
      <c r="B2914" s="5" t="s">
        <v>344</v>
      </c>
      <c r="C2914" s="5">
        <v>40110160</v>
      </c>
      <c r="D2914" s="5">
        <v>716742</v>
      </c>
      <c r="E2914" s="33">
        <v>35</v>
      </c>
      <c r="F2914" s="60">
        <v>200</v>
      </c>
      <c r="G2914" s="60">
        <f>+OtherClients[[#This Row],[Boxes / Pieces]]*OtherClients[[#This Row],[Unit Quantity]]</f>
        <v>7000</v>
      </c>
      <c r="H2914" s="60" t="s">
        <v>816</v>
      </c>
      <c r="I2914" s="60" t="s">
        <v>278</v>
      </c>
      <c r="J2914" s="104"/>
      <c r="K2914" s="33" t="s">
        <v>278</v>
      </c>
      <c r="L2914" s="111"/>
      <c r="M2914" s="33" t="s">
        <v>278</v>
      </c>
      <c r="N2914" s="111"/>
      <c r="O2914" s="33" t="s">
        <v>278</v>
      </c>
      <c r="P2914" s="111"/>
      <c r="Q2914" s="33" t="s">
        <v>587</v>
      </c>
      <c r="R2914" s="111"/>
      <c r="S2914" s="33" t="s">
        <v>278</v>
      </c>
      <c r="T2914" s="111"/>
      <c r="U2914" s="33" t="s">
        <v>278</v>
      </c>
      <c r="V2914" s="111"/>
      <c r="W2914" s="59" t="s">
        <v>548</v>
      </c>
      <c r="X2914" s="33" t="str">
        <f>+VLOOKUP(OtherClients[[#This Row],[Part]],PartControl!$A$2:$E$564,5,FALSE)</f>
        <v>INFASCO</v>
      </c>
      <c r="Y2914" s="108">
        <f>IF(OtherClients[[#This Row],[Re-certified or New]]&lt;&gt;"Re-certified",IF(OtherClients[[#This Row],[Client]]="infasco",VLOOKUP(OtherClients[[#This Row],[Part]],PartControl!$A$2:$E$564,2,FALSE),OtherClients[[#This Row],[Total Quantity]]*VLOOKUP(OtherClients[[#This Row],[Part]],PartControl!$A$2:$E$564,2,FALSE)),0)</f>
        <v>106.94</v>
      </c>
      <c r="Z2914" s="108">
        <f>IF(OtherClients[[#This Row],[Re-certified or New]]&lt;&gt;"Re-certified",IF(OtherClients[[#This Row],[Client]]="infasco",VLOOKUP(OtherClients[[#This Row],[Part]],PartControl!$A$2:$E$564,2,FALSE),OtherClients[[#This Row],[Total Quantity]]*VLOOKUP(OtherClients[[#This Row],[Part]],PartControl!$A$2:$E$564,2,FALSE)),0)</f>
        <v>106.94</v>
      </c>
    </row>
    <row r="2915" spans="1:26" ht="25.15" hidden="1" customHeight="1" x14ac:dyDescent="0.25">
      <c r="A2915" s="112">
        <v>46275.707291666666</v>
      </c>
      <c r="B2915" s="5" t="s">
        <v>344</v>
      </c>
      <c r="C2915" s="5">
        <v>11602326</v>
      </c>
      <c r="D2915" s="5">
        <v>718619</v>
      </c>
      <c r="E2915" s="33">
        <v>31</v>
      </c>
      <c r="F2915" s="60">
        <v>120</v>
      </c>
      <c r="G2915" s="60">
        <f>+OtherClients[[#This Row],[Boxes / Pieces]]*OtherClients[[#This Row],[Unit Quantity]]</f>
        <v>3720</v>
      </c>
      <c r="H2915" s="60" t="s">
        <v>816</v>
      </c>
      <c r="I2915" s="60" t="s">
        <v>278</v>
      </c>
      <c r="J2915" s="104"/>
      <c r="K2915" s="33" t="s">
        <v>278</v>
      </c>
      <c r="L2915" s="111"/>
      <c r="M2915" s="33" t="s">
        <v>278</v>
      </c>
      <c r="N2915" s="111"/>
      <c r="O2915" s="33" t="s">
        <v>278</v>
      </c>
      <c r="P2915" s="111"/>
      <c r="Q2915" s="33" t="s">
        <v>587</v>
      </c>
      <c r="R2915" s="111"/>
      <c r="S2915" s="33" t="s">
        <v>278</v>
      </c>
      <c r="T2915" s="111"/>
      <c r="U2915" s="33" t="s">
        <v>278</v>
      </c>
      <c r="V2915" s="111"/>
      <c r="W2915" s="59" t="s">
        <v>548</v>
      </c>
      <c r="X2915" s="33" t="str">
        <f>+VLOOKUP(OtherClients[[#This Row],[Part]],PartControl!$A$2:$E$564,5,FALSE)</f>
        <v>INFASCO</v>
      </c>
      <c r="Y2915" s="108">
        <f>IF(OtherClients[[#This Row],[Re-certified or New]]&lt;&gt;"Re-certified",IF(OtherClients[[#This Row],[Client]]="infasco",VLOOKUP(OtherClients[[#This Row],[Part]],PartControl!$A$2:$E$564,2,FALSE),OtherClients[[#This Row],[Total Quantity]]*VLOOKUP(OtherClients[[#This Row],[Part]],PartControl!$A$2:$E$564,2,FALSE)),0)</f>
        <v>106.94</v>
      </c>
      <c r="Z2915" s="108">
        <f>IF(OtherClients[[#This Row],[Re-certified or New]]&lt;&gt;"Re-certified",IF(OtherClients[[#This Row],[Client]]="infasco",VLOOKUP(OtherClients[[#This Row],[Part]],PartControl!$A$2:$E$564,2,FALSE),OtherClients[[#This Row],[Total Quantity]]*VLOOKUP(OtherClients[[#This Row],[Part]],PartControl!$A$2:$E$564,2,FALSE)),0)</f>
        <v>106.94</v>
      </c>
    </row>
    <row r="2916" spans="1:26" ht="25.15" hidden="1" customHeight="1" x14ac:dyDescent="0.25">
      <c r="A2916" s="112">
        <v>46275.707291666666</v>
      </c>
      <c r="B2916" s="5" t="s">
        <v>344</v>
      </c>
      <c r="C2916" s="5">
        <v>11602326</v>
      </c>
      <c r="D2916" s="5">
        <v>718621</v>
      </c>
      <c r="E2916" s="33">
        <v>35</v>
      </c>
      <c r="F2916" s="60">
        <v>120</v>
      </c>
      <c r="G2916" s="60">
        <f>+OtherClients[[#This Row],[Boxes / Pieces]]*OtherClients[[#This Row],[Unit Quantity]]</f>
        <v>4200</v>
      </c>
      <c r="H2916" s="60" t="s">
        <v>816</v>
      </c>
      <c r="I2916" s="60" t="s">
        <v>278</v>
      </c>
      <c r="J2916" s="104"/>
      <c r="K2916" s="33" t="s">
        <v>278</v>
      </c>
      <c r="L2916" s="111"/>
      <c r="M2916" s="33" t="s">
        <v>278</v>
      </c>
      <c r="N2916" s="111"/>
      <c r="O2916" s="33" t="s">
        <v>278</v>
      </c>
      <c r="P2916" s="111"/>
      <c r="Q2916" s="33" t="s">
        <v>587</v>
      </c>
      <c r="R2916" s="111"/>
      <c r="S2916" s="33" t="s">
        <v>278</v>
      </c>
      <c r="T2916" s="111"/>
      <c r="U2916" s="33" t="s">
        <v>278</v>
      </c>
      <c r="V2916" s="111"/>
      <c r="W2916" s="59" t="s">
        <v>548</v>
      </c>
      <c r="X2916" s="33" t="str">
        <f>+VLOOKUP(OtherClients[[#This Row],[Part]],PartControl!$A$2:$E$564,5,FALSE)</f>
        <v>INFASCO</v>
      </c>
      <c r="Y2916" s="108">
        <f>IF(OtherClients[[#This Row],[Re-certified or New]]&lt;&gt;"Re-certified",IF(OtherClients[[#This Row],[Client]]="infasco",VLOOKUP(OtherClients[[#This Row],[Part]],PartControl!$A$2:$E$564,2,FALSE),OtherClients[[#This Row],[Total Quantity]]*VLOOKUP(OtherClients[[#This Row],[Part]],PartControl!$A$2:$E$564,2,FALSE)),0)</f>
        <v>106.94</v>
      </c>
      <c r="Z2916" s="108">
        <f>IF(OtherClients[[#This Row],[Re-certified or New]]&lt;&gt;"Re-certified",IF(OtherClients[[#This Row],[Client]]="infasco",VLOOKUP(OtherClients[[#This Row],[Part]],PartControl!$A$2:$E$564,2,FALSE),OtherClients[[#This Row],[Total Quantity]]*VLOOKUP(OtherClients[[#This Row],[Part]],PartControl!$A$2:$E$564,2,FALSE)),0)</f>
        <v>106.94</v>
      </c>
    </row>
    <row r="2917" spans="1:26" ht="25.15" hidden="1" customHeight="1" x14ac:dyDescent="0.25">
      <c r="A2917" s="112">
        <v>46275.707291666666</v>
      </c>
      <c r="B2917" s="5" t="s">
        <v>344</v>
      </c>
      <c r="C2917" s="5">
        <v>11546703</v>
      </c>
      <c r="D2917" s="5">
        <v>715815</v>
      </c>
      <c r="E2917" s="33">
        <v>35</v>
      </c>
      <c r="F2917" s="60">
        <v>4000</v>
      </c>
      <c r="G2917" s="60">
        <f>+OtherClients[[#This Row],[Boxes / Pieces]]*OtherClients[[#This Row],[Unit Quantity]]</f>
        <v>140000</v>
      </c>
      <c r="H2917" s="60" t="s">
        <v>816</v>
      </c>
      <c r="I2917" s="60" t="s">
        <v>278</v>
      </c>
      <c r="J2917" s="104"/>
      <c r="K2917" s="33" t="s">
        <v>278</v>
      </c>
      <c r="L2917" s="111"/>
      <c r="M2917" s="33" t="s">
        <v>278</v>
      </c>
      <c r="N2917" s="111"/>
      <c r="O2917" s="33" t="s">
        <v>278</v>
      </c>
      <c r="P2917" s="111"/>
      <c r="Q2917" s="33" t="s">
        <v>587</v>
      </c>
      <c r="R2917" s="111"/>
      <c r="S2917" s="33" t="s">
        <v>278</v>
      </c>
      <c r="T2917" s="111"/>
      <c r="U2917" s="33" t="s">
        <v>278</v>
      </c>
      <c r="V2917" s="111"/>
      <c r="W2917" s="59" t="s">
        <v>548</v>
      </c>
      <c r="X2917" s="33" t="str">
        <f>+VLOOKUP(OtherClients[[#This Row],[Part]],PartControl!$A$2:$E$564,5,FALSE)</f>
        <v>infasco</v>
      </c>
      <c r="Y2917" s="108">
        <f>IF(OtherClients[[#This Row],[Re-certified or New]]&lt;&gt;"Re-certified",IF(OtherClients[[#This Row],[Client]]="infasco",VLOOKUP(OtherClients[[#This Row],[Part]],PartControl!$A$2:$E$564,2,FALSE),OtherClients[[#This Row],[Total Quantity]]*VLOOKUP(OtherClients[[#This Row],[Part]],PartControl!$A$2:$E$564,2,FALSE)),0)</f>
        <v>135.07999999999998</v>
      </c>
      <c r="Z2917" s="108">
        <f>IF(OtherClients[[#This Row],[Re-certified or New]]&lt;&gt;"Re-certified",IF(OtherClients[[#This Row],[Client]]="infasco",VLOOKUP(OtherClients[[#This Row],[Part]],PartControl!$A$2:$E$564,2,FALSE),OtherClients[[#This Row],[Total Quantity]]*VLOOKUP(OtherClients[[#This Row],[Part]],PartControl!$A$2:$E$564,2,FALSE)),0)</f>
        <v>135.07999999999998</v>
      </c>
    </row>
    <row r="2918" spans="1:26" ht="25.15" hidden="1" customHeight="1" x14ac:dyDescent="0.25">
      <c r="A2918" s="112">
        <v>46275.707291666666</v>
      </c>
      <c r="B2918" s="5" t="s">
        <v>344</v>
      </c>
      <c r="C2918" s="5">
        <v>11549204</v>
      </c>
      <c r="D2918" s="5">
        <v>717966</v>
      </c>
      <c r="E2918" s="33">
        <v>35</v>
      </c>
      <c r="F2918" s="60">
        <v>210</v>
      </c>
      <c r="G2918" s="60">
        <f>+OtherClients[[#This Row],[Boxes / Pieces]]*OtherClients[[#This Row],[Unit Quantity]]</f>
        <v>7350</v>
      </c>
      <c r="H2918" s="60" t="s">
        <v>816</v>
      </c>
      <c r="I2918" s="60" t="s">
        <v>278</v>
      </c>
      <c r="J2918" s="104"/>
      <c r="K2918" s="33" t="s">
        <v>278</v>
      </c>
      <c r="L2918" s="111"/>
      <c r="M2918" s="33" t="s">
        <v>278</v>
      </c>
      <c r="N2918" s="111"/>
      <c r="O2918" s="33" t="s">
        <v>278</v>
      </c>
      <c r="P2918" s="111"/>
      <c r="Q2918" s="33" t="s">
        <v>587</v>
      </c>
      <c r="R2918" s="111"/>
      <c r="S2918" s="33" t="s">
        <v>278</v>
      </c>
      <c r="T2918" s="111"/>
      <c r="U2918" s="33" t="s">
        <v>278</v>
      </c>
      <c r="V2918" s="111"/>
      <c r="W2918" s="59" t="s">
        <v>548</v>
      </c>
      <c r="X2918" s="33" t="str">
        <f>+VLOOKUP(OtherClients[[#This Row],[Part]],PartControl!$A$2:$E$564,5,FALSE)</f>
        <v>INFASCO</v>
      </c>
      <c r="Y2918" s="108">
        <f>IF(OtherClients[[#This Row],[Re-certified or New]]&lt;&gt;"Re-certified",IF(OtherClients[[#This Row],[Client]]="infasco",VLOOKUP(OtherClients[[#This Row],[Part]],PartControl!$A$2:$E$564,2,FALSE),OtherClients[[#This Row],[Total Quantity]]*VLOOKUP(OtherClients[[#This Row],[Part]],PartControl!$A$2:$E$564,2,FALSE)),0)</f>
        <v>106.94</v>
      </c>
      <c r="Z2918" s="108">
        <f>IF(OtherClients[[#This Row],[Re-certified or New]]&lt;&gt;"Re-certified",IF(OtherClients[[#This Row],[Client]]="infasco",VLOOKUP(OtherClients[[#This Row],[Part]],PartControl!$A$2:$E$564,2,FALSE),OtherClients[[#This Row],[Total Quantity]]*VLOOKUP(OtherClients[[#This Row],[Part]],PartControl!$A$2:$E$564,2,FALSE)),0)</f>
        <v>106.94</v>
      </c>
    </row>
    <row r="2919" spans="1:26" ht="25.15" hidden="1" customHeight="1" x14ac:dyDescent="0.25">
      <c r="A2919" s="112">
        <v>46275.707291666666</v>
      </c>
      <c r="B2919" s="5" t="s">
        <v>344</v>
      </c>
      <c r="C2919" s="5">
        <v>11549204</v>
      </c>
      <c r="D2919" s="5">
        <v>717962</v>
      </c>
      <c r="E2919" s="33">
        <v>14</v>
      </c>
      <c r="F2919" s="60">
        <v>210</v>
      </c>
      <c r="G2919" s="60">
        <f>+OtherClients[[#This Row],[Boxes / Pieces]]*OtherClients[[#This Row],[Unit Quantity]]</f>
        <v>2940</v>
      </c>
      <c r="H2919" s="60" t="s">
        <v>816</v>
      </c>
      <c r="I2919" s="60" t="s">
        <v>278</v>
      </c>
      <c r="J2919" s="104"/>
      <c r="K2919" s="33" t="s">
        <v>278</v>
      </c>
      <c r="L2919" s="111"/>
      <c r="M2919" s="33" t="s">
        <v>278</v>
      </c>
      <c r="N2919" s="111"/>
      <c r="O2919" s="33" t="s">
        <v>278</v>
      </c>
      <c r="P2919" s="111"/>
      <c r="Q2919" s="33" t="s">
        <v>587</v>
      </c>
      <c r="R2919" s="111"/>
      <c r="S2919" s="33" t="s">
        <v>278</v>
      </c>
      <c r="T2919" s="111"/>
      <c r="U2919" s="33" t="s">
        <v>278</v>
      </c>
      <c r="V2919" s="111"/>
      <c r="W2919" s="59" t="s">
        <v>633</v>
      </c>
      <c r="X2919" s="33" t="str">
        <f>+VLOOKUP(OtherClients[[#This Row],[Part]],PartControl!$A$2:$E$564,5,FALSE)</f>
        <v>INFASCO</v>
      </c>
      <c r="Y2919" s="108">
        <f>IF(OtherClients[[#This Row],[Re-certified or New]]&lt;&gt;"Re-certified",IF(OtherClients[[#This Row],[Client]]="infasco",VLOOKUP(OtherClients[[#This Row],[Part]],PartControl!$A$2:$E$564,2,FALSE),OtherClients[[#This Row],[Total Quantity]]*VLOOKUP(OtherClients[[#This Row],[Part]],PartControl!$A$2:$E$564,2,FALSE)),0)</f>
        <v>0</v>
      </c>
      <c r="Z2919" s="108">
        <f>IF(OtherClients[[#This Row],[Re-certified or New]]&lt;&gt;"Re-certified",IF(OtherClients[[#This Row],[Client]]="infasco",VLOOKUP(OtherClients[[#This Row],[Part]],PartControl!$A$2:$E$564,2,FALSE),OtherClients[[#This Row],[Total Quantity]]*VLOOKUP(OtherClients[[#This Row],[Part]],PartControl!$A$2:$E$564,2,FALSE)),0)</f>
        <v>0</v>
      </c>
    </row>
    <row r="2920" spans="1:26" ht="25.15" hidden="1" customHeight="1" x14ac:dyDescent="0.25">
      <c r="A2920" s="112">
        <v>46275.707291666666</v>
      </c>
      <c r="B2920" s="5" t="s">
        <v>345</v>
      </c>
      <c r="C2920" s="5">
        <v>11602292</v>
      </c>
      <c r="D2920" s="5">
        <v>718070</v>
      </c>
      <c r="E2920" s="33">
        <v>23</v>
      </c>
      <c r="F2920" s="60">
        <v>1000</v>
      </c>
      <c r="G2920" s="60">
        <f>+OtherClients[[#This Row],[Boxes / Pieces]]*OtherClients[[#This Row],[Unit Quantity]]</f>
        <v>23000</v>
      </c>
      <c r="H2920" s="60" t="s">
        <v>896</v>
      </c>
      <c r="I2920" s="60" t="s">
        <v>278</v>
      </c>
      <c r="J2920" s="104"/>
      <c r="K2920" s="33" t="s">
        <v>278</v>
      </c>
      <c r="L2920" s="111"/>
      <c r="M2920" s="33" t="s">
        <v>278</v>
      </c>
      <c r="N2920" s="111"/>
      <c r="O2920" s="33" t="s">
        <v>278</v>
      </c>
      <c r="P2920" s="111"/>
      <c r="Q2920" s="33" t="s">
        <v>587</v>
      </c>
      <c r="R2920" s="111"/>
      <c r="S2920" s="33" t="s">
        <v>278</v>
      </c>
      <c r="T2920" s="111"/>
      <c r="U2920" s="33" t="s">
        <v>278</v>
      </c>
      <c r="V2920" s="111"/>
      <c r="W2920" s="59" t="s">
        <v>548</v>
      </c>
      <c r="X2920" s="33" t="str">
        <f>+VLOOKUP(OtherClients[[#This Row],[Part]],PartControl!$A$2:$E$564,5,FALSE)</f>
        <v>INFASCO</v>
      </c>
      <c r="Y2920" s="108">
        <f>IF(OtherClients[[#This Row],[Re-certified or New]]&lt;&gt;"Re-certified",IF(OtherClients[[#This Row],[Client]]="infasco",VLOOKUP(OtherClients[[#This Row],[Part]],PartControl!$A$2:$E$564,2,FALSE),OtherClients[[#This Row],[Total Quantity]]*VLOOKUP(OtherClients[[#This Row],[Part]],PartControl!$A$2:$E$564,2,FALSE)),0)</f>
        <v>135.07999999999998</v>
      </c>
      <c r="Z2920" s="108">
        <f>IF(OtherClients[[#This Row],[Re-certified or New]]&lt;&gt;"Re-certified",IF(OtherClients[[#This Row],[Client]]="infasco",VLOOKUP(OtherClients[[#This Row],[Part]],PartControl!$A$2:$E$564,2,FALSE),OtherClients[[#This Row],[Total Quantity]]*VLOOKUP(OtherClients[[#This Row],[Part]],PartControl!$A$2:$E$564,2,FALSE)),0)</f>
        <v>135.07999999999998</v>
      </c>
    </row>
    <row r="2921" spans="1:26" ht="25.15" hidden="1" customHeight="1" x14ac:dyDescent="0.25">
      <c r="A2921" s="112">
        <v>46275.707291666666</v>
      </c>
      <c r="B2921" s="5" t="s">
        <v>345</v>
      </c>
      <c r="C2921" s="5">
        <v>11602292</v>
      </c>
      <c r="D2921" s="5">
        <v>718069</v>
      </c>
      <c r="E2921" s="33">
        <v>24</v>
      </c>
      <c r="F2921" s="60">
        <v>1000</v>
      </c>
      <c r="G2921" s="60">
        <f>+OtherClients[[#This Row],[Boxes / Pieces]]*OtherClients[[#This Row],[Unit Quantity]]</f>
        <v>24000</v>
      </c>
      <c r="H2921" s="60" t="s">
        <v>896</v>
      </c>
      <c r="I2921" s="60" t="s">
        <v>278</v>
      </c>
      <c r="J2921" s="104"/>
      <c r="K2921" s="33" t="s">
        <v>278</v>
      </c>
      <c r="L2921" s="111"/>
      <c r="M2921" s="33" t="s">
        <v>278</v>
      </c>
      <c r="N2921" s="111"/>
      <c r="O2921" s="33" t="s">
        <v>278</v>
      </c>
      <c r="P2921" s="111"/>
      <c r="Q2921" s="33" t="s">
        <v>587</v>
      </c>
      <c r="R2921" s="111"/>
      <c r="S2921" s="33" t="s">
        <v>278</v>
      </c>
      <c r="T2921" s="111"/>
      <c r="U2921" s="33" t="s">
        <v>278</v>
      </c>
      <c r="V2921" s="111"/>
      <c r="W2921" s="59" t="s">
        <v>548</v>
      </c>
      <c r="X2921" s="33" t="str">
        <f>+VLOOKUP(OtherClients[[#This Row],[Part]],PartControl!$A$2:$E$564,5,FALSE)</f>
        <v>INFASCO</v>
      </c>
      <c r="Y2921" s="108">
        <f>IF(OtherClients[[#This Row],[Re-certified or New]]&lt;&gt;"Re-certified",IF(OtherClients[[#This Row],[Client]]="infasco",VLOOKUP(OtherClients[[#This Row],[Part]],PartControl!$A$2:$E$564,2,FALSE),OtherClients[[#This Row],[Total Quantity]]*VLOOKUP(OtherClients[[#This Row],[Part]],PartControl!$A$2:$E$564,2,FALSE)),0)</f>
        <v>135.07999999999998</v>
      </c>
      <c r="Z2921" s="108">
        <f>IF(OtherClients[[#This Row],[Re-certified or New]]&lt;&gt;"Re-certified",IF(OtherClients[[#This Row],[Client]]="infasco",VLOOKUP(OtherClients[[#This Row],[Part]],PartControl!$A$2:$E$564,2,FALSE),OtherClients[[#This Row],[Total Quantity]]*VLOOKUP(OtherClients[[#This Row],[Part]],PartControl!$A$2:$E$564,2,FALSE)),0)</f>
        <v>135.07999999999998</v>
      </c>
    </row>
    <row r="2922" spans="1:26" ht="25.15" hidden="1" customHeight="1" x14ac:dyDescent="0.25">
      <c r="A2922" s="112">
        <v>46275.707291666666</v>
      </c>
      <c r="B2922" s="5" t="s">
        <v>345</v>
      </c>
      <c r="C2922" s="5">
        <v>11546566</v>
      </c>
      <c r="D2922" s="5">
        <v>718047</v>
      </c>
      <c r="E2922" s="33">
        <v>30</v>
      </c>
      <c r="F2922" s="60">
        <v>1800</v>
      </c>
      <c r="G2922" s="60">
        <f>+OtherClients[[#This Row],[Boxes / Pieces]]*OtherClients[[#This Row],[Unit Quantity]]</f>
        <v>54000</v>
      </c>
      <c r="H2922" s="60" t="s">
        <v>896</v>
      </c>
      <c r="I2922" s="60" t="s">
        <v>278</v>
      </c>
      <c r="J2922" s="104"/>
      <c r="K2922" s="33" t="s">
        <v>278</v>
      </c>
      <c r="L2922" s="111"/>
      <c r="M2922" s="33" t="s">
        <v>278</v>
      </c>
      <c r="N2922" s="111"/>
      <c r="O2922" s="33" t="s">
        <v>278</v>
      </c>
      <c r="P2922" s="111"/>
      <c r="Q2922" s="33" t="s">
        <v>587</v>
      </c>
      <c r="R2922" s="111"/>
      <c r="S2922" s="33" t="s">
        <v>278</v>
      </c>
      <c r="T2922" s="111"/>
      <c r="U2922" s="33" t="s">
        <v>278</v>
      </c>
      <c r="V2922" s="111"/>
      <c r="W2922" s="59" t="s">
        <v>548</v>
      </c>
      <c r="X2922" s="33" t="str">
        <f>+VLOOKUP(OtherClients[[#This Row],[Part]],PartControl!$A$2:$E$564,5,FALSE)</f>
        <v>infasco</v>
      </c>
      <c r="Y2922" s="108">
        <f>IF(OtherClients[[#This Row],[Re-certified or New]]&lt;&gt;"Re-certified",IF(OtherClients[[#This Row],[Client]]="infasco",VLOOKUP(OtherClients[[#This Row],[Part]],PartControl!$A$2:$E$564,2,FALSE),OtherClients[[#This Row],[Total Quantity]]*VLOOKUP(OtherClients[[#This Row],[Part]],PartControl!$A$2:$E$564,2,FALSE)),0)</f>
        <v>135.07999999999998</v>
      </c>
      <c r="Z2922" s="108">
        <f>IF(OtherClients[[#This Row],[Re-certified or New]]&lt;&gt;"Re-certified",IF(OtherClients[[#This Row],[Client]]="infasco",VLOOKUP(OtherClients[[#This Row],[Part]],PartControl!$A$2:$E$564,2,FALSE),OtherClients[[#This Row],[Total Quantity]]*VLOOKUP(OtherClients[[#This Row],[Part]],PartControl!$A$2:$E$564,2,FALSE)),0)</f>
        <v>135.07999999999998</v>
      </c>
    </row>
    <row r="2923" spans="1:26" ht="25.15" hidden="1" customHeight="1" x14ac:dyDescent="0.25">
      <c r="A2923" s="112">
        <v>46275.707291666666</v>
      </c>
      <c r="B2923" s="5" t="s">
        <v>345</v>
      </c>
      <c r="C2923" s="5">
        <v>11602326</v>
      </c>
      <c r="D2923" s="5">
        <v>718622</v>
      </c>
      <c r="E2923" s="33">
        <v>39</v>
      </c>
      <c r="F2923" s="60">
        <v>120</v>
      </c>
      <c r="G2923" s="60">
        <f>+OtherClients[[#This Row],[Boxes / Pieces]]*OtherClients[[#This Row],[Unit Quantity]]</f>
        <v>4680</v>
      </c>
      <c r="H2923" s="60" t="s">
        <v>896</v>
      </c>
      <c r="I2923" s="60" t="s">
        <v>278</v>
      </c>
      <c r="J2923" s="104"/>
      <c r="K2923" s="33" t="s">
        <v>278</v>
      </c>
      <c r="L2923" s="111"/>
      <c r="M2923" s="33" t="s">
        <v>278</v>
      </c>
      <c r="N2923" s="111"/>
      <c r="O2923" s="33" t="s">
        <v>278</v>
      </c>
      <c r="P2923" s="111"/>
      <c r="Q2923" s="33" t="s">
        <v>587</v>
      </c>
      <c r="R2923" s="111"/>
      <c r="S2923" s="33" t="s">
        <v>278</v>
      </c>
      <c r="T2923" s="111"/>
      <c r="U2923" s="33" t="s">
        <v>278</v>
      </c>
      <c r="V2923" s="111"/>
      <c r="W2923" s="59" t="s">
        <v>548</v>
      </c>
      <c r="X2923" s="33" t="str">
        <f>+VLOOKUP(OtherClients[[#This Row],[Part]],PartControl!$A$2:$E$564,5,FALSE)</f>
        <v>INFASCO</v>
      </c>
      <c r="Y2923" s="108">
        <f>IF(OtherClients[[#This Row],[Re-certified or New]]&lt;&gt;"Re-certified",IF(OtherClients[[#This Row],[Client]]="infasco",VLOOKUP(OtherClients[[#This Row],[Part]],PartControl!$A$2:$E$564,2,FALSE),OtherClients[[#This Row],[Total Quantity]]*VLOOKUP(OtherClients[[#This Row],[Part]],PartControl!$A$2:$E$564,2,FALSE)),0)</f>
        <v>106.94</v>
      </c>
      <c r="Z2923" s="108">
        <f>IF(OtherClients[[#This Row],[Re-certified or New]]&lt;&gt;"Re-certified",IF(OtherClients[[#This Row],[Client]]="infasco",VLOOKUP(OtherClients[[#This Row],[Part]],PartControl!$A$2:$E$564,2,FALSE),OtherClients[[#This Row],[Total Quantity]]*VLOOKUP(OtherClients[[#This Row],[Part]],PartControl!$A$2:$E$564,2,FALSE)),0)</f>
        <v>106.94</v>
      </c>
    </row>
    <row r="2924" spans="1:26" ht="25.15" hidden="1" customHeight="1" x14ac:dyDescent="0.25">
      <c r="A2924" s="112">
        <v>46275.707291666666</v>
      </c>
      <c r="B2924" s="5" t="s">
        <v>345</v>
      </c>
      <c r="C2924" s="5" t="s">
        <v>848</v>
      </c>
      <c r="D2924" s="5">
        <v>717765</v>
      </c>
      <c r="E2924" s="33">
        <v>24</v>
      </c>
      <c r="F2924" s="60">
        <v>3200</v>
      </c>
      <c r="G2924" s="60">
        <f>+OtherClients[[#This Row],[Boxes / Pieces]]*OtherClients[[#This Row],[Unit Quantity]]</f>
        <v>76800</v>
      </c>
      <c r="H2924" s="60" t="s">
        <v>896</v>
      </c>
      <c r="I2924" s="60" t="s">
        <v>278</v>
      </c>
      <c r="J2924" s="104"/>
      <c r="K2924" s="33" t="s">
        <v>278</v>
      </c>
      <c r="L2924" s="111"/>
      <c r="M2924" s="33" t="s">
        <v>278</v>
      </c>
      <c r="N2924" s="111"/>
      <c r="O2924" s="33" t="s">
        <v>278</v>
      </c>
      <c r="P2924" s="111"/>
      <c r="Q2924" s="33" t="s">
        <v>587</v>
      </c>
      <c r="R2924" s="111"/>
      <c r="S2924" s="33" t="s">
        <v>278</v>
      </c>
      <c r="T2924" s="111"/>
      <c r="U2924" s="33" t="s">
        <v>278</v>
      </c>
      <c r="V2924" s="111"/>
      <c r="W2924" s="59" t="s">
        <v>548</v>
      </c>
      <c r="X2924" s="33" t="str">
        <f>+VLOOKUP(OtherClients[[#This Row],[Part]],PartControl!$A$2:$E$564,5,FALSE)</f>
        <v>infasco</v>
      </c>
      <c r="Y2924" s="108">
        <f>IF(OtherClients[[#This Row],[Re-certified or New]]&lt;&gt;"Re-certified",IF(OtherClients[[#This Row],[Client]]="infasco",VLOOKUP(OtherClients[[#This Row],[Part]],PartControl!$A$2:$E$564,2,FALSE),OtherClients[[#This Row],[Total Quantity]]*VLOOKUP(OtherClients[[#This Row],[Part]],PartControl!$A$2:$E$564,2,FALSE)),0)</f>
        <v>106.94</v>
      </c>
      <c r="Z2924" s="108">
        <f>IF(OtherClients[[#This Row],[Re-certified or New]]&lt;&gt;"Re-certified",IF(OtherClients[[#This Row],[Client]]="infasco",VLOOKUP(OtherClients[[#This Row],[Part]],PartControl!$A$2:$E$564,2,FALSE),OtherClients[[#This Row],[Total Quantity]]*VLOOKUP(OtherClients[[#This Row],[Part]],PartControl!$A$2:$E$564,2,FALSE)),0)</f>
        <v>106.94</v>
      </c>
    </row>
    <row r="2925" spans="1:26" ht="25.15" hidden="1" customHeight="1" x14ac:dyDescent="0.25">
      <c r="A2925" s="112">
        <v>46275.707291666666</v>
      </c>
      <c r="B2925" s="5" t="s">
        <v>345</v>
      </c>
      <c r="C2925" s="5">
        <v>11602292</v>
      </c>
      <c r="D2925" s="5">
        <v>718071</v>
      </c>
      <c r="E2925" s="33">
        <v>17</v>
      </c>
      <c r="F2925" s="60">
        <v>1000</v>
      </c>
      <c r="G2925" s="60">
        <f>+OtherClients[[#This Row],[Boxes / Pieces]]*OtherClients[[#This Row],[Unit Quantity]]</f>
        <v>17000</v>
      </c>
      <c r="H2925" s="60" t="s">
        <v>896</v>
      </c>
      <c r="I2925" s="60" t="s">
        <v>278</v>
      </c>
      <c r="J2925" s="104"/>
      <c r="K2925" s="33" t="s">
        <v>278</v>
      </c>
      <c r="L2925" s="111"/>
      <c r="M2925" s="33" t="s">
        <v>278</v>
      </c>
      <c r="N2925" s="111"/>
      <c r="O2925" s="33" t="s">
        <v>278</v>
      </c>
      <c r="P2925" s="111"/>
      <c r="Q2925" s="33" t="s">
        <v>587</v>
      </c>
      <c r="R2925" s="111"/>
      <c r="S2925" s="33" t="s">
        <v>278</v>
      </c>
      <c r="T2925" s="111"/>
      <c r="U2925" s="33" t="s">
        <v>278</v>
      </c>
      <c r="V2925" s="111"/>
      <c r="W2925" s="59" t="s">
        <v>548</v>
      </c>
      <c r="X2925" s="33" t="str">
        <f>+VLOOKUP(OtherClients[[#This Row],[Part]],PartControl!$A$2:$E$564,5,FALSE)</f>
        <v>INFASCO</v>
      </c>
      <c r="Y2925" s="108">
        <f>IF(OtherClients[[#This Row],[Re-certified or New]]&lt;&gt;"Re-certified",IF(OtherClients[[#This Row],[Client]]="infasco",VLOOKUP(OtherClients[[#This Row],[Part]],PartControl!$A$2:$E$564,2,FALSE),OtherClients[[#This Row],[Total Quantity]]*VLOOKUP(OtherClients[[#This Row],[Part]],PartControl!$A$2:$E$564,2,FALSE)),0)</f>
        <v>135.07999999999998</v>
      </c>
      <c r="Z2925" s="108">
        <f>IF(OtherClients[[#This Row],[Re-certified or New]]&lt;&gt;"Re-certified",IF(OtherClients[[#This Row],[Client]]="infasco",VLOOKUP(OtherClients[[#This Row],[Part]],PartControl!$A$2:$E$564,2,FALSE),OtherClients[[#This Row],[Total Quantity]]*VLOOKUP(OtherClients[[#This Row],[Part]],PartControl!$A$2:$E$564,2,FALSE)),0)</f>
        <v>135.07999999999998</v>
      </c>
    </row>
    <row r="2926" spans="1:26" ht="25.15" hidden="1" customHeight="1" x14ac:dyDescent="0.25">
      <c r="A2926" s="112">
        <v>46275.707291666666</v>
      </c>
      <c r="B2926" s="5" t="s">
        <v>345</v>
      </c>
      <c r="C2926" s="5" t="s">
        <v>788</v>
      </c>
      <c r="D2926" s="5">
        <v>718061</v>
      </c>
      <c r="E2926" s="33">
        <v>27</v>
      </c>
      <c r="F2926" s="60">
        <v>700</v>
      </c>
      <c r="G2926" s="60">
        <f>+OtherClients[[#This Row],[Boxes / Pieces]]*OtherClients[[#This Row],[Unit Quantity]]</f>
        <v>18900</v>
      </c>
      <c r="H2926" s="60" t="s">
        <v>896</v>
      </c>
      <c r="I2926" s="60" t="s">
        <v>278</v>
      </c>
      <c r="J2926" s="104"/>
      <c r="K2926" s="33" t="s">
        <v>278</v>
      </c>
      <c r="L2926" s="111"/>
      <c r="M2926" s="33" t="s">
        <v>278</v>
      </c>
      <c r="N2926" s="111"/>
      <c r="O2926" s="33" t="s">
        <v>278</v>
      </c>
      <c r="P2926" s="111"/>
      <c r="Q2926" s="33" t="s">
        <v>587</v>
      </c>
      <c r="R2926" s="111"/>
      <c r="S2926" s="33" t="s">
        <v>278</v>
      </c>
      <c r="T2926" s="111"/>
      <c r="U2926" s="33" t="s">
        <v>278</v>
      </c>
      <c r="V2926" s="111"/>
      <c r="W2926" s="59" t="s">
        <v>548</v>
      </c>
      <c r="X2926" s="33" t="str">
        <f>+VLOOKUP(OtherClients[[#This Row],[Part]],PartControl!$A$2:$E$564,5,FALSE)</f>
        <v>infasco</v>
      </c>
      <c r="Y2926" s="108">
        <f>IF(OtherClients[[#This Row],[Re-certified or New]]&lt;&gt;"Re-certified",IF(OtherClients[[#This Row],[Client]]="infasco",VLOOKUP(OtherClients[[#This Row],[Part]],PartControl!$A$2:$E$564,2,FALSE),OtherClients[[#This Row],[Total Quantity]]*VLOOKUP(OtherClients[[#This Row],[Part]],PartControl!$A$2:$E$564,2,FALSE)),0)</f>
        <v>135.08000000000001</v>
      </c>
      <c r="Z2926" s="108">
        <f>IF(OtherClients[[#This Row],[Re-certified or New]]&lt;&gt;"Re-certified",IF(OtherClients[[#This Row],[Client]]="infasco",VLOOKUP(OtherClients[[#This Row],[Part]],PartControl!$A$2:$E$564,2,FALSE),OtherClients[[#This Row],[Total Quantity]]*VLOOKUP(OtherClients[[#This Row],[Part]],PartControl!$A$2:$E$564,2,FALSE)),0)</f>
        <v>135.08000000000001</v>
      </c>
    </row>
    <row r="2927" spans="1:26" ht="25.15" hidden="1" customHeight="1" x14ac:dyDescent="0.25">
      <c r="A2927" s="112">
        <v>46275.707291666666</v>
      </c>
      <c r="B2927" s="5" t="s">
        <v>345</v>
      </c>
      <c r="C2927" s="5" t="s">
        <v>788</v>
      </c>
      <c r="D2927" s="5">
        <v>718062</v>
      </c>
      <c r="E2927" s="33">
        <v>15</v>
      </c>
      <c r="F2927" s="60">
        <v>700</v>
      </c>
      <c r="G2927" s="60">
        <f>+OtherClients[[#This Row],[Boxes / Pieces]]*OtherClients[[#This Row],[Unit Quantity]]</f>
        <v>10500</v>
      </c>
      <c r="H2927" s="60" t="s">
        <v>896</v>
      </c>
      <c r="I2927" s="60" t="s">
        <v>278</v>
      </c>
      <c r="J2927" s="104"/>
      <c r="K2927" s="33" t="s">
        <v>278</v>
      </c>
      <c r="L2927" s="111"/>
      <c r="M2927" s="33" t="s">
        <v>278</v>
      </c>
      <c r="N2927" s="111"/>
      <c r="O2927" s="33" t="s">
        <v>278</v>
      </c>
      <c r="P2927" s="111"/>
      <c r="Q2927" s="33" t="s">
        <v>587</v>
      </c>
      <c r="R2927" s="111"/>
      <c r="S2927" s="33" t="s">
        <v>278</v>
      </c>
      <c r="T2927" s="111"/>
      <c r="U2927" s="33" t="s">
        <v>278</v>
      </c>
      <c r="V2927" s="111"/>
      <c r="W2927" s="59" t="s">
        <v>548</v>
      </c>
      <c r="X2927" s="33" t="str">
        <f>+VLOOKUP(OtherClients[[#This Row],[Part]],PartControl!$A$2:$E$564,5,FALSE)</f>
        <v>infasco</v>
      </c>
      <c r="Y2927" s="108">
        <f>IF(OtherClients[[#This Row],[Re-certified or New]]&lt;&gt;"Re-certified",IF(OtherClients[[#This Row],[Client]]="infasco",VLOOKUP(OtherClients[[#This Row],[Part]],PartControl!$A$2:$E$564,2,FALSE),OtherClients[[#This Row],[Total Quantity]]*VLOOKUP(OtherClients[[#This Row],[Part]],PartControl!$A$2:$E$564,2,FALSE)),0)</f>
        <v>135.08000000000001</v>
      </c>
      <c r="Z2927" s="108">
        <f>IF(OtherClients[[#This Row],[Re-certified or New]]&lt;&gt;"Re-certified",IF(OtherClients[[#This Row],[Client]]="infasco",VLOOKUP(OtherClients[[#This Row],[Part]],PartControl!$A$2:$E$564,2,FALSE),OtherClients[[#This Row],[Total Quantity]]*VLOOKUP(OtherClients[[#This Row],[Part]],PartControl!$A$2:$E$564,2,FALSE)),0)</f>
        <v>135.08000000000001</v>
      </c>
    </row>
    <row r="2928" spans="1:26" ht="25.15" hidden="1" customHeight="1" x14ac:dyDescent="0.25">
      <c r="A2928" s="112">
        <v>46275.707291666666</v>
      </c>
      <c r="B2928" s="5" t="s">
        <v>345</v>
      </c>
      <c r="C2928" s="5" t="s">
        <v>869</v>
      </c>
      <c r="D2928" s="5">
        <v>714610</v>
      </c>
      <c r="E2928" s="33">
        <v>22</v>
      </c>
      <c r="F2928" s="60">
        <v>220</v>
      </c>
      <c r="G2928" s="60">
        <f>+OtherClients[[#This Row],[Boxes / Pieces]]*OtherClients[[#This Row],[Unit Quantity]]</f>
        <v>4840</v>
      </c>
      <c r="H2928" s="60" t="s">
        <v>896</v>
      </c>
      <c r="I2928" s="60" t="s">
        <v>278</v>
      </c>
      <c r="J2928" s="104"/>
      <c r="K2928" s="33" t="s">
        <v>278</v>
      </c>
      <c r="L2928" s="111"/>
      <c r="M2928" s="33" t="s">
        <v>278</v>
      </c>
      <c r="N2928" s="111"/>
      <c r="O2928" s="33" t="s">
        <v>278</v>
      </c>
      <c r="P2928" s="111"/>
      <c r="Q2928" s="33" t="s">
        <v>587</v>
      </c>
      <c r="R2928" s="111"/>
      <c r="S2928" s="33" t="s">
        <v>278</v>
      </c>
      <c r="T2928" s="111"/>
      <c r="U2928" s="33" t="s">
        <v>278</v>
      </c>
      <c r="V2928" s="111"/>
      <c r="W2928" s="59" t="s">
        <v>548</v>
      </c>
      <c r="X2928" s="33" t="str">
        <f>+VLOOKUP(OtherClients[[#This Row],[Part]],PartControl!$A$2:$E$564,5,FALSE)</f>
        <v>infasco</v>
      </c>
      <c r="Y2928" s="108">
        <f>IF(OtherClients[[#This Row],[Re-certified or New]]&lt;&gt;"Re-certified",IF(OtherClients[[#This Row],[Client]]="infasco",VLOOKUP(OtherClients[[#This Row],[Part]],PartControl!$A$2:$E$564,2,FALSE),OtherClients[[#This Row],[Total Quantity]]*VLOOKUP(OtherClients[[#This Row],[Part]],PartControl!$A$2:$E$564,2,FALSE)),0)</f>
        <v>106.94</v>
      </c>
      <c r="Z2928" s="108">
        <f>IF(OtherClients[[#This Row],[Re-certified or New]]&lt;&gt;"Re-certified",IF(OtherClients[[#This Row],[Client]]="infasco",VLOOKUP(OtherClients[[#This Row],[Part]],PartControl!$A$2:$E$564,2,FALSE),OtherClients[[#This Row],[Total Quantity]]*VLOOKUP(OtherClients[[#This Row],[Part]],PartControl!$A$2:$E$564,2,FALSE)),0)</f>
        <v>106.94</v>
      </c>
    </row>
    <row r="2929" spans="1:26" ht="25.15" hidden="1" customHeight="1" x14ac:dyDescent="0.25">
      <c r="A2929" s="112">
        <v>46275.707291666666</v>
      </c>
      <c r="B2929" s="5" t="s">
        <v>345</v>
      </c>
      <c r="C2929" s="5">
        <v>40110160</v>
      </c>
      <c r="D2929" s="5">
        <v>716741</v>
      </c>
      <c r="E2929" s="33">
        <v>34</v>
      </c>
      <c r="F2929" s="60">
        <v>200</v>
      </c>
      <c r="G2929" s="60">
        <f>+OtherClients[[#This Row],[Boxes / Pieces]]*OtherClients[[#This Row],[Unit Quantity]]</f>
        <v>6800</v>
      </c>
      <c r="H2929" s="60" t="s">
        <v>896</v>
      </c>
      <c r="I2929" s="60" t="s">
        <v>278</v>
      </c>
      <c r="J2929" s="104"/>
      <c r="K2929" s="33" t="s">
        <v>278</v>
      </c>
      <c r="L2929" s="111"/>
      <c r="M2929" s="33" t="s">
        <v>278</v>
      </c>
      <c r="N2929" s="111"/>
      <c r="O2929" s="33" t="s">
        <v>278</v>
      </c>
      <c r="P2929" s="111"/>
      <c r="Q2929" s="33" t="s">
        <v>587</v>
      </c>
      <c r="R2929" s="111"/>
      <c r="S2929" s="33" t="s">
        <v>278</v>
      </c>
      <c r="T2929" s="111"/>
      <c r="U2929" s="33" t="s">
        <v>278</v>
      </c>
      <c r="V2929" s="111"/>
      <c r="W2929" s="59" t="s">
        <v>548</v>
      </c>
      <c r="X2929" s="33" t="str">
        <f>+VLOOKUP(OtherClients[[#This Row],[Part]],PartControl!$A$2:$E$564,5,FALSE)</f>
        <v>INFASCO</v>
      </c>
      <c r="Y2929" s="108">
        <f>IF(OtherClients[[#This Row],[Re-certified or New]]&lt;&gt;"Re-certified",IF(OtherClients[[#This Row],[Client]]="infasco",VLOOKUP(OtherClients[[#This Row],[Part]],PartControl!$A$2:$E$564,2,FALSE),OtherClients[[#This Row],[Total Quantity]]*VLOOKUP(OtherClients[[#This Row],[Part]],PartControl!$A$2:$E$564,2,FALSE)),0)</f>
        <v>106.94</v>
      </c>
      <c r="Z2929" s="108">
        <f>IF(OtherClients[[#This Row],[Re-certified or New]]&lt;&gt;"Re-certified",IF(OtherClients[[#This Row],[Client]]="infasco",VLOOKUP(OtherClients[[#This Row],[Part]],PartControl!$A$2:$E$564,2,FALSE),OtherClients[[#This Row],[Total Quantity]]*VLOOKUP(OtherClients[[#This Row],[Part]],PartControl!$A$2:$E$564,2,FALSE)),0)</f>
        <v>106.94</v>
      </c>
    </row>
    <row r="2930" spans="1:26" ht="25.15" customHeight="1" x14ac:dyDescent="0.25">
      <c r="A2930" s="143">
        <v>46276</v>
      </c>
      <c r="B2930" s="144" t="s">
        <v>234</v>
      </c>
      <c r="C2930" s="144" t="s">
        <v>728</v>
      </c>
      <c r="D2930" s="144">
        <v>718015</v>
      </c>
      <c r="E2930" s="145">
        <f>36+7-30</f>
        <v>13</v>
      </c>
      <c r="F2930" s="60">
        <v>1500</v>
      </c>
      <c r="G2930" s="60">
        <f>+OtherClients[[#This Row],[Boxes / Pieces]]*OtherClients[[#This Row],[Unit Quantity]]</f>
        <v>19500</v>
      </c>
      <c r="H2930" s="60">
        <v>275</v>
      </c>
      <c r="I2930" s="60" t="s">
        <v>278</v>
      </c>
      <c r="J2930" s="104"/>
      <c r="K2930" s="33" t="s">
        <v>278</v>
      </c>
      <c r="L2930" s="111"/>
      <c r="M2930" s="33" t="s">
        <v>278</v>
      </c>
      <c r="N2930" s="111"/>
      <c r="O2930" s="33" t="s">
        <v>278</v>
      </c>
      <c r="P2930" s="111"/>
      <c r="Q2930" s="33" t="s">
        <v>587</v>
      </c>
      <c r="R2930" s="111"/>
      <c r="S2930" s="33" t="s">
        <v>278</v>
      </c>
      <c r="T2930" s="111"/>
      <c r="U2930" s="33" t="s">
        <v>278</v>
      </c>
      <c r="V2930" s="111"/>
      <c r="W2930" s="152" t="s">
        <v>548</v>
      </c>
      <c r="X2930" s="150" t="str">
        <f>+VLOOKUP(OtherClients[[#This Row],[Part]],PartControl!$A$2:$E$564,5,FALSE)</f>
        <v>infasco</v>
      </c>
      <c r="Y2930" s="108">
        <f>IF(OtherClients[[#This Row],[Re-certified or New]]&lt;&gt;"Re-certified",IF(OtherClients[[#This Row],[Client]]="infasco",VLOOKUP(OtherClients[[#This Row],[Part]],PartControl!$A$2:$E$564,2,FALSE),OtherClients[[#This Row],[Total Quantity]]*VLOOKUP(OtherClients[[#This Row],[Part]],PartControl!$A$2:$E$564,2,FALSE)),0)</f>
        <v>106.94</v>
      </c>
      <c r="Z2930" s="151">
        <f>IF(OtherClients[[#This Row],[Re-certified or New]]&lt;&gt;"Re-certified",IF(OtherClients[[#This Row],[Client]]="infasco",VLOOKUP(OtherClients[[#This Row],[Part]],PartControl!$A$2:$E$564,2,FALSE),OtherClients[[#This Row],[Total Quantity]]*VLOOKUP(OtherClients[[#This Row],[Part]],PartControl!$A$2:$E$564,2,FALSE)),0)</f>
        <v>106.94</v>
      </c>
    </row>
    <row r="2931" spans="1:26" ht="25.15" customHeight="1" x14ac:dyDescent="0.25">
      <c r="A2931" s="143">
        <v>46276</v>
      </c>
      <c r="B2931" s="144" t="s">
        <v>238</v>
      </c>
      <c r="C2931" s="144" t="s">
        <v>703</v>
      </c>
      <c r="D2931" s="144">
        <v>717505</v>
      </c>
      <c r="E2931" s="145">
        <v>36</v>
      </c>
      <c r="F2931" s="60">
        <v>700</v>
      </c>
      <c r="G2931" s="60">
        <f>+OtherClients[[#This Row],[Boxes / Pieces]]*OtherClients[[#This Row],[Unit Quantity]]</f>
        <v>25200</v>
      </c>
      <c r="H2931" s="60">
        <v>275</v>
      </c>
      <c r="I2931" s="60" t="s">
        <v>278</v>
      </c>
      <c r="J2931" s="104"/>
      <c r="K2931" s="33" t="s">
        <v>278</v>
      </c>
      <c r="L2931" s="111"/>
      <c r="M2931" s="33" t="s">
        <v>278</v>
      </c>
      <c r="N2931" s="111"/>
      <c r="O2931" s="33" t="s">
        <v>278</v>
      </c>
      <c r="P2931" s="111"/>
      <c r="Q2931" s="33" t="s">
        <v>587</v>
      </c>
      <c r="R2931" s="111"/>
      <c r="S2931" s="33" t="s">
        <v>278</v>
      </c>
      <c r="T2931" s="111"/>
      <c r="U2931" s="33" t="s">
        <v>278</v>
      </c>
      <c r="V2931" s="111"/>
      <c r="W2931" s="152" t="s">
        <v>548</v>
      </c>
      <c r="X2931" s="150" t="str">
        <f>+VLOOKUP(OtherClients[[#This Row],[Part]],PartControl!$A$2:$E$564,5,FALSE)</f>
        <v>infasco</v>
      </c>
      <c r="Y2931" s="108">
        <f>IF(OtherClients[[#This Row],[Re-certified or New]]&lt;&gt;"Re-certified",IF(OtherClients[[#This Row],[Client]]="infasco",VLOOKUP(OtherClients[[#This Row],[Part]],PartControl!$A$2:$E$564,2,FALSE),OtherClients[[#This Row],[Total Quantity]]*VLOOKUP(OtherClients[[#This Row],[Part]],PartControl!$A$2:$E$564,2,FALSE)),0)</f>
        <v>106.94</v>
      </c>
      <c r="Z2931" s="151">
        <f>IF(OtherClients[[#This Row],[Re-certified or New]]&lt;&gt;"Re-certified",IF(OtherClients[[#This Row],[Client]]="infasco",VLOOKUP(OtherClients[[#This Row],[Part]],PartControl!$A$2:$E$564,2,FALSE),OtherClients[[#This Row],[Total Quantity]]*VLOOKUP(OtherClients[[#This Row],[Part]],PartControl!$A$2:$E$564,2,FALSE)),0)</f>
        <v>106.94</v>
      </c>
    </row>
    <row r="2932" spans="1:26" ht="25.15" customHeight="1" x14ac:dyDescent="0.25">
      <c r="A2932" s="143">
        <v>46276</v>
      </c>
      <c r="B2932" s="144" t="s">
        <v>238</v>
      </c>
      <c r="C2932" s="144" t="s">
        <v>647</v>
      </c>
      <c r="D2932" s="144">
        <v>717571</v>
      </c>
      <c r="E2932" s="145">
        <v>24</v>
      </c>
      <c r="F2932" s="60">
        <v>750</v>
      </c>
      <c r="G2932" s="60">
        <f>+OtherClients[[#This Row],[Boxes / Pieces]]*OtherClients[[#This Row],[Unit Quantity]]</f>
        <v>18000</v>
      </c>
      <c r="H2932" s="60">
        <v>275</v>
      </c>
      <c r="I2932" s="60" t="s">
        <v>278</v>
      </c>
      <c r="J2932" s="104"/>
      <c r="K2932" s="33" t="s">
        <v>278</v>
      </c>
      <c r="L2932" s="111"/>
      <c r="M2932" s="33" t="s">
        <v>278</v>
      </c>
      <c r="N2932" s="111"/>
      <c r="O2932" s="33" t="s">
        <v>278</v>
      </c>
      <c r="P2932" s="111"/>
      <c r="Q2932" s="33" t="s">
        <v>587</v>
      </c>
      <c r="R2932" s="111"/>
      <c r="S2932" s="33" t="s">
        <v>278</v>
      </c>
      <c r="T2932" s="111"/>
      <c r="U2932" s="33" t="s">
        <v>278</v>
      </c>
      <c r="V2932" s="111"/>
      <c r="W2932" s="152" t="s">
        <v>633</v>
      </c>
      <c r="X2932" s="150" t="str">
        <f>+VLOOKUP(OtherClients[[#This Row],[Part]],PartControl!$A$2:$E$564,5,FALSE)</f>
        <v>infasco</v>
      </c>
      <c r="Y2932" s="108">
        <f>IF(OtherClients[[#This Row],[Re-certified or New]]&lt;&gt;"Re-certified",IF(OtherClients[[#This Row],[Client]]="infasco",VLOOKUP(OtherClients[[#This Row],[Part]],PartControl!$A$2:$E$564,2,FALSE),OtherClients[[#This Row],[Total Quantity]]*VLOOKUP(OtherClients[[#This Row],[Part]],PartControl!$A$2:$E$564,2,FALSE)),0)</f>
        <v>0</v>
      </c>
      <c r="Z2932" s="151">
        <f>IF(OtherClients[[#This Row],[Re-certified or New]]&lt;&gt;"Re-certified",IF(OtherClients[[#This Row],[Client]]="infasco",VLOOKUP(OtherClients[[#This Row],[Part]],PartControl!$A$2:$E$564,2,FALSE),OtherClients[[#This Row],[Total Quantity]]*VLOOKUP(OtherClients[[#This Row],[Part]],PartControl!$A$2:$E$564,2,FALSE)),0)</f>
        <v>0</v>
      </c>
    </row>
    <row r="2933" spans="1:26" ht="25.15" customHeight="1" x14ac:dyDescent="0.25">
      <c r="A2933" s="143">
        <v>46276</v>
      </c>
      <c r="B2933" s="144" t="s">
        <v>233</v>
      </c>
      <c r="C2933" s="144" t="s">
        <v>814</v>
      </c>
      <c r="D2933" s="144">
        <v>717562</v>
      </c>
      <c r="E2933" s="145">
        <v>22</v>
      </c>
      <c r="F2933" s="60">
        <v>2500</v>
      </c>
      <c r="G2933" s="60">
        <f>+OtherClients[[#This Row],[Boxes / Pieces]]*OtherClients[[#This Row],[Unit Quantity]]</f>
        <v>55000</v>
      </c>
      <c r="H2933" s="60">
        <v>275</v>
      </c>
      <c r="I2933" s="60" t="s">
        <v>278</v>
      </c>
      <c r="J2933" s="104"/>
      <c r="K2933" s="33" t="s">
        <v>278</v>
      </c>
      <c r="L2933" s="111"/>
      <c r="M2933" s="33" t="s">
        <v>278</v>
      </c>
      <c r="N2933" s="111"/>
      <c r="O2933" s="33" t="s">
        <v>278</v>
      </c>
      <c r="P2933" s="111"/>
      <c r="Q2933" s="33" t="s">
        <v>587</v>
      </c>
      <c r="R2933" s="111"/>
      <c r="S2933" s="33" t="s">
        <v>278</v>
      </c>
      <c r="T2933" s="111"/>
      <c r="U2933" s="33" t="s">
        <v>278</v>
      </c>
      <c r="V2933" s="111"/>
      <c r="W2933" s="152" t="s">
        <v>633</v>
      </c>
      <c r="X2933" s="150" t="str">
        <f>+VLOOKUP(OtherClients[[#This Row],[Part]],PartControl!$A$2:$E$564,5,FALSE)</f>
        <v>Infasco</v>
      </c>
      <c r="Y2933" s="108">
        <f>IF(OtherClients[[#This Row],[Re-certified or New]]&lt;&gt;"Re-certified",IF(OtherClients[[#This Row],[Client]]="infasco",VLOOKUP(OtherClients[[#This Row],[Part]],PartControl!$A$2:$E$564,2,FALSE),OtherClients[[#This Row],[Total Quantity]]*VLOOKUP(OtherClients[[#This Row],[Part]],PartControl!$A$2:$E$564,2,FALSE)),0)</f>
        <v>0</v>
      </c>
      <c r="Z2933" s="151">
        <f>IF(OtherClients[[#This Row],[Re-certified or New]]&lt;&gt;"Re-certified",IF(OtherClients[[#This Row],[Client]]="infasco",VLOOKUP(OtherClients[[#This Row],[Part]],PartControl!$A$2:$E$564,2,FALSE),OtherClients[[#This Row],[Total Quantity]]*VLOOKUP(OtherClients[[#This Row],[Part]],PartControl!$A$2:$E$564,2,FALSE)),0)</f>
        <v>0</v>
      </c>
    </row>
    <row r="2934" spans="1:26" ht="25.15" customHeight="1" x14ac:dyDescent="0.25">
      <c r="A2934" s="143">
        <v>46276</v>
      </c>
      <c r="B2934" s="144" t="s">
        <v>242</v>
      </c>
      <c r="C2934" s="144" t="s">
        <v>703</v>
      </c>
      <c r="D2934" s="144">
        <v>718077</v>
      </c>
      <c r="E2934" s="145">
        <f>36-30</f>
        <v>6</v>
      </c>
      <c r="F2934" s="60">
        <v>700</v>
      </c>
      <c r="G2934" s="60">
        <f>+OtherClients[[#This Row],[Boxes / Pieces]]*OtherClients[[#This Row],[Unit Quantity]]</f>
        <v>4200</v>
      </c>
      <c r="H2934" s="60">
        <v>275</v>
      </c>
      <c r="I2934" s="60" t="s">
        <v>278</v>
      </c>
      <c r="J2934" s="104"/>
      <c r="K2934" s="33" t="s">
        <v>278</v>
      </c>
      <c r="L2934" s="111"/>
      <c r="M2934" s="33" t="s">
        <v>278</v>
      </c>
      <c r="N2934" s="111"/>
      <c r="O2934" s="33" t="s">
        <v>278</v>
      </c>
      <c r="P2934" s="111"/>
      <c r="Q2934" s="33" t="s">
        <v>587</v>
      </c>
      <c r="R2934" s="111"/>
      <c r="S2934" s="33" t="s">
        <v>278</v>
      </c>
      <c r="T2934" s="111"/>
      <c r="U2934" s="33" t="s">
        <v>278</v>
      </c>
      <c r="V2934" s="111"/>
      <c r="W2934" s="152" t="s">
        <v>548</v>
      </c>
      <c r="X2934" s="150" t="str">
        <f>+VLOOKUP(OtherClients[[#This Row],[Part]],PartControl!$A$2:$E$564,5,FALSE)</f>
        <v>infasco</v>
      </c>
      <c r="Y2934" s="108">
        <f>IF(OtherClients[[#This Row],[Re-certified or New]]&lt;&gt;"Re-certified",IF(OtherClients[[#This Row],[Client]]="infasco",VLOOKUP(OtherClients[[#This Row],[Part]],PartControl!$A$2:$E$564,2,FALSE),OtherClients[[#This Row],[Total Quantity]]*VLOOKUP(OtherClients[[#This Row],[Part]],PartControl!$A$2:$E$564,2,FALSE)),0)</f>
        <v>106.94</v>
      </c>
      <c r="Z2934" s="151">
        <f>IF(OtherClients[[#This Row],[Re-certified or New]]&lt;&gt;"Re-certified",IF(OtherClients[[#This Row],[Client]]="infasco",VLOOKUP(OtherClients[[#This Row],[Part]],PartControl!$A$2:$E$564,2,FALSE),OtherClients[[#This Row],[Total Quantity]]*VLOOKUP(OtherClients[[#This Row],[Part]],PartControl!$A$2:$E$564,2,FALSE)),0)</f>
        <v>106.94</v>
      </c>
    </row>
    <row r="2935" spans="1:26" ht="25.15" customHeight="1" x14ac:dyDescent="0.25">
      <c r="A2935" s="143">
        <v>46276</v>
      </c>
      <c r="B2935" s="144" t="s">
        <v>242</v>
      </c>
      <c r="C2935" s="144" t="s">
        <v>703</v>
      </c>
      <c r="D2935" s="144">
        <v>718076</v>
      </c>
      <c r="E2935" s="145">
        <v>16</v>
      </c>
      <c r="F2935" s="60">
        <v>700</v>
      </c>
      <c r="G2935" s="60">
        <f>+OtherClients[[#This Row],[Boxes / Pieces]]*OtherClients[[#This Row],[Unit Quantity]]</f>
        <v>11200</v>
      </c>
      <c r="H2935" s="60">
        <v>275</v>
      </c>
      <c r="I2935" s="60" t="s">
        <v>278</v>
      </c>
      <c r="J2935" s="104"/>
      <c r="K2935" s="33" t="s">
        <v>278</v>
      </c>
      <c r="L2935" s="111"/>
      <c r="M2935" s="33" t="s">
        <v>278</v>
      </c>
      <c r="N2935" s="111"/>
      <c r="O2935" s="33" t="s">
        <v>278</v>
      </c>
      <c r="P2935" s="111"/>
      <c r="Q2935" s="33" t="s">
        <v>587</v>
      </c>
      <c r="R2935" s="111"/>
      <c r="S2935" s="33" t="s">
        <v>278</v>
      </c>
      <c r="T2935" s="111"/>
      <c r="U2935" s="33" t="s">
        <v>278</v>
      </c>
      <c r="V2935" s="111"/>
      <c r="W2935" s="152" t="s">
        <v>548</v>
      </c>
      <c r="X2935" s="150" t="str">
        <f>+VLOOKUP(OtherClients[[#This Row],[Part]],PartControl!$A$2:$E$564,5,FALSE)</f>
        <v>infasco</v>
      </c>
      <c r="Y2935" s="108">
        <f>IF(OtherClients[[#This Row],[Re-certified or New]]&lt;&gt;"Re-certified",IF(OtherClients[[#This Row],[Client]]="infasco",VLOOKUP(OtherClients[[#This Row],[Part]],PartControl!$A$2:$E$564,2,FALSE),OtherClients[[#This Row],[Total Quantity]]*VLOOKUP(OtherClients[[#This Row],[Part]],PartControl!$A$2:$E$564,2,FALSE)),0)</f>
        <v>106.94</v>
      </c>
      <c r="Z2935" s="151">
        <f>IF(OtherClients[[#This Row],[Re-certified or New]]&lt;&gt;"Re-certified",IF(OtherClients[[#This Row],[Client]]="infasco",VLOOKUP(OtherClients[[#This Row],[Part]],PartControl!$A$2:$E$564,2,FALSE),OtherClients[[#This Row],[Total Quantity]]*VLOOKUP(OtherClients[[#This Row],[Part]],PartControl!$A$2:$E$564,2,FALSE)),0)</f>
        <v>106.94</v>
      </c>
    </row>
    <row r="2936" spans="1:26" ht="25.15" customHeight="1" x14ac:dyDescent="0.25">
      <c r="A2936" s="143">
        <v>46276</v>
      </c>
      <c r="B2936" s="144" t="s">
        <v>242</v>
      </c>
      <c r="C2936" s="144" t="s">
        <v>703</v>
      </c>
      <c r="D2936" s="144">
        <v>717504</v>
      </c>
      <c r="E2936" s="145">
        <v>33</v>
      </c>
      <c r="F2936" s="60">
        <v>700</v>
      </c>
      <c r="G2936" s="60">
        <f>+OtherClients[[#This Row],[Boxes / Pieces]]*OtherClients[[#This Row],[Unit Quantity]]</f>
        <v>23100</v>
      </c>
      <c r="H2936" s="60">
        <v>275</v>
      </c>
      <c r="I2936" s="60" t="s">
        <v>278</v>
      </c>
      <c r="J2936" s="104"/>
      <c r="K2936" s="33" t="s">
        <v>278</v>
      </c>
      <c r="L2936" s="111"/>
      <c r="M2936" s="33" t="s">
        <v>278</v>
      </c>
      <c r="N2936" s="111"/>
      <c r="O2936" s="33" t="s">
        <v>278</v>
      </c>
      <c r="P2936" s="111"/>
      <c r="Q2936" s="33" t="s">
        <v>587</v>
      </c>
      <c r="R2936" s="111"/>
      <c r="S2936" s="33" t="s">
        <v>278</v>
      </c>
      <c r="T2936" s="111"/>
      <c r="U2936" s="33" t="s">
        <v>278</v>
      </c>
      <c r="V2936" s="111"/>
      <c r="W2936" s="152" t="s">
        <v>548</v>
      </c>
      <c r="X2936" s="150" t="str">
        <f>+VLOOKUP(OtherClients[[#This Row],[Part]],PartControl!$A$2:$E$564,5,FALSE)</f>
        <v>infasco</v>
      </c>
      <c r="Y2936" s="108">
        <f>IF(OtherClients[[#This Row],[Re-certified or New]]&lt;&gt;"Re-certified",IF(OtherClients[[#This Row],[Client]]="infasco",VLOOKUP(OtherClients[[#This Row],[Part]],PartControl!$A$2:$E$564,2,FALSE),OtherClients[[#This Row],[Total Quantity]]*VLOOKUP(OtherClients[[#This Row],[Part]],PartControl!$A$2:$E$564,2,FALSE)),0)</f>
        <v>106.94</v>
      </c>
      <c r="Z2936" s="151">
        <f>IF(OtherClients[[#This Row],[Re-certified or New]]&lt;&gt;"Re-certified",IF(OtherClients[[#This Row],[Client]]="infasco",VLOOKUP(OtherClients[[#This Row],[Part]],PartControl!$A$2:$E$564,2,FALSE),OtherClients[[#This Row],[Total Quantity]]*VLOOKUP(OtherClients[[#This Row],[Part]],PartControl!$A$2:$E$564,2,FALSE)),0)</f>
        <v>106.94</v>
      </c>
    </row>
    <row r="2937" spans="1:26" ht="25.15" customHeight="1" x14ac:dyDescent="0.25">
      <c r="A2937" s="143">
        <v>46276</v>
      </c>
      <c r="B2937" s="144" t="s">
        <v>242</v>
      </c>
      <c r="C2937" s="144" t="s">
        <v>15</v>
      </c>
      <c r="D2937" s="144">
        <v>717528</v>
      </c>
      <c r="E2937" s="145">
        <v>31</v>
      </c>
      <c r="F2937" s="60">
        <v>1200</v>
      </c>
      <c r="G2937" s="60">
        <f>+OtherClients[[#This Row],[Boxes / Pieces]]*OtherClients[[#This Row],[Unit Quantity]]</f>
        <v>37200</v>
      </c>
      <c r="H2937" s="60">
        <v>275</v>
      </c>
      <c r="I2937" s="60" t="s">
        <v>278</v>
      </c>
      <c r="J2937" s="104"/>
      <c r="K2937" s="33" t="s">
        <v>278</v>
      </c>
      <c r="L2937" s="111"/>
      <c r="M2937" s="33" t="s">
        <v>278</v>
      </c>
      <c r="N2937" s="111"/>
      <c r="O2937" s="33" t="s">
        <v>278</v>
      </c>
      <c r="P2937" s="111"/>
      <c r="Q2937" s="33" t="s">
        <v>587</v>
      </c>
      <c r="R2937" s="111"/>
      <c r="S2937" s="33" t="s">
        <v>278</v>
      </c>
      <c r="T2937" s="111"/>
      <c r="U2937" s="33" t="s">
        <v>278</v>
      </c>
      <c r="V2937" s="111"/>
      <c r="W2937" s="152" t="s">
        <v>548</v>
      </c>
      <c r="X2937" s="150" t="str">
        <f>+VLOOKUP(OtherClients[[#This Row],[Part]],PartControl!$A$2:$E$564,5,FALSE)</f>
        <v>infasco</v>
      </c>
      <c r="Y2937" s="108">
        <f>IF(OtherClients[[#This Row],[Re-certified or New]]&lt;&gt;"Re-certified",IF(OtherClients[[#This Row],[Client]]="infasco",VLOOKUP(OtherClients[[#This Row],[Part]],PartControl!$A$2:$E$564,2,FALSE),OtherClients[[#This Row],[Total Quantity]]*VLOOKUP(OtherClients[[#This Row],[Part]],PartControl!$A$2:$E$564,2,FALSE)),0)</f>
        <v>106.94</v>
      </c>
      <c r="Z2937" s="151">
        <f>IF(OtherClients[[#This Row],[Re-certified or New]]&lt;&gt;"Re-certified",IF(OtherClients[[#This Row],[Client]]="infasco",VLOOKUP(OtherClients[[#This Row],[Part]],PartControl!$A$2:$E$564,2,FALSE),OtherClients[[#This Row],[Total Quantity]]*VLOOKUP(OtherClients[[#This Row],[Part]],PartControl!$A$2:$E$564,2,FALSE)),0)</f>
        <v>106.94</v>
      </c>
    </row>
    <row r="2938" spans="1:26" ht="25.15" customHeight="1" x14ac:dyDescent="0.25">
      <c r="A2938" s="143">
        <v>46276</v>
      </c>
      <c r="B2938" s="144" t="s">
        <v>232</v>
      </c>
      <c r="C2938" s="144" t="s">
        <v>728</v>
      </c>
      <c r="D2938" s="144">
        <v>718012</v>
      </c>
      <c r="E2938" s="145">
        <f>29-18</f>
        <v>11</v>
      </c>
      <c r="F2938" s="60">
        <v>1500</v>
      </c>
      <c r="G2938" s="60">
        <f>+OtherClients[[#This Row],[Boxes / Pieces]]*OtherClients[[#This Row],[Unit Quantity]]</f>
        <v>16500</v>
      </c>
      <c r="H2938" s="60">
        <v>275</v>
      </c>
      <c r="I2938" s="60" t="s">
        <v>278</v>
      </c>
      <c r="J2938" s="104"/>
      <c r="K2938" s="33" t="s">
        <v>278</v>
      </c>
      <c r="L2938" s="111"/>
      <c r="M2938" s="33" t="s">
        <v>278</v>
      </c>
      <c r="N2938" s="111"/>
      <c r="O2938" s="33" t="s">
        <v>278</v>
      </c>
      <c r="P2938" s="111"/>
      <c r="Q2938" s="33" t="s">
        <v>587</v>
      </c>
      <c r="R2938" s="111"/>
      <c r="S2938" s="33" t="s">
        <v>278</v>
      </c>
      <c r="T2938" s="111"/>
      <c r="U2938" s="33" t="s">
        <v>278</v>
      </c>
      <c r="V2938" s="111"/>
      <c r="W2938" s="152" t="s">
        <v>548</v>
      </c>
      <c r="X2938" s="150" t="str">
        <f>+VLOOKUP(OtherClients[[#This Row],[Part]],PartControl!$A$2:$E$564,5,FALSE)</f>
        <v>infasco</v>
      </c>
      <c r="Y2938" s="108">
        <f>IF(OtherClients[[#This Row],[Re-certified or New]]&lt;&gt;"Re-certified",IF(OtherClients[[#This Row],[Client]]="infasco",VLOOKUP(OtherClients[[#This Row],[Part]],PartControl!$A$2:$E$564,2,FALSE),OtherClients[[#This Row],[Total Quantity]]*VLOOKUP(OtherClients[[#This Row],[Part]],PartControl!$A$2:$E$564,2,FALSE)),0)</f>
        <v>106.94</v>
      </c>
      <c r="Z2938" s="151">
        <f>IF(OtherClients[[#This Row],[Re-certified or New]]&lt;&gt;"Re-certified",IF(OtherClients[[#This Row],[Client]]="infasco",VLOOKUP(OtherClients[[#This Row],[Part]],PartControl!$A$2:$E$564,2,FALSE),OtherClients[[#This Row],[Total Quantity]]*VLOOKUP(OtherClients[[#This Row],[Part]],PartControl!$A$2:$E$564,2,FALSE)),0)</f>
        <v>106.94</v>
      </c>
    </row>
    <row r="2939" spans="1:26" ht="25.15" customHeight="1" x14ac:dyDescent="0.25">
      <c r="A2939" s="143">
        <v>46276</v>
      </c>
      <c r="B2939" s="144" t="s">
        <v>252</v>
      </c>
      <c r="C2939" s="144">
        <v>11546389</v>
      </c>
      <c r="D2939" s="144">
        <v>718039</v>
      </c>
      <c r="E2939" s="145">
        <f>37-30</f>
        <v>7</v>
      </c>
      <c r="F2939" s="60">
        <v>4500</v>
      </c>
      <c r="G2939" s="60">
        <f>+OtherClients[[#This Row],[Boxes / Pieces]]*OtherClients[[#This Row],[Unit Quantity]]</f>
        <v>31500</v>
      </c>
      <c r="H2939" s="60">
        <v>275</v>
      </c>
      <c r="I2939" s="60" t="s">
        <v>278</v>
      </c>
      <c r="J2939" s="104"/>
      <c r="K2939" s="33" t="s">
        <v>278</v>
      </c>
      <c r="L2939" s="111"/>
      <c r="M2939" s="33" t="s">
        <v>278</v>
      </c>
      <c r="N2939" s="111"/>
      <c r="O2939" s="33" t="s">
        <v>278</v>
      </c>
      <c r="P2939" s="111"/>
      <c r="Q2939" s="33" t="s">
        <v>587</v>
      </c>
      <c r="R2939" s="111"/>
      <c r="S2939" s="33" t="s">
        <v>278</v>
      </c>
      <c r="T2939" s="111"/>
      <c r="U2939" s="33" t="s">
        <v>278</v>
      </c>
      <c r="V2939" s="111"/>
      <c r="W2939" s="152" t="s">
        <v>548</v>
      </c>
      <c r="X2939" s="150" t="str">
        <f>+VLOOKUP(OtherClients[[#This Row],[Part]],PartControl!$A$2:$E$564,5,FALSE)</f>
        <v>INFASCO</v>
      </c>
      <c r="Y2939" s="108">
        <f>IF(OtherClients[[#This Row],[Re-certified or New]]&lt;&gt;"Re-certified",IF(OtherClients[[#This Row],[Client]]="infasco",VLOOKUP(OtherClients[[#This Row],[Part]],PartControl!$A$2:$E$564,2,FALSE),OtherClients[[#This Row],[Total Quantity]]*VLOOKUP(OtherClients[[#This Row],[Part]],PartControl!$A$2:$E$564,2,FALSE)),0)</f>
        <v>106.94</v>
      </c>
      <c r="Z2939" s="151">
        <f>IF(OtherClients[[#This Row],[Re-certified or New]]&lt;&gt;"Re-certified",IF(OtherClients[[#This Row],[Client]]="infasco",VLOOKUP(OtherClients[[#This Row],[Part]],PartControl!$A$2:$E$564,2,FALSE),OtherClients[[#This Row],[Total Quantity]]*VLOOKUP(OtherClients[[#This Row],[Part]],PartControl!$A$2:$E$564,2,FALSE)),0)</f>
        <v>106.94</v>
      </c>
    </row>
    <row r="2940" spans="1:26" ht="25.15" customHeight="1" x14ac:dyDescent="0.25">
      <c r="A2940" s="143">
        <v>46276</v>
      </c>
      <c r="B2940" s="144" t="s">
        <v>252</v>
      </c>
      <c r="C2940" s="144">
        <v>11546389</v>
      </c>
      <c r="D2940" s="144">
        <v>718038</v>
      </c>
      <c r="E2940" s="145">
        <v>21</v>
      </c>
      <c r="F2940" s="60">
        <v>4500</v>
      </c>
      <c r="G2940" s="60">
        <f>+OtherClients[[#This Row],[Boxes / Pieces]]*OtherClients[[#This Row],[Unit Quantity]]</f>
        <v>94500</v>
      </c>
      <c r="H2940" s="60">
        <v>275</v>
      </c>
      <c r="I2940" s="60" t="s">
        <v>278</v>
      </c>
      <c r="J2940" s="104"/>
      <c r="K2940" s="33" t="s">
        <v>278</v>
      </c>
      <c r="L2940" s="111"/>
      <c r="M2940" s="33" t="s">
        <v>278</v>
      </c>
      <c r="N2940" s="111"/>
      <c r="O2940" s="33" t="s">
        <v>278</v>
      </c>
      <c r="P2940" s="111"/>
      <c r="Q2940" s="33" t="s">
        <v>587</v>
      </c>
      <c r="R2940" s="111"/>
      <c r="S2940" s="33" t="s">
        <v>278</v>
      </c>
      <c r="T2940" s="111"/>
      <c r="U2940" s="33" t="s">
        <v>278</v>
      </c>
      <c r="V2940" s="111"/>
      <c r="W2940" s="152" t="s">
        <v>548</v>
      </c>
      <c r="X2940" s="150" t="str">
        <f>+VLOOKUP(OtherClients[[#This Row],[Part]],PartControl!$A$2:$E$564,5,FALSE)</f>
        <v>INFASCO</v>
      </c>
      <c r="Y2940" s="108">
        <f>IF(OtherClients[[#This Row],[Re-certified or New]]&lt;&gt;"Re-certified",IF(OtherClients[[#This Row],[Client]]="infasco",VLOOKUP(OtherClients[[#This Row],[Part]],PartControl!$A$2:$E$564,2,FALSE),OtherClients[[#This Row],[Total Quantity]]*VLOOKUP(OtherClients[[#This Row],[Part]],PartControl!$A$2:$E$564,2,FALSE)),0)</f>
        <v>106.94</v>
      </c>
      <c r="Z2940" s="151">
        <f>IF(OtherClients[[#This Row],[Re-certified or New]]&lt;&gt;"Re-certified",IF(OtherClients[[#This Row],[Client]]="infasco",VLOOKUP(OtherClients[[#This Row],[Part]],PartControl!$A$2:$E$564,2,FALSE),OtherClients[[#This Row],[Total Quantity]]*VLOOKUP(OtherClients[[#This Row],[Part]],PartControl!$A$2:$E$564,2,FALSE)),0)</f>
        <v>106.94</v>
      </c>
    </row>
    <row r="2941" spans="1:26" ht="25.15" customHeight="1" x14ac:dyDescent="0.25">
      <c r="A2941" s="143">
        <v>46276</v>
      </c>
      <c r="B2941" s="144" t="s">
        <v>235</v>
      </c>
      <c r="C2941" s="144">
        <v>11546566</v>
      </c>
      <c r="D2941" s="144">
        <v>718048</v>
      </c>
      <c r="E2941" s="145">
        <f>14-3</f>
        <v>11</v>
      </c>
      <c r="F2941" s="60">
        <v>1800</v>
      </c>
      <c r="G2941" s="60">
        <f>+OtherClients[[#This Row],[Boxes / Pieces]]*OtherClients[[#This Row],[Unit Quantity]]</f>
        <v>19800</v>
      </c>
      <c r="H2941" s="60">
        <v>290</v>
      </c>
      <c r="I2941" s="60" t="s">
        <v>278</v>
      </c>
      <c r="J2941" s="104"/>
      <c r="K2941" s="33" t="s">
        <v>278</v>
      </c>
      <c r="L2941" s="111"/>
      <c r="M2941" s="33" t="s">
        <v>278</v>
      </c>
      <c r="N2941" s="111"/>
      <c r="O2941" s="33" t="s">
        <v>278</v>
      </c>
      <c r="P2941" s="111"/>
      <c r="Q2941" s="33" t="s">
        <v>587</v>
      </c>
      <c r="R2941" s="111"/>
      <c r="S2941" s="33" t="s">
        <v>278</v>
      </c>
      <c r="T2941" s="111"/>
      <c r="U2941" s="33" t="s">
        <v>278</v>
      </c>
      <c r="V2941" s="111"/>
      <c r="W2941" s="152" t="s">
        <v>633</v>
      </c>
      <c r="X2941" s="150" t="str">
        <f>+VLOOKUP(OtherClients[[#This Row],[Part]],PartControl!$A$2:$E$564,5,FALSE)</f>
        <v>infasco</v>
      </c>
      <c r="Y2941" s="108">
        <f>IF(OtherClients[[#This Row],[Re-certified or New]]&lt;&gt;"Re-certified",IF(OtherClients[[#This Row],[Client]]="infasco",VLOOKUP(OtherClients[[#This Row],[Part]],PartControl!$A$2:$E$564,2,FALSE),OtherClients[[#This Row],[Total Quantity]]*VLOOKUP(OtherClients[[#This Row],[Part]],PartControl!$A$2:$E$564,2,FALSE)),0)</f>
        <v>0</v>
      </c>
      <c r="Z2941" s="151">
        <f>IF(OtherClients[[#This Row],[Re-certified or New]]&lt;&gt;"Re-certified",IF(OtherClients[[#This Row],[Client]]="infasco",VLOOKUP(OtherClients[[#This Row],[Part]],PartControl!$A$2:$E$564,2,FALSE),OtherClients[[#This Row],[Total Quantity]]*VLOOKUP(OtherClients[[#This Row],[Part]],PartControl!$A$2:$E$564,2,FALSE)),0)</f>
        <v>0</v>
      </c>
    </row>
    <row r="2942" spans="1:26" ht="25.15" customHeight="1" x14ac:dyDescent="0.25">
      <c r="A2942" s="143">
        <v>46276</v>
      </c>
      <c r="B2942" s="144" t="s">
        <v>236</v>
      </c>
      <c r="C2942" s="144" t="s">
        <v>703</v>
      </c>
      <c r="D2942" s="144">
        <v>718017</v>
      </c>
      <c r="E2942" s="145">
        <f>36+26-20</f>
        <v>42</v>
      </c>
      <c r="F2942" s="60">
        <v>1500</v>
      </c>
      <c r="G2942" s="60">
        <f>+OtherClients[[#This Row],[Boxes / Pieces]]*OtherClients[[#This Row],[Unit Quantity]]</f>
        <v>63000</v>
      </c>
      <c r="H2942" s="60">
        <v>290</v>
      </c>
      <c r="I2942" s="60" t="s">
        <v>278</v>
      </c>
      <c r="J2942" s="104"/>
      <c r="K2942" s="33" t="s">
        <v>278</v>
      </c>
      <c r="L2942" s="111"/>
      <c r="M2942" s="33" t="s">
        <v>278</v>
      </c>
      <c r="N2942" s="111"/>
      <c r="O2942" s="33" t="s">
        <v>278</v>
      </c>
      <c r="P2942" s="111"/>
      <c r="Q2942" s="33" t="s">
        <v>587</v>
      </c>
      <c r="R2942" s="111"/>
      <c r="S2942" s="33" t="s">
        <v>278</v>
      </c>
      <c r="T2942" s="111"/>
      <c r="U2942" s="33" t="s">
        <v>278</v>
      </c>
      <c r="V2942" s="111"/>
      <c r="W2942" s="152" t="s">
        <v>548</v>
      </c>
      <c r="X2942" s="150" t="str">
        <f>+VLOOKUP(OtherClients[[#This Row],[Part]],PartControl!$A$2:$E$564,5,FALSE)</f>
        <v>infasco</v>
      </c>
      <c r="Y2942" s="108">
        <f>IF(OtherClients[[#This Row],[Re-certified or New]]&lt;&gt;"Re-certified",IF(OtherClients[[#This Row],[Client]]="infasco",VLOOKUP(OtherClients[[#This Row],[Part]],PartControl!$A$2:$E$564,2,FALSE),OtherClients[[#This Row],[Total Quantity]]*VLOOKUP(OtherClients[[#This Row],[Part]],PartControl!$A$2:$E$564,2,FALSE)),0)</f>
        <v>106.94</v>
      </c>
      <c r="Z2942" s="151">
        <f>IF(OtherClients[[#This Row],[Re-certified or New]]&lt;&gt;"Re-certified",IF(OtherClients[[#This Row],[Client]]="infasco",VLOOKUP(OtherClients[[#This Row],[Part]],PartControl!$A$2:$E$564,2,FALSE),OtherClients[[#This Row],[Total Quantity]]*VLOOKUP(OtherClients[[#This Row],[Part]],PartControl!$A$2:$E$564,2,FALSE)),0)</f>
        <v>106.94</v>
      </c>
    </row>
    <row r="2943" spans="1:26" ht="25.15" customHeight="1" x14ac:dyDescent="0.25">
      <c r="A2943" s="143">
        <v>46276</v>
      </c>
      <c r="B2943" s="144" t="s">
        <v>240</v>
      </c>
      <c r="C2943" s="144">
        <v>11546462</v>
      </c>
      <c r="D2943" s="144">
        <v>718642</v>
      </c>
      <c r="E2943" s="145">
        <f>36-20</f>
        <v>16</v>
      </c>
      <c r="F2943" s="60">
        <v>650</v>
      </c>
      <c r="G2943" s="60">
        <f>+OtherClients[[#This Row],[Boxes / Pieces]]*OtherClients[[#This Row],[Unit Quantity]]</f>
        <v>10400</v>
      </c>
      <c r="H2943" s="60">
        <v>290</v>
      </c>
      <c r="I2943" s="60" t="s">
        <v>278</v>
      </c>
      <c r="J2943" s="104"/>
      <c r="K2943" s="33" t="s">
        <v>278</v>
      </c>
      <c r="L2943" s="111"/>
      <c r="M2943" s="33" t="s">
        <v>278</v>
      </c>
      <c r="N2943" s="111"/>
      <c r="O2943" s="33" t="s">
        <v>278</v>
      </c>
      <c r="P2943" s="111"/>
      <c r="Q2943" s="33" t="s">
        <v>587</v>
      </c>
      <c r="R2943" s="111"/>
      <c r="S2943" s="33" t="s">
        <v>278</v>
      </c>
      <c r="T2943" s="111"/>
      <c r="U2943" s="33" t="s">
        <v>278</v>
      </c>
      <c r="V2943" s="111"/>
      <c r="W2943" s="152" t="s">
        <v>548</v>
      </c>
      <c r="X2943" s="150" t="str">
        <f>+VLOOKUP(OtherClients[[#This Row],[Part]],PartControl!$A$2:$E$564,5,FALSE)</f>
        <v>INFASCO</v>
      </c>
      <c r="Y2943" s="108">
        <f>IF(OtherClients[[#This Row],[Re-certified or New]]&lt;&gt;"Re-certified",IF(OtherClients[[#This Row],[Client]]="infasco",VLOOKUP(OtherClients[[#This Row],[Part]],PartControl!$A$2:$E$564,2,FALSE),OtherClients[[#This Row],[Total Quantity]]*VLOOKUP(OtherClients[[#This Row],[Part]],PartControl!$A$2:$E$564,2,FALSE)),0)</f>
        <v>106.94</v>
      </c>
      <c r="Z2943" s="151">
        <f>IF(OtherClients[[#This Row],[Re-certified or New]]&lt;&gt;"Re-certified",IF(OtherClients[[#This Row],[Client]]="infasco",VLOOKUP(OtherClients[[#This Row],[Part]],PartControl!$A$2:$E$564,2,FALSE),OtherClients[[#This Row],[Total Quantity]]*VLOOKUP(OtherClients[[#This Row],[Part]],PartControl!$A$2:$E$564,2,FALSE)),0)</f>
        <v>106.94</v>
      </c>
    </row>
    <row r="2944" spans="1:26" ht="25.15" customHeight="1" x14ac:dyDescent="0.25">
      <c r="A2944" s="143">
        <v>46276</v>
      </c>
      <c r="B2944" s="144" t="s">
        <v>240</v>
      </c>
      <c r="C2944" s="144">
        <v>11546462</v>
      </c>
      <c r="D2944" s="144">
        <v>718644</v>
      </c>
      <c r="E2944" s="145">
        <v>36</v>
      </c>
      <c r="F2944" s="60">
        <v>650</v>
      </c>
      <c r="G2944" s="60">
        <f>+OtherClients[[#This Row],[Boxes / Pieces]]*OtherClients[[#This Row],[Unit Quantity]]</f>
        <v>23400</v>
      </c>
      <c r="H2944" s="60">
        <v>290</v>
      </c>
      <c r="I2944" s="60" t="s">
        <v>278</v>
      </c>
      <c r="J2944" s="104"/>
      <c r="K2944" s="33" t="s">
        <v>278</v>
      </c>
      <c r="L2944" s="111"/>
      <c r="M2944" s="33" t="s">
        <v>278</v>
      </c>
      <c r="N2944" s="111"/>
      <c r="O2944" s="33" t="s">
        <v>278</v>
      </c>
      <c r="P2944" s="111"/>
      <c r="Q2944" s="33" t="s">
        <v>587</v>
      </c>
      <c r="R2944" s="111"/>
      <c r="S2944" s="33" t="s">
        <v>278</v>
      </c>
      <c r="T2944" s="111"/>
      <c r="U2944" s="33" t="s">
        <v>278</v>
      </c>
      <c r="V2944" s="111"/>
      <c r="W2944" s="152" t="s">
        <v>548</v>
      </c>
      <c r="X2944" s="150" t="str">
        <f>+VLOOKUP(OtherClients[[#This Row],[Part]],PartControl!$A$2:$E$564,5,FALSE)</f>
        <v>INFASCO</v>
      </c>
      <c r="Y2944" s="108">
        <f>IF(OtherClients[[#This Row],[Re-certified or New]]&lt;&gt;"Re-certified",IF(OtherClients[[#This Row],[Client]]="infasco",VLOOKUP(OtherClients[[#This Row],[Part]],PartControl!$A$2:$E$564,2,FALSE),OtherClients[[#This Row],[Total Quantity]]*VLOOKUP(OtherClients[[#This Row],[Part]],PartControl!$A$2:$E$564,2,FALSE)),0)</f>
        <v>106.94</v>
      </c>
      <c r="Z2944" s="151">
        <f>IF(OtherClients[[#This Row],[Re-certified or New]]&lt;&gt;"Re-certified",IF(OtherClients[[#This Row],[Client]]="infasco",VLOOKUP(OtherClients[[#This Row],[Part]],PartControl!$A$2:$E$564,2,FALSE),OtherClients[[#This Row],[Total Quantity]]*VLOOKUP(OtherClients[[#This Row],[Part]],PartControl!$A$2:$E$564,2,FALSE)),0)</f>
        <v>106.94</v>
      </c>
    </row>
    <row r="2945" spans="1:26" ht="25.15" customHeight="1" x14ac:dyDescent="0.25">
      <c r="A2945" s="143">
        <v>46276</v>
      </c>
      <c r="B2945" s="144" t="s">
        <v>240</v>
      </c>
      <c r="C2945" s="144">
        <v>11546462</v>
      </c>
      <c r="D2945" s="144">
        <v>718641</v>
      </c>
      <c r="E2945" s="145">
        <v>36</v>
      </c>
      <c r="F2945" s="60">
        <v>650</v>
      </c>
      <c r="G2945" s="60">
        <f>+OtherClients[[#This Row],[Boxes / Pieces]]*OtherClients[[#This Row],[Unit Quantity]]</f>
        <v>23400</v>
      </c>
      <c r="H2945" s="60">
        <v>290</v>
      </c>
      <c r="I2945" s="60" t="s">
        <v>278</v>
      </c>
      <c r="J2945" s="104"/>
      <c r="K2945" s="33" t="s">
        <v>278</v>
      </c>
      <c r="L2945" s="111"/>
      <c r="M2945" s="33" t="s">
        <v>278</v>
      </c>
      <c r="N2945" s="111"/>
      <c r="O2945" s="33" t="s">
        <v>278</v>
      </c>
      <c r="P2945" s="111"/>
      <c r="Q2945" s="33" t="s">
        <v>587</v>
      </c>
      <c r="R2945" s="111"/>
      <c r="S2945" s="33" t="s">
        <v>278</v>
      </c>
      <c r="T2945" s="111"/>
      <c r="U2945" s="33" t="s">
        <v>278</v>
      </c>
      <c r="V2945" s="111"/>
      <c r="W2945" s="152" t="s">
        <v>548</v>
      </c>
      <c r="X2945" s="150" t="str">
        <f>+VLOOKUP(OtherClients[[#This Row],[Part]],PartControl!$A$2:$E$564,5,FALSE)</f>
        <v>INFASCO</v>
      </c>
      <c r="Y2945" s="108">
        <f>IF(OtherClients[[#This Row],[Re-certified or New]]&lt;&gt;"Re-certified",IF(OtherClients[[#This Row],[Client]]="infasco",VLOOKUP(OtherClients[[#This Row],[Part]],PartControl!$A$2:$E$564,2,FALSE),OtherClients[[#This Row],[Total Quantity]]*VLOOKUP(OtherClients[[#This Row],[Part]],PartControl!$A$2:$E$564,2,FALSE)),0)</f>
        <v>106.94</v>
      </c>
      <c r="Z2945" s="151">
        <f>IF(OtherClients[[#This Row],[Re-certified or New]]&lt;&gt;"Re-certified",IF(OtherClients[[#This Row],[Client]]="infasco",VLOOKUP(OtherClients[[#This Row],[Part]],PartControl!$A$2:$E$564,2,FALSE),OtherClients[[#This Row],[Total Quantity]]*VLOOKUP(OtherClients[[#This Row],[Part]],PartControl!$A$2:$E$564,2,FALSE)),0)</f>
        <v>106.94</v>
      </c>
    </row>
    <row r="2946" spans="1:26" ht="25.15" customHeight="1" x14ac:dyDescent="0.25">
      <c r="A2946" s="143">
        <v>46276</v>
      </c>
      <c r="B2946" s="144" t="s">
        <v>240</v>
      </c>
      <c r="C2946" s="144">
        <v>11546462</v>
      </c>
      <c r="D2946" s="144">
        <v>718643</v>
      </c>
      <c r="E2946" s="145">
        <v>27</v>
      </c>
      <c r="F2946" s="60">
        <v>650</v>
      </c>
      <c r="G2946" s="60">
        <f>+OtherClients[[#This Row],[Boxes / Pieces]]*OtherClients[[#This Row],[Unit Quantity]]</f>
        <v>17550</v>
      </c>
      <c r="H2946" s="60">
        <v>290</v>
      </c>
      <c r="I2946" s="60" t="s">
        <v>278</v>
      </c>
      <c r="J2946" s="104"/>
      <c r="K2946" s="33" t="s">
        <v>278</v>
      </c>
      <c r="L2946" s="111"/>
      <c r="M2946" s="33" t="s">
        <v>278</v>
      </c>
      <c r="N2946" s="111"/>
      <c r="O2946" s="33" t="s">
        <v>278</v>
      </c>
      <c r="P2946" s="111"/>
      <c r="Q2946" s="33" t="s">
        <v>587</v>
      </c>
      <c r="R2946" s="111"/>
      <c r="S2946" s="33" t="s">
        <v>278</v>
      </c>
      <c r="T2946" s="111"/>
      <c r="U2946" s="33" t="s">
        <v>278</v>
      </c>
      <c r="V2946" s="111"/>
      <c r="W2946" s="152" t="s">
        <v>548</v>
      </c>
      <c r="X2946" s="150" t="str">
        <f>+VLOOKUP(OtherClients[[#This Row],[Part]],PartControl!$A$2:$E$564,5,FALSE)</f>
        <v>INFASCO</v>
      </c>
      <c r="Y2946" s="108">
        <f>IF(OtherClients[[#This Row],[Re-certified or New]]&lt;&gt;"Re-certified",IF(OtherClients[[#This Row],[Client]]="infasco",VLOOKUP(OtherClients[[#This Row],[Part]],PartControl!$A$2:$E$564,2,FALSE),OtherClients[[#This Row],[Total Quantity]]*VLOOKUP(OtherClients[[#This Row],[Part]],PartControl!$A$2:$E$564,2,FALSE)),0)</f>
        <v>106.94</v>
      </c>
      <c r="Z2946" s="151">
        <f>IF(OtherClients[[#This Row],[Re-certified or New]]&lt;&gt;"Re-certified",IF(OtherClients[[#This Row],[Client]]="infasco",VLOOKUP(OtherClients[[#This Row],[Part]],PartControl!$A$2:$E$564,2,FALSE),OtherClients[[#This Row],[Total Quantity]]*VLOOKUP(OtherClients[[#This Row],[Part]],PartControl!$A$2:$E$564,2,FALSE)),0)</f>
        <v>106.94</v>
      </c>
    </row>
    <row r="2947" spans="1:26" ht="25.15" customHeight="1" x14ac:dyDescent="0.25">
      <c r="A2947" s="143">
        <v>46276</v>
      </c>
      <c r="B2947" s="144" t="s">
        <v>240</v>
      </c>
      <c r="C2947" s="144">
        <v>11546462</v>
      </c>
      <c r="D2947" s="144">
        <v>718645</v>
      </c>
      <c r="E2947" s="145">
        <v>30</v>
      </c>
      <c r="F2947" s="60">
        <v>650</v>
      </c>
      <c r="G2947" s="60">
        <f>+OtherClients[[#This Row],[Boxes / Pieces]]*OtherClients[[#This Row],[Unit Quantity]]</f>
        <v>19500</v>
      </c>
      <c r="H2947" s="60">
        <v>290</v>
      </c>
      <c r="I2947" s="60" t="s">
        <v>278</v>
      </c>
      <c r="J2947" s="104"/>
      <c r="K2947" s="33" t="s">
        <v>278</v>
      </c>
      <c r="L2947" s="111"/>
      <c r="M2947" s="33" t="s">
        <v>278</v>
      </c>
      <c r="N2947" s="111"/>
      <c r="O2947" s="33" t="s">
        <v>278</v>
      </c>
      <c r="P2947" s="111"/>
      <c r="Q2947" s="33" t="s">
        <v>587</v>
      </c>
      <c r="R2947" s="111"/>
      <c r="S2947" s="33" t="s">
        <v>278</v>
      </c>
      <c r="T2947" s="111"/>
      <c r="U2947" s="33" t="s">
        <v>278</v>
      </c>
      <c r="V2947" s="111"/>
      <c r="W2947" s="152" t="s">
        <v>548</v>
      </c>
      <c r="X2947" s="150" t="str">
        <f>+VLOOKUP(OtherClients[[#This Row],[Part]],PartControl!$A$2:$E$564,5,FALSE)</f>
        <v>INFASCO</v>
      </c>
      <c r="Y2947" s="108">
        <f>IF(OtherClients[[#This Row],[Re-certified or New]]&lt;&gt;"Re-certified",IF(OtherClients[[#This Row],[Client]]="infasco",VLOOKUP(OtherClients[[#This Row],[Part]],PartControl!$A$2:$E$564,2,FALSE),OtherClients[[#This Row],[Total Quantity]]*VLOOKUP(OtherClients[[#This Row],[Part]],PartControl!$A$2:$E$564,2,FALSE)),0)</f>
        <v>106.94</v>
      </c>
      <c r="Z2947" s="151">
        <f>IF(OtherClients[[#This Row],[Re-certified or New]]&lt;&gt;"Re-certified",IF(OtherClients[[#This Row],[Client]]="infasco",VLOOKUP(OtherClients[[#This Row],[Part]],PartControl!$A$2:$E$564,2,FALSE),OtherClients[[#This Row],[Total Quantity]]*VLOOKUP(OtherClients[[#This Row],[Part]],PartControl!$A$2:$E$564,2,FALSE)),0)</f>
        <v>106.94</v>
      </c>
    </row>
    <row r="2948" spans="1:26" ht="25.15" customHeight="1" x14ac:dyDescent="0.25">
      <c r="A2948" s="143">
        <v>46276</v>
      </c>
      <c r="B2948" s="144" t="s">
        <v>237</v>
      </c>
      <c r="C2948" s="144" t="s">
        <v>703</v>
      </c>
      <c r="D2948" s="144">
        <v>718075</v>
      </c>
      <c r="E2948" s="145">
        <f>36-25</f>
        <v>11</v>
      </c>
      <c r="F2948" s="60">
        <v>700</v>
      </c>
      <c r="G2948" s="60">
        <f>+OtherClients[[#This Row],[Boxes / Pieces]]*OtherClients[[#This Row],[Unit Quantity]]</f>
        <v>7700</v>
      </c>
      <c r="H2948" s="60">
        <v>290</v>
      </c>
      <c r="I2948" s="60" t="s">
        <v>278</v>
      </c>
      <c r="J2948" s="104"/>
      <c r="K2948" s="33" t="s">
        <v>278</v>
      </c>
      <c r="L2948" s="111"/>
      <c r="M2948" s="33" t="s">
        <v>278</v>
      </c>
      <c r="N2948" s="111"/>
      <c r="O2948" s="33" t="s">
        <v>278</v>
      </c>
      <c r="P2948" s="111"/>
      <c r="Q2948" s="33" t="s">
        <v>587</v>
      </c>
      <c r="R2948" s="111"/>
      <c r="S2948" s="33" t="s">
        <v>278</v>
      </c>
      <c r="T2948" s="111"/>
      <c r="U2948" s="33" t="s">
        <v>278</v>
      </c>
      <c r="V2948" s="111"/>
      <c r="W2948" s="152" t="s">
        <v>548</v>
      </c>
      <c r="X2948" s="150" t="str">
        <f>+VLOOKUP(OtherClients[[#This Row],[Part]],PartControl!$A$2:$E$564,5,FALSE)</f>
        <v>infasco</v>
      </c>
      <c r="Y2948" s="108">
        <f>IF(OtherClients[[#This Row],[Re-certified or New]]&lt;&gt;"Re-certified",IF(OtherClients[[#This Row],[Client]]="infasco",VLOOKUP(OtherClients[[#This Row],[Part]],PartControl!$A$2:$E$564,2,FALSE),OtherClients[[#This Row],[Total Quantity]]*VLOOKUP(OtherClients[[#This Row],[Part]],PartControl!$A$2:$E$564,2,FALSE)),0)</f>
        <v>106.94</v>
      </c>
      <c r="Z2948" s="151">
        <f>IF(OtherClients[[#This Row],[Re-certified or New]]&lt;&gt;"Re-certified",IF(OtherClients[[#This Row],[Client]]="infasco",VLOOKUP(OtherClients[[#This Row],[Part]],PartControl!$A$2:$E$564,2,FALSE),OtherClients[[#This Row],[Total Quantity]]*VLOOKUP(OtherClients[[#This Row],[Part]],PartControl!$A$2:$E$564,2,FALSE)),0)</f>
        <v>106.94</v>
      </c>
    </row>
    <row r="2949" spans="1:26" ht="25.15" customHeight="1" x14ac:dyDescent="0.25">
      <c r="A2949" s="143">
        <v>46276</v>
      </c>
      <c r="B2949" s="144" t="s">
        <v>237</v>
      </c>
      <c r="C2949" s="144" t="s">
        <v>703</v>
      </c>
      <c r="D2949" s="144">
        <v>717503</v>
      </c>
      <c r="E2949" s="145">
        <v>36</v>
      </c>
      <c r="F2949" s="60">
        <v>700</v>
      </c>
      <c r="G2949" s="60">
        <f>+OtherClients[[#This Row],[Boxes / Pieces]]*OtherClients[[#This Row],[Unit Quantity]]</f>
        <v>25200</v>
      </c>
      <c r="H2949" s="60">
        <v>290</v>
      </c>
      <c r="I2949" s="60" t="s">
        <v>278</v>
      </c>
      <c r="J2949" s="104"/>
      <c r="K2949" s="33" t="s">
        <v>278</v>
      </c>
      <c r="L2949" s="111"/>
      <c r="M2949" s="33" t="s">
        <v>278</v>
      </c>
      <c r="N2949" s="111"/>
      <c r="O2949" s="33" t="s">
        <v>278</v>
      </c>
      <c r="P2949" s="111"/>
      <c r="Q2949" s="33" t="s">
        <v>587</v>
      </c>
      <c r="R2949" s="111"/>
      <c r="S2949" s="33" t="s">
        <v>278</v>
      </c>
      <c r="T2949" s="111"/>
      <c r="U2949" s="33" t="s">
        <v>278</v>
      </c>
      <c r="V2949" s="111"/>
      <c r="W2949" s="152" t="s">
        <v>548</v>
      </c>
      <c r="X2949" s="150" t="str">
        <f>+VLOOKUP(OtherClients[[#This Row],[Part]],PartControl!$A$2:$E$564,5,FALSE)</f>
        <v>infasco</v>
      </c>
      <c r="Y2949" s="108">
        <f>IF(OtherClients[[#This Row],[Re-certified or New]]&lt;&gt;"Re-certified",IF(OtherClients[[#This Row],[Client]]="infasco",VLOOKUP(OtherClients[[#This Row],[Part]],PartControl!$A$2:$E$564,2,FALSE),OtherClients[[#This Row],[Total Quantity]]*VLOOKUP(OtherClients[[#This Row],[Part]],PartControl!$A$2:$E$564,2,FALSE)),0)</f>
        <v>106.94</v>
      </c>
      <c r="Z2949" s="151">
        <f>IF(OtherClients[[#This Row],[Re-certified or New]]&lt;&gt;"Re-certified",IF(OtherClients[[#This Row],[Client]]="infasco",VLOOKUP(OtherClients[[#This Row],[Part]],PartControl!$A$2:$E$564,2,FALSE),OtherClients[[#This Row],[Total Quantity]]*VLOOKUP(OtherClients[[#This Row],[Part]],PartControl!$A$2:$E$564,2,FALSE)),0)</f>
        <v>106.94</v>
      </c>
    </row>
    <row r="2950" spans="1:26" ht="25.15" customHeight="1" x14ac:dyDescent="0.25">
      <c r="A2950" s="143">
        <v>46276</v>
      </c>
      <c r="B2950" s="144" t="s">
        <v>237</v>
      </c>
      <c r="C2950" s="144" t="s">
        <v>664</v>
      </c>
      <c r="D2950" s="144">
        <v>717232</v>
      </c>
      <c r="E2950" s="145">
        <v>36</v>
      </c>
      <c r="F2950" s="60">
        <v>1050</v>
      </c>
      <c r="G2950" s="60">
        <f>+OtherClients[[#This Row],[Boxes / Pieces]]*OtherClients[[#This Row],[Unit Quantity]]</f>
        <v>37800</v>
      </c>
      <c r="H2950" s="60">
        <v>290</v>
      </c>
      <c r="I2950" s="60" t="s">
        <v>278</v>
      </c>
      <c r="J2950" s="104"/>
      <c r="K2950" s="33" t="s">
        <v>278</v>
      </c>
      <c r="L2950" s="111"/>
      <c r="M2950" s="33" t="s">
        <v>278</v>
      </c>
      <c r="N2950" s="111"/>
      <c r="O2950" s="33" t="s">
        <v>278</v>
      </c>
      <c r="P2950" s="111"/>
      <c r="Q2950" s="33" t="s">
        <v>587</v>
      </c>
      <c r="R2950" s="111"/>
      <c r="S2950" s="33" t="s">
        <v>278</v>
      </c>
      <c r="T2950" s="111"/>
      <c r="U2950" s="33" t="s">
        <v>278</v>
      </c>
      <c r="V2950" s="111"/>
      <c r="W2950" s="152" t="s">
        <v>548</v>
      </c>
      <c r="X2950" s="150" t="str">
        <f>+VLOOKUP(OtherClients[[#This Row],[Part]],PartControl!$A$2:$E$564,5,FALSE)</f>
        <v>infasco</v>
      </c>
      <c r="Y2950" s="108">
        <f>IF(OtherClients[[#This Row],[Re-certified or New]]&lt;&gt;"Re-certified",IF(OtherClients[[#This Row],[Client]]="infasco",VLOOKUP(OtherClients[[#This Row],[Part]],PartControl!$A$2:$E$564,2,FALSE),OtherClients[[#This Row],[Total Quantity]]*VLOOKUP(OtherClients[[#This Row],[Part]],PartControl!$A$2:$E$564,2,FALSE)),0)</f>
        <v>106.94</v>
      </c>
      <c r="Z2950" s="151">
        <f>IF(OtherClients[[#This Row],[Re-certified or New]]&lt;&gt;"Re-certified",IF(OtherClients[[#This Row],[Client]]="infasco",VLOOKUP(OtherClients[[#This Row],[Part]],PartControl!$A$2:$E$564,2,FALSE),OtherClients[[#This Row],[Total Quantity]]*VLOOKUP(OtherClients[[#This Row],[Part]],PartControl!$A$2:$E$564,2,FALSE)),0)</f>
        <v>106.94</v>
      </c>
    </row>
    <row r="2951" spans="1:26" ht="25.15" customHeight="1" x14ac:dyDescent="0.25">
      <c r="A2951" s="143">
        <v>46276</v>
      </c>
      <c r="B2951" s="144" t="s">
        <v>250</v>
      </c>
      <c r="C2951" s="144">
        <v>11549170</v>
      </c>
      <c r="D2951" s="144">
        <v>716916</v>
      </c>
      <c r="E2951" s="145">
        <f>29-18</f>
        <v>11</v>
      </c>
      <c r="F2951" s="60">
        <v>400</v>
      </c>
      <c r="G2951" s="60">
        <f>+OtherClients[[#This Row],[Boxes / Pieces]]*OtherClients[[#This Row],[Unit Quantity]]</f>
        <v>4400</v>
      </c>
      <c r="H2951" s="60">
        <v>290</v>
      </c>
      <c r="I2951" s="60" t="s">
        <v>278</v>
      </c>
      <c r="J2951" s="104"/>
      <c r="K2951" s="33" t="s">
        <v>278</v>
      </c>
      <c r="L2951" s="111"/>
      <c r="M2951" s="33" t="s">
        <v>278</v>
      </c>
      <c r="N2951" s="111"/>
      <c r="O2951" s="33" t="s">
        <v>278</v>
      </c>
      <c r="P2951" s="111"/>
      <c r="Q2951" s="33" t="s">
        <v>587</v>
      </c>
      <c r="R2951" s="111"/>
      <c r="S2951" s="33" t="s">
        <v>278</v>
      </c>
      <c r="T2951" s="111"/>
      <c r="U2951" s="33" t="s">
        <v>278</v>
      </c>
      <c r="V2951" s="111"/>
      <c r="W2951" s="152" t="s">
        <v>548</v>
      </c>
      <c r="X2951" s="150" t="str">
        <f>+VLOOKUP(OtherClients[[#This Row],[Part]],PartControl!$A$2:$E$564,5,FALSE)</f>
        <v>INFASCO</v>
      </c>
      <c r="Y2951" s="108">
        <f>IF(OtherClients[[#This Row],[Re-certified or New]]&lt;&gt;"Re-certified",IF(OtherClients[[#This Row],[Client]]="infasco",VLOOKUP(OtherClients[[#This Row],[Part]],PartControl!$A$2:$E$564,2,FALSE),OtherClients[[#This Row],[Total Quantity]]*VLOOKUP(OtherClients[[#This Row],[Part]],PartControl!$A$2:$E$564,2,FALSE)),0)</f>
        <v>106.94</v>
      </c>
      <c r="Z2951" s="151">
        <f>IF(OtherClients[[#This Row],[Re-certified or New]]&lt;&gt;"Re-certified",IF(OtherClients[[#This Row],[Client]]="infasco",VLOOKUP(OtherClients[[#This Row],[Part]],PartControl!$A$2:$E$564,2,FALSE),OtherClients[[#This Row],[Total Quantity]]*VLOOKUP(OtherClients[[#This Row],[Part]],PartControl!$A$2:$E$564,2,FALSE)),0)</f>
        <v>106.94</v>
      </c>
    </row>
    <row r="2952" spans="1:26" ht="25.15" customHeight="1" x14ac:dyDescent="0.25">
      <c r="A2952" s="143">
        <v>46276</v>
      </c>
      <c r="B2952" s="144" t="s">
        <v>250</v>
      </c>
      <c r="C2952" s="144" t="s">
        <v>303</v>
      </c>
      <c r="D2952" s="144">
        <v>718331</v>
      </c>
      <c r="E2952" s="145">
        <v>1</v>
      </c>
      <c r="F2952" s="60">
        <f>8*2000</f>
        <v>16000</v>
      </c>
      <c r="G2952" s="60">
        <f>+OtherClients[[#This Row],[Boxes / Pieces]]*OtherClients[[#This Row],[Unit Quantity]]</f>
        <v>16000</v>
      </c>
      <c r="H2952" s="60">
        <v>290</v>
      </c>
      <c r="I2952" s="60" t="s">
        <v>278</v>
      </c>
      <c r="J2952" s="104"/>
      <c r="K2952" s="33" t="s">
        <v>278</v>
      </c>
      <c r="L2952" s="111"/>
      <c r="M2952" s="33" t="s">
        <v>278</v>
      </c>
      <c r="N2952" s="111"/>
      <c r="O2952" s="33" t="s">
        <v>278</v>
      </c>
      <c r="P2952" s="111"/>
      <c r="Q2952" s="33" t="s">
        <v>587</v>
      </c>
      <c r="R2952" s="111"/>
      <c r="S2952" s="33" t="s">
        <v>278</v>
      </c>
      <c r="T2952" s="111"/>
      <c r="U2952" s="33" t="s">
        <v>278</v>
      </c>
      <c r="V2952" s="111"/>
      <c r="W2952" s="152" t="s">
        <v>633</v>
      </c>
      <c r="X2952" s="150" t="str">
        <f>+VLOOKUP(OtherClients[[#This Row],[Part]],PartControl!$A$2:$E$564,5,FALSE)</f>
        <v>INFASCO</v>
      </c>
      <c r="Y2952" s="108">
        <f>IF(OtherClients[[#This Row],[Re-certified or New]]&lt;&gt;"Re-certified",IF(OtherClients[[#This Row],[Client]]="infasco",VLOOKUP(OtherClients[[#This Row],[Part]],PartControl!$A$2:$E$564,2,FALSE),OtherClients[[#This Row],[Total Quantity]]*VLOOKUP(OtherClients[[#This Row],[Part]],PartControl!$A$2:$E$564,2,FALSE)),0)</f>
        <v>0</v>
      </c>
      <c r="Z2952" s="151">
        <f>IF(OtherClients[[#This Row],[Re-certified or New]]&lt;&gt;"Re-certified",IF(OtherClients[[#This Row],[Client]]="infasco",VLOOKUP(OtherClients[[#This Row],[Part]],PartControl!$A$2:$E$564,2,FALSE),OtherClients[[#This Row],[Total Quantity]]*VLOOKUP(OtherClients[[#This Row],[Part]],PartControl!$A$2:$E$564,2,FALSE)),0)</f>
        <v>0</v>
      </c>
    </row>
    <row r="2953" spans="1:26" ht="25.15" customHeight="1" x14ac:dyDescent="0.25">
      <c r="A2953" s="143">
        <v>46276</v>
      </c>
      <c r="B2953" s="144" t="s">
        <v>239</v>
      </c>
      <c r="C2953" s="144" t="s">
        <v>703</v>
      </c>
      <c r="D2953" s="144">
        <v>717496</v>
      </c>
      <c r="E2953" s="145">
        <f>36-23</f>
        <v>13</v>
      </c>
      <c r="F2953" s="60">
        <v>700</v>
      </c>
      <c r="G2953" s="60">
        <f>+OtherClients[[#This Row],[Boxes / Pieces]]*OtherClients[[#This Row],[Unit Quantity]]</f>
        <v>9100</v>
      </c>
      <c r="H2953" s="60">
        <v>290</v>
      </c>
      <c r="I2953" s="60" t="s">
        <v>278</v>
      </c>
      <c r="J2953" s="104"/>
      <c r="K2953" s="33" t="s">
        <v>278</v>
      </c>
      <c r="L2953" s="111"/>
      <c r="M2953" s="33" t="s">
        <v>278</v>
      </c>
      <c r="N2953" s="111"/>
      <c r="O2953" s="33" t="s">
        <v>278</v>
      </c>
      <c r="P2953" s="111"/>
      <c r="Q2953" s="33" t="s">
        <v>587</v>
      </c>
      <c r="R2953" s="111"/>
      <c r="S2953" s="33" t="s">
        <v>278</v>
      </c>
      <c r="T2953" s="111"/>
      <c r="U2953" s="33" t="s">
        <v>278</v>
      </c>
      <c r="V2953" s="111"/>
      <c r="W2953" s="152" t="s">
        <v>548</v>
      </c>
      <c r="X2953" s="150" t="str">
        <f>+VLOOKUP(OtherClients[[#This Row],[Part]],PartControl!$A$2:$E$564,5,FALSE)</f>
        <v>infasco</v>
      </c>
      <c r="Y2953" s="108">
        <f>IF(OtherClients[[#This Row],[Re-certified or New]]&lt;&gt;"Re-certified",IF(OtherClients[[#This Row],[Client]]="infasco",VLOOKUP(OtherClients[[#This Row],[Part]],PartControl!$A$2:$E$564,2,FALSE),OtherClients[[#This Row],[Total Quantity]]*VLOOKUP(OtherClients[[#This Row],[Part]],PartControl!$A$2:$E$564,2,FALSE)),0)</f>
        <v>106.94</v>
      </c>
      <c r="Z2953" s="151">
        <f>IF(OtherClients[[#This Row],[Re-certified or New]]&lt;&gt;"Re-certified",IF(OtherClients[[#This Row],[Client]]="infasco",VLOOKUP(OtherClients[[#This Row],[Part]],PartControl!$A$2:$E$564,2,FALSE),OtherClients[[#This Row],[Total Quantity]]*VLOOKUP(OtherClients[[#This Row],[Part]],PartControl!$A$2:$E$564,2,FALSE)),0)</f>
        <v>106.94</v>
      </c>
    </row>
    <row r="2954" spans="1:26" ht="25.15" customHeight="1" x14ac:dyDescent="0.25">
      <c r="A2954" s="143">
        <v>46276</v>
      </c>
      <c r="B2954" s="144" t="s">
        <v>239</v>
      </c>
      <c r="C2954" s="144" t="s">
        <v>703</v>
      </c>
      <c r="D2954" s="144">
        <v>717499</v>
      </c>
      <c r="E2954" s="145">
        <v>36</v>
      </c>
      <c r="F2954" s="60">
        <v>700</v>
      </c>
      <c r="G2954" s="60">
        <f>+OtherClients[[#This Row],[Boxes / Pieces]]*OtherClients[[#This Row],[Unit Quantity]]</f>
        <v>25200</v>
      </c>
      <c r="H2954" s="60">
        <v>290</v>
      </c>
      <c r="I2954" s="60" t="s">
        <v>278</v>
      </c>
      <c r="J2954" s="104"/>
      <c r="K2954" s="33" t="s">
        <v>278</v>
      </c>
      <c r="L2954" s="111"/>
      <c r="M2954" s="33" t="s">
        <v>278</v>
      </c>
      <c r="N2954" s="111"/>
      <c r="O2954" s="33" t="s">
        <v>278</v>
      </c>
      <c r="P2954" s="111"/>
      <c r="Q2954" s="33" t="s">
        <v>587</v>
      </c>
      <c r="R2954" s="111"/>
      <c r="S2954" s="33" t="s">
        <v>278</v>
      </c>
      <c r="T2954" s="111"/>
      <c r="U2954" s="33" t="s">
        <v>278</v>
      </c>
      <c r="V2954" s="111"/>
      <c r="W2954" s="152" t="s">
        <v>548</v>
      </c>
      <c r="X2954" s="150" t="str">
        <f>+VLOOKUP(OtherClients[[#This Row],[Part]],PartControl!$A$2:$E$564,5,FALSE)</f>
        <v>infasco</v>
      </c>
      <c r="Y2954" s="108">
        <f>IF(OtherClients[[#This Row],[Re-certified or New]]&lt;&gt;"Re-certified",IF(OtherClients[[#This Row],[Client]]="infasco",VLOOKUP(OtherClients[[#This Row],[Part]],PartControl!$A$2:$E$564,2,FALSE),OtherClients[[#This Row],[Total Quantity]]*VLOOKUP(OtherClients[[#This Row],[Part]],PartControl!$A$2:$E$564,2,FALSE)),0)</f>
        <v>106.94</v>
      </c>
      <c r="Z2954" s="151">
        <f>IF(OtherClients[[#This Row],[Re-certified or New]]&lt;&gt;"Re-certified",IF(OtherClients[[#This Row],[Client]]="infasco",VLOOKUP(OtherClients[[#This Row],[Part]],PartControl!$A$2:$E$564,2,FALSE),OtherClients[[#This Row],[Total Quantity]]*VLOOKUP(OtherClients[[#This Row],[Part]],PartControl!$A$2:$E$564,2,FALSE)),0)</f>
        <v>106.94</v>
      </c>
    </row>
    <row r="2955" spans="1:26" ht="25.15" customHeight="1" x14ac:dyDescent="0.25">
      <c r="A2955" s="143">
        <v>46276</v>
      </c>
      <c r="B2955" s="144" t="s">
        <v>239</v>
      </c>
      <c r="C2955" s="144" t="s">
        <v>703</v>
      </c>
      <c r="D2955" s="144">
        <v>718073</v>
      </c>
      <c r="E2955" s="145">
        <v>30</v>
      </c>
      <c r="F2955" s="60">
        <v>700</v>
      </c>
      <c r="G2955" s="60">
        <f>+OtherClients[[#This Row],[Boxes / Pieces]]*OtherClients[[#This Row],[Unit Quantity]]</f>
        <v>21000</v>
      </c>
      <c r="H2955" s="60">
        <v>290</v>
      </c>
      <c r="I2955" s="60" t="s">
        <v>278</v>
      </c>
      <c r="J2955" s="104"/>
      <c r="K2955" s="33" t="s">
        <v>278</v>
      </c>
      <c r="L2955" s="111"/>
      <c r="M2955" s="33" t="s">
        <v>278</v>
      </c>
      <c r="N2955" s="111"/>
      <c r="O2955" s="33" t="s">
        <v>278</v>
      </c>
      <c r="P2955" s="111"/>
      <c r="Q2955" s="33" t="s">
        <v>587</v>
      </c>
      <c r="R2955" s="111"/>
      <c r="S2955" s="33" t="s">
        <v>278</v>
      </c>
      <c r="T2955" s="111"/>
      <c r="U2955" s="33" t="s">
        <v>278</v>
      </c>
      <c r="V2955" s="111"/>
      <c r="W2955" s="152" t="s">
        <v>548</v>
      </c>
      <c r="X2955" s="150" t="str">
        <f>+VLOOKUP(OtherClients[[#This Row],[Part]],PartControl!$A$2:$E$564,5,FALSE)</f>
        <v>infasco</v>
      </c>
      <c r="Y2955" s="108">
        <f>IF(OtherClients[[#This Row],[Re-certified or New]]&lt;&gt;"Re-certified",IF(OtherClients[[#This Row],[Client]]="infasco",VLOOKUP(OtherClients[[#This Row],[Part]],PartControl!$A$2:$E$564,2,FALSE),OtherClients[[#This Row],[Total Quantity]]*VLOOKUP(OtherClients[[#This Row],[Part]],PartControl!$A$2:$E$564,2,FALSE)),0)</f>
        <v>106.94</v>
      </c>
      <c r="Z2955" s="151">
        <f>IF(OtherClients[[#This Row],[Re-certified or New]]&lt;&gt;"Re-certified",IF(OtherClients[[#This Row],[Client]]="infasco",VLOOKUP(OtherClients[[#This Row],[Part]],PartControl!$A$2:$E$564,2,FALSE),OtherClients[[#This Row],[Total Quantity]]*VLOOKUP(OtherClients[[#This Row],[Part]],PartControl!$A$2:$E$564,2,FALSE)),0)</f>
        <v>106.94</v>
      </c>
    </row>
    <row r="2956" spans="1:26" ht="25.15" customHeight="1" x14ac:dyDescent="0.25">
      <c r="A2956" s="143">
        <v>46276</v>
      </c>
      <c r="B2956" s="144" t="s">
        <v>243</v>
      </c>
      <c r="C2956" s="144">
        <v>11546377</v>
      </c>
      <c r="D2956" s="144">
        <v>718866</v>
      </c>
      <c r="E2956" s="145">
        <f>20-2</f>
        <v>18</v>
      </c>
      <c r="F2956" s="60">
        <v>2150</v>
      </c>
      <c r="G2956" s="60">
        <f>+OtherClients[[#This Row],[Boxes / Pieces]]*OtherClients[[#This Row],[Unit Quantity]]</f>
        <v>38700</v>
      </c>
      <c r="H2956" s="60">
        <v>4</v>
      </c>
      <c r="I2956" s="60" t="s">
        <v>278</v>
      </c>
      <c r="J2956" s="104"/>
      <c r="K2956" s="33" t="s">
        <v>278</v>
      </c>
      <c r="L2956" s="111"/>
      <c r="M2956" s="33" t="s">
        <v>278</v>
      </c>
      <c r="N2956" s="111"/>
      <c r="O2956" s="33" t="s">
        <v>278</v>
      </c>
      <c r="P2956" s="111"/>
      <c r="Q2956" s="33" t="s">
        <v>587</v>
      </c>
      <c r="R2956" s="111"/>
      <c r="S2956" s="33" t="s">
        <v>278</v>
      </c>
      <c r="T2956" s="111"/>
      <c r="U2956" s="33" t="s">
        <v>278</v>
      </c>
      <c r="V2956" s="111"/>
      <c r="W2956" s="152" t="s">
        <v>548</v>
      </c>
      <c r="X2956" s="150" t="str">
        <f>+VLOOKUP(OtherClients[[#This Row],[Part]],PartControl!$A$2:$E$564,5,FALSE)</f>
        <v>INFASCO</v>
      </c>
      <c r="Y2956" s="108">
        <f>IF(OtherClients[[#This Row],[Re-certified or New]]&lt;&gt;"Re-certified",IF(OtherClients[[#This Row],[Client]]="infasco",VLOOKUP(OtherClients[[#This Row],[Part]],PartControl!$A$2:$E$564,2,FALSE),OtherClients[[#This Row],[Total Quantity]]*VLOOKUP(OtherClients[[#This Row],[Part]],PartControl!$A$2:$E$564,2,FALSE)),0)</f>
        <v>106.94</v>
      </c>
      <c r="Z2956" s="151">
        <f>IF(OtherClients[[#This Row],[Re-certified or New]]&lt;&gt;"Re-certified",IF(OtherClients[[#This Row],[Client]]="infasco",VLOOKUP(OtherClients[[#This Row],[Part]],PartControl!$A$2:$E$564,2,FALSE),OtherClients[[#This Row],[Total Quantity]]*VLOOKUP(OtherClients[[#This Row],[Part]],PartControl!$A$2:$E$564,2,FALSE)),0)</f>
        <v>106.94</v>
      </c>
    </row>
    <row r="2957" spans="1:26" ht="25.15" customHeight="1" x14ac:dyDescent="0.25">
      <c r="A2957" s="143">
        <v>46276</v>
      </c>
      <c r="B2957" s="144" t="s">
        <v>243</v>
      </c>
      <c r="C2957" s="144">
        <v>11546377</v>
      </c>
      <c r="D2957" s="144">
        <v>718864</v>
      </c>
      <c r="E2957" s="145">
        <v>24</v>
      </c>
      <c r="F2957" s="60">
        <v>2150</v>
      </c>
      <c r="G2957" s="60">
        <f>+OtherClients[[#This Row],[Boxes / Pieces]]*OtherClients[[#This Row],[Unit Quantity]]</f>
        <v>51600</v>
      </c>
      <c r="H2957" s="60">
        <v>4</v>
      </c>
      <c r="I2957" s="60" t="s">
        <v>278</v>
      </c>
      <c r="J2957" s="104"/>
      <c r="K2957" s="33" t="s">
        <v>278</v>
      </c>
      <c r="L2957" s="111"/>
      <c r="M2957" s="33" t="s">
        <v>278</v>
      </c>
      <c r="N2957" s="111"/>
      <c r="O2957" s="33" t="s">
        <v>278</v>
      </c>
      <c r="P2957" s="111"/>
      <c r="Q2957" s="33" t="s">
        <v>587</v>
      </c>
      <c r="R2957" s="111"/>
      <c r="S2957" s="33" t="s">
        <v>278</v>
      </c>
      <c r="T2957" s="111"/>
      <c r="U2957" s="33" t="s">
        <v>278</v>
      </c>
      <c r="V2957" s="111"/>
      <c r="W2957" s="152" t="s">
        <v>633</v>
      </c>
      <c r="X2957" s="150" t="str">
        <f>+VLOOKUP(OtherClients[[#This Row],[Part]],PartControl!$A$2:$E$564,5,FALSE)</f>
        <v>INFASCO</v>
      </c>
      <c r="Y2957" s="108">
        <f>IF(OtherClients[[#This Row],[Re-certified or New]]&lt;&gt;"Re-certified",IF(OtherClients[[#This Row],[Client]]="infasco",VLOOKUP(OtherClients[[#This Row],[Part]],PartControl!$A$2:$E$564,2,FALSE),OtherClients[[#This Row],[Total Quantity]]*VLOOKUP(OtherClients[[#This Row],[Part]],PartControl!$A$2:$E$564,2,FALSE)),0)</f>
        <v>0</v>
      </c>
      <c r="Z2957" s="151">
        <f>IF(OtherClients[[#This Row],[Re-certified or New]]&lt;&gt;"Re-certified",IF(OtherClients[[#This Row],[Client]]="infasco",VLOOKUP(OtherClients[[#This Row],[Part]],PartControl!$A$2:$E$564,2,FALSE),OtherClients[[#This Row],[Total Quantity]]*VLOOKUP(OtherClients[[#This Row],[Part]],PartControl!$A$2:$E$564,2,FALSE)),0)</f>
        <v>0</v>
      </c>
    </row>
    <row r="2958" spans="1:26" ht="25.15" customHeight="1" x14ac:dyDescent="0.25">
      <c r="A2958" s="143">
        <v>46276</v>
      </c>
      <c r="B2958" s="144" t="s">
        <v>623</v>
      </c>
      <c r="C2958" s="144" t="s">
        <v>652</v>
      </c>
      <c r="D2958" s="144">
        <v>718045</v>
      </c>
      <c r="E2958" s="145">
        <v>8</v>
      </c>
      <c r="F2958" s="60">
        <v>1750</v>
      </c>
      <c r="G2958" s="60">
        <f>+OtherClients[[#This Row],[Boxes / Pieces]]*OtherClients[[#This Row],[Unit Quantity]]</f>
        <v>14000</v>
      </c>
      <c r="H2958" s="60">
        <v>4</v>
      </c>
      <c r="I2958" s="60" t="s">
        <v>278</v>
      </c>
      <c r="J2958" s="104"/>
      <c r="K2958" s="33" t="s">
        <v>278</v>
      </c>
      <c r="L2958" s="111"/>
      <c r="M2958" s="33" t="s">
        <v>278</v>
      </c>
      <c r="N2958" s="111"/>
      <c r="O2958" s="33" t="s">
        <v>278</v>
      </c>
      <c r="P2958" s="111"/>
      <c r="Q2958" s="33" t="s">
        <v>587</v>
      </c>
      <c r="R2958" s="111"/>
      <c r="S2958" s="33" t="s">
        <v>278</v>
      </c>
      <c r="T2958" s="111"/>
      <c r="U2958" s="33" t="s">
        <v>278</v>
      </c>
      <c r="V2958" s="111"/>
      <c r="W2958" s="152" t="s">
        <v>548</v>
      </c>
      <c r="X2958" s="150" t="str">
        <f>+VLOOKUP(OtherClients[[#This Row],[Part]],PartControl!$A$2:$E$564,5,FALSE)</f>
        <v>infasco</v>
      </c>
      <c r="Y2958" s="108">
        <f>IF(OtherClients[[#This Row],[Re-certified or New]]&lt;&gt;"Re-certified",IF(OtherClients[[#This Row],[Client]]="infasco",VLOOKUP(OtherClients[[#This Row],[Part]],PartControl!$A$2:$E$564,2,FALSE),OtherClients[[#This Row],[Total Quantity]]*VLOOKUP(OtherClients[[#This Row],[Part]],PartControl!$A$2:$E$564,2,FALSE)),0)</f>
        <v>106.94</v>
      </c>
      <c r="Z2958" s="151">
        <f>IF(OtherClients[[#This Row],[Re-certified or New]]&lt;&gt;"Re-certified",IF(OtherClients[[#This Row],[Client]]="infasco",VLOOKUP(OtherClients[[#This Row],[Part]],PartControl!$A$2:$E$564,2,FALSE),OtherClients[[#This Row],[Total Quantity]]*VLOOKUP(OtherClients[[#This Row],[Part]],PartControl!$A$2:$E$564,2,FALSE)),0)</f>
        <v>106.94</v>
      </c>
    </row>
    <row r="2959" spans="1:26" ht="25.15" customHeight="1" x14ac:dyDescent="0.25">
      <c r="A2959" s="143">
        <v>46276</v>
      </c>
      <c r="B2959" s="144" t="s">
        <v>623</v>
      </c>
      <c r="C2959" s="144" t="s">
        <v>652</v>
      </c>
      <c r="D2959" s="144">
        <v>718046</v>
      </c>
      <c r="E2959" s="145">
        <v>36</v>
      </c>
      <c r="F2959" s="60">
        <v>1750</v>
      </c>
      <c r="G2959" s="60">
        <f>+OtherClients[[#This Row],[Boxes / Pieces]]*OtherClients[[#This Row],[Unit Quantity]]</f>
        <v>63000</v>
      </c>
      <c r="H2959" s="60">
        <v>4</v>
      </c>
      <c r="I2959" s="60" t="s">
        <v>278</v>
      </c>
      <c r="J2959" s="104"/>
      <c r="K2959" s="33" t="s">
        <v>278</v>
      </c>
      <c r="L2959" s="111"/>
      <c r="M2959" s="33" t="s">
        <v>278</v>
      </c>
      <c r="N2959" s="111"/>
      <c r="O2959" s="33" t="s">
        <v>278</v>
      </c>
      <c r="P2959" s="111"/>
      <c r="Q2959" s="33" t="s">
        <v>587</v>
      </c>
      <c r="R2959" s="111"/>
      <c r="S2959" s="33" t="s">
        <v>278</v>
      </c>
      <c r="T2959" s="111"/>
      <c r="U2959" s="33" t="s">
        <v>278</v>
      </c>
      <c r="V2959" s="111"/>
      <c r="W2959" s="152" t="s">
        <v>548</v>
      </c>
      <c r="X2959" s="150" t="str">
        <f>+VLOOKUP(OtherClients[[#This Row],[Part]],PartControl!$A$2:$E$564,5,FALSE)</f>
        <v>infasco</v>
      </c>
      <c r="Y2959" s="108">
        <f>IF(OtherClients[[#This Row],[Re-certified or New]]&lt;&gt;"Re-certified",IF(OtherClients[[#This Row],[Client]]="infasco",VLOOKUP(OtherClients[[#This Row],[Part]],PartControl!$A$2:$E$564,2,FALSE),OtherClients[[#This Row],[Total Quantity]]*VLOOKUP(OtherClients[[#This Row],[Part]],PartControl!$A$2:$E$564,2,FALSE)),0)</f>
        <v>106.94</v>
      </c>
      <c r="Z2959" s="151">
        <f>IF(OtherClients[[#This Row],[Re-certified or New]]&lt;&gt;"Re-certified",IF(OtherClients[[#This Row],[Client]]="infasco",VLOOKUP(OtherClients[[#This Row],[Part]],PartControl!$A$2:$E$564,2,FALSE),OtherClients[[#This Row],[Total Quantity]]*VLOOKUP(OtherClients[[#This Row],[Part]],PartControl!$A$2:$E$564,2,FALSE)),0)</f>
        <v>106.94</v>
      </c>
    </row>
    <row r="2960" spans="1:26" ht="25.15" customHeight="1" x14ac:dyDescent="0.25">
      <c r="A2960" s="143">
        <v>46276</v>
      </c>
      <c r="B2960" s="144" t="s">
        <v>623</v>
      </c>
      <c r="C2960" s="144" t="s">
        <v>652</v>
      </c>
      <c r="D2960" s="144">
        <v>718052</v>
      </c>
      <c r="E2960" s="145">
        <v>4</v>
      </c>
      <c r="F2960" s="60">
        <v>1750</v>
      </c>
      <c r="G2960" s="60">
        <f>+OtherClients[[#This Row],[Boxes / Pieces]]*OtherClients[[#This Row],[Unit Quantity]]</f>
        <v>7000</v>
      </c>
      <c r="H2960" s="60">
        <v>4</v>
      </c>
      <c r="I2960" s="60" t="s">
        <v>278</v>
      </c>
      <c r="J2960" s="104"/>
      <c r="K2960" s="33" t="s">
        <v>278</v>
      </c>
      <c r="L2960" s="111"/>
      <c r="M2960" s="33" t="s">
        <v>278</v>
      </c>
      <c r="N2960" s="111"/>
      <c r="O2960" s="33" t="s">
        <v>278</v>
      </c>
      <c r="P2960" s="111"/>
      <c r="Q2960" s="33" t="s">
        <v>587</v>
      </c>
      <c r="R2960" s="111"/>
      <c r="S2960" s="33" t="s">
        <v>278</v>
      </c>
      <c r="T2960" s="111"/>
      <c r="U2960" s="33" t="s">
        <v>278</v>
      </c>
      <c r="V2960" s="111"/>
      <c r="W2960" s="152" t="s">
        <v>633</v>
      </c>
      <c r="X2960" s="150" t="str">
        <f>+VLOOKUP(OtherClients[[#This Row],[Part]],PartControl!$A$2:$E$564,5,FALSE)</f>
        <v>infasco</v>
      </c>
      <c r="Y2960" s="108">
        <f>IF(OtherClients[[#This Row],[Re-certified or New]]&lt;&gt;"Re-certified",IF(OtherClients[[#This Row],[Client]]="infasco",VLOOKUP(OtherClients[[#This Row],[Part]],PartControl!$A$2:$E$564,2,FALSE),OtherClients[[#This Row],[Total Quantity]]*VLOOKUP(OtherClients[[#This Row],[Part]],PartControl!$A$2:$E$564,2,FALSE)),0)</f>
        <v>0</v>
      </c>
      <c r="Z2960" s="151">
        <f>IF(OtherClients[[#This Row],[Re-certified or New]]&lt;&gt;"Re-certified",IF(OtherClients[[#This Row],[Client]]="infasco",VLOOKUP(OtherClients[[#This Row],[Part]],PartControl!$A$2:$E$564,2,FALSE),OtherClients[[#This Row],[Total Quantity]]*VLOOKUP(OtherClients[[#This Row],[Part]],PartControl!$A$2:$E$564,2,FALSE)),0)</f>
        <v>0</v>
      </c>
    </row>
    <row r="2961" spans="1:26" ht="25.15" customHeight="1" x14ac:dyDescent="0.25">
      <c r="A2961" s="143">
        <v>46276</v>
      </c>
      <c r="B2961" s="144" t="s">
        <v>624</v>
      </c>
      <c r="C2961" s="144" t="s">
        <v>703</v>
      </c>
      <c r="D2961" s="144">
        <v>717506</v>
      </c>
      <c r="E2961" s="145">
        <v>36</v>
      </c>
      <c r="F2961" s="60">
        <v>700</v>
      </c>
      <c r="G2961" s="60">
        <f>+OtherClients[[#This Row],[Boxes / Pieces]]*OtherClients[[#This Row],[Unit Quantity]]</f>
        <v>25200</v>
      </c>
      <c r="H2961" s="60">
        <v>4</v>
      </c>
      <c r="I2961" s="60" t="s">
        <v>278</v>
      </c>
      <c r="J2961" s="104"/>
      <c r="K2961" s="33" t="s">
        <v>278</v>
      </c>
      <c r="L2961" s="111"/>
      <c r="M2961" s="33" t="s">
        <v>278</v>
      </c>
      <c r="N2961" s="111"/>
      <c r="O2961" s="33" t="s">
        <v>278</v>
      </c>
      <c r="P2961" s="111"/>
      <c r="Q2961" s="33" t="s">
        <v>587</v>
      </c>
      <c r="R2961" s="111"/>
      <c r="S2961" s="33" t="s">
        <v>278</v>
      </c>
      <c r="T2961" s="111"/>
      <c r="U2961" s="33" t="s">
        <v>278</v>
      </c>
      <c r="V2961" s="111"/>
      <c r="W2961" s="152" t="s">
        <v>548</v>
      </c>
      <c r="X2961" s="150" t="str">
        <f>+VLOOKUP(OtherClients[[#This Row],[Part]],PartControl!$A$2:$E$564,5,FALSE)</f>
        <v>infasco</v>
      </c>
      <c r="Y2961" s="108">
        <f>IF(OtherClients[[#This Row],[Re-certified or New]]&lt;&gt;"Re-certified",IF(OtherClients[[#This Row],[Client]]="infasco",VLOOKUP(OtherClients[[#This Row],[Part]],PartControl!$A$2:$E$564,2,FALSE),OtherClients[[#This Row],[Total Quantity]]*VLOOKUP(OtherClients[[#This Row],[Part]],PartControl!$A$2:$E$564,2,FALSE)),0)</f>
        <v>106.94</v>
      </c>
      <c r="Z2961" s="151">
        <f>IF(OtherClients[[#This Row],[Re-certified or New]]&lt;&gt;"Re-certified",IF(OtherClients[[#This Row],[Client]]="infasco",VLOOKUP(OtherClients[[#This Row],[Part]],PartControl!$A$2:$E$564,2,FALSE),OtherClients[[#This Row],[Total Quantity]]*VLOOKUP(OtherClients[[#This Row],[Part]],PartControl!$A$2:$E$564,2,FALSE)),0)</f>
        <v>106.94</v>
      </c>
    </row>
    <row r="2962" spans="1:26" ht="25.15" customHeight="1" x14ac:dyDescent="0.25">
      <c r="A2962" s="143">
        <v>46276</v>
      </c>
      <c r="B2962" s="144" t="s">
        <v>624</v>
      </c>
      <c r="C2962" s="144" t="s">
        <v>703</v>
      </c>
      <c r="D2962" s="144">
        <v>717501</v>
      </c>
      <c r="E2962" s="145">
        <v>36</v>
      </c>
      <c r="F2962" s="60">
        <v>700</v>
      </c>
      <c r="G2962" s="60">
        <f>+OtherClients[[#This Row],[Boxes / Pieces]]*OtherClients[[#This Row],[Unit Quantity]]</f>
        <v>25200</v>
      </c>
      <c r="H2962" s="60">
        <v>4</v>
      </c>
      <c r="I2962" s="60" t="s">
        <v>278</v>
      </c>
      <c r="J2962" s="104"/>
      <c r="K2962" s="33" t="s">
        <v>278</v>
      </c>
      <c r="L2962" s="111"/>
      <c r="M2962" s="33" t="s">
        <v>278</v>
      </c>
      <c r="N2962" s="111"/>
      <c r="O2962" s="33" t="s">
        <v>278</v>
      </c>
      <c r="P2962" s="111"/>
      <c r="Q2962" s="33" t="s">
        <v>587</v>
      </c>
      <c r="R2962" s="111"/>
      <c r="S2962" s="33" t="s">
        <v>278</v>
      </c>
      <c r="T2962" s="111"/>
      <c r="U2962" s="33" t="s">
        <v>278</v>
      </c>
      <c r="V2962" s="111"/>
      <c r="W2962" s="152" t="s">
        <v>548</v>
      </c>
      <c r="X2962" s="150" t="str">
        <f>+VLOOKUP(OtherClients[[#This Row],[Part]],PartControl!$A$2:$E$564,5,FALSE)</f>
        <v>infasco</v>
      </c>
      <c r="Y2962" s="108">
        <f>IF(OtherClients[[#This Row],[Re-certified or New]]&lt;&gt;"Re-certified",IF(OtherClients[[#This Row],[Client]]="infasco",VLOOKUP(OtherClients[[#This Row],[Part]],PartControl!$A$2:$E$564,2,FALSE),OtherClients[[#This Row],[Total Quantity]]*VLOOKUP(OtherClients[[#This Row],[Part]],PartControl!$A$2:$E$564,2,FALSE)),0)</f>
        <v>106.94</v>
      </c>
      <c r="Z2962" s="151">
        <f>IF(OtherClients[[#This Row],[Re-certified or New]]&lt;&gt;"Re-certified",IF(OtherClients[[#This Row],[Client]]="infasco",VLOOKUP(OtherClients[[#This Row],[Part]],PartControl!$A$2:$E$564,2,FALSE),OtherClients[[#This Row],[Total Quantity]]*VLOOKUP(OtherClients[[#This Row],[Part]],PartControl!$A$2:$E$564,2,FALSE)),0)</f>
        <v>106.94</v>
      </c>
    </row>
    <row r="2963" spans="1:26" ht="25.15" customHeight="1" x14ac:dyDescent="0.25">
      <c r="A2963" s="143">
        <v>46276</v>
      </c>
      <c r="B2963" s="144" t="s">
        <v>244</v>
      </c>
      <c r="C2963" s="144">
        <v>11546377</v>
      </c>
      <c r="D2963" s="144">
        <v>718865</v>
      </c>
      <c r="E2963" s="145">
        <f>25-2</f>
        <v>23</v>
      </c>
      <c r="F2963" s="60">
        <v>2150</v>
      </c>
      <c r="G2963" s="60">
        <f>+OtherClients[[#This Row],[Boxes / Pieces]]*OtherClients[[#This Row],[Unit Quantity]]</f>
        <v>49450</v>
      </c>
      <c r="H2963" s="60">
        <v>4</v>
      </c>
      <c r="I2963" s="60" t="s">
        <v>278</v>
      </c>
      <c r="J2963" s="104"/>
      <c r="K2963" s="33" t="s">
        <v>278</v>
      </c>
      <c r="L2963" s="111"/>
      <c r="M2963" s="33" t="s">
        <v>278</v>
      </c>
      <c r="N2963" s="111"/>
      <c r="O2963" s="33" t="s">
        <v>278</v>
      </c>
      <c r="P2963" s="111"/>
      <c r="Q2963" s="33" t="s">
        <v>587</v>
      </c>
      <c r="R2963" s="111"/>
      <c r="S2963" s="33" t="s">
        <v>278</v>
      </c>
      <c r="T2963" s="111"/>
      <c r="U2963" s="33" t="s">
        <v>278</v>
      </c>
      <c r="V2963" s="111"/>
      <c r="W2963" s="152" t="s">
        <v>633</v>
      </c>
      <c r="X2963" s="150" t="str">
        <f>+VLOOKUP(OtherClients[[#This Row],[Part]],PartControl!$A$2:$E$564,5,FALSE)</f>
        <v>INFASCO</v>
      </c>
      <c r="Y2963" s="108">
        <f>IF(OtherClients[[#This Row],[Re-certified or New]]&lt;&gt;"Re-certified",IF(OtherClients[[#This Row],[Client]]="infasco",VLOOKUP(OtherClients[[#This Row],[Part]],PartControl!$A$2:$E$564,2,FALSE),OtherClients[[#This Row],[Total Quantity]]*VLOOKUP(OtherClients[[#This Row],[Part]],PartControl!$A$2:$E$564,2,FALSE)),0)</f>
        <v>0</v>
      </c>
      <c r="Z2963" s="151">
        <f>IF(OtherClients[[#This Row],[Re-certified or New]]&lt;&gt;"Re-certified",IF(OtherClients[[#This Row],[Client]]="infasco",VLOOKUP(OtherClients[[#This Row],[Part]],PartControl!$A$2:$E$564,2,FALSE),OtherClients[[#This Row],[Total Quantity]]*VLOOKUP(OtherClients[[#This Row],[Part]],PartControl!$A$2:$E$564,2,FALSE)),0)</f>
        <v>0</v>
      </c>
    </row>
    <row r="2964" spans="1:26" ht="25.15" customHeight="1" x14ac:dyDescent="0.25">
      <c r="A2964" s="143">
        <v>46276</v>
      </c>
      <c r="B2964" s="144" t="s">
        <v>251</v>
      </c>
      <c r="C2964" s="144">
        <v>11549168</v>
      </c>
      <c r="D2964" s="144">
        <v>717375</v>
      </c>
      <c r="E2964" s="145">
        <v>3</v>
      </c>
      <c r="F2964" s="60">
        <v>1000</v>
      </c>
      <c r="G2964" s="60">
        <f>+OtherClients[[#This Row],[Boxes / Pieces]]*OtherClients[[#This Row],[Unit Quantity]]</f>
        <v>3000</v>
      </c>
      <c r="H2964" s="60">
        <v>4</v>
      </c>
      <c r="I2964" s="60" t="s">
        <v>278</v>
      </c>
      <c r="J2964" s="104"/>
      <c r="K2964" s="33" t="s">
        <v>278</v>
      </c>
      <c r="L2964" s="111"/>
      <c r="M2964" s="33" t="s">
        <v>278</v>
      </c>
      <c r="N2964" s="111"/>
      <c r="O2964" s="33" t="s">
        <v>278</v>
      </c>
      <c r="P2964" s="111"/>
      <c r="Q2964" s="33" t="s">
        <v>587</v>
      </c>
      <c r="R2964" s="111"/>
      <c r="S2964" s="33" t="s">
        <v>278</v>
      </c>
      <c r="T2964" s="111"/>
      <c r="U2964" s="33" t="s">
        <v>278</v>
      </c>
      <c r="V2964" s="111"/>
      <c r="W2964" s="152" t="s">
        <v>548</v>
      </c>
      <c r="X2964" s="150" t="str">
        <f>+VLOOKUP(OtherClients[[#This Row],[Part]],PartControl!$A$2:$E$564,5,FALSE)</f>
        <v>INFASCO</v>
      </c>
      <c r="Y2964" s="108">
        <f>IF(OtherClients[[#This Row],[Re-certified or New]]&lt;&gt;"Re-certified",IF(OtherClients[[#This Row],[Client]]="infasco",VLOOKUP(OtherClients[[#This Row],[Part]],PartControl!$A$2:$E$564,2,FALSE),OtherClients[[#This Row],[Total Quantity]]*VLOOKUP(OtherClients[[#This Row],[Part]],PartControl!$A$2:$E$564,2,FALSE)),0)</f>
        <v>106.94</v>
      </c>
      <c r="Z2964" s="151">
        <f>IF(OtherClients[[#This Row],[Re-certified or New]]&lt;&gt;"Re-certified",IF(OtherClients[[#This Row],[Client]]="infasco",VLOOKUP(OtherClients[[#This Row],[Part]],PartControl!$A$2:$E$564,2,FALSE),OtherClients[[#This Row],[Total Quantity]]*VLOOKUP(OtherClients[[#This Row],[Part]],PartControl!$A$2:$E$564,2,FALSE)),0)</f>
        <v>106.94</v>
      </c>
    </row>
    <row r="2965" spans="1:26" ht="25.15" customHeight="1" x14ac:dyDescent="0.25">
      <c r="A2965" s="143">
        <v>46276</v>
      </c>
      <c r="B2965" s="144" t="s">
        <v>251</v>
      </c>
      <c r="C2965" s="144" t="s">
        <v>647</v>
      </c>
      <c r="D2965" s="144">
        <v>717570</v>
      </c>
      <c r="E2965" s="145">
        <v>34</v>
      </c>
      <c r="F2965" s="60">
        <v>750</v>
      </c>
      <c r="G2965" s="60">
        <f>+OtherClients[[#This Row],[Boxes / Pieces]]*OtherClients[[#This Row],[Unit Quantity]]</f>
        <v>25500</v>
      </c>
      <c r="H2965" s="60">
        <v>4</v>
      </c>
      <c r="I2965" s="60" t="s">
        <v>278</v>
      </c>
      <c r="J2965" s="104"/>
      <c r="K2965" s="33" t="s">
        <v>278</v>
      </c>
      <c r="L2965" s="111"/>
      <c r="M2965" s="33" t="s">
        <v>278</v>
      </c>
      <c r="N2965" s="111"/>
      <c r="O2965" s="33" t="s">
        <v>278</v>
      </c>
      <c r="P2965" s="111"/>
      <c r="Q2965" s="33" t="s">
        <v>587</v>
      </c>
      <c r="R2965" s="111"/>
      <c r="S2965" s="33" t="s">
        <v>278</v>
      </c>
      <c r="T2965" s="111"/>
      <c r="U2965" s="33" t="s">
        <v>278</v>
      </c>
      <c r="V2965" s="111"/>
      <c r="W2965" s="152" t="s">
        <v>633</v>
      </c>
      <c r="X2965" s="150" t="str">
        <f>+VLOOKUP(OtherClients[[#This Row],[Part]],PartControl!$A$2:$E$564,5,FALSE)</f>
        <v>infasco</v>
      </c>
      <c r="Y2965" s="108">
        <f>IF(OtherClients[[#This Row],[Re-certified or New]]&lt;&gt;"Re-certified",IF(OtherClients[[#This Row],[Client]]="infasco",VLOOKUP(OtherClients[[#This Row],[Part]],PartControl!$A$2:$E$564,2,FALSE),OtherClients[[#This Row],[Total Quantity]]*VLOOKUP(OtherClients[[#This Row],[Part]],PartControl!$A$2:$E$564,2,FALSE)),0)</f>
        <v>0</v>
      </c>
      <c r="Z2965" s="151">
        <f>IF(OtherClients[[#This Row],[Re-certified or New]]&lt;&gt;"Re-certified",IF(OtherClients[[#This Row],[Client]]="infasco",VLOOKUP(OtherClients[[#This Row],[Part]],PartControl!$A$2:$E$564,2,FALSE),OtherClients[[#This Row],[Total Quantity]]*VLOOKUP(OtherClients[[#This Row],[Part]],PartControl!$A$2:$E$564,2,FALSE)),0)</f>
        <v>0</v>
      </c>
    </row>
    <row r="2966" spans="1:26" ht="25.15" customHeight="1" x14ac:dyDescent="0.25">
      <c r="A2966" s="143">
        <v>46276</v>
      </c>
      <c r="B2966" s="144" t="s">
        <v>245</v>
      </c>
      <c r="C2966" s="144" t="s">
        <v>728</v>
      </c>
      <c r="D2966" s="144">
        <v>718016</v>
      </c>
      <c r="E2966" s="145">
        <f>37-24</f>
        <v>13</v>
      </c>
      <c r="F2966" s="60">
        <v>1500</v>
      </c>
      <c r="G2966" s="60">
        <f>+OtherClients[[#This Row],[Boxes / Pieces]]*OtherClients[[#This Row],[Unit Quantity]]</f>
        <v>19500</v>
      </c>
      <c r="H2966" s="60">
        <v>4</v>
      </c>
      <c r="I2966" s="60" t="s">
        <v>278</v>
      </c>
      <c r="J2966" s="104"/>
      <c r="K2966" s="33" t="s">
        <v>278</v>
      </c>
      <c r="L2966" s="111"/>
      <c r="M2966" s="33" t="s">
        <v>278</v>
      </c>
      <c r="N2966" s="111"/>
      <c r="O2966" s="33" t="s">
        <v>278</v>
      </c>
      <c r="P2966" s="111"/>
      <c r="Q2966" s="33" t="s">
        <v>587</v>
      </c>
      <c r="R2966" s="111"/>
      <c r="S2966" s="33" t="s">
        <v>278</v>
      </c>
      <c r="T2966" s="111"/>
      <c r="U2966" s="33" t="s">
        <v>278</v>
      </c>
      <c r="V2966" s="111"/>
      <c r="W2966" s="152" t="s">
        <v>548</v>
      </c>
      <c r="X2966" s="150" t="str">
        <f>+VLOOKUP(OtherClients[[#This Row],[Part]],PartControl!$A$2:$E$564,5,FALSE)</f>
        <v>infasco</v>
      </c>
      <c r="Y2966" s="108">
        <f>IF(OtherClients[[#This Row],[Re-certified or New]]&lt;&gt;"Re-certified",IF(OtherClients[[#This Row],[Client]]="infasco",VLOOKUP(OtherClients[[#This Row],[Part]],PartControl!$A$2:$E$564,2,FALSE),OtherClients[[#This Row],[Total Quantity]]*VLOOKUP(OtherClients[[#This Row],[Part]],PartControl!$A$2:$E$564,2,FALSE)),0)</f>
        <v>106.94</v>
      </c>
      <c r="Z2966" s="151">
        <f>IF(OtherClients[[#This Row],[Re-certified or New]]&lt;&gt;"Re-certified",IF(OtherClients[[#This Row],[Client]]="infasco",VLOOKUP(OtherClients[[#This Row],[Part]],PartControl!$A$2:$E$564,2,FALSE),OtherClients[[#This Row],[Total Quantity]]*VLOOKUP(OtherClients[[#This Row],[Part]],PartControl!$A$2:$E$564,2,FALSE)),0)</f>
        <v>106.94</v>
      </c>
    </row>
    <row r="2967" spans="1:26" ht="25.15" customHeight="1" x14ac:dyDescent="0.25">
      <c r="A2967" s="143">
        <v>46276</v>
      </c>
      <c r="B2967" s="144" t="s">
        <v>246</v>
      </c>
      <c r="C2967" s="144" t="s">
        <v>732</v>
      </c>
      <c r="D2967" s="144">
        <v>707555</v>
      </c>
      <c r="E2967" s="145">
        <v>5</v>
      </c>
      <c r="F2967" s="60">
        <v>1000</v>
      </c>
      <c r="G2967" s="60">
        <f>+OtherClients[[#This Row],[Boxes / Pieces]]*OtherClients[[#This Row],[Unit Quantity]]</f>
        <v>5000</v>
      </c>
      <c r="H2967" s="60">
        <v>285</v>
      </c>
      <c r="I2967" s="60" t="s">
        <v>278</v>
      </c>
      <c r="J2967" s="104"/>
      <c r="K2967" s="33" t="s">
        <v>278</v>
      </c>
      <c r="L2967" s="111"/>
      <c r="M2967" s="33" t="s">
        <v>278</v>
      </c>
      <c r="N2967" s="111"/>
      <c r="O2967" s="33" t="s">
        <v>278</v>
      </c>
      <c r="P2967" s="111"/>
      <c r="Q2967" s="33" t="s">
        <v>587</v>
      </c>
      <c r="R2967" s="111"/>
      <c r="S2967" s="33" t="s">
        <v>278</v>
      </c>
      <c r="T2967" s="111"/>
      <c r="U2967" s="33" t="s">
        <v>278</v>
      </c>
      <c r="V2967" s="111"/>
      <c r="W2967" s="152" t="s">
        <v>548</v>
      </c>
      <c r="X2967" s="150" t="str">
        <f>+VLOOKUP(OtherClients[[#This Row],[Part]],PartControl!$A$2:$E$564,5,FALSE)</f>
        <v>infasco</v>
      </c>
      <c r="Y2967" s="108">
        <f>IF(OtherClients[[#This Row],[Re-certified or New]]&lt;&gt;"Re-certified",IF(OtherClients[[#This Row],[Client]]="infasco",VLOOKUP(OtherClients[[#This Row],[Part]],PartControl!$A$2:$E$564,2,FALSE),OtherClients[[#This Row],[Total Quantity]]*VLOOKUP(OtherClients[[#This Row],[Part]],PartControl!$A$2:$E$564,2,FALSE)),0)</f>
        <v>213.88</v>
      </c>
      <c r="Z2967" s="151">
        <f>IF(OtherClients[[#This Row],[Re-certified or New]]&lt;&gt;"Re-certified",IF(OtherClients[[#This Row],[Client]]="infasco",VLOOKUP(OtherClients[[#This Row],[Part]],PartControl!$A$2:$E$564,2,FALSE),OtherClients[[#This Row],[Total Quantity]]*VLOOKUP(OtherClients[[#This Row],[Part]],PartControl!$A$2:$E$564,2,FALSE)),0)</f>
        <v>213.88</v>
      </c>
    </row>
    <row r="2968" spans="1:26" ht="25.15" customHeight="1" x14ac:dyDescent="0.25">
      <c r="A2968" s="143">
        <v>46276</v>
      </c>
      <c r="B2968" s="113" t="s">
        <v>246</v>
      </c>
      <c r="C2968" s="113" t="s">
        <v>732</v>
      </c>
      <c r="D2968" s="113">
        <v>716958</v>
      </c>
      <c r="E2968" s="114">
        <v>1</v>
      </c>
      <c r="F2968" s="115">
        <v>45000</v>
      </c>
      <c r="G2968" s="115">
        <f>+OtherClients[[#This Row],[Boxes / Pieces]]*OtherClients[[#This Row],[Unit Quantity]]</f>
        <v>45000</v>
      </c>
      <c r="H2968" s="60">
        <v>285</v>
      </c>
      <c r="I2968" s="60" t="s">
        <v>278</v>
      </c>
      <c r="J2968" s="104"/>
      <c r="K2968" s="33" t="s">
        <v>278</v>
      </c>
      <c r="L2968" s="111"/>
      <c r="M2968" s="33" t="s">
        <v>278</v>
      </c>
      <c r="N2968" s="111"/>
      <c r="O2968" s="33" t="s">
        <v>278</v>
      </c>
      <c r="P2968" s="111"/>
      <c r="Q2968" s="33" t="s">
        <v>587</v>
      </c>
      <c r="R2968" s="111"/>
      <c r="S2968" s="33" t="s">
        <v>278</v>
      </c>
      <c r="T2968" s="111"/>
      <c r="U2968" s="33" t="s">
        <v>278</v>
      </c>
      <c r="V2968" s="111"/>
      <c r="W2968" s="152" t="s">
        <v>633</v>
      </c>
      <c r="X2968" s="150" t="str">
        <f>+VLOOKUP(OtherClients[[#This Row],[Part]],PartControl!$A$2:$E$564,5,FALSE)</f>
        <v>infasco</v>
      </c>
      <c r="Y2968" s="108">
        <f>IF(OtherClients[[#This Row],[Re-certified or New]]&lt;&gt;"Re-certified",IF(OtherClients[[#This Row],[Client]]="infasco",VLOOKUP(OtherClients[[#This Row],[Part]],PartControl!$A$2:$E$564,2,FALSE),OtherClients[[#This Row],[Total Quantity]]*VLOOKUP(OtherClients[[#This Row],[Part]],PartControl!$A$2:$E$564,2,FALSE)),0)</f>
        <v>0</v>
      </c>
      <c r="Z2968" s="151">
        <f>IF(OtherClients[[#This Row],[Re-certified or New]]&lt;&gt;"Re-certified",IF(OtherClients[[#This Row],[Client]]="infasco",VLOOKUP(OtherClients[[#This Row],[Part]],PartControl!$A$2:$E$564,2,FALSE),OtherClients[[#This Row],[Total Quantity]]*VLOOKUP(OtherClients[[#This Row],[Part]],PartControl!$A$2:$E$564,2,FALSE)),0)</f>
        <v>0</v>
      </c>
    </row>
    <row r="2969" spans="1:26" ht="25.15" customHeight="1" x14ac:dyDescent="0.25">
      <c r="A2969" s="143">
        <v>46276</v>
      </c>
      <c r="B2969" s="144" t="s">
        <v>634</v>
      </c>
      <c r="C2969" s="144">
        <v>11561645</v>
      </c>
      <c r="D2969" s="144">
        <v>718058</v>
      </c>
      <c r="E2969" s="145">
        <f>35-6</f>
        <v>29</v>
      </c>
      <c r="F2969" s="60">
        <v>4000</v>
      </c>
      <c r="G2969" s="60">
        <f>+OtherClients[[#This Row],[Boxes / Pieces]]*OtherClients[[#This Row],[Unit Quantity]]</f>
        <v>116000</v>
      </c>
      <c r="H2969" s="60">
        <v>280</v>
      </c>
      <c r="I2969" s="60" t="s">
        <v>278</v>
      </c>
      <c r="J2969" s="104"/>
      <c r="K2969" s="33" t="s">
        <v>278</v>
      </c>
      <c r="L2969" s="111"/>
      <c r="M2969" s="33" t="s">
        <v>278</v>
      </c>
      <c r="N2969" s="111"/>
      <c r="O2969" s="33" t="s">
        <v>278</v>
      </c>
      <c r="P2969" s="111"/>
      <c r="Q2969" s="33" t="s">
        <v>587</v>
      </c>
      <c r="R2969" s="111"/>
      <c r="S2969" s="33" t="s">
        <v>278</v>
      </c>
      <c r="T2969" s="111"/>
      <c r="U2969" s="33" t="s">
        <v>278</v>
      </c>
      <c r="V2969" s="111"/>
      <c r="W2969" s="152" t="s">
        <v>548</v>
      </c>
      <c r="X2969" s="150" t="str">
        <f>+VLOOKUP(OtherClients[[#This Row],[Part]],PartControl!$A$2:$E$564,5,FALSE)</f>
        <v>infasco</v>
      </c>
      <c r="Y2969" s="108">
        <f>IF(OtherClients[[#This Row],[Re-certified or New]]&lt;&gt;"Re-certified",IF(OtherClients[[#This Row],[Client]]="infasco",VLOOKUP(OtherClients[[#This Row],[Part]],PartControl!$A$2:$E$564,2,FALSE),OtherClients[[#This Row],[Total Quantity]]*VLOOKUP(OtherClients[[#This Row],[Part]],PartControl!$A$2:$E$564,2,FALSE)),0)</f>
        <v>106.94</v>
      </c>
      <c r="Z2969" s="151">
        <f>IF(OtherClients[[#This Row],[Re-certified or New]]&lt;&gt;"Re-certified",IF(OtherClients[[#This Row],[Client]]="infasco",VLOOKUP(OtherClients[[#This Row],[Part]],PartControl!$A$2:$E$564,2,FALSE),OtherClients[[#This Row],[Total Quantity]]*VLOOKUP(OtherClients[[#This Row],[Part]],PartControl!$A$2:$E$564,2,FALSE)),0)</f>
        <v>106.94</v>
      </c>
    </row>
    <row r="2970" spans="1:26" ht="25.15" customHeight="1" x14ac:dyDescent="0.25">
      <c r="A2970" s="143">
        <v>46276</v>
      </c>
      <c r="B2970" s="144" t="s">
        <v>634</v>
      </c>
      <c r="C2970" s="144" t="s">
        <v>303</v>
      </c>
      <c r="D2970" s="144">
        <v>718330</v>
      </c>
      <c r="E2970" s="145">
        <v>1</v>
      </c>
      <c r="F2970" s="60">
        <f>6*2000</f>
        <v>12000</v>
      </c>
      <c r="G2970" s="60">
        <f>+OtherClients[[#This Row],[Boxes / Pieces]]*OtherClients[[#This Row],[Unit Quantity]]</f>
        <v>12000</v>
      </c>
      <c r="H2970" s="60">
        <v>280</v>
      </c>
      <c r="I2970" s="60" t="s">
        <v>278</v>
      </c>
      <c r="J2970" s="104"/>
      <c r="K2970" s="33" t="s">
        <v>278</v>
      </c>
      <c r="L2970" s="111"/>
      <c r="M2970" s="33" t="s">
        <v>278</v>
      </c>
      <c r="N2970" s="111"/>
      <c r="O2970" s="33" t="s">
        <v>278</v>
      </c>
      <c r="P2970" s="111"/>
      <c r="Q2970" s="33" t="s">
        <v>587</v>
      </c>
      <c r="R2970" s="111"/>
      <c r="S2970" s="33" t="s">
        <v>278</v>
      </c>
      <c r="T2970" s="111"/>
      <c r="U2970" s="33" t="s">
        <v>278</v>
      </c>
      <c r="V2970" s="111"/>
      <c r="W2970" s="152" t="s">
        <v>633</v>
      </c>
      <c r="X2970" s="150" t="str">
        <f>+VLOOKUP(OtherClients[[#This Row],[Part]],PartControl!$A$2:$E$564,5,FALSE)</f>
        <v>INFASCO</v>
      </c>
      <c r="Y2970" s="108">
        <f>IF(OtherClients[[#This Row],[Re-certified or New]]&lt;&gt;"Re-certified",IF(OtherClients[[#This Row],[Client]]="infasco",VLOOKUP(OtherClients[[#This Row],[Part]],PartControl!$A$2:$E$564,2,FALSE),OtherClients[[#This Row],[Total Quantity]]*VLOOKUP(OtherClients[[#This Row],[Part]],PartControl!$A$2:$E$564,2,FALSE)),0)</f>
        <v>0</v>
      </c>
      <c r="Z2970" s="151">
        <f>IF(OtherClients[[#This Row],[Re-certified or New]]&lt;&gt;"Re-certified",IF(OtherClients[[#This Row],[Client]]="infasco",VLOOKUP(OtherClients[[#This Row],[Part]],PartControl!$A$2:$E$564,2,FALSE),OtherClients[[#This Row],[Total Quantity]]*VLOOKUP(OtherClients[[#This Row],[Part]],PartControl!$A$2:$E$564,2,FALSE)),0)</f>
        <v>0</v>
      </c>
    </row>
    <row r="2971" spans="1:26" ht="25.15" customHeight="1" x14ac:dyDescent="0.25">
      <c r="A2971" s="143">
        <v>46276</v>
      </c>
      <c r="B2971" s="144" t="s">
        <v>635</v>
      </c>
      <c r="C2971" s="144">
        <v>11561645</v>
      </c>
      <c r="D2971" s="144">
        <v>718057</v>
      </c>
      <c r="E2971" s="145">
        <f>27-22</f>
        <v>5</v>
      </c>
      <c r="F2971" s="60">
        <v>4000</v>
      </c>
      <c r="G2971" s="60">
        <f>+OtherClients[[#This Row],[Boxes / Pieces]]*OtherClients[[#This Row],[Unit Quantity]]</f>
        <v>20000</v>
      </c>
      <c r="H2971" s="60">
        <v>280</v>
      </c>
      <c r="I2971" s="60" t="s">
        <v>278</v>
      </c>
      <c r="J2971" s="104"/>
      <c r="K2971" s="33" t="s">
        <v>278</v>
      </c>
      <c r="L2971" s="111"/>
      <c r="M2971" s="33" t="s">
        <v>278</v>
      </c>
      <c r="N2971" s="111"/>
      <c r="O2971" s="33" t="s">
        <v>278</v>
      </c>
      <c r="P2971" s="111"/>
      <c r="Q2971" s="33" t="s">
        <v>587</v>
      </c>
      <c r="R2971" s="111"/>
      <c r="S2971" s="33" t="s">
        <v>278</v>
      </c>
      <c r="T2971" s="111"/>
      <c r="U2971" s="33" t="s">
        <v>278</v>
      </c>
      <c r="V2971" s="111"/>
      <c r="W2971" s="152" t="s">
        <v>548</v>
      </c>
      <c r="X2971" s="150" t="str">
        <f>+VLOOKUP(OtherClients[[#This Row],[Part]],PartControl!$A$2:$E$564,5,FALSE)</f>
        <v>infasco</v>
      </c>
      <c r="Y2971" s="108">
        <f>IF(OtherClients[[#This Row],[Re-certified or New]]&lt;&gt;"Re-certified",IF(OtherClients[[#This Row],[Client]]="infasco",VLOOKUP(OtherClients[[#This Row],[Part]],PartControl!$A$2:$E$564,2,FALSE),OtherClients[[#This Row],[Total Quantity]]*VLOOKUP(OtherClients[[#This Row],[Part]],PartControl!$A$2:$E$564,2,FALSE)),0)</f>
        <v>106.94</v>
      </c>
      <c r="Z2971" s="151">
        <f>IF(OtherClients[[#This Row],[Re-certified or New]]&lt;&gt;"Re-certified",IF(OtherClients[[#This Row],[Client]]="infasco",VLOOKUP(OtherClients[[#This Row],[Part]],PartControl!$A$2:$E$564,2,FALSE),OtherClients[[#This Row],[Total Quantity]]*VLOOKUP(OtherClients[[#This Row],[Part]],PartControl!$A$2:$E$564,2,FALSE)),0)</f>
        <v>106.94</v>
      </c>
    </row>
    <row r="2972" spans="1:26" ht="25.15" customHeight="1" x14ac:dyDescent="0.25">
      <c r="A2972" s="143">
        <v>46276</v>
      </c>
      <c r="B2972" s="144" t="s">
        <v>635</v>
      </c>
      <c r="C2972" s="144">
        <v>11561645</v>
      </c>
      <c r="D2972" s="144">
        <v>718059</v>
      </c>
      <c r="E2972" s="145">
        <v>24</v>
      </c>
      <c r="F2972" s="60">
        <v>4000</v>
      </c>
      <c r="G2972" s="60">
        <f>+OtherClients[[#This Row],[Boxes / Pieces]]*OtherClients[[#This Row],[Unit Quantity]]</f>
        <v>96000</v>
      </c>
      <c r="H2972" s="60">
        <v>280</v>
      </c>
      <c r="I2972" s="60" t="s">
        <v>278</v>
      </c>
      <c r="J2972" s="104"/>
      <c r="K2972" s="33" t="s">
        <v>278</v>
      </c>
      <c r="L2972" s="111"/>
      <c r="M2972" s="33" t="s">
        <v>278</v>
      </c>
      <c r="N2972" s="111"/>
      <c r="O2972" s="33" t="s">
        <v>278</v>
      </c>
      <c r="P2972" s="111"/>
      <c r="Q2972" s="33" t="s">
        <v>587</v>
      </c>
      <c r="R2972" s="111"/>
      <c r="S2972" s="33" t="s">
        <v>278</v>
      </c>
      <c r="T2972" s="111"/>
      <c r="U2972" s="33" t="s">
        <v>278</v>
      </c>
      <c r="V2972" s="111"/>
      <c r="W2972" s="152" t="s">
        <v>633</v>
      </c>
      <c r="X2972" s="150" t="str">
        <f>+VLOOKUP(OtherClients[[#This Row],[Part]],PartControl!$A$2:$E$564,5,FALSE)</f>
        <v>infasco</v>
      </c>
      <c r="Y2972" s="108">
        <f>IF(OtherClients[[#This Row],[Re-certified or New]]&lt;&gt;"Re-certified",IF(OtherClients[[#This Row],[Client]]="infasco",VLOOKUP(OtherClients[[#This Row],[Part]],PartControl!$A$2:$E$564,2,FALSE),OtherClients[[#This Row],[Total Quantity]]*VLOOKUP(OtherClients[[#This Row],[Part]],PartControl!$A$2:$E$564,2,FALSE)),0)</f>
        <v>0</v>
      </c>
      <c r="Z2972" s="151">
        <f>IF(OtherClients[[#This Row],[Re-certified or New]]&lt;&gt;"Re-certified",IF(OtherClients[[#This Row],[Client]]="infasco",VLOOKUP(OtherClients[[#This Row],[Part]],PartControl!$A$2:$E$564,2,FALSE),OtherClients[[#This Row],[Total Quantity]]*VLOOKUP(OtherClients[[#This Row],[Part]],PartControl!$A$2:$E$564,2,FALSE)),0)</f>
        <v>0</v>
      </c>
    </row>
    <row r="2973" spans="1:26" ht="25.15" customHeight="1" x14ac:dyDescent="0.25">
      <c r="A2973" s="143">
        <v>46276</v>
      </c>
      <c r="B2973" s="144" t="s">
        <v>834</v>
      </c>
      <c r="C2973" s="144" t="s">
        <v>814</v>
      </c>
      <c r="D2973" s="144">
        <v>717286</v>
      </c>
      <c r="E2973" s="145">
        <f>31-27</f>
        <v>4</v>
      </c>
      <c r="F2973" s="60">
        <v>2500</v>
      </c>
      <c r="G2973" s="60">
        <f>+OtherClients[[#This Row],[Boxes / Pieces]]*OtherClients[[#This Row],[Unit Quantity]]</f>
        <v>10000</v>
      </c>
      <c r="H2973" s="60">
        <v>280</v>
      </c>
      <c r="I2973" s="60" t="s">
        <v>278</v>
      </c>
      <c r="J2973" s="104"/>
      <c r="K2973" s="33" t="s">
        <v>278</v>
      </c>
      <c r="L2973" s="111"/>
      <c r="M2973" s="33" t="s">
        <v>278</v>
      </c>
      <c r="N2973" s="111"/>
      <c r="O2973" s="33" t="s">
        <v>278</v>
      </c>
      <c r="P2973" s="111"/>
      <c r="Q2973" s="33" t="s">
        <v>587</v>
      </c>
      <c r="R2973" s="111"/>
      <c r="S2973" s="33" t="s">
        <v>278</v>
      </c>
      <c r="T2973" s="111"/>
      <c r="U2973" s="33" t="s">
        <v>278</v>
      </c>
      <c r="V2973" s="111"/>
      <c r="W2973" s="152" t="s">
        <v>548</v>
      </c>
      <c r="X2973" s="150" t="str">
        <f>+VLOOKUP(OtherClients[[#This Row],[Part]],PartControl!$A$2:$E$564,5,FALSE)</f>
        <v>Infasco</v>
      </c>
      <c r="Y2973" s="108">
        <f>IF(OtherClients[[#This Row],[Re-certified or New]]&lt;&gt;"Re-certified",IF(OtherClients[[#This Row],[Client]]="infasco",VLOOKUP(OtherClients[[#This Row],[Part]],PartControl!$A$2:$E$564,2,FALSE),OtherClients[[#This Row],[Total Quantity]]*VLOOKUP(OtherClients[[#This Row],[Part]],PartControl!$A$2:$E$564,2,FALSE)),0)</f>
        <v>106.94</v>
      </c>
      <c r="Z2973" s="151">
        <f>IF(OtherClients[[#This Row],[Re-certified or New]]&lt;&gt;"Re-certified",IF(OtherClients[[#This Row],[Client]]="infasco",VLOOKUP(OtherClients[[#This Row],[Part]],PartControl!$A$2:$E$564,2,FALSE),OtherClients[[#This Row],[Total Quantity]]*VLOOKUP(OtherClients[[#This Row],[Part]],PartControl!$A$2:$E$564,2,FALSE)),0)</f>
        <v>106.94</v>
      </c>
    </row>
    <row r="2974" spans="1:26" ht="25.15" customHeight="1" x14ac:dyDescent="0.25">
      <c r="A2974" s="143">
        <v>46276</v>
      </c>
      <c r="B2974" s="144" t="s">
        <v>834</v>
      </c>
      <c r="C2974" s="144" t="s">
        <v>814</v>
      </c>
      <c r="D2974" s="144">
        <v>717290</v>
      </c>
      <c r="E2974" s="145">
        <v>30</v>
      </c>
      <c r="F2974" s="60">
        <v>2500</v>
      </c>
      <c r="G2974" s="60">
        <f>+OtherClients[[#This Row],[Boxes / Pieces]]*OtherClients[[#This Row],[Unit Quantity]]</f>
        <v>75000</v>
      </c>
      <c r="H2974" s="60">
        <v>280</v>
      </c>
      <c r="I2974" s="60" t="s">
        <v>278</v>
      </c>
      <c r="J2974" s="104"/>
      <c r="K2974" s="33" t="s">
        <v>278</v>
      </c>
      <c r="L2974" s="111"/>
      <c r="M2974" s="33" t="s">
        <v>278</v>
      </c>
      <c r="N2974" s="111"/>
      <c r="O2974" s="33" t="s">
        <v>278</v>
      </c>
      <c r="P2974" s="111"/>
      <c r="Q2974" s="33" t="s">
        <v>587</v>
      </c>
      <c r="R2974" s="111"/>
      <c r="S2974" s="33" t="s">
        <v>278</v>
      </c>
      <c r="T2974" s="111"/>
      <c r="U2974" s="33" t="s">
        <v>278</v>
      </c>
      <c r="V2974" s="111"/>
      <c r="W2974" s="152" t="s">
        <v>548</v>
      </c>
      <c r="X2974" s="150" t="str">
        <f>+VLOOKUP(OtherClients[[#This Row],[Part]],PartControl!$A$2:$E$564,5,FALSE)</f>
        <v>Infasco</v>
      </c>
      <c r="Y2974" s="108">
        <f>IF(OtherClients[[#This Row],[Re-certified or New]]&lt;&gt;"Re-certified",IF(OtherClients[[#This Row],[Client]]="infasco",VLOOKUP(OtherClients[[#This Row],[Part]],PartControl!$A$2:$E$564,2,FALSE),OtherClients[[#This Row],[Total Quantity]]*VLOOKUP(OtherClients[[#This Row],[Part]],PartControl!$A$2:$E$564,2,FALSE)),0)</f>
        <v>106.94</v>
      </c>
      <c r="Z2974" s="151">
        <f>IF(OtherClients[[#This Row],[Re-certified or New]]&lt;&gt;"Re-certified",IF(OtherClients[[#This Row],[Client]]="infasco",VLOOKUP(OtherClients[[#This Row],[Part]],PartControl!$A$2:$E$564,2,FALSE),OtherClients[[#This Row],[Total Quantity]]*VLOOKUP(OtherClients[[#This Row],[Part]],PartControl!$A$2:$E$564,2,FALSE)),0)</f>
        <v>106.94</v>
      </c>
    </row>
    <row r="2975" spans="1:26" ht="25.15" customHeight="1" x14ac:dyDescent="0.25">
      <c r="A2975" s="143">
        <v>46276</v>
      </c>
      <c r="B2975" s="144" t="s">
        <v>834</v>
      </c>
      <c r="C2975" s="144" t="s">
        <v>814</v>
      </c>
      <c r="D2975" s="144">
        <v>717559</v>
      </c>
      <c r="E2975" s="145">
        <v>10</v>
      </c>
      <c r="F2975" s="60">
        <v>2500</v>
      </c>
      <c r="G2975" s="60">
        <f>+OtherClients[[#This Row],[Boxes / Pieces]]*OtherClients[[#This Row],[Unit Quantity]]</f>
        <v>25000</v>
      </c>
      <c r="H2975" s="60">
        <v>280</v>
      </c>
      <c r="I2975" s="60" t="s">
        <v>278</v>
      </c>
      <c r="J2975" s="104"/>
      <c r="K2975" s="33" t="s">
        <v>278</v>
      </c>
      <c r="L2975" s="111"/>
      <c r="M2975" s="33" t="s">
        <v>278</v>
      </c>
      <c r="N2975" s="111"/>
      <c r="O2975" s="33" t="s">
        <v>278</v>
      </c>
      <c r="P2975" s="111"/>
      <c r="Q2975" s="33" t="s">
        <v>587</v>
      </c>
      <c r="R2975" s="111"/>
      <c r="S2975" s="33" t="s">
        <v>278</v>
      </c>
      <c r="T2975" s="111"/>
      <c r="U2975" s="33" t="s">
        <v>278</v>
      </c>
      <c r="V2975" s="111"/>
      <c r="W2975" s="152" t="s">
        <v>633</v>
      </c>
      <c r="X2975" s="150" t="str">
        <f>+VLOOKUP(OtherClients[[#This Row],[Part]],PartControl!$A$2:$E$564,5,FALSE)</f>
        <v>Infasco</v>
      </c>
      <c r="Y2975" s="108">
        <f>IF(OtherClients[[#This Row],[Re-certified or New]]&lt;&gt;"Re-certified",IF(OtherClients[[#This Row],[Client]]="infasco",VLOOKUP(OtherClients[[#This Row],[Part]],PartControl!$A$2:$E$564,2,FALSE),OtherClients[[#This Row],[Total Quantity]]*VLOOKUP(OtherClients[[#This Row],[Part]],PartControl!$A$2:$E$564,2,FALSE)),0)</f>
        <v>0</v>
      </c>
      <c r="Z2975" s="151">
        <f>IF(OtherClients[[#This Row],[Re-certified or New]]&lt;&gt;"Re-certified",IF(OtherClients[[#This Row],[Client]]="infasco",VLOOKUP(OtherClients[[#This Row],[Part]],PartControl!$A$2:$E$564,2,FALSE),OtherClients[[#This Row],[Total Quantity]]*VLOOKUP(OtherClients[[#This Row],[Part]],PartControl!$A$2:$E$564,2,FALSE)),0)</f>
        <v>0</v>
      </c>
    </row>
    <row r="2976" spans="1:26" ht="25.15" customHeight="1" x14ac:dyDescent="0.25">
      <c r="A2976" s="143">
        <v>46276</v>
      </c>
      <c r="B2976" s="144" t="s">
        <v>636</v>
      </c>
      <c r="C2976" s="144">
        <v>11546462</v>
      </c>
      <c r="D2976" s="144">
        <v>718639</v>
      </c>
      <c r="E2976" s="145">
        <f>40-9</f>
        <v>31</v>
      </c>
      <c r="F2976" s="60">
        <v>650</v>
      </c>
      <c r="G2976" s="60">
        <f>+OtherClients[[#This Row],[Boxes / Pieces]]*OtherClients[[#This Row],[Unit Quantity]]</f>
        <v>20150</v>
      </c>
      <c r="H2976" s="60">
        <v>280</v>
      </c>
      <c r="I2976" s="60" t="s">
        <v>278</v>
      </c>
      <c r="J2976" s="104"/>
      <c r="K2976" s="33" t="s">
        <v>278</v>
      </c>
      <c r="L2976" s="111"/>
      <c r="M2976" s="33" t="s">
        <v>278</v>
      </c>
      <c r="N2976" s="111"/>
      <c r="O2976" s="33" t="s">
        <v>278</v>
      </c>
      <c r="P2976" s="111"/>
      <c r="Q2976" s="33" t="s">
        <v>587</v>
      </c>
      <c r="R2976" s="111"/>
      <c r="S2976" s="33" t="s">
        <v>278</v>
      </c>
      <c r="T2976" s="111"/>
      <c r="U2976" s="33" t="s">
        <v>278</v>
      </c>
      <c r="V2976" s="111"/>
      <c r="W2976" s="152" t="s">
        <v>548</v>
      </c>
      <c r="X2976" s="150" t="str">
        <f>+VLOOKUP(OtherClients[[#This Row],[Part]],PartControl!$A$2:$E$564,5,FALSE)</f>
        <v>INFASCO</v>
      </c>
      <c r="Y2976" s="108">
        <f>IF(OtherClients[[#This Row],[Re-certified or New]]&lt;&gt;"Re-certified",IF(OtherClients[[#This Row],[Client]]="infasco",VLOOKUP(OtherClients[[#This Row],[Part]],PartControl!$A$2:$E$564,2,FALSE),OtherClients[[#This Row],[Total Quantity]]*VLOOKUP(OtherClients[[#This Row],[Part]],PartControl!$A$2:$E$564,2,FALSE)),0)</f>
        <v>106.94</v>
      </c>
      <c r="Z2976" s="151">
        <f>IF(OtherClients[[#This Row],[Re-certified or New]]&lt;&gt;"Re-certified",IF(OtherClients[[#This Row],[Client]]="infasco",VLOOKUP(OtherClients[[#This Row],[Part]],PartControl!$A$2:$E$564,2,FALSE),OtherClients[[#This Row],[Total Quantity]]*VLOOKUP(OtherClients[[#This Row],[Part]],PartControl!$A$2:$E$564,2,FALSE)),0)</f>
        <v>106.94</v>
      </c>
    </row>
    <row r="2977" spans="1:26" ht="25.15" customHeight="1" x14ac:dyDescent="0.25">
      <c r="A2977" s="143">
        <v>46276</v>
      </c>
      <c r="B2977" s="144" t="s">
        <v>636</v>
      </c>
      <c r="C2977" s="144">
        <v>11546462</v>
      </c>
      <c r="D2977" s="144">
        <v>718646</v>
      </c>
      <c r="E2977" s="145">
        <v>10</v>
      </c>
      <c r="F2977" s="60">
        <v>650</v>
      </c>
      <c r="G2977" s="60">
        <f>+OtherClients[[#This Row],[Boxes / Pieces]]*OtherClients[[#This Row],[Unit Quantity]]</f>
        <v>6500</v>
      </c>
      <c r="H2977" s="60">
        <v>280</v>
      </c>
      <c r="I2977" s="60" t="s">
        <v>278</v>
      </c>
      <c r="J2977" s="104"/>
      <c r="K2977" s="33" t="s">
        <v>278</v>
      </c>
      <c r="L2977" s="111"/>
      <c r="M2977" s="33" t="s">
        <v>278</v>
      </c>
      <c r="N2977" s="111"/>
      <c r="O2977" s="33" t="s">
        <v>278</v>
      </c>
      <c r="P2977" s="111"/>
      <c r="Q2977" s="33" t="s">
        <v>587</v>
      </c>
      <c r="R2977" s="111"/>
      <c r="S2977" s="33" t="s">
        <v>278</v>
      </c>
      <c r="T2977" s="111"/>
      <c r="U2977" s="33" t="s">
        <v>278</v>
      </c>
      <c r="V2977" s="111"/>
      <c r="W2977" s="152" t="s">
        <v>633</v>
      </c>
      <c r="X2977" s="150" t="str">
        <f>+VLOOKUP(OtherClients[[#This Row],[Part]],PartControl!$A$2:$E$564,5,FALSE)</f>
        <v>INFASCO</v>
      </c>
      <c r="Y2977" s="108">
        <f>IF(OtherClients[[#This Row],[Re-certified or New]]&lt;&gt;"Re-certified",IF(OtherClients[[#This Row],[Client]]="infasco",VLOOKUP(OtherClients[[#This Row],[Part]],PartControl!$A$2:$E$564,2,FALSE),OtherClients[[#This Row],[Total Quantity]]*VLOOKUP(OtherClients[[#This Row],[Part]],PartControl!$A$2:$E$564,2,FALSE)),0)</f>
        <v>0</v>
      </c>
      <c r="Z2977" s="151">
        <f>IF(OtherClients[[#This Row],[Re-certified or New]]&lt;&gt;"Re-certified",IF(OtherClients[[#This Row],[Client]]="infasco",VLOOKUP(OtherClients[[#This Row],[Part]],PartControl!$A$2:$E$564,2,FALSE),OtherClients[[#This Row],[Total Quantity]]*VLOOKUP(OtherClients[[#This Row],[Part]],PartControl!$A$2:$E$564,2,FALSE)),0)</f>
        <v>0</v>
      </c>
    </row>
    <row r="2978" spans="1:26" ht="25.15" customHeight="1" x14ac:dyDescent="0.25">
      <c r="A2978" s="143">
        <v>46276</v>
      </c>
      <c r="B2978" s="144" t="s">
        <v>637</v>
      </c>
      <c r="C2978" s="144" t="s">
        <v>303</v>
      </c>
      <c r="D2978" s="144">
        <v>714234</v>
      </c>
      <c r="E2978" s="145">
        <v>1</v>
      </c>
      <c r="F2978" s="60">
        <f>31*2000</f>
        <v>62000</v>
      </c>
      <c r="G2978" s="60">
        <f>+OtherClients[[#This Row],[Boxes / Pieces]]*OtherClients[[#This Row],[Unit Quantity]]</f>
        <v>62000</v>
      </c>
      <c r="H2978" s="60">
        <v>280</v>
      </c>
      <c r="I2978" s="60" t="s">
        <v>278</v>
      </c>
      <c r="J2978" s="104"/>
      <c r="K2978" s="33" t="s">
        <v>278</v>
      </c>
      <c r="L2978" s="111"/>
      <c r="M2978" s="33" t="s">
        <v>278</v>
      </c>
      <c r="N2978" s="111"/>
      <c r="O2978" s="33" t="s">
        <v>278</v>
      </c>
      <c r="P2978" s="111"/>
      <c r="Q2978" s="33" t="s">
        <v>587</v>
      </c>
      <c r="R2978" s="111"/>
      <c r="S2978" s="33" t="s">
        <v>278</v>
      </c>
      <c r="T2978" s="111"/>
      <c r="U2978" s="33" t="s">
        <v>278</v>
      </c>
      <c r="V2978" s="111"/>
      <c r="W2978" s="152" t="s">
        <v>548</v>
      </c>
      <c r="X2978" s="150" t="str">
        <f>+VLOOKUP(OtherClients[[#This Row],[Part]],PartControl!$A$2:$E$564,5,FALSE)</f>
        <v>INFASCO</v>
      </c>
      <c r="Y2978" s="108">
        <f>IF(OtherClients[[#This Row],[Re-certified or New]]&lt;&gt;"Re-certified",IF(OtherClients[[#This Row],[Client]]="infasco",VLOOKUP(OtherClients[[#This Row],[Part]],PartControl!$A$2:$E$564,2,FALSE),OtherClients[[#This Row],[Total Quantity]]*VLOOKUP(OtherClients[[#This Row],[Part]],PartControl!$A$2:$E$564,2,FALSE)),0)</f>
        <v>129.44999999999999</v>
      </c>
      <c r="Z2978" s="151">
        <f>IF(OtherClients[[#This Row],[Re-certified or New]]&lt;&gt;"Re-certified",IF(OtherClients[[#This Row],[Client]]="infasco",VLOOKUP(OtherClients[[#This Row],[Part]],PartControl!$A$2:$E$564,2,FALSE),OtherClients[[#This Row],[Total Quantity]]*VLOOKUP(OtherClients[[#This Row],[Part]],PartControl!$A$2:$E$564,2,FALSE)),0)</f>
        <v>129.44999999999999</v>
      </c>
    </row>
    <row r="2979" spans="1:26" ht="25.15" customHeight="1" x14ac:dyDescent="0.25">
      <c r="A2979" s="143">
        <v>46276</v>
      </c>
      <c r="B2979" s="144" t="s">
        <v>342</v>
      </c>
      <c r="C2979" s="144">
        <v>11602326</v>
      </c>
      <c r="D2979" s="144">
        <v>718623</v>
      </c>
      <c r="E2979" s="145">
        <v>2</v>
      </c>
      <c r="F2979" s="60">
        <v>120</v>
      </c>
      <c r="G2979" s="60">
        <f>+OtherClients[[#This Row],[Boxes / Pieces]]*OtherClients[[#This Row],[Unit Quantity]]</f>
        <v>240</v>
      </c>
      <c r="H2979" s="60" t="s">
        <v>893</v>
      </c>
      <c r="I2979" s="60" t="s">
        <v>278</v>
      </c>
      <c r="J2979" s="104"/>
      <c r="K2979" s="33" t="s">
        <v>278</v>
      </c>
      <c r="L2979" s="111"/>
      <c r="M2979" s="33" t="s">
        <v>278</v>
      </c>
      <c r="N2979" s="111"/>
      <c r="O2979" s="33" t="s">
        <v>278</v>
      </c>
      <c r="P2979" s="111"/>
      <c r="Q2979" s="33" t="s">
        <v>587</v>
      </c>
      <c r="R2979" s="111"/>
      <c r="S2979" s="33" t="s">
        <v>278</v>
      </c>
      <c r="T2979" s="111"/>
      <c r="U2979" s="33" t="s">
        <v>278</v>
      </c>
      <c r="V2979" s="111"/>
      <c r="W2979" s="152" t="s">
        <v>548</v>
      </c>
      <c r="X2979" s="150" t="str">
        <f>+VLOOKUP(OtherClients[[#This Row],[Part]],PartControl!$A$2:$E$564,5,FALSE)</f>
        <v>INFASCO</v>
      </c>
      <c r="Y2979" s="108">
        <f>IF(OtherClients[[#This Row],[Re-certified or New]]&lt;&gt;"Re-certified",IF(OtherClients[[#This Row],[Client]]="infasco",VLOOKUP(OtherClients[[#This Row],[Part]],PartControl!$A$2:$E$564,2,FALSE),OtherClients[[#This Row],[Total Quantity]]*VLOOKUP(OtherClients[[#This Row],[Part]],PartControl!$A$2:$E$564,2,FALSE)),0)</f>
        <v>106.94</v>
      </c>
      <c r="Z2979" s="151">
        <f>IF(OtherClients[[#This Row],[Re-certified or New]]&lt;&gt;"Re-certified",IF(OtherClients[[#This Row],[Client]]="infasco",VLOOKUP(OtherClients[[#This Row],[Part]],PartControl!$A$2:$E$564,2,FALSE),OtherClients[[#This Row],[Total Quantity]]*VLOOKUP(OtherClients[[#This Row],[Part]],PartControl!$A$2:$E$564,2,FALSE)),0)</f>
        <v>106.94</v>
      </c>
    </row>
    <row r="2980" spans="1:26" ht="25.15" customHeight="1" x14ac:dyDescent="0.25">
      <c r="A2980" s="143">
        <v>46276</v>
      </c>
      <c r="B2980" s="144" t="s">
        <v>342</v>
      </c>
      <c r="C2980" s="144" t="s">
        <v>306</v>
      </c>
      <c r="D2980" s="144">
        <v>718664</v>
      </c>
      <c r="E2980" s="145">
        <v>1</v>
      </c>
      <c r="F2980" s="60">
        <v>35000</v>
      </c>
      <c r="G2980" s="60">
        <f>+OtherClients[[#This Row],[Boxes / Pieces]]*OtherClients[[#This Row],[Unit Quantity]]</f>
        <v>35000</v>
      </c>
      <c r="H2980" s="60" t="s">
        <v>893</v>
      </c>
      <c r="I2980" s="60" t="s">
        <v>278</v>
      </c>
      <c r="J2980" s="104"/>
      <c r="K2980" s="33" t="s">
        <v>278</v>
      </c>
      <c r="L2980" s="111"/>
      <c r="M2980" s="33" t="s">
        <v>278</v>
      </c>
      <c r="N2980" s="111"/>
      <c r="O2980" s="33" t="s">
        <v>278</v>
      </c>
      <c r="P2980" s="111"/>
      <c r="Q2980" s="33" t="s">
        <v>587</v>
      </c>
      <c r="R2980" s="111"/>
      <c r="S2980" s="33" t="s">
        <v>278</v>
      </c>
      <c r="T2980" s="111"/>
      <c r="U2980" s="33" t="s">
        <v>278</v>
      </c>
      <c r="V2980" s="111"/>
      <c r="W2980" s="152" t="s">
        <v>548</v>
      </c>
      <c r="X2980" s="150" t="str">
        <f>+VLOOKUP(OtherClients[[#This Row],[Part]],PartControl!$A$2:$E$564,5,FALSE)</f>
        <v>INFASCO</v>
      </c>
      <c r="Y2980" s="108">
        <f>IF(OtherClients[[#This Row],[Re-certified or New]]&lt;&gt;"Re-certified",IF(OtherClients[[#This Row],[Client]]="infasco",VLOOKUP(OtherClients[[#This Row],[Part]],PartControl!$A$2:$E$564,2,FALSE),OtherClients[[#This Row],[Total Quantity]]*VLOOKUP(OtherClients[[#This Row],[Part]],PartControl!$A$2:$E$564,2,FALSE)),0)</f>
        <v>129.44999999999999</v>
      </c>
      <c r="Z2980" s="151">
        <f>IF(OtherClients[[#This Row],[Re-certified or New]]&lt;&gt;"Re-certified",IF(OtherClients[[#This Row],[Client]]="infasco",VLOOKUP(OtherClients[[#This Row],[Part]],PartControl!$A$2:$E$564,2,FALSE),OtherClients[[#This Row],[Total Quantity]]*VLOOKUP(OtherClients[[#This Row],[Part]],PartControl!$A$2:$E$564,2,FALSE)),0)</f>
        <v>129.44999999999999</v>
      </c>
    </row>
    <row r="2981" spans="1:26" ht="25.15" customHeight="1" x14ac:dyDescent="0.25">
      <c r="A2981" s="143">
        <v>46276</v>
      </c>
      <c r="B2981" s="144" t="s">
        <v>342</v>
      </c>
      <c r="C2981" s="144" t="s">
        <v>306</v>
      </c>
      <c r="D2981" s="144">
        <v>717101</v>
      </c>
      <c r="E2981" s="145">
        <v>1</v>
      </c>
      <c r="F2981" s="60">
        <v>35000</v>
      </c>
      <c r="G2981" s="60">
        <f>+OtherClients[[#This Row],[Boxes / Pieces]]*OtherClients[[#This Row],[Unit Quantity]]</f>
        <v>35000</v>
      </c>
      <c r="H2981" s="60" t="s">
        <v>893</v>
      </c>
      <c r="I2981" s="60" t="s">
        <v>278</v>
      </c>
      <c r="J2981" s="104"/>
      <c r="K2981" s="33" t="s">
        <v>278</v>
      </c>
      <c r="L2981" s="111"/>
      <c r="M2981" s="33" t="s">
        <v>278</v>
      </c>
      <c r="N2981" s="111"/>
      <c r="O2981" s="33" t="s">
        <v>278</v>
      </c>
      <c r="P2981" s="111"/>
      <c r="Q2981" s="33" t="s">
        <v>587</v>
      </c>
      <c r="R2981" s="111"/>
      <c r="S2981" s="33" t="s">
        <v>278</v>
      </c>
      <c r="T2981" s="111"/>
      <c r="U2981" s="33" t="s">
        <v>278</v>
      </c>
      <c r="V2981" s="111"/>
      <c r="W2981" s="152" t="s">
        <v>548</v>
      </c>
      <c r="X2981" s="150" t="str">
        <f>+VLOOKUP(OtherClients[[#This Row],[Part]],PartControl!$A$2:$E$564,5,FALSE)</f>
        <v>INFASCO</v>
      </c>
      <c r="Y2981" s="108">
        <f>IF(OtherClients[[#This Row],[Re-certified or New]]&lt;&gt;"Re-certified",IF(OtherClients[[#This Row],[Client]]="infasco",VLOOKUP(OtherClients[[#This Row],[Part]],PartControl!$A$2:$E$564,2,FALSE),OtherClients[[#This Row],[Total Quantity]]*VLOOKUP(OtherClients[[#This Row],[Part]],PartControl!$A$2:$E$564,2,FALSE)),0)</f>
        <v>129.44999999999999</v>
      </c>
      <c r="Z2981" s="151">
        <f>IF(OtherClients[[#This Row],[Re-certified or New]]&lt;&gt;"Re-certified",IF(OtherClients[[#This Row],[Client]]="infasco",VLOOKUP(OtherClients[[#This Row],[Part]],PartControl!$A$2:$E$564,2,FALSE),OtherClients[[#This Row],[Total Quantity]]*VLOOKUP(OtherClients[[#This Row],[Part]],PartControl!$A$2:$E$564,2,FALSE)),0)</f>
        <v>129.44999999999999</v>
      </c>
    </row>
    <row r="2982" spans="1:26" ht="25.15" customHeight="1" x14ac:dyDescent="0.25">
      <c r="A2982" s="143">
        <v>46276</v>
      </c>
      <c r="B2982" s="144" t="s">
        <v>342</v>
      </c>
      <c r="C2982" s="144" t="s">
        <v>306</v>
      </c>
      <c r="D2982" s="144">
        <v>717102</v>
      </c>
      <c r="E2982" s="145">
        <v>1</v>
      </c>
      <c r="F2982" s="60">
        <v>53850</v>
      </c>
      <c r="G2982" s="60">
        <f>+OtherClients[[#This Row],[Boxes / Pieces]]*OtherClients[[#This Row],[Unit Quantity]]</f>
        <v>53850</v>
      </c>
      <c r="H2982" s="60" t="s">
        <v>893</v>
      </c>
      <c r="I2982" s="60" t="s">
        <v>278</v>
      </c>
      <c r="J2982" s="104"/>
      <c r="K2982" s="33" t="s">
        <v>278</v>
      </c>
      <c r="L2982" s="111"/>
      <c r="M2982" s="33" t="s">
        <v>278</v>
      </c>
      <c r="N2982" s="111"/>
      <c r="O2982" s="33" t="s">
        <v>278</v>
      </c>
      <c r="P2982" s="111"/>
      <c r="Q2982" s="33" t="s">
        <v>587</v>
      </c>
      <c r="R2982" s="111"/>
      <c r="S2982" s="33" t="s">
        <v>278</v>
      </c>
      <c r="T2982" s="111"/>
      <c r="U2982" s="33" t="s">
        <v>278</v>
      </c>
      <c r="V2982" s="111"/>
      <c r="W2982" s="152" t="s">
        <v>548</v>
      </c>
      <c r="X2982" s="150" t="str">
        <f>+VLOOKUP(OtherClients[[#This Row],[Part]],PartControl!$A$2:$E$564,5,FALSE)</f>
        <v>INFASCO</v>
      </c>
      <c r="Y2982" s="108">
        <f>IF(OtherClients[[#This Row],[Re-certified or New]]&lt;&gt;"Re-certified",IF(OtherClients[[#This Row],[Client]]="infasco",VLOOKUP(OtherClients[[#This Row],[Part]],PartControl!$A$2:$E$564,2,FALSE),OtherClients[[#This Row],[Total Quantity]]*VLOOKUP(OtherClients[[#This Row],[Part]],PartControl!$A$2:$E$564,2,FALSE)),0)</f>
        <v>129.44999999999999</v>
      </c>
      <c r="Z2982" s="151">
        <f>IF(OtherClients[[#This Row],[Re-certified or New]]&lt;&gt;"Re-certified",IF(OtherClients[[#This Row],[Client]]="infasco",VLOOKUP(OtherClients[[#This Row],[Part]],PartControl!$A$2:$E$564,2,FALSE),OtherClients[[#This Row],[Total Quantity]]*VLOOKUP(OtherClients[[#This Row],[Part]],PartControl!$A$2:$E$564,2,FALSE)),0)</f>
        <v>129.44999999999999</v>
      </c>
    </row>
    <row r="2983" spans="1:26" ht="25.15" customHeight="1" x14ac:dyDescent="0.25">
      <c r="A2983" s="143">
        <v>46276</v>
      </c>
      <c r="B2983" s="144" t="s">
        <v>342</v>
      </c>
      <c r="C2983" s="144" t="s">
        <v>921</v>
      </c>
      <c r="D2983" s="144">
        <v>717864</v>
      </c>
      <c r="E2983" s="145">
        <v>36</v>
      </c>
      <c r="F2983" s="60">
        <v>220</v>
      </c>
      <c r="G2983" s="60">
        <f>+OtherClients[[#This Row],[Boxes / Pieces]]*OtherClients[[#This Row],[Unit Quantity]]</f>
        <v>7920</v>
      </c>
      <c r="H2983" s="60" t="s">
        <v>893</v>
      </c>
      <c r="I2983" s="60" t="s">
        <v>278</v>
      </c>
      <c r="J2983" s="104"/>
      <c r="K2983" s="33" t="s">
        <v>278</v>
      </c>
      <c r="L2983" s="111"/>
      <c r="M2983" s="33" t="s">
        <v>278</v>
      </c>
      <c r="N2983" s="111"/>
      <c r="O2983" s="33" t="s">
        <v>278</v>
      </c>
      <c r="P2983" s="111"/>
      <c r="Q2983" s="33" t="s">
        <v>587</v>
      </c>
      <c r="R2983" s="111"/>
      <c r="S2983" s="33" t="s">
        <v>278</v>
      </c>
      <c r="T2983" s="111"/>
      <c r="U2983" s="33" t="s">
        <v>278</v>
      </c>
      <c r="V2983" s="111"/>
      <c r="W2983" s="152" t="s">
        <v>548</v>
      </c>
      <c r="X2983" s="150" t="str">
        <f>+VLOOKUP(OtherClients[[#This Row],[Part]],PartControl!$A$2:$E$564,5,FALSE)</f>
        <v>infasco</v>
      </c>
      <c r="Y2983" s="108">
        <f>IF(OtherClients[[#This Row],[Re-certified or New]]&lt;&gt;"Re-certified",IF(OtherClients[[#This Row],[Client]]="infasco",VLOOKUP(OtherClients[[#This Row],[Part]],PartControl!$A$2:$E$564,2,FALSE),OtherClients[[#This Row],[Total Quantity]]*VLOOKUP(OtherClients[[#This Row],[Part]],PartControl!$A$2:$E$564,2,FALSE)),0)</f>
        <v>106.94</v>
      </c>
      <c r="Z2983" s="151">
        <f>IF(OtherClients[[#This Row],[Re-certified or New]]&lt;&gt;"Re-certified",IF(OtherClients[[#This Row],[Client]]="infasco",VLOOKUP(OtherClients[[#This Row],[Part]],PartControl!$A$2:$E$564,2,FALSE),OtherClients[[#This Row],[Total Quantity]]*VLOOKUP(OtherClients[[#This Row],[Part]],PartControl!$A$2:$E$564,2,FALSE)),0)</f>
        <v>106.94</v>
      </c>
    </row>
    <row r="2984" spans="1:26" ht="25.15" customHeight="1" x14ac:dyDescent="0.25">
      <c r="A2984" s="143">
        <v>46276</v>
      </c>
      <c r="B2984" s="144" t="s">
        <v>342</v>
      </c>
      <c r="C2984" s="144" t="s">
        <v>921</v>
      </c>
      <c r="D2984" s="144">
        <v>717492</v>
      </c>
      <c r="E2984" s="145">
        <v>37</v>
      </c>
      <c r="F2984" s="60">
        <v>220</v>
      </c>
      <c r="G2984" s="60">
        <f>+OtherClients[[#This Row],[Boxes / Pieces]]*OtherClients[[#This Row],[Unit Quantity]]</f>
        <v>8140</v>
      </c>
      <c r="H2984" s="60" t="s">
        <v>893</v>
      </c>
      <c r="I2984" s="60" t="s">
        <v>278</v>
      </c>
      <c r="J2984" s="104"/>
      <c r="K2984" s="33" t="s">
        <v>278</v>
      </c>
      <c r="L2984" s="111"/>
      <c r="M2984" s="33" t="s">
        <v>278</v>
      </c>
      <c r="N2984" s="111"/>
      <c r="O2984" s="33" t="s">
        <v>278</v>
      </c>
      <c r="P2984" s="111"/>
      <c r="Q2984" s="33" t="s">
        <v>587</v>
      </c>
      <c r="R2984" s="111"/>
      <c r="S2984" s="33" t="s">
        <v>278</v>
      </c>
      <c r="T2984" s="111"/>
      <c r="U2984" s="33" t="s">
        <v>278</v>
      </c>
      <c r="V2984" s="111"/>
      <c r="W2984" s="152" t="s">
        <v>548</v>
      </c>
      <c r="X2984" s="150" t="str">
        <f>+VLOOKUP(OtherClients[[#This Row],[Part]],PartControl!$A$2:$E$564,5,FALSE)</f>
        <v>infasco</v>
      </c>
      <c r="Y2984" s="108">
        <f>IF(OtherClients[[#This Row],[Re-certified or New]]&lt;&gt;"Re-certified",IF(OtherClients[[#This Row],[Client]]="infasco",VLOOKUP(OtherClients[[#This Row],[Part]],PartControl!$A$2:$E$564,2,FALSE),OtherClients[[#This Row],[Total Quantity]]*VLOOKUP(OtherClients[[#This Row],[Part]],PartControl!$A$2:$E$564,2,FALSE)),0)</f>
        <v>106.94</v>
      </c>
      <c r="Z2984" s="151">
        <f>IF(OtherClients[[#This Row],[Re-certified or New]]&lt;&gt;"Re-certified",IF(OtherClients[[#This Row],[Client]]="infasco",VLOOKUP(OtherClients[[#This Row],[Part]],PartControl!$A$2:$E$564,2,FALSE),OtherClients[[#This Row],[Total Quantity]]*VLOOKUP(OtherClients[[#This Row],[Part]],PartControl!$A$2:$E$564,2,FALSE)),0)</f>
        <v>106.94</v>
      </c>
    </row>
    <row r="2985" spans="1:26" ht="25.15" customHeight="1" x14ac:dyDescent="0.25">
      <c r="A2985" s="143">
        <v>46276</v>
      </c>
      <c r="B2985" s="144" t="s">
        <v>342</v>
      </c>
      <c r="C2985" s="144">
        <v>11549204</v>
      </c>
      <c r="D2985" s="144">
        <v>717551</v>
      </c>
      <c r="E2985" s="145">
        <v>36</v>
      </c>
      <c r="F2985" s="60">
        <v>210</v>
      </c>
      <c r="G2985" s="60">
        <f>+OtherClients[[#This Row],[Boxes / Pieces]]*OtherClients[[#This Row],[Unit Quantity]]</f>
        <v>7560</v>
      </c>
      <c r="H2985" s="60" t="s">
        <v>893</v>
      </c>
      <c r="I2985" s="60" t="s">
        <v>278</v>
      </c>
      <c r="J2985" s="104"/>
      <c r="K2985" s="33" t="s">
        <v>278</v>
      </c>
      <c r="L2985" s="111"/>
      <c r="M2985" s="33" t="s">
        <v>278</v>
      </c>
      <c r="N2985" s="111"/>
      <c r="O2985" s="33" t="s">
        <v>278</v>
      </c>
      <c r="P2985" s="111"/>
      <c r="Q2985" s="33" t="s">
        <v>587</v>
      </c>
      <c r="R2985" s="111"/>
      <c r="S2985" s="33" t="s">
        <v>278</v>
      </c>
      <c r="T2985" s="111"/>
      <c r="U2985" s="33" t="s">
        <v>278</v>
      </c>
      <c r="V2985" s="111"/>
      <c r="W2985" s="152" t="s">
        <v>548</v>
      </c>
      <c r="X2985" s="150" t="str">
        <f>+VLOOKUP(OtherClients[[#This Row],[Part]],PartControl!$A$2:$E$564,5,FALSE)</f>
        <v>INFASCO</v>
      </c>
      <c r="Y2985" s="108">
        <f>IF(OtherClients[[#This Row],[Re-certified or New]]&lt;&gt;"Re-certified",IF(OtherClients[[#This Row],[Client]]="infasco",VLOOKUP(OtherClients[[#This Row],[Part]],PartControl!$A$2:$E$564,2,FALSE),OtherClients[[#This Row],[Total Quantity]]*VLOOKUP(OtherClients[[#This Row],[Part]],PartControl!$A$2:$E$564,2,FALSE)),0)</f>
        <v>106.94</v>
      </c>
      <c r="Z2985" s="151">
        <f>IF(OtherClients[[#This Row],[Re-certified or New]]&lt;&gt;"Re-certified",IF(OtherClients[[#This Row],[Client]]="infasco",VLOOKUP(OtherClients[[#This Row],[Part]],PartControl!$A$2:$E$564,2,FALSE),OtherClients[[#This Row],[Total Quantity]]*VLOOKUP(OtherClients[[#This Row],[Part]],PartControl!$A$2:$E$564,2,FALSE)),0)</f>
        <v>106.94</v>
      </c>
    </row>
    <row r="2986" spans="1:26" ht="25.15" customHeight="1" x14ac:dyDescent="0.25">
      <c r="A2986" s="143">
        <v>46276</v>
      </c>
      <c r="B2986" s="144" t="s">
        <v>342</v>
      </c>
      <c r="C2986" s="144">
        <v>11549204</v>
      </c>
      <c r="D2986" s="144">
        <v>717957</v>
      </c>
      <c r="E2986" s="145">
        <v>36</v>
      </c>
      <c r="F2986" s="60">
        <v>210</v>
      </c>
      <c r="G2986" s="60">
        <f>+OtherClients[[#This Row],[Boxes / Pieces]]*OtherClients[[#This Row],[Unit Quantity]]</f>
        <v>7560</v>
      </c>
      <c r="H2986" s="60" t="s">
        <v>893</v>
      </c>
      <c r="I2986" s="60" t="s">
        <v>278</v>
      </c>
      <c r="J2986" s="104"/>
      <c r="K2986" s="33" t="s">
        <v>278</v>
      </c>
      <c r="L2986" s="111"/>
      <c r="M2986" s="33" t="s">
        <v>278</v>
      </c>
      <c r="N2986" s="111"/>
      <c r="O2986" s="33" t="s">
        <v>278</v>
      </c>
      <c r="P2986" s="111"/>
      <c r="Q2986" s="33" t="s">
        <v>587</v>
      </c>
      <c r="R2986" s="111"/>
      <c r="S2986" s="33" t="s">
        <v>278</v>
      </c>
      <c r="T2986" s="111"/>
      <c r="U2986" s="33" t="s">
        <v>278</v>
      </c>
      <c r="V2986" s="111"/>
      <c r="W2986" s="152" t="s">
        <v>548</v>
      </c>
      <c r="X2986" s="150" t="str">
        <f>+VLOOKUP(OtherClients[[#This Row],[Part]],PartControl!$A$2:$E$564,5,FALSE)</f>
        <v>INFASCO</v>
      </c>
      <c r="Y2986" s="108">
        <f>IF(OtherClients[[#This Row],[Re-certified or New]]&lt;&gt;"Re-certified",IF(OtherClients[[#This Row],[Client]]="infasco",VLOOKUP(OtherClients[[#This Row],[Part]],PartControl!$A$2:$E$564,2,FALSE),OtherClients[[#This Row],[Total Quantity]]*VLOOKUP(OtherClients[[#This Row],[Part]],PartControl!$A$2:$E$564,2,FALSE)),0)</f>
        <v>106.94</v>
      </c>
      <c r="Z2986" s="151">
        <f>IF(OtherClients[[#This Row],[Re-certified or New]]&lt;&gt;"Re-certified",IF(OtherClients[[#This Row],[Client]]="infasco",VLOOKUP(OtherClients[[#This Row],[Part]],PartControl!$A$2:$E$564,2,FALSE),OtherClients[[#This Row],[Total Quantity]]*VLOOKUP(OtherClients[[#This Row],[Part]],PartControl!$A$2:$E$564,2,FALSE)),0)</f>
        <v>106.94</v>
      </c>
    </row>
    <row r="2987" spans="1:26" ht="25.15" customHeight="1" x14ac:dyDescent="0.25">
      <c r="A2987" s="143">
        <v>46276</v>
      </c>
      <c r="B2987" s="144" t="s">
        <v>342</v>
      </c>
      <c r="C2987" s="144">
        <v>11549204</v>
      </c>
      <c r="D2987" s="144">
        <v>717958</v>
      </c>
      <c r="E2987" s="145">
        <v>36</v>
      </c>
      <c r="F2987" s="60">
        <v>210</v>
      </c>
      <c r="G2987" s="60">
        <f>+OtherClients[[#This Row],[Boxes / Pieces]]*OtherClients[[#This Row],[Unit Quantity]]</f>
        <v>7560</v>
      </c>
      <c r="H2987" s="60" t="s">
        <v>893</v>
      </c>
      <c r="I2987" s="60" t="s">
        <v>278</v>
      </c>
      <c r="J2987" s="104"/>
      <c r="K2987" s="33" t="s">
        <v>278</v>
      </c>
      <c r="L2987" s="111"/>
      <c r="M2987" s="33" t="s">
        <v>278</v>
      </c>
      <c r="N2987" s="111"/>
      <c r="O2987" s="33" t="s">
        <v>278</v>
      </c>
      <c r="P2987" s="111"/>
      <c r="Q2987" s="33" t="s">
        <v>587</v>
      </c>
      <c r="R2987" s="111"/>
      <c r="S2987" s="33" t="s">
        <v>278</v>
      </c>
      <c r="T2987" s="111"/>
      <c r="U2987" s="33" t="s">
        <v>278</v>
      </c>
      <c r="V2987" s="111"/>
      <c r="W2987" s="152" t="s">
        <v>548</v>
      </c>
      <c r="X2987" s="150" t="str">
        <f>+VLOOKUP(OtherClients[[#This Row],[Part]],PartControl!$A$2:$E$564,5,FALSE)</f>
        <v>INFASCO</v>
      </c>
      <c r="Y2987" s="108">
        <f>IF(OtherClients[[#This Row],[Re-certified or New]]&lt;&gt;"Re-certified",IF(OtherClients[[#This Row],[Client]]="infasco",VLOOKUP(OtherClients[[#This Row],[Part]],PartControl!$A$2:$E$564,2,FALSE),OtherClients[[#This Row],[Total Quantity]]*VLOOKUP(OtherClients[[#This Row],[Part]],PartControl!$A$2:$E$564,2,FALSE)),0)</f>
        <v>106.94</v>
      </c>
      <c r="Z2987" s="151">
        <f>IF(OtherClients[[#This Row],[Re-certified or New]]&lt;&gt;"Re-certified",IF(OtherClients[[#This Row],[Client]]="infasco",VLOOKUP(OtherClients[[#This Row],[Part]],PartControl!$A$2:$E$564,2,FALSE),OtherClients[[#This Row],[Total Quantity]]*VLOOKUP(OtherClients[[#This Row],[Part]],PartControl!$A$2:$E$564,2,FALSE)),0)</f>
        <v>106.94</v>
      </c>
    </row>
    <row r="2988" spans="1:26" ht="25.15" customHeight="1" x14ac:dyDescent="0.25">
      <c r="A2988" s="143">
        <v>46276</v>
      </c>
      <c r="B2988" s="144" t="s">
        <v>342</v>
      </c>
      <c r="C2988" s="144">
        <v>11549204</v>
      </c>
      <c r="D2988" s="144">
        <v>717963</v>
      </c>
      <c r="E2988" s="145">
        <v>36</v>
      </c>
      <c r="F2988" s="60">
        <v>210</v>
      </c>
      <c r="G2988" s="60">
        <f>+OtherClients[[#This Row],[Boxes / Pieces]]*OtherClients[[#This Row],[Unit Quantity]]</f>
        <v>7560</v>
      </c>
      <c r="H2988" s="60" t="s">
        <v>893</v>
      </c>
      <c r="I2988" s="60" t="s">
        <v>278</v>
      </c>
      <c r="J2988" s="104"/>
      <c r="K2988" s="33" t="s">
        <v>278</v>
      </c>
      <c r="L2988" s="111"/>
      <c r="M2988" s="33" t="s">
        <v>278</v>
      </c>
      <c r="N2988" s="111"/>
      <c r="O2988" s="33" t="s">
        <v>278</v>
      </c>
      <c r="P2988" s="111"/>
      <c r="Q2988" s="33" t="s">
        <v>587</v>
      </c>
      <c r="R2988" s="111"/>
      <c r="S2988" s="33" t="s">
        <v>278</v>
      </c>
      <c r="T2988" s="111"/>
      <c r="U2988" s="33" t="s">
        <v>278</v>
      </c>
      <c r="V2988" s="111"/>
      <c r="W2988" s="152" t="s">
        <v>548</v>
      </c>
      <c r="X2988" s="150" t="str">
        <f>+VLOOKUP(OtherClients[[#This Row],[Part]],PartControl!$A$2:$E$564,5,FALSE)</f>
        <v>INFASCO</v>
      </c>
      <c r="Y2988" s="108">
        <f>IF(OtherClients[[#This Row],[Re-certified or New]]&lt;&gt;"Re-certified",IF(OtherClients[[#This Row],[Client]]="infasco",VLOOKUP(OtherClients[[#This Row],[Part]],PartControl!$A$2:$E$564,2,FALSE),OtherClients[[#This Row],[Total Quantity]]*VLOOKUP(OtherClients[[#This Row],[Part]],PartControl!$A$2:$E$564,2,FALSE)),0)</f>
        <v>106.94</v>
      </c>
      <c r="Z2988" s="151">
        <f>IF(OtherClients[[#This Row],[Re-certified or New]]&lt;&gt;"Re-certified",IF(OtherClients[[#This Row],[Client]]="infasco",VLOOKUP(OtherClients[[#This Row],[Part]],PartControl!$A$2:$E$564,2,FALSE),OtherClients[[#This Row],[Total Quantity]]*VLOOKUP(OtherClients[[#This Row],[Part]],PartControl!$A$2:$E$564,2,FALSE)),0)</f>
        <v>106.94</v>
      </c>
    </row>
    <row r="2989" spans="1:26" ht="25.15" customHeight="1" x14ac:dyDescent="0.25">
      <c r="A2989" s="143">
        <v>46276</v>
      </c>
      <c r="B2989" s="144" t="s">
        <v>343</v>
      </c>
      <c r="C2989" s="144" t="s">
        <v>906</v>
      </c>
      <c r="D2989" s="144">
        <v>710204</v>
      </c>
      <c r="E2989" s="145">
        <v>1</v>
      </c>
      <c r="F2989" s="60">
        <v>8380</v>
      </c>
      <c r="G2989" s="60">
        <f>+OtherClients[[#This Row],[Boxes / Pieces]]*OtherClients[[#This Row],[Unit Quantity]]</f>
        <v>8380</v>
      </c>
      <c r="H2989" s="60" t="s">
        <v>899</v>
      </c>
      <c r="I2989" s="60" t="s">
        <v>278</v>
      </c>
      <c r="J2989" s="104"/>
      <c r="K2989" s="33" t="s">
        <v>278</v>
      </c>
      <c r="L2989" s="111"/>
      <c r="M2989" s="33" t="s">
        <v>278</v>
      </c>
      <c r="N2989" s="111"/>
      <c r="O2989" s="33" t="s">
        <v>278</v>
      </c>
      <c r="P2989" s="111"/>
      <c r="Q2989" s="33" t="s">
        <v>587</v>
      </c>
      <c r="R2989" s="111"/>
      <c r="S2989" s="33" t="s">
        <v>278</v>
      </c>
      <c r="T2989" s="111"/>
      <c r="U2989" s="33" t="s">
        <v>278</v>
      </c>
      <c r="V2989" s="111"/>
      <c r="W2989" s="152" t="s">
        <v>548</v>
      </c>
      <c r="X2989" s="150" t="str">
        <f>+VLOOKUP(OtherClients[[#This Row],[Part]],PartControl!$A$2:$E$564,5,FALSE)</f>
        <v>infasco</v>
      </c>
      <c r="Y2989" s="108">
        <f>IF(OtherClients[[#This Row],[Re-certified or New]]&lt;&gt;"Re-certified",IF(OtherClients[[#This Row],[Client]]="infasco",VLOOKUP(OtherClients[[#This Row],[Part]],PartControl!$A$2:$E$564,2,FALSE),OtherClients[[#This Row],[Total Quantity]]*VLOOKUP(OtherClients[[#This Row],[Part]],PartControl!$A$2:$E$564,2,FALSE)),0)</f>
        <v>106.94</v>
      </c>
      <c r="Z2989" s="151">
        <f>IF(OtherClients[[#This Row],[Re-certified or New]]&lt;&gt;"Re-certified",IF(OtherClients[[#This Row],[Client]]="infasco",VLOOKUP(OtherClients[[#This Row],[Part]],PartControl!$A$2:$E$564,2,FALSE),OtherClients[[#This Row],[Total Quantity]]*VLOOKUP(OtherClients[[#This Row],[Part]],PartControl!$A$2:$E$564,2,FALSE)),0)</f>
        <v>106.94</v>
      </c>
    </row>
    <row r="2990" spans="1:26" ht="25.15" customHeight="1" x14ac:dyDescent="0.25">
      <c r="A2990" s="143">
        <v>46276</v>
      </c>
      <c r="B2990" s="144" t="s">
        <v>343</v>
      </c>
      <c r="C2990" s="144" t="s">
        <v>297</v>
      </c>
      <c r="D2990" s="144">
        <v>718854</v>
      </c>
      <c r="E2990" s="145">
        <v>1</v>
      </c>
      <c r="F2990" s="60">
        <v>22740</v>
      </c>
      <c r="G2990" s="60">
        <f>+OtherClients[[#This Row],[Boxes / Pieces]]*OtherClients[[#This Row],[Unit Quantity]]</f>
        <v>22740</v>
      </c>
      <c r="H2990" s="60" t="s">
        <v>899</v>
      </c>
      <c r="I2990" s="60" t="s">
        <v>278</v>
      </c>
      <c r="J2990" s="104"/>
      <c r="K2990" s="33" t="s">
        <v>278</v>
      </c>
      <c r="L2990" s="111"/>
      <c r="M2990" s="33" t="s">
        <v>278</v>
      </c>
      <c r="N2990" s="111"/>
      <c r="O2990" s="33" t="s">
        <v>278</v>
      </c>
      <c r="P2990" s="111"/>
      <c r="Q2990" s="33" t="s">
        <v>587</v>
      </c>
      <c r="R2990" s="111"/>
      <c r="S2990" s="33" t="s">
        <v>278</v>
      </c>
      <c r="T2990" s="111"/>
      <c r="U2990" s="33" t="s">
        <v>278</v>
      </c>
      <c r="V2990" s="111"/>
      <c r="W2990" s="152" t="s">
        <v>548</v>
      </c>
      <c r="X2990" s="150" t="str">
        <f>+VLOOKUP(OtherClients[[#This Row],[Part]],PartControl!$A$2:$E$564,5,FALSE)</f>
        <v>infasco</v>
      </c>
      <c r="Y2990" s="108">
        <f>IF(OtherClients[[#This Row],[Re-certified or New]]&lt;&gt;"Re-certified",IF(OtherClients[[#This Row],[Client]]="infasco",VLOOKUP(OtherClients[[#This Row],[Part]],PartControl!$A$2:$E$564,2,FALSE),OtherClients[[#This Row],[Total Quantity]]*VLOOKUP(OtherClients[[#This Row],[Part]],PartControl!$A$2:$E$564,2,FALSE)),0)</f>
        <v>51.78</v>
      </c>
      <c r="Z2990" s="151">
        <f>IF(OtherClients[[#This Row],[Re-certified or New]]&lt;&gt;"Re-certified",IF(OtherClients[[#This Row],[Client]]="infasco",VLOOKUP(OtherClients[[#This Row],[Part]],PartControl!$A$2:$E$564,2,FALSE),OtherClients[[#This Row],[Total Quantity]]*VLOOKUP(OtherClients[[#This Row],[Part]],PartControl!$A$2:$E$564,2,FALSE)),0)</f>
        <v>51.78</v>
      </c>
    </row>
    <row r="2991" spans="1:26" ht="25.15" customHeight="1" x14ac:dyDescent="0.25">
      <c r="A2991" s="143">
        <v>46276</v>
      </c>
      <c r="B2991" s="144" t="s">
        <v>343</v>
      </c>
      <c r="C2991" s="144" t="s">
        <v>847</v>
      </c>
      <c r="D2991" s="144">
        <v>717582</v>
      </c>
      <c r="E2991" s="145">
        <v>36</v>
      </c>
      <c r="F2991" s="60">
        <v>620</v>
      </c>
      <c r="G2991" s="60">
        <f>+OtherClients[[#This Row],[Boxes / Pieces]]*OtherClients[[#This Row],[Unit Quantity]]</f>
        <v>22320</v>
      </c>
      <c r="H2991" s="60" t="s">
        <v>899</v>
      </c>
      <c r="I2991" s="60" t="s">
        <v>278</v>
      </c>
      <c r="J2991" s="104"/>
      <c r="K2991" s="33" t="s">
        <v>278</v>
      </c>
      <c r="L2991" s="111"/>
      <c r="M2991" s="33" t="s">
        <v>278</v>
      </c>
      <c r="N2991" s="111"/>
      <c r="O2991" s="33" t="s">
        <v>278</v>
      </c>
      <c r="P2991" s="111"/>
      <c r="Q2991" s="33" t="s">
        <v>587</v>
      </c>
      <c r="R2991" s="111"/>
      <c r="S2991" s="33" t="s">
        <v>278</v>
      </c>
      <c r="T2991" s="111"/>
      <c r="U2991" s="33" t="s">
        <v>278</v>
      </c>
      <c r="V2991" s="111"/>
      <c r="W2991" s="152" t="s">
        <v>548</v>
      </c>
      <c r="X2991" s="150" t="str">
        <f>+VLOOKUP(OtherClients[[#This Row],[Part]],PartControl!$A$2:$E$564,5,FALSE)</f>
        <v>infasco</v>
      </c>
      <c r="Y2991" s="108">
        <f>IF(OtherClients[[#This Row],[Re-certified or New]]&lt;&gt;"Re-certified",IF(OtherClients[[#This Row],[Client]]="infasco",VLOOKUP(OtherClients[[#This Row],[Part]],PartControl!$A$2:$E$564,2,FALSE),OtherClients[[#This Row],[Total Quantity]]*VLOOKUP(OtherClients[[#This Row],[Part]],PartControl!$A$2:$E$564,2,FALSE)),0)</f>
        <v>135.07999999999998</v>
      </c>
      <c r="Z2991" s="151">
        <f>IF(OtherClients[[#This Row],[Re-certified or New]]&lt;&gt;"Re-certified",IF(OtherClients[[#This Row],[Client]]="infasco",VLOOKUP(OtherClients[[#This Row],[Part]],PartControl!$A$2:$E$564,2,FALSE),OtherClients[[#This Row],[Total Quantity]]*VLOOKUP(OtherClients[[#This Row],[Part]],PartControl!$A$2:$E$564,2,FALSE)),0)</f>
        <v>135.07999999999998</v>
      </c>
    </row>
    <row r="2992" spans="1:26" ht="25.15" customHeight="1" x14ac:dyDescent="0.25">
      <c r="A2992" s="143">
        <v>46276</v>
      </c>
      <c r="B2992" s="144" t="s">
        <v>343</v>
      </c>
      <c r="C2992" s="144" t="s">
        <v>847</v>
      </c>
      <c r="D2992" s="144">
        <v>717581</v>
      </c>
      <c r="E2992" s="145">
        <v>16</v>
      </c>
      <c r="F2992" s="60">
        <v>620</v>
      </c>
      <c r="G2992" s="60">
        <f>+OtherClients[[#This Row],[Boxes / Pieces]]*OtherClients[[#This Row],[Unit Quantity]]</f>
        <v>9920</v>
      </c>
      <c r="H2992" s="60" t="s">
        <v>899</v>
      </c>
      <c r="I2992" s="60" t="s">
        <v>278</v>
      </c>
      <c r="J2992" s="104"/>
      <c r="K2992" s="33" t="s">
        <v>278</v>
      </c>
      <c r="L2992" s="111"/>
      <c r="M2992" s="33" t="s">
        <v>278</v>
      </c>
      <c r="N2992" s="111"/>
      <c r="O2992" s="33" t="s">
        <v>278</v>
      </c>
      <c r="P2992" s="111"/>
      <c r="Q2992" s="33" t="s">
        <v>587</v>
      </c>
      <c r="R2992" s="111"/>
      <c r="S2992" s="33" t="s">
        <v>278</v>
      </c>
      <c r="T2992" s="111"/>
      <c r="U2992" s="33" t="s">
        <v>278</v>
      </c>
      <c r="V2992" s="111"/>
      <c r="W2992" s="152" t="s">
        <v>548</v>
      </c>
      <c r="X2992" s="150" t="str">
        <f>+VLOOKUP(OtherClients[[#This Row],[Part]],PartControl!$A$2:$E$564,5,FALSE)</f>
        <v>infasco</v>
      </c>
      <c r="Y2992" s="108">
        <f>IF(OtherClients[[#This Row],[Re-certified or New]]&lt;&gt;"Re-certified",IF(OtherClients[[#This Row],[Client]]="infasco",VLOOKUP(OtherClients[[#This Row],[Part]],PartControl!$A$2:$E$564,2,FALSE),OtherClients[[#This Row],[Total Quantity]]*VLOOKUP(OtherClients[[#This Row],[Part]],PartControl!$A$2:$E$564,2,FALSE)),0)</f>
        <v>135.07999999999998</v>
      </c>
      <c r="Z2992" s="151">
        <f>IF(OtherClients[[#This Row],[Re-certified or New]]&lt;&gt;"Re-certified",IF(OtherClients[[#This Row],[Client]]="infasco",VLOOKUP(OtherClients[[#This Row],[Part]],PartControl!$A$2:$E$564,2,FALSE),OtherClients[[#This Row],[Total Quantity]]*VLOOKUP(OtherClients[[#This Row],[Part]],PartControl!$A$2:$E$564,2,FALSE)),0)</f>
        <v>135.07999999999998</v>
      </c>
    </row>
    <row r="2993" spans="1:26" ht="25.15" customHeight="1" x14ac:dyDescent="0.25">
      <c r="A2993" s="143">
        <v>46276</v>
      </c>
      <c r="B2993" s="144" t="s">
        <v>343</v>
      </c>
      <c r="C2993" s="144" t="s">
        <v>665</v>
      </c>
      <c r="D2993" s="144">
        <v>717160</v>
      </c>
      <c r="E2993" s="145">
        <v>36</v>
      </c>
      <c r="F2993" s="60">
        <v>410</v>
      </c>
      <c r="G2993" s="60">
        <f>+OtherClients[[#This Row],[Boxes / Pieces]]*OtherClients[[#This Row],[Unit Quantity]]</f>
        <v>14760</v>
      </c>
      <c r="H2993" s="60" t="s">
        <v>899</v>
      </c>
      <c r="I2993" s="60" t="s">
        <v>278</v>
      </c>
      <c r="J2993" s="104"/>
      <c r="K2993" s="33" t="s">
        <v>278</v>
      </c>
      <c r="L2993" s="111"/>
      <c r="M2993" s="33" t="s">
        <v>278</v>
      </c>
      <c r="N2993" s="111"/>
      <c r="O2993" s="33" t="s">
        <v>278</v>
      </c>
      <c r="P2993" s="111"/>
      <c r="Q2993" s="33" t="s">
        <v>587</v>
      </c>
      <c r="R2993" s="111"/>
      <c r="S2993" s="33" t="s">
        <v>278</v>
      </c>
      <c r="T2993" s="111"/>
      <c r="U2993" s="33" t="s">
        <v>278</v>
      </c>
      <c r="V2993" s="111"/>
      <c r="W2993" s="152" t="s">
        <v>548</v>
      </c>
      <c r="X2993" s="150" t="str">
        <f>+VLOOKUP(OtherClients[[#This Row],[Part]],PartControl!$A$2:$E$564,5,FALSE)</f>
        <v>infasco</v>
      </c>
      <c r="Y2993" s="108">
        <f>IF(OtherClients[[#This Row],[Re-certified or New]]&lt;&gt;"Re-certified",IF(OtherClients[[#This Row],[Client]]="infasco",VLOOKUP(OtherClients[[#This Row],[Part]],PartControl!$A$2:$E$564,2,FALSE),OtherClients[[#This Row],[Total Quantity]]*VLOOKUP(OtherClients[[#This Row],[Part]],PartControl!$A$2:$E$564,2,FALSE)),0)</f>
        <v>135.07999999999998</v>
      </c>
      <c r="Z2993" s="151">
        <f>IF(OtherClients[[#This Row],[Re-certified or New]]&lt;&gt;"Re-certified",IF(OtherClients[[#This Row],[Client]]="infasco",VLOOKUP(OtherClients[[#This Row],[Part]],PartControl!$A$2:$E$564,2,FALSE),OtherClients[[#This Row],[Total Quantity]]*VLOOKUP(OtherClients[[#This Row],[Part]],PartControl!$A$2:$E$564,2,FALSE)),0)</f>
        <v>135.07999999999998</v>
      </c>
    </row>
    <row r="2994" spans="1:26" ht="25.15" customHeight="1" x14ac:dyDescent="0.25">
      <c r="A2994" s="143">
        <v>46276</v>
      </c>
      <c r="B2994" s="144" t="s">
        <v>343</v>
      </c>
      <c r="C2994" s="144" t="s">
        <v>665</v>
      </c>
      <c r="D2994" s="144">
        <v>717159</v>
      </c>
      <c r="E2994" s="145">
        <v>36</v>
      </c>
      <c r="F2994" s="60">
        <v>410</v>
      </c>
      <c r="G2994" s="60">
        <f>+OtherClients[[#This Row],[Boxes / Pieces]]*OtherClients[[#This Row],[Unit Quantity]]</f>
        <v>14760</v>
      </c>
      <c r="H2994" s="60" t="s">
        <v>899</v>
      </c>
      <c r="I2994" s="60" t="s">
        <v>278</v>
      </c>
      <c r="J2994" s="104"/>
      <c r="K2994" s="33" t="s">
        <v>278</v>
      </c>
      <c r="L2994" s="111"/>
      <c r="M2994" s="33" t="s">
        <v>278</v>
      </c>
      <c r="N2994" s="111"/>
      <c r="O2994" s="33" t="s">
        <v>278</v>
      </c>
      <c r="P2994" s="111"/>
      <c r="Q2994" s="33" t="s">
        <v>587</v>
      </c>
      <c r="R2994" s="111"/>
      <c r="S2994" s="33" t="s">
        <v>278</v>
      </c>
      <c r="T2994" s="111"/>
      <c r="U2994" s="33" t="s">
        <v>278</v>
      </c>
      <c r="V2994" s="111"/>
      <c r="W2994" s="152" t="s">
        <v>548</v>
      </c>
      <c r="X2994" s="150" t="str">
        <f>+VLOOKUP(OtherClients[[#This Row],[Part]],PartControl!$A$2:$E$564,5,FALSE)</f>
        <v>infasco</v>
      </c>
      <c r="Y2994" s="108">
        <f>IF(OtherClients[[#This Row],[Re-certified or New]]&lt;&gt;"Re-certified",IF(OtherClients[[#This Row],[Client]]="infasco",VLOOKUP(OtherClients[[#This Row],[Part]],PartControl!$A$2:$E$564,2,FALSE),OtherClients[[#This Row],[Total Quantity]]*VLOOKUP(OtherClients[[#This Row],[Part]],PartControl!$A$2:$E$564,2,FALSE)),0)</f>
        <v>135.07999999999998</v>
      </c>
      <c r="Z2994" s="151">
        <f>IF(OtherClients[[#This Row],[Re-certified or New]]&lt;&gt;"Re-certified",IF(OtherClients[[#This Row],[Client]]="infasco",VLOOKUP(OtherClients[[#This Row],[Part]],PartControl!$A$2:$E$564,2,FALSE),OtherClients[[#This Row],[Total Quantity]]*VLOOKUP(OtherClients[[#This Row],[Part]],PartControl!$A$2:$E$564,2,FALSE)),0)</f>
        <v>135.07999999999998</v>
      </c>
    </row>
    <row r="2995" spans="1:26" ht="25.15" customHeight="1" x14ac:dyDescent="0.25">
      <c r="A2995" s="143">
        <v>46276</v>
      </c>
      <c r="B2995" s="144" t="s">
        <v>343</v>
      </c>
      <c r="C2995" s="144" t="s">
        <v>665</v>
      </c>
      <c r="D2995" s="144">
        <v>716745</v>
      </c>
      <c r="E2995" s="145">
        <v>38</v>
      </c>
      <c r="F2995" s="60">
        <v>410</v>
      </c>
      <c r="G2995" s="60">
        <f>+OtherClients[[#This Row],[Boxes / Pieces]]*OtherClients[[#This Row],[Unit Quantity]]</f>
        <v>15580</v>
      </c>
      <c r="H2995" s="60" t="s">
        <v>899</v>
      </c>
      <c r="I2995" s="60" t="s">
        <v>278</v>
      </c>
      <c r="J2995" s="104"/>
      <c r="K2995" s="33" t="s">
        <v>278</v>
      </c>
      <c r="L2995" s="111"/>
      <c r="M2995" s="33" t="s">
        <v>278</v>
      </c>
      <c r="N2995" s="111"/>
      <c r="O2995" s="33" t="s">
        <v>278</v>
      </c>
      <c r="P2995" s="111"/>
      <c r="Q2995" s="33" t="s">
        <v>587</v>
      </c>
      <c r="R2995" s="111"/>
      <c r="S2995" s="33" t="s">
        <v>278</v>
      </c>
      <c r="T2995" s="111"/>
      <c r="U2995" s="33" t="s">
        <v>278</v>
      </c>
      <c r="V2995" s="111"/>
      <c r="W2995" s="152" t="s">
        <v>548</v>
      </c>
      <c r="X2995" s="150" t="str">
        <f>+VLOOKUP(OtherClients[[#This Row],[Part]],PartControl!$A$2:$E$564,5,FALSE)</f>
        <v>infasco</v>
      </c>
      <c r="Y2995" s="108">
        <f>IF(OtherClients[[#This Row],[Re-certified or New]]&lt;&gt;"Re-certified",IF(OtherClients[[#This Row],[Client]]="infasco",VLOOKUP(OtherClients[[#This Row],[Part]],PartControl!$A$2:$E$564,2,FALSE),OtherClients[[#This Row],[Total Quantity]]*VLOOKUP(OtherClients[[#This Row],[Part]],PartControl!$A$2:$E$564,2,FALSE)),0)</f>
        <v>135.07999999999998</v>
      </c>
      <c r="Z2995" s="151">
        <f>IF(OtherClients[[#This Row],[Re-certified or New]]&lt;&gt;"Re-certified",IF(OtherClients[[#This Row],[Client]]="infasco",VLOOKUP(OtherClients[[#This Row],[Part]],PartControl!$A$2:$E$564,2,FALSE),OtherClients[[#This Row],[Total Quantity]]*VLOOKUP(OtherClients[[#This Row],[Part]],PartControl!$A$2:$E$564,2,FALSE)),0)</f>
        <v>135.07999999999998</v>
      </c>
    </row>
    <row r="2996" spans="1:26" ht="25.15" customHeight="1" x14ac:dyDescent="0.25">
      <c r="A2996" s="143">
        <v>46276</v>
      </c>
      <c r="B2996" s="144" t="s">
        <v>343</v>
      </c>
      <c r="C2996" s="144">
        <v>11549204</v>
      </c>
      <c r="D2996" s="144">
        <v>717967</v>
      </c>
      <c r="E2996" s="145">
        <v>36</v>
      </c>
      <c r="F2996" s="60">
        <v>210</v>
      </c>
      <c r="G2996" s="60">
        <f>+OtherClients[[#This Row],[Boxes / Pieces]]*OtherClients[[#This Row],[Unit Quantity]]</f>
        <v>7560</v>
      </c>
      <c r="H2996" s="60" t="s">
        <v>899</v>
      </c>
      <c r="I2996" s="60" t="s">
        <v>278</v>
      </c>
      <c r="J2996" s="104"/>
      <c r="K2996" s="33" t="s">
        <v>278</v>
      </c>
      <c r="L2996" s="111"/>
      <c r="M2996" s="33" t="s">
        <v>278</v>
      </c>
      <c r="N2996" s="111"/>
      <c r="O2996" s="33" t="s">
        <v>278</v>
      </c>
      <c r="P2996" s="111"/>
      <c r="Q2996" s="33" t="s">
        <v>587</v>
      </c>
      <c r="R2996" s="111"/>
      <c r="S2996" s="33" t="s">
        <v>278</v>
      </c>
      <c r="T2996" s="111"/>
      <c r="U2996" s="33" t="s">
        <v>278</v>
      </c>
      <c r="V2996" s="111"/>
      <c r="W2996" s="152" t="s">
        <v>548</v>
      </c>
      <c r="X2996" s="150" t="str">
        <f>+VLOOKUP(OtherClients[[#This Row],[Part]],PartControl!$A$2:$E$564,5,FALSE)</f>
        <v>INFASCO</v>
      </c>
      <c r="Y2996" s="108">
        <f>IF(OtherClients[[#This Row],[Re-certified or New]]&lt;&gt;"Re-certified",IF(OtherClients[[#This Row],[Client]]="infasco",VLOOKUP(OtherClients[[#This Row],[Part]],PartControl!$A$2:$E$564,2,FALSE),OtherClients[[#This Row],[Total Quantity]]*VLOOKUP(OtherClients[[#This Row],[Part]],PartControl!$A$2:$E$564,2,FALSE)),0)</f>
        <v>106.94</v>
      </c>
      <c r="Z2996" s="151">
        <f>IF(OtherClients[[#This Row],[Re-certified or New]]&lt;&gt;"Re-certified",IF(OtherClients[[#This Row],[Client]]="infasco",VLOOKUP(OtherClients[[#This Row],[Part]],PartControl!$A$2:$E$564,2,FALSE),OtherClients[[#This Row],[Total Quantity]]*VLOOKUP(OtherClients[[#This Row],[Part]],PartControl!$A$2:$E$564,2,FALSE)),0)</f>
        <v>106.94</v>
      </c>
    </row>
    <row r="2997" spans="1:26" ht="25.15" customHeight="1" x14ac:dyDescent="0.25">
      <c r="A2997" s="143">
        <v>46276</v>
      </c>
      <c r="B2997" s="144" t="s">
        <v>343</v>
      </c>
      <c r="C2997" s="144" t="s">
        <v>921</v>
      </c>
      <c r="D2997" s="144">
        <v>717187</v>
      </c>
      <c r="E2997" s="145">
        <v>36</v>
      </c>
      <c r="F2997" s="60">
        <v>220</v>
      </c>
      <c r="G2997" s="60">
        <f>+OtherClients[[#This Row],[Boxes / Pieces]]*OtherClients[[#This Row],[Unit Quantity]]</f>
        <v>7920</v>
      </c>
      <c r="H2997" s="60" t="s">
        <v>899</v>
      </c>
      <c r="I2997" s="60" t="s">
        <v>278</v>
      </c>
      <c r="J2997" s="104"/>
      <c r="K2997" s="33" t="s">
        <v>278</v>
      </c>
      <c r="L2997" s="111"/>
      <c r="M2997" s="33" t="s">
        <v>278</v>
      </c>
      <c r="N2997" s="111"/>
      <c r="O2997" s="33" t="s">
        <v>278</v>
      </c>
      <c r="P2997" s="111"/>
      <c r="Q2997" s="33" t="s">
        <v>587</v>
      </c>
      <c r="R2997" s="111"/>
      <c r="S2997" s="33" t="s">
        <v>278</v>
      </c>
      <c r="T2997" s="111"/>
      <c r="U2997" s="33" t="s">
        <v>278</v>
      </c>
      <c r="V2997" s="111"/>
      <c r="W2997" s="152" t="s">
        <v>548</v>
      </c>
      <c r="X2997" s="150" t="str">
        <f>+VLOOKUP(OtherClients[[#This Row],[Part]],PartControl!$A$2:$E$564,5,FALSE)</f>
        <v>infasco</v>
      </c>
      <c r="Y2997" s="108">
        <f>IF(OtherClients[[#This Row],[Re-certified or New]]&lt;&gt;"Re-certified",IF(OtherClients[[#This Row],[Client]]="infasco",VLOOKUP(OtherClients[[#This Row],[Part]],PartControl!$A$2:$E$564,2,FALSE),OtherClients[[#This Row],[Total Quantity]]*VLOOKUP(OtherClients[[#This Row],[Part]],PartControl!$A$2:$E$564,2,FALSE)),0)</f>
        <v>106.94</v>
      </c>
      <c r="Z2997" s="151">
        <f>IF(OtherClients[[#This Row],[Re-certified or New]]&lt;&gt;"Re-certified",IF(OtherClients[[#This Row],[Client]]="infasco",VLOOKUP(OtherClients[[#This Row],[Part]],PartControl!$A$2:$E$564,2,FALSE),OtherClients[[#This Row],[Total Quantity]]*VLOOKUP(OtherClients[[#This Row],[Part]],PartControl!$A$2:$E$564,2,FALSE)),0)</f>
        <v>106.94</v>
      </c>
    </row>
    <row r="2998" spans="1:26" ht="25.15" customHeight="1" x14ac:dyDescent="0.25">
      <c r="A2998" s="143">
        <v>46276</v>
      </c>
      <c r="B2998" s="144" t="s">
        <v>343</v>
      </c>
      <c r="C2998" s="144" t="s">
        <v>921</v>
      </c>
      <c r="D2998" s="144">
        <v>717185</v>
      </c>
      <c r="E2998" s="145">
        <v>15</v>
      </c>
      <c r="F2998" s="60">
        <v>220</v>
      </c>
      <c r="G2998" s="60">
        <f>+OtherClients[[#This Row],[Boxes / Pieces]]*OtherClients[[#This Row],[Unit Quantity]]</f>
        <v>3300</v>
      </c>
      <c r="H2998" s="60" t="s">
        <v>899</v>
      </c>
      <c r="I2998" s="60" t="s">
        <v>278</v>
      </c>
      <c r="J2998" s="104"/>
      <c r="K2998" s="33" t="s">
        <v>278</v>
      </c>
      <c r="L2998" s="111"/>
      <c r="M2998" s="33" t="s">
        <v>278</v>
      </c>
      <c r="N2998" s="111"/>
      <c r="O2998" s="33" t="s">
        <v>278</v>
      </c>
      <c r="P2998" s="111"/>
      <c r="Q2998" s="33" t="s">
        <v>587</v>
      </c>
      <c r="R2998" s="111"/>
      <c r="S2998" s="33" t="s">
        <v>278</v>
      </c>
      <c r="T2998" s="111"/>
      <c r="U2998" s="33" t="s">
        <v>278</v>
      </c>
      <c r="V2998" s="111"/>
      <c r="W2998" s="152" t="s">
        <v>633</v>
      </c>
      <c r="X2998" s="150" t="str">
        <f>+VLOOKUP(OtherClients[[#This Row],[Part]],PartControl!$A$2:$E$564,5,FALSE)</f>
        <v>infasco</v>
      </c>
      <c r="Y2998" s="108">
        <f>IF(OtherClients[[#This Row],[Re-certified or New]]&lt;&gt;"Re-certified",IF(OtherClients[[#This Row],[Client]]="infasco",VLOOKUP(OtherClients[[#This Row],[Part]],PartControl!$A$2:$E$564,2,FALSE),OtherClients[[#This Row],[Total Quantity]]*VLOOKUP(OtherClients[[#This Row],[Part]],PartControl!$A$2:$E$564,2,FALSE)),0)</f>
        <v>0</v>
      </c>
      <c r="Z2998" s="151">
        <f>IF(OtherClients[[#This Row],[Re-certified or New]]&lt;&gt;"Re-certified",IF(OtherClients[[#This Row],[Client]]="infasco",VLOOKUP(OtherClients[[#This Row],[Part]],PartControl!$A$2:$E$564,2,FALSE),OtherClients[[#This Row],[Total Quantity]]*VLOOKUP(OtherClients[[#This Row],[Part]],PartControl!$A$2:$E$564,2,FALSE)),0)</f>
        <v>0</v>
      </c>
    </row>
    <row r="2999" spans="1:26" ht="25.15" customHeight="1" x14ac:dyDescent="0.25">
      <c r="A2999" s="143">
        <v>46276</v>
      </c>
      <c r="B2999" s="144" t="s">
        <v>344</v>
      </c>
      <c r="C2999" s="144">
        <v>11549204</v>
      </c>
      <c r="D2999" s="144">
        <v>717962</v>
      </c>
      <c r="E2999" s="145">
        <f>38-14</f>
        <v>24</v>
      </c>
      <c r="F2999" s="60">
        <v>210</v>
      </c>
      <c r="G2999" s="60">
        <f>+OtherClients[[#This Row],[Boxes / Pieces]]*OtherClients[[#This Row],[Unit Quantity]]</f>
        <v>5040</v>
      </c>
      <c r="H2999" s="60" t="s">
        <v>816</v>
      </c>
      <c r="I2999" s="60" t="s">
        <v>278</v>
      </c>
      <c r="J2999" s="104"/>
      <c r="K2999" s="33" t="s">
        <v>278</v>
      </c>
      <c r="L2999" s="111"/>
      <c r="M2999" s="33" t="s">
        <v>278</v>
      </c>
      <c r="N2999" s="111"/>
      <c r="O2999" s="33" t="s">
        <v>278</v>
      </c>
      <c r="P2999" s="111"/>
      <c r="Q2999" s="33" t="s">
        <v>587</v>
      </c>
      <c r="R2999" s="111"/>
      <c r="S2999" s="33" t="s">
        <v>278</v>
      </c>
      <c r="T2999" s="111"/>
      <c r="U2999" s="33" t="s">
        <v>278</v>
      </c>
      <c r="V2999" s="111"/>
      <c r="W2999" s="152" t="s">
        <v>548</v>
      </c>
      <c r="X2999" s="150" t="str">
        <f>+VLOOKUP(OtherClients[[#This Row],[Part]],PartControl!$A$2:$E$564,5,FALSE)</f>
        <v>INFASCO</v>
      </c>
      <c r="Y2999" s="108">
        <f>IF(OtherClients[[#This Row],[Re-certified or New]]&lt;&gt;"Re-certified",IF(OtherClients[[#This Row],[Client]]="infasco",VLOOKUP(OtherClients[[#This Row],[Part]],PartControl!$A$2:$E$564,2,FALSE),OtherClients[[#This Row],[Total Quantity]]*VLOOKUP(OtherClients[[#This Row],[Part]],PartControl!$A$2:$E$564,2,FALSE)),0)</f>
        <v>106.94</v>
      </c>
      <c r="Z2999" s="151">
        <f>IF(OtherClients[[#This Row],[Re-certified or New]]&lt;&gt;"Re-certified",IF(OtherClients[[#This Row],[Client]]="infasco",VLOOKUP(OtherClients[[#This Row],[Part]],PartControl!$A$2:$E$564,2,FALSE),OtherClients[[#This Row],[Total Quantity]]*VLOOKUP(OtherClients[[#This Row],[Part]],PartControl!$A$2:$E$564,2,FALSE)),0)</f>
        <v>106.94</v>
      </c>
    </row>
    <row r="3000" spans="1:26" ht="25.15" customHeight="1" x14ac:dyDescent="0.25">
      <c r="A3000" s="143">
        <v>46276</v>
      </c>
      <c r="B3000" s="144" t="s">
        <v>344</v>
      </c>
      <c r="C3000" s="144" t="s">
        <v>306</v>
      </c>
      <c r="D3000" s="144">
        <v>718663</v>
      </c>
      <c r="E3000" s="145">
        <v>1</v>
      </c>
      <c r="F3000" s="60">
        <v>35000</v>
      </c>
      <c r="G3000" s="60">
        <f>+OtherClients[[#This Row],[Boxes / Pieces]]*OtherClients[[#This Row],[Unit Quantity]]</f>
        <v>35000</v>
      </c>
      <c r="H3000" s="60" t="s">
        <v>816</v>
      </c>
      <c r="I3000" s="60" t="s">
        <v>278</v>
      </c>
      <c r="J3000" s="104"/>
      <c r="K3000" s="33" t="s">
        <v>278</v>
      </c>
      <c r="L3000" s="111"/>
      <c r="M3000" s="33" t="s">
        <v>278</v>
      </c>
      <c r="N3000" s="111"/>
      <c r="O3000" s="33" t="s">
        <v>278</v>
      </c>
      <c r="P3000" s="111"/>
      <c r="Q3000" s="33" t="s">
        <v>587</v>
      </c>
      <c r="R3000" s="111"/>
      <c r="S3000" s="33" t="s">
        <v>278</v>
      </c>
      <c r="T3000" s="111"/>
      <c r="U3000" s="33" t="s">
        <v>278</v>
      </c>
      <c r="V3000" s="111"/>
      <c r="W3000" s="152" t="s">
        <v>548</v>
      </c>
      <c r="X3000" s="150" t="str">
        <f>+VLOOKUP(OtherClients[[#This Row],[Part]],PartControl!$A$2:$E$564,5,FALSE)</f>
        <v>INFASCO</v>
      </c>
      <c r="Y3000" s="108">
        <f>IF(OtherClients[[#This Row],[Re-certified or New]]&lt;&gt;"Re-certified",IF(OtherClients[[#This Row],[Client]]="infasco",VLOOKUP(OtherClients[[#This Row],[Part]],PartControl!$A$2:$E$564,2,FALSE),OtherClients[[#This Row],[Total Quantity]]*VLOOKUP(OtherClients[[#This Row],[Part]],PartControl!$A$2:$E$564,2,FALSE)),0)</f>
        <v>129.44999999999999</v>
      </c>
      <c r="Z3000" s="151">
        <f>IF(OtherClients[[#This Row],[Re-certified or New]]&lt;&gt;"Re-certified",IF(OtherClients[[#This Row],[Client]]="infasco",VLOOKUP(OtherClients[[#This Row],[Part]],PartControl!$A$2:$E$564,2,FALSE),OtherClients[[#This Row],[Total Quantity]]*VLOOKUP(OtherClients[[#This Row],[Part]],PartControl!$A$2:$E$564,2,FALSE)),0)</f>
        <v>129.44999999999999</v>
      </c>
    </row>
    <row r="3001" spans="1:26" ht="25.15" customHeight="1" x14ac:dyDescent="0.25">
      <c r="A3001" s="143">
        <v>46276</v>
      </c>
      <c r="B3001" s="144" t="s">
        <v>344</v>
      </c>
      <c r="C3001" s="144" t="s">
        <v>306</v>
      </c>
      <c r="D3001" s="144">
        <v>718665</v>
      </c>
      <c r="E3001" s="145">
        <v>1</v>
      </c>
      <c r="F3001" s="60">
        <v>46650</v>
      </c>
      <c r="G3001" s="60">
        <f>+OtherClients[[#This Row],[Boxes / Pieces]]*OtherClients[[#This Row],[Unit Quantity]]</f>
        <v>46650</v>
      </c>
      <c r="H3001" s="60" t="s">
        <v>816</v>
      </c>
      <c r="I3001" s="60" t="s">
        <v>278</v>
      </c>
      <c r="J3001" s="104"/>
      <c r="K3001" s="33" t="s">
        <v>278</v>
      </c>
      <c r="L3001" s="111"/>
      <c r="M3001" s="33" t="s">
        <v>278</v>
      </c>
      <c r="N3001" s="111"/>
      <c r="O3001" s="33" t="s">
        <v>278</v>
      </c>
      <c r="P3001" s="111"/>
      <c r="Q3001" s="33" t="s">
        <v>587</v>
      </c>
      <c r="R3001" s="111"/>
      <c r="S3001" s="33" t="s">
        <v>278</v>
      </c>
      <c r="T3001" s="111"/>
      <c r="U3001" s="33" t="s">
        <v>278</v>
      </c>
      <c r="V3001" s="111"/>
      <c r="W3001" s="152" t="s">
        <v>548</v>
      </c>
      <c r="X3001" s="150" t="str">
        <f>+VLOOKUP(OtherClients[[#This Row],[Part]],PartControl!$A$2:$E$564,5,FALSE)</f>
        <v>INFASCO</v>
      </c>
      <c r="Y3001" s="108">
        <f>IF(OtherClients[[#This Row],[Re-certified or New]]&lt;&gt;"Re-certified",IF(OtherClients[[#This Row],[Client]]="infasco",VLOOKUP(OtherClients[[#This Row],[Part]],PartControl!$A$2:$E$564,2,FALSE),OtherClients[[#This Row],[Total Quantity]]*VLOOKUP(OtherClients[[#This Row],[Part]],PartControl!$A$2:$E$564,2,FALSE)),0)</f>
        <v>129.44999999999999</v>
      </c>
      <c r="Z3001" s="151">
        <f>IF(OtherClients[[#This Row],[Re-certified or New]]&lt;&gt;"Re-certified",IF(OtherClients[[#This Row],[Client]]="infasco",VLOOKUP(OtherClients[[#This Row],[Part]],PartControl!$A$2:$E$564,2,FALSE),OtherClients[[#This Row],[Total Quantity]]*VLOOKUP(OtherClients[[#This Row],[Part]],PartControl!$A$2:$E$564,2,FALSE)),0)</f>
        <v>129.44999999999999</v>
      </c>
    </row>
    <row r="3002" spans="1:26" ht="25.15" customHeight="1" x14ac:dyDescent="0.25">
      <c r="A3002" s="143">
        <v>46276</v>
      </c>
      <c r="B3002" s="144" t="s">
        <v>344</v>
      </c>
      <c r="C3002" s="144" t="s">
        <v>921</v>
      </c>
      <c r="D3002" s="144">
        <v>717868</v>
      </c>
      <c r="E3002" s="145">
        <v>29</v>
      </c>
      <c r="F3002" s="60">
        <v>220</v>
      </c>
      <c r="G3002" s="60">
        <f>+OtherClients[[#This Row],[Boxes / Pieces]]*OtherClients[[#This Row],[Unit Quantity]]</f>
        <v>6380</v>
      </c>
      <c r="H3002" s="60" t="s">
        <v>816</v>
      </c>
      <c r="I3002" s="60" t="s">
        <v>278</v>
      </c>
      <c r="J3002" s="104"/>
      <c r="K3002" s="33" t="s">
        <v>278</v>
      </c>
      <c r="L3002" s="111"/>
      <c r="M3002" s="33" t="s">
        <v>278</v>
      </c>
      <c r="N3002" s="111"/>
      <c r="O3002" s="33" t="s">
        <v>278</v>
      </c>
      <c r="P3002" s="111"/>
      <c r="Q3002" s="33" t="s">
        <v>587</v>
      </c>
      <c r="R3002" s="111"/>
      <c r="S3002" s="33" t="s">
        <v>278</v>
      </c>
      <c r="T3002" s="111"/>
      <c r="U3002" s="33" t="s">
        <v>278</v>
      </c>
      <c r="V3002" s="111"/>
      <c r="W3002" s="152" t="s">
        <v>548</v>
      </c>
      <c r="X3002" s="150" t="str">
        <f>+VLOOKUP(OtherClients[[#This Row],[Part]],PartControl!$A$2:$E$564,5,FALSE)</f>
        <v>infasco</v>
      </c>
      <c r="Y3002" s="108">
        <f>IF(OtherClients[[#This Row],[Re-certified or New]]&lt;&gt;"Re-certified",IF(OtherClients[[#This Row],[Client]]="infasco",VLOOKUP(OtherClients[[#This Row],[Part]],PartControl!$A$2:$E$564,2,FALSE),OtherClients[[#This Row],[Total Quantity]]*VLOOKUP(OtherClients[[#This Row],[Part]],PartControl!$A$2:$E$564,2,FALSE)),0)</f>
        <v>106.94</v>
      </c>
      <c r="Z3002" s="151">
        <f>IF(OtherClients[[#This Row],[Re-certified or New]]&lt;&gt;"Re-certified",IF(OtherClients[[#This Row],[Client]]="infasco",VLOOKUP(OtherClients[[#This Row],[Part]],PartControl!$A$2:$E$564,2,FALSE),OtherClients[[#This Row],[Total Quantity]]*VLOOKUP(OtherClients[[#This Row],[Part]],PartControl!$A$2:$E$564,2,FALSE)),0)</f>
        <v>106.94</v>
      </c>
    </row>
    <row r="3003" spans="1:26" ht="25.15" customHeight="1" x14ac:dyDescent="0.25">
      <c r="A3003" s="143">
        <v>46276</v>
      </c>
      <c r="B3003" s="144" t="s">
        <v>344</v>
      </c>
      <c r="C3003" s="144" t="s">
        <v>643</v>
      </c>
      <c r="D3003" s="144">
        <v>716018</v>
      </c>
      <c r="E3003" s="145">
        <v>36</v>
      </c>
      <c r="F3003" s="60">
        <v>700</v>
      </c>
      <c r="G3003" s="60">
        <f>+OtherClients[[#This Row],[Boxes / Pieces]]*OtherClients[[#This Row],[Unit Quantity]]</f>
        <v>25200</v>
      </c>
      <c r="H3003" s="60" t="s">
        <v>816</v>
      </c>
      <c r="I3003" s="60" t="s">
        <v>278</v>
      </c>
      <c r="J3003" s="104"/>
      <c r="K3003" s="33" t="s">
        <v>278</v>
      </c>
      <c r="L3003" s="111"/>
      <c r="M3003" s="33" t="s">
        <v>278</v>
      </c>
      <c r="N3003" s="111"/>
      <c r="O3003" s="33" t="s">
        <v>278</v>
      </c>
      <c r="P3003" s="111"/>
      <c r="Q3003" s="33" t="s">
        <v>587</v>
      </c>
      <c r="R3003" s="111"/>
      <c r="S3003" s="33" t="s">
        <v>278</v>
      </c>
      <c r="T3003" s="111"/>
      <c r="U3003" s="33" t="s">
        <v>278</v>
      </c>
      <c r="V3003" s="111"/>
      <c r="W3003" s="152" t="s">
        <v>548</v>
      </c>
      <c r="X3003" s="150" t="str">
        <f>+VLOOKUP(OtherClients[[#This Row],[Part]],PartControl!$A$2:$E$564,5,FALSE)</f>
        <v>infasco</v>
      </c>
      <c r="Y3003" s="108">
        <f>IF(OtherClients[[#This Row],[Re-certified or New]]&lt;&gt;"Re-certified",IF(OtherClients[[#This Row],[Client]]="infasco",VLOOKUP(OtherClients[[#This Row],[Part]],PartControl!$A$2:$E$564,2,FALSE),OtherClients[[#This Row],[Total Quantity]]*VLOOKUP(OtherClients[[#This Row],[Part]],PartControl!$A$2:$E$564,2,FALSE)),0)</f>
        <v>135.07999999999998</v>
      </c>
      <c r="Z3003" s="151">
        <f>IF(OtherClients[[#This Row],[Re-certified or New]]&lt;&gt;"Re-certified",IF(OtherClients[[#This Row],[Client]]="infasco",VLOOKUP(OtherClients[[#This Row],[Part]],PartControl!$A$2:$E$564,2,FALSE),OtherClients[[#This Row],[Total Quantity]]*VLOOKUP(OtherClients[[#This Row],[Part]],PartControl!$A$2:$E$564,2,FALSE)),0)</f>
        <v>135.07999999999998</v>
      </c>
    </row>
    <row r="3004" spans="1:26" ht="25.15" customHeight="1" x14ac:dyDescent="0.25">
      <c r="A3004" s="143">
        <v>46276</v>
      </c>
      <c r="B3004" s="144" t="s">
        <v>344</v>
      </c>
      <c r="C3004" s="144" t="s">
        <v>643</v>
      </c>
      <c r="D3004" s="144">
        <v>716015</v>
      </c>
      <c r="E3004" s="145">
        <v>36</v>
      </c>
      <c r="F3004" s="60">
        <v>700</v>
      </c>
      <c r="G3004" s="60">
        <f>+OtherClients[[#This Row],[Boxes / Pieces]]*OtherClients[[#This Row],[Unit Quantity]]</f>
        <v>25200</v>
      </c>
      <c r="H3004" s="60" t="s">
        <v>816</v>
      </c>
      <c r="I3004" s="60" t="s">
        <v>278</v>
      </c>
      <c r="J3004" s="104"/>
      <c r="K3004" s="33" t="s">
        <v>278</v>
      </c>
      <c r="L3004" s="111"/>
      <c r="M3004" s="33" t="s">
        <v>278</v>
      </c>
      <c r="N3004" s="111"/>
      <c r="O3004" s="33" t="s">
        <v>278</v>
      </c>
      <c r="P3004" s="111"/>
      <c r="Q3004" s="33" t="s">
        <v>587</v>
      </c>
      <c r="R3004" s="111"/>
      <c r="S3004" s="33" t="s">
        <v>278</v>
      </c>
      <c r="T3004" s="111"/>
      <c r="U3004" s="33" t="s">
        <v>278</v>
      </c>
      <c r="V3004" s="111"/>
      <c r="W3004" s="152" t="s">
        <v>548</v>
      </c>
      <c r="X3004" s="150" t="str">
        <f>+VLOOKUP(OtherClients[[#This Row],[Part]],PartControl!$A$2:$E$564,5,FALSE)</f>
        <v>infasco</v>
      </c>
      <c r="Y3004" s="108">
        <f>IF(OtherClients[[#This Row],[Re-certified or New]]&lt;&gt;"Re-certified",IF(OtherClients[[#This Row],[Client]]="infasco",VLOOKUP(OtherClients[[#This Row],[Part]],PartControl!$A$2:$E$564,2,FALSE),OtherClients[[#This Row],[Total Quantity]]*VLOOKUP(OtherClients[[#This Row],[Part]],PartControl!$A$2:$E$564,2,FALSE)),0)</f>
        <v>135.07999999999998</v>
      </c>
      <c r="Z3004" s="151">
        <f>IF(OtherClients[[#This Row],[Re-certified or New]]&lt;&gt;"Re-certified",IF(OtherClients[[#This Row],[Client]]="infasco",VLOOKUP(OtherClients[[#This Row],[Part]],PartControl!$A$2:$E$564,2,FALSE),OtherClients[[#This Row],[Total Quantity]]*VLOOKUP(OtherClients[[#This Row],[Part]],PartControl!$A$2:$E$564,2,FALSE)),0)</f>
        <v>135.07999999999998</v>
      </c>
    </row>
    <row r="3005" spans="1:26" ht="25.15" customHeight="1" x14ac:dyDescent="0.25">
      <c r="A3005" s="143">
        <v>46276</v>
      </c>
      <c r="B3005" s="144" t="s">
        <v>344</v>
      </c>
      <c r="C3005" s="144" t="s">
        <v>643</v>
      </c>
      <c r="D3005" s="144">
        <v>716017</v>
      </c>
      <c r="E3005" s="145">
        <v>34</v>
      </c>
      <c r="F3005" s="60">
        <v>700</v>
      </c>
      <c r="G3005" s="60">
        <f>+OtherClients[[#This Row],[Boxes / Pieces]]*OtherClients[[#This Row],[Unit Quantity]]</f>
        <v>23800</v>
      </c>
      <c r="H3005" s="60" t="s">
        <v>816</v>
      </c>
      <c r="I3005" s="60" t="s">
        <v>278</v>
      </c>
      <c r="J3005" s="104"/>
      <c r="K3005" s="33" t="s">
        <v>278</v>
      </c>
      <c r="L3005" s="111"/>
      <c r="M3005" s="33" t="s">
        <v>278</v>
      </c>
      <c r="N3005" s="111"/>
      <c r="O3005" s="33" t="s">
        <v>278</v>
      </c>
      <c r="P3005" s="111"/>
      <c r="Q3005" s="33" t="s">
        <v>587</v>
      </c>
      <c r="R3005" s="111"/>
      <c r="S3005" s="33" t="s">
        <v>278</v>
      </c>
      <c r="T3005" s="111"/>
      <c r="U3005" s="33" t="s">
        <v>278</v>
      </c>
      <c r="V3005" s="111"/>
      <c r="W3005" s="152" t="s">
        <v>548</v>
      </c>
      <c r="X3005" s="150" t="str">
        <f>+VLOOKUP(OtherClients[[#This Row],[Part]],PartControl!$A$2:$E$564,5,FALSE)</f>
        <v>infasco</v>
      </c>
      <c r="Y3005" s="108">
        <f>IF(OtherClients[[#This Row],[Re-certified or New]]&lt;&gt;"Re-certified",IF(OtherClients[[#This Row],[Client]]="infasco",VLOOKUP(OtherClients[[#This Row],[Part]],PartControl!$A$2:$E$564,2,FALSE),OtherClients[[#This Row],[Total Quantity]]*VLOOKUP(OtherClients[[#This Row],[Part]],PartControl!$A$2:$E$564,2,FALSE)),0)</f>
        <v>135.07999999999998</v>
      </c>
      <c r="Z3005" s="151">
        <f>IF(OtherClients[[#This Row],[Re-certified or New]]&lt;&gt;"Re-certified",IF(OtherClients[[#This Row],[Client]]="infasco",VLOOKUP(OtherClients[[#This Row],[Part]],PartControl!$A$2:$E$564,2,FALSE),OtherClients[[#This Row],[Total Quantity]]*VLOOKUP(OtherClients[[#This Row],[Part]],PartControl!$A$2:$E$564,2,FALSE)),0)</f>
        <v>135.07999999999998</v>
      </c>
    </row>
    <row r="3006" spans="1:26" ht="25.15" customHeight="1" x14ac:dyDescent="0.25">
      <c r="A3006" s="143">
        <v>46276</v>
      </c>
      <c r="B3006" s="144" t="s">
        <v>344</v>
      </c>
      <c r="C3006" s="144" t="s">
        <v>921</v>
      </c>
      <c r="D3006" s="144">
        <v>717870</v>
      </c>
      <c r="E3006" s="145">
        <v>37</v>
      </c>
      <c r="F3006" s="60">
        <v>220</v>
      </c>
      <c r="G3006" s="60">
        <f>+OtherClients[[#This Row],[Boxes / Pieces]]*OtherClients[[#This Row],[Unit Quantity]]</f>
        <v>8140</v>
      </c>
      <c r="H3006" s="60" t="s">
        <v>816</v>
      </c>
      <c r="I3006" s="60" t="s">
        <v>278</v>
      </c>
      <c r="J3006" s="104"/>
      <c r="K3006" s="33" t="s">
        <v>278</v>
      </c>
      <c r="L3006" s="111"/>
      <c r="M3006" s="33" t="s">
        <v>278</v>
      </c>
      <c r="N3006" s="111"/>
      <c r="O3006" s="33" t="s">
        <v>278</v>
      </c>
      <c r="P3006" s="111"/>
      <c r="Q3006" s="33" t="s">
        <v>587</v>
      </c>
      <c r="R3006" s="111"/>
      <c r="S3006" s="33" t="s">
        <v>278</v>
      </c>
      <c r="T3006" s="111"/>
      <c r="U3006" s="33" t="s">
        <v>278</v>
      </c>
      <c r="V3006" s="111"/>
      <c r="W3006" s="152" t="s">
        <v>548</v>
      </c>
      <c r="X3006" s="150" t="str">
        <f>+VLOOKUP(OtherClients[[#This Row],[Part]],PartControl!$A$2:$E$564,5,FALSE)</f>
        <v>infasco</v>
      </c>
      <c r="Y3006" s="108">
        <f>IF(OtherClients[[#This Row],[Re-certified or New]]&lt;&gt;"Re-certified",IF(OtherClients[[#This Row],[Client]]="infasco",VLOOKUP(OtherClients[[#This Row],[Part]],PartControl!$A$2:$E$564,2,FALSE),OtherClients[[#This Row],[Total Quantity]]*VLOOKUP(OtherClients[[#This Row],[Part]],PartControl!$A$2:$E$564,2,FALSE)),0)</f>
        <v>106.94</v>
      </c>
      <c r="Z3006" s="151">
        <f>IF(OtherClients[[#This Row],[Re-certified or New]]&lt;&gt;"Re-certified",IF(OtherClients[[#This Row],[Client]]="infasco",VLOOKUP(OtherClients[[#This Row],[Part]],PartControl!$A$2:$E$564,2,FALSE),OtherClients[[#This Row],[Total Quantity]]*VLOOKUP(OtherClients[[#This Row],[Part]],PartControl!$A$2:$E$564,2,FALSE)),0)</f>
        <v>106.94</v>
      </c>
    </row>
    <row r="3007" spans="1:26" ht="25.15" customHeight="1" x14ac:dyDescent="0.25">
      <c r="A3007" s="143">
        <v>46276</v>
      </c>
      <c r="B3007" s="144" t="s">
        <v>344</v>
      </c>
      <c r="C3007" s="144">
        <v>11549204</v>
      </c>
      <c r="D3007" s="144">
        <v>717959</v>
      </c>
      <c r="E3007" s="145">
        <v>36</v>
      </c>
      <c r="F3007" s="60">
        <v>210</v>
      </c>
      <c r="G3007" s="60">
        <f>+OtherClients[[#This Row],[Boxes / Pieces]]*OtherClients[[#This Row],[Unit Quantity]]</f>
        <v>7560</v>
      </c>
      <c r="H3007" s="60" t="s">
        <v>816</v>
      </c>
      <c r="I3007" s="60" t="s">
        <v>278</v>
      </c>
      <c r="J3007" s="104"/>
      <c r="K3007" s="33" t="s">
        <v>278</v>
      </c>
      <c r="L3007" s="111"/>
      <c r="M3007" s="33" t="s">
        <v>278</v>
      </c>
      <c r="N3007" s="111"/>
      <c r="O3007" s="33" t="s">
        <v>278</v>
      </c>
      <c r="P3007" s="111"/>
      <c r="Q3007" s="33" t="s">
        <v>587</v>
      </c>
      <c r="R3007" s="111"/>
      <c r="S3007" s="33" t="s">
        <v>278</v>
      </c>
      <c r="T3007" s="111"/>
      <c r="U3007" s="33" t="s">
        <v>278</v>
      </c>
      <c r="V3007" s="111"/>
      <c r="W3007" s="152" t="s">
        <v>548</v>
      </c>
      <c r="X3007" s="150" t="str">
        <f>+VLOOKUP(OtherClients[[#This Row],[Part]],PartControl!$A$2:$E$564,5,FALSE)</f>
        <v>INFASCO</v>
      </c>
      <c r="Y3007" s="108">
        <f>IF(OtherClients[[#This Row],[Re-certified or New]]&lt;&gt;"Re-certified",IF(OtherClients[[#This Row],[Client]]="infasco",VLOOKUP(OtherClients[[#This Row],[Part]],PartControl!$A$2:$E$564,2,FALSE),OtherClients[[#This Row],[Total Quantity]]*VLOOKUP(OtherClients[[#This Row],[Part]],PartControl!$A$2:$E$564,2,FALSE)),0)</f>
        <v>106.94</v>
      </c>
      <c r="Z3007" s="151">
        <f>IF(OtherClients[[#This Row],[Re-certified or New]]&lt;&gt;"Re-certified",IF(OtherClients[[#This Row],[Client]]="infasco",VLOOKUP(OtherClients[[#This Row],[Part]],PartControl!$A$2:$E$564,2,FALSE),OtherClients[[#This Row],[Total Quantity]]*VLOOKUP(OtherClients[[#This Row],[Part]],PartControl!$A$2:$E$564,2,FALSE)),0)</f>
        <v>106.94</v>
      </c>
    </row>
    <row r="3008" spans="1:26" ht="25.15" customHeight="1" x14ac:dyDescent="0.25">
      <c r="A3008" s="143">
        <v>46276</v>
      </c>
      <c r="B3008" s="144" t="s">
        <v>344</v>
      </c>
      <c r="C3008" s="144">
        <v>11549204</v>
      </c>
      <c r="D3008" s="144">
        <v>717550</v>
      </c>
      <c r="E3008" s="145">
        <v>12</v>
      </c>
      <c r="F3008" s="60">
        <v>210</v>
      </c>
      <c r="G3008" s="60">
        <f>+OtherClients[[#This Row],[Boxes / Pieces]]*OtherClients[[#This Row],[Unit Quantity]]</f>
        <v>2520</v>
      </c>
      <c r="H3008" s="60" t="s">
        <v>816</v>
      </c>
      <c r="I3008" s="60" t="s">
        <v>278</v>
      </c>
      <c r="J3008" s="104"/>
      <c r="K3008" s="33" t="s">
        <v>278</v>
      </c>
      <c r="L3008" s="111"/>
      <c r="M3008" s="33" t="s">
        <v>278</v>
      </c>
      <c r="N3008" s="111"/>
      <c r="O3008" s="33" t="s">
        <v>278</v>
      </c>
      <c r="P3008" s="111"/>
      <c r="Q3008" s="33" t="s">
        <v>587</v>
      </c>
      <c r="R3008" s="111"/>
      <c r="S3008" s="33" t="s">
        <v>278</v>
      </c>
      <c r="T3008" s="111"/>
      <c r="U3008" s="33" t="s">
        <v>278</v>
      </c>
      <c r="V3008" s="111"/>
      <c r="W3008" s="152" t="s">
        <v>633</v>
      </c>
      <c r="X3008" s="150" t="str">
        <f>+VLOOKUP(OtherClients[[#This Row],[Part]],PartControl!$A$2:$E$564,5,FALSE)</f>
        <v>INFASCO</v>
      </c>
      <c r="Y3008" s="108">
        <f>IF(OtherClients[[#This Row],[Re-certified or New]]&lt;&gt;"Re-certified",IF(OtherClients[[#This Row],[Client]]="infasco",VLOOKUP(OtherClients[[#This Row],[Part]],PartControl!$A$2:$E$564,2,FALSE),OtherClients[[#This Row],[Total Quantity]]*VLOOKUP(OtherClients[[#This Row],[Part]],PartControl!$A$2:$E$564,2,FALSE)),0)</f>
        <v>0</v>
      </c>
      <c r="Z3008" s="151">
        <f>IF(OtherClients[[#This Row],[Re-certified or New]]&lt;&gt;"Re-certified",IF(OtherClients[[#This Row],[Client]]="infasco",VLOOKUP(OtherClients[[#This Row],[Part]],PartControl!$A$2:$E$564,2,FALSE),OtherClients[[#This Row],[Total Quantity]]*VLOOKUP(OtherClients[[#This Row],[Part]],PartControl!$A$2:$E$564,2,FALSE)),0)</f>
        <v>0</v>
      </c>
    </row>
    <row r="3009" spans="1:26" ht="25.15" customHeight="1" x14ac:dyDescent="0.25">
      <c r="A3009" s="143">
        <v>46276</v>
      </c>
      <c r="B3009" s="144" t="s">
        <v>345</v>
      </c>
      <c r="C3009" s="144" t="s">
        <v>848</v>
      </c>
      <c r="D3009" s="144">
        <v>717765</v>
      </c>
      <c r="E3009" s="145">
        <f>38-24</f>
        <v>14</v>
      </c>
      <c r="F3009" s="60">
        <v>3200</v>
      </c>
      <c r="G3009" s="60">
        <f>+OtherClients[[#This Row],[Boxes / Pieces]]*OtherClients[[#This Row],[Unit Quantity]]</f>
        <v>44800</v>
      </c>
      <c r="H3009" s="60" t="s">
        <v>896</v>
      </c>
      <c r="I3009" s="60" t="s">
        <v>278</v>
      </c>
      <c r="J3009" s="104"/>
      <c r="K3009" s="33" t="s">
        <v>278</v>
      </c>
      <c r="L3009" s="111"/>
      <c r="M3009" s="33" t="s">
        <v>278</v>
      </c>
      <c r="N3009" s="111"/>
      <c r="O3009" s="33" t="s">
        <v>278</v>
      </c>
      <c r="P3009" s="111"/>
      <c r="Q3009" s="33" t="s">
        <v>587</v>
      </c>
      <c r="R3009" s="111"/>
      <c r="S3009" s="33" t="s">
        <v>278</v>
      </c>
      <c r="T3009" s="111"/>
      <c r="U3009" s="33" t="s">
        <v>278</v>
      </c>
      <c r="V3009" s="111"/>
      <c r="W3009" s="152" t="s">
        <v>548</v>
      </c>
      <c r="X3009" s="150" t="str">
        <f>+VLOOKUP(OtherClients[[#This Row],[Part]],PartControl!$A$2:$E$564,5,FALSE)</f>
        <v>infasco</v>
      </c>
      <c r="Y3009" s="108">
        <f>IF(OtherClients[[#This Row],[Re-certified or New]]&lt;&gt;"Re-certified",IF(OtherClients[[#This Row],[Client]]="infasco",VLOOKUP(OtherClients[[#This Row],[Part]],PartControl!$A$2:$E$564,2,FALSE),OtherClients[[#This Row],[Total Quantity]]*VLOOKUP(OtherClients[[#This Row],[Part]],PartControl!$A$2:$E$564,2,FALSE)),0)</f>
        <v>106.94</v>
      </c>
      <c r="Z3009" s="151">
        <f>IF(OtherClients[[#This Row],[Re-certified or New]]&lt;&gt;"Re-certified",IF(OtherClients[[#This Row],[Client]]="infasco",VLOOKUP(OtherClients[[#This Row],[Part]],PartControl!$A$2:$E$564,2,FALSE),OtherClients[[#This Row],[Total Quantity]]*VLOOKUP(OtherClients[[#This Row],[Part]],PartControl!$A$2:$E$564,2,FALSE)),0)</f>
        <v>106.94</v>
      </c>
    </row>
    <row r="3010" spans="1:26" ht="25.15" customHeight="1" x14ac:dyDescent="0.25">
      <c r="A3010" s="143">
        <v>46276</v>
      </c>
      <c r="B3010" s="144" t="s">
        <v>345</v>
      </c>
      <c r="C3010" s="144" t="s">
        <v>297</v>
      </c>
      <c r="D3010" s="144">
        <v>718853</v>
      </c>
      <c r="E3010" s="145">
        <v>1</v>
      </c>
      <c r="F3010" s="60">
        <v>25590</v>
      </c>
      <c r="G3010" s="60">
        <f>+OtherClients[[#This Row],[Boxes / Pieces]]*OtherClients[[#This Row],[Unit Quantity]]</f>
        <v>25590</v>
      </c>
      <c r="H3010" s="60" t="s">
        <v>896</v>
      </c>
      <c r="I3010" s="60" t="s">
        <v>278</v>
      </c>
      <c r="J3010" s="104"/>
      <c r="K3010" s="33" t="s">
        <v>278</v>
      </c>
      <c r="L3010" s="111"/>
      <c r="M3010" s="33" t="s">
        <v>278</v>
      </c>
      <c r="N3010" s="111"/>
      <c r="O3010" s="33" t="s">
        <v>278</v>
      </c>
      <c r="P3010" s="111"/>
      <c r="Q3010" s="33" t="s">
        <v>587</v>
      </c>
      <c r="R3010" s="111"/>
      <c r="S3010" s="33" t="s">
        <v>278</v>
      </c>
      <c r="T3010" s="111"/>
      <c r="U3010" s="33" t="s">
        <v>278</v>
      </c>
      <c r="V3010" s="111"/>
      <c r="W3010" s="152" t="s">
        <v>548</v>
      </c>
      <c r="X3010" s="150" t="str">
        <f>+VLOOKUP(OtherClients[[#This Row],[Part]],PartControl!$A$2:$E$564,5,FALSE)</f>
        <v>infasco</v>
      </c>
      <c r="Y3010" s="108">
        <f>IF(OtherClients[[#This Row],[Re-certified or New]]&lt;&gt;"Re-certified",IF(OtherClients[[#This Row],[Client]]="infasco",VLOOKUP(OtherClients[[#This Row],[Part]],PartControl!$A$2:$E$564,2,FALSE),OtherClients[[#This Row],[Total Quantity]]*VLOOKUP(OtherClients[[#This Row],[Part]],PartControl!$A$2:$E$564,2,FALSE)),0)</f>
        <v>51.78</v>
      </c>
      <c r="Z3010" s="151">
        <f>IF(OtherClients[[#This Row],[Re-certified or New]]&lt;&gt;"Re-certified",IF(OtherClients[[#This Row],[Client]]="infasco",VLOOKUP(OtherClients[[#This Row],[Part]],PartControl!$A$2:$E$564,2,FALSE),OtherClients[[#This Row],[Total Quantity]]*VLOOKUP(OtherClients[[#This Row],[Part]],PartControl!$A$2:$E$564,2,FALSE)),0)</f>
        <v>51.78</v>
      </c>
    </row>
    <row r="3011" spans="1:26" ht="25.15" customHeight="1" x14ac:dyDescent="0.25">
      <c r="A3011" s="143">
        <v>46276</v>
      </c>
      <c r="B3011" s="144" t="s">
        <v>345</v>
      </c>
      <c r="C3011" s="144" t="s">
        <v>306</v>
      </c>
      <c r="D3011" s="144">
        <v>718666</v>
      </c>
      <c r="E3011" s="145">
        <v>1</v>
      </c>
      <c r="F3011" s="60">
        <v>29840</v>
      </c>
      <c r="G3011" s="60">
        <f>+OtherClients[[#This Row],[Boxes / Pieces]]*OtherClients[[#This Row],[Unit Quantity]]</f>
        <v>29840</v>
      </c>
      <c r="H3011" s="60" t="s">
        <v>896</v>
      </c>
      <c r="I3011" s="60" t="s">
        <v>278</v>
      </c>
      <c r="J3011" s="104"/>
      <c r="K3011" s="33" t="s">
        <v>278</v>
      </c>
      <c r="L3011" s="111"/>
      <c r="M3011" s="33" t="s">
        <v>278</v>
      </c>
      <c r="N3011" s="111"/>
      <c r="O3011" s="33" t="s">
        <v>278</v>
      </c>
      <c r="P3011" s="111"/>
      <c r="Q3011" s="33" t="s">
        <v>587</v>
      </c>
      <c r="R3011" s="111"/>
      <c r="S3011" s="33" t="s">
        <v>278</v>
      </c>
      <c r="T3011" s="111"/>
      <c r="U3011" s="33" t="s">
        <v>278</v>
      </c>
      <c r="V3011" s="111"/>
      <c r="W3011" s="152" t="s">
        <v>548</v>
      </c>
      <c r="X3011" s="150" t="str">
        <f>+VLOOKUP(OtherClients[[#This Row],[Part]],PartControl!$A$2:$E$564,5,FALSE)</f>
        <v>INFASCO</v>
      </c>
      <c r="Y3011" s="108">
        <f>IF(OtherClients[[#This Row],[Re-certified or New]]&lt;&gt;"Re-certified",IF(OtherClients[[#This Row],[Client]]="infasco",VLOOKUP(OtherClients[[#This Row],[Part]],PartControl!$A$2:$E$564,2,FALSE),OtherClients[[#This Row],[Total Quantity]]*VLOOKUP(OtherClients[[#This Row],[Part]],PartControl!$A$2:$E$564,2,FALSE)),0)</f>
        <v>129.44999999999999</v>
      </c>
      <c r="Z3011" s="151">
        <f>IF(OtherClients[[#This Row],[Re-certified or New]]&lt;&gt;"Re-certified",IF(OtherClients[[#This Row],[Client]]="infasco",VLOOKUP(OtherClients[[#This Row],[Part]],PartControl!$A$2:$E$564,2,FALSE),OtherClients[[#This Row],[Total Quantity]]*VLOOKUP(OtherClients[[#This Row],[Part]],PartControl!$A$2:$E$564,2,FALSE)),0)</f>
        <v>129.44999999999999</v>
      </c>
    </row>
    <row r="3012" spans="1:26" ht="25.15" customHeight="1" x14ac:dyDescent="0.25">
      <c r="A3012" s="143">
        <v>46276</v>
      </c>
      <c r="B3012" s="144" t="s">
        <v>345</v>
      </c>
      <c r="C3012" s="144" t="s">
        <v>643</v>
      </c>
      <c r="D3012" s="144">
        <v>716019</v>
      </c>
      <c r="E3012" s="145">
        <v>19</v>
      </c>
      <c r="F3012" s="60">
        <v>700</v>
      </c>
      <c r="G3012" s="60">
        <f>+OtherClients[[#This Row],[Boxes / Pieces]]*OtherClients[[#This Row],[Unit Quantity]]</f>
        <v>13300</v>
      </c>
      <c r="H3012" s="60" t="s">
        <v>896</v>
      </c>
      <c r="I3012" s="60" t="s">
        <v>278</v>
      </c>
      <c r="J3012" s="104"/>
      <c r="K3012" s="33" t="s">
        <v>278</v>
      </c>
      <c r="L3012" s="111"/>
      <c r="M3012" s="33" t="s">
        <v>278</v>
      </c>
      <c r="N3012" s="111"/>
      <c r="O3012" s="33" t="s">
        <v>278</v>
      </c>
      <c r="P3012" s="111"/>
      <c r="Q3012" s="33" t="s">
        <v>587</v>
      </c>
      <c r="R3012" s="111"/>
      <c r="S3012" s="33" t="s">
        <v>278</v>
      </c>
      <c r="T3012" s="111"/>
      <c r="U3012" s="33" t="s">
        <v>278</v>
      </c>
      <c r="V3012" s="111"/>
      <c r="W3012" s="152" t="s">
        <v>548</v>
      </c>
      <c r="X3012" s="150" t="str">
        <f>+VLOOKUP(OtherClients[[#This Row],[Part]],PartControl!$A$2:$E$564,5,FALSE)</f>
        <v>infasco</v>
      </c>
      <c r="Y3012" s="108">
        <f>IF(OtherClients[[#This Row],[Re-certified or New]]&lt;&gt;"Re-certified",IF(OtherClients[[#This Row],[Client]]="infasco",VLOOKUP(OtherClients[[#This Row],[Part]],PartControl!$A$2:$E$564,2,FALSE),OtherClients[[#This Row],[Total Quantity]]*VLOOKUP(OtherClients[[#This Row],[Part]],PartControl!$A$2:$E$564,2,FALSE)),0)</f>
        <v>135.07999999999998</v>
      </c>
      <c r="Z3012" s="151">
        <f>IF(OtherClients[[#This Row],[Re-certified or New]]&lt;&gt;"Re-certified",IF(OtherClients[[#This Row],[Client]]="infasco",VLOOKUP(OtherClients[[#This Row],[Part]],PartControl!$A$2:$E$564,2,FALSE),OtherClients[[#This Row],[Total Quantity]]*VLOOKUP(OtherClients[[#This Row],[Part]],PartControl!$A$2:$E$564,2,FALSE)),0)</f>
        <v>135.07999999999998</v>
      </c>
    </row>
    <row r="3013" spans="1:26" ht="25.15" customHeight="1" x14ac:dyDescent="0.25">
      <c r="A3013" s="143">
        <v>46276</v>
      </c>
      <c r="B3013" s="144" t="s">
        <v>345</v>
      </c>
      <c r="C3013" s="144" t="s">
        <v>921</v>
      </c>
      <c r="D3013" s="144">
        <v>717447</v>
      </c>
      <c r="E3013" s="145">
        <v>33</v>
      </c>
      <c r="F3013" s="60">
        <v>220</v>
      </c>
      <c r="G3013" s="60">
        <f>+OtherClients[[#This Row],[Boxes / Pieces]]*OtherClients[[#This Row],[Unit Quantity]]</f>
        <v>7260</v>
      </c>
      <c r="H3013" s="60" t="s">
        <v>896</v>
      </c>
      <c r="I3013" s="60" t="s">
        <v>278</v>
      </c>
      <c r="J3013" s="104"/>
      <c r="K3013" s="33" t="s">
        <v>278</v>
      </c>
      <c r="L3013" s="111"/>
      <c r="M3013" s="33" t="s">
        <v>278</v>
      </c>
      <c r="N3013" s="111"/>
      <c r="O3013" s="33" t="s">
        <v>278</v>
      </c>
      <c r="P3013" s="111"/>
      <c r="Q3013" s="33" t="s">
        <v>587</v>
      </c>
      <c r="R3013" s="111"/>
      <c r="S3013" s="33" t="s">
        <v>278</v>
      </c>
      <c r="T3013" s="111"/>
      <c r="U3013" s="33" t="s">
        <v>278</v>
      </c>
      <c r="V3013" s="111"/>
      <c r="W3013" s="152" t="s">
        <v>548</v>
      </c>
      <c r="X3013" s="150" t="str">
        <f>+VLOOKUP(OtherClients[[#This Row],[Part]],PartControl!$A$2:$E$564,5,FALSE)</f>
        <v>infasco</v>
      </c>
      <c r="Y3013" s="108">
        <f>IF(OtherClients[[#This Row],[Re-certified or New]]&lt;&gt;"Re-certified",IF(OtherClients[[#This Row],[Client]]="infasco",VLOOKUP(OtherClients[[#This Row],[Part]],PartControl!$A$2:$E$564,2,FALSE),OtherClients[[#This Row],[Total Quantity]]*VLOOKUP(OtherClients[[#This Row],[Part]],PartControl!$A$2:$E$564,2,FALSE)),0)</f>
        <v>106.94</v>
      </c>
      <c r="Z3013" s="151">
        <f>IF(OtherClients[[#This Row],[Re-certified or New]]&lt;&gt;"Re-certified",IF(OtherClients[[#This Row],[Client]]="infasco",VLOOKUP(OtherClients[[#This Row],[Part]],PartControl!$A$2:$E$564,2,FALSE),OtherClients[[#This Row],[Total Quantity]]*VLOOKUP(OtherClients[[#This Row],[Part]],PartControl!$A$2:$E$564,2,FALSE)),0)</f>
        <v>106.94</v>
      </c>
    </row>
    <row r="3014" spans="1:26" ht="25.15" customHeight="1" x14ac:dyDescent="0.25">
      <c r="A3014" s="143">
        <v>46276</v>
      </c>
      <c r="B3014" s="144" t="s">
        <v>345</v>
      </c>
      <c r="C3014" s="144" t="s">
        <v>643</v>
      </c>
      <c r="D3014" s="144">
        <v>716014</v>
      </c>
      <c r="E3014" s="145">
        <v>17</v>
      </c>
      <c r="F3014" s="60">
        <v>700</v>
      </c>
      <c r="G3014" s="60">
        <f>+OtherClients[[#This Row],[Boxes / Pieces]]*OtherClients[[#This Row],[Unit Quantity]]</f>
        <v>11900</v>
      </c>
      <c r="H3014" s="60" t="s">
        <v>896</v>
      </c>
      <c r="I3014" s="60" t="s">
        <v>278</v>
      </c>
      <c r="J3014" s="104"/>
      <c r="K3014" s="33" t="s">
        <v>278</v>
      </c>
      <c r="L3014" s="111"/>
      <c r="M3014" s="33" t="s">
        <v>278</v>
      </c>
      <c r="N3014" s="111"/>
      <c r="O3014" s="33" t="s">
        <v>278</v>
      </c>
      <c r="P3014" s="111"/>
      <c r="Q3014" s="33" t="s">
        <v>587</v>
      </c>
      <c r="R3014" s="111"/>
      <c r="S3014" s="33" t="s">
        <v>278</v>
      </c>
      <c r="T3014" s="111"/>
      <c r="U3014" s="33" t="s">
        <v>278</v>
      </c>
      <c r="V3014" s="111"/>
      <c r="W3014" s="152" t="s">
        <v>548</v>
      </c>
      <c r="X3014" s="150" t="str">
        <f>+VLOOKUP(OtherClients[[#This Row],[Part]],PartControl!$A$2:$E$564,5,FALSE)</f>
        <v>infasco</v>
      </c>
      <c r="Y3014" s="108">
        <f>IF(OtherClients[[#This Row],[Re-certified or New]]&lt;&gt;"Re-certified",IF(OtherClients[[#This Row],[Client]]="infasco",VLOOKUP(OtherClients[[#This Row],[Part]],PartControl!$A$2:$E$564,2,FALSE),OtherClients[[#This Row],[Total Quantity]]*VLOOKUP(OtherClients[[#This Row],[Part]],PartControl!$A$2:$E$564,2,FALSE)),0)</f>
        <v>135.07999999999998</v>
      </c>
      <c r="Z3014" s="151">
        <f>IF(OtherClients[[#This Row],[Re-certified or New]]&lt;&gt;"Re-certified",IF(OtherClients[[#This Row],[Client]]="infasco",VLOOKUP(OtherClients[[#This Row],[Part]],PartControl!$A$2:$E$564,2,FALSE),OtherClients[[#This Row],[Total Quantity]]*VLOOKUP(OtherClients[[#This Row],[Part]],PartControl!$A$2:$E$564,2,FALSE)),0)</f>
        <v>135.07999999999998</v>
      </c>
    </row>
    <row r="3015" spans="1:26" ht="25.15" customHeight="1" x14ac:dyDescent="0.25">
      <c r="A3015" s="143">
        <v>46276</v>
      </c>
      <c r="B3015" s="144" t="s">
        <v>345</v>
      </c>
      <c r="C3015" s="144" t="s">
        <v>643</v>
      </c>
      <c r="D3015" s="144">
        <v>716016</v>
      </c>
      <c r="E3015" s="145">
        <v>27</v>
      </c>
      <c r="F3015" s="60">
        <v>700</v>
      </c>
      <c r="G3015" s="60">
        <f>+OtherClients[[#This Row],[Boxes / Pieces]]*OtherClients[[#This Row],[Unit Quantity]]</f>
        <v>18900</v>
      </c>
      <c r="H3015" s="60" t="s">
        <v>896</v>
      </c>
      <c r="I3015" s="60" t="s">
        <v>278</v>
      </c>
      <c r="J3015" s="104"/>
      <c r="K3015" s="33" t="s">
        <v>278</v>
      </c>
      <c r="L3015" s="111"/>
      <c r="M3015" s="33" t="s">
        <v>278</v>
      </c>
      <c r="N3015" s="111"/>
      <c r="O3015" s="33" t="s">
        <v>278</v>
      </c>
      <c r="P3015" s="111"/>
      <c r="Q3015" s="33" t="s">
        <v>587</v>
      </c>
      <c r="R3015" s="111"/>
      <c r="S3015" s="33" t="s">
        <v>278</v>
      </c>
      <c r="T3015" s="111"/>
      <c r="U3015" s="33" t="s">
        <v>278</v>
      </c>
      <c r="V3015" s="111"/>
      <c r="W3015" s="152" t="s">
        <v>548</v>
      </c>
      <c r="X3015" s="150" t="str">
        <f>+VLOOKUP(OtherClients[[#This Row],[Part]],PartControl!$A$2:$E$564,5,FALSE)</f>
        <v>infasco</v>
      </c>
      <c r="Y3015" s="108">
        <f>IF(OtherClients[[#This Row],[Re-certified or New]]&lt;&gt;"Re-certified",IF(OtherClients[[#This Row],[Client]]="infasco",VLOOKUP(OtherClients[[#This Row],[Part]],PartControl!$A$2:$E$564,2,FALSE),OtherClients[[#This Row],[Total Quantity]]*VLOOKUP(OtherClients[[#This Row],[Part]],PartControl!$A$2:$E$564,2,FALSE)),0)</f>
        <v>135.07999999999998</v>
      </c>
      <c r="Z3015" s="151">
        <f>IF(OtherClients[[#This Row],[Re-certified or New]]&lt;&gt;"Re-certified",IF(OtherClients[[#This Row],[Client]]="infasco",VLOOKUP(OtherClients[[#This Row],[Part]],PartControl!$A$2:$E$564,2,FALSE),OtherClients[[#This Row],[Total Quantity]]*VLOOKUP(OtherClients[[#This Row],[Part]],PartControl!$A$2:$E$564,2,FALSE)),0)</f>
        <v>135.07999999999998</v>
      </c>
    </row>
    <row r="3016" spans="1:26" ht="25.15" customHeight="1" x14ac:dyDescent="0.25">
      <c r="A3016" s="143">
        <v>46276</v>
      </c>
      <c r="B3016" s="144" t="s">
        <v>345</v>
      </c>
      <c r="C3016" s="144" t="s">
        <v>921</v>
      </c>
      <c r="D3016" s="144">
        <v>717189</v>
      </c>
      <c r="E3016" s="145">
        <v>36</v>
      </c>
      <c r="F3016" s="60">
        <v>220</v>
      </c>
      <c r="G3016" s="60">
        <f>+OtherClients[[#This Row],[Boxes / Pieces]]*OtherClients[[#This Row],[Unit Quantity]]</f>
        <v>7920</v>
      </c>
      <c r="H3016" s="60" t="s">
        <v>896</v>
      </c>
      <c r="I3016" s="60" t="s">
        <v>278</v>
      </c>
      <c r="J3016" s="104"/>
      <c r="K3016" s="33" t="s">
        <v>278</v>
      </c>
      <c r="L3016" s="111"/>
      <c r="M3016" s="33" t="s">
        <v>278</v>
      </c>
      <c r="N3016" s="111"/>
      <c r="O3016" s="33" t="s">
        <v>278</v>
      </c>
      <c r="P3016" s="111"/>
      <c r="Q3016" s="33" t="s">
        <v>587</v>
      </c>
      <c r="R3016" s="111"/>
      <c r="S3016" s="33" t="s">
        <v>278</v>
      </c>
      <c r="T3016" s="111"/>
      <c r="U3016" s="33" t="s">
        <v>278</v>
      </c>
      <c r="V3016" s="111"/>
      <c r="W3016" s="152" t="s">
        <v>548</v>
      </c>
      <c r="X3016" s="150" t="str">
        <f>+VLOOKUP(OtherClients[[#This Row],[Part]],PartControl!$A$2:$E$564,5,FALSE)</f>
        <v>infasco</v>
      </c>
      <c r="Y3016" s="108">
        <f>IF(OtherClients[[#This Row],[Re-certified or New]]&lt;&gt;"Re-certified",IF(OtherClients[[#This Row],[Client]]="infasco",VLOOKUP(OtherClients[[#This Row],[Part]],PartControl!$A$2:$E$564,2,FALSE),OtherClients[[#This Row],[Total Quantity]]*VLOOKUP(OtherClients[[#This Row],[Part]],PartControl!$A$2:$E$564,2,FALSE)),0)</f>
        <v>106.94</v>
      </c>
      <c r="Z3016" s="151">
        <f>IF(OtherClients[[#This Row],[Re-certified or New]]&lt;&gt;"Re-certified",IF(OtherClients[[#This Row],[Client]]="infasco",VLOOKUP(OtherClients[[#This Row],[Part]],PartControl!$A$2:$E$564,2,FALSE),OtherClients[[#This Row],[Total Quantity]]*VLOOKUP(OtherClients[[#This Row],[Part]],PartControl!$A$2:$E$564,2,FALSE)),0)</f>
        <v>106.94</v>
      </c>
    </row>
    <row r="3017" spans="1:26" ht="25.15" customHeight="1" x14ac:dyDescent="0.25">
      <c r="A3017" s="143">
        <v>46276</v>
      </c>
      <c r="B3017" s="144" t="s">
        <v>345</v>
      </c>
      <c r="C3017" s="144" t="s">
        <v>921</v>
      </c>
      <c r="D3017" s="144">
        <v>717191</v>
      </c>
      <c r="E3017" s="145">
        <v>26</v>
      </c>
      <c r="F3017" s="60">
        <v>220</v>
      </c>
      <c r="G3017" s="60">
        <f>+OtherClients[[#This Row],[Boxes / Pieces]]*OtherClients[[#This Row],[Unit Quantity]]</f>
        <v>5720</v>
      </c>
      <c r="H3017" s="60" t="s">
        <v>896</v>
      </c>
      <c r="I3017" s="60" t="s">
        <v>278</v>
      </c>
      <c r="J3017" s="104"/>
      <c r="K3017" s="33" t="s">
        <v>278</v>
      </c>
      <c r="L3017" s="111"/>
      <c r="M3017" s="33" t="s">
        <v>278</v>
      </c>
      <c r="N3017" s="111"/>
      <c r="O3017" s="33" t="s">
        <v>278</v>
      </c>
      <c r="P3017" s="111"/>
      <c r="Q3017" s="33" t="s">
        <v>587</v>
      </c>
      <c r="R3017" s="111"/>
      <c r="S3017" s="33" t="s">
        <v>278</v>
      </c>
      <c r="T3017" s="111"/>
      <c r="U3017" s="33" t="s">
        <v>278</v>
      </c>
      <c r="V3017" s="111"/>
      <c r="W3017" s="152" t="s">
        <v>548</v>
      </c>
      <c r="X3017" s="150" t="str">
        <f>+VLOOKUP(OtherClients[[#This Row],[Part]],PartControl!$A$2:$E$564,5,FALSE)</f>
        <v>infasco</v>
      </c>
      <c r="Y3017" s="108">
        <f>IF(OtherClients[[#This Row],[Re-certified or New]]&lt;&gt;"Re-certified",IF(OtherClients[[#This Row],[Client]]="infasco",VLOOKUP(OtherClients[[#This Row],[Part]],PartControl!$A$2:$E$564,2,FALSE),OtherClients[[#This Row],[Total Quantity]]*VLOOKUP(OtherClients[[#This Row],[Part]],PartControl!$A$2:$E$564,2,FALSE)),0)</f>
        <v>106.94</v>
      </c>
      <c r="Z3017" s="151">
        <f>IF(OtherClients[[#This Row],[Re-certified or New]]&lt;&gt;"Re-certified",IF(OtherClients[[#This Row],[Client]]="infasco",VLOOKUP(OtherClients[[#This Row],[Part]],PartControl!$A$2:$E$564,2,FALSE),OtherClients[[#This Row],[Total Quantity]]*VLOOKUP(OtherClients[[#This Row],[Part]],PartControl!$A$2:$E$564,2,FALSE)),0)</f>
        <v>106.94</v>
      </c>
    </row>
    <row r="3018" spans="1:26" ht="25.15" customHeight="1" x14ac:dyDescent="0.25">
      <c r="A3018" s="143">
        <v>46276</v>
      </c>
      <c r="B3018" s="144" t="s">
        <v>345</v>
      </c>
      <c r="C3018" s="144" t="s">
        <v>843</v>
      </c>
      <c r="D3018" s="144">
        <v>717594</v>
      </c>
      <c r="E3018" s="145">
        <v>36</v>
      </c>
      <c r="F3018" s="60">
        <v>220</v>
      </c>
      <c r="G3018" s="60">
        <f>+OtherClients[[#This Row],[Boxes / Pieces]]*OtherClients[[#This Row],[Unit Quantity]]</f>
        <v>7920</v>
      </c>
      <c r="H3018" s="60" t="s">
        <v>896</v>
      </c>
      <c r="I3018" s="60" t="s">
        <v>278</v>
      </c>
      <c r="J3018" s="104"/>
      <c r="K3018" s="33" t="s">
        <v>278</v>
      </c>
      <c r="L3018" s="111"/>
      <c r="M3018" s="33" t="s">
        <v>278</v>
      </c>
      <c r="N3018" s="111"/>
      <c r="O3018" s="33" t="s">
        <v>278</v>
      </c>
      <c r="P3018" s="111"/>
      <c r="Q3018" s="33" t="s">
        <v>587</v>
      </c>
      <c r="R3018" s="111"/>
      <c r="S3018" s="33" t="s">
        <v>278</v>
      </c>
      <c r="T3018" s="111"/>
      <c r="U3018" s="33" t="s">
        <v>278</v>
      </c>
      <c r="V3018" s="111"/>
      <c r="W3018" s="152" t="s">
        <v>548</v>
      </c>
      <c r="X3018" s="150" t="str">
        <f>+VLOOKUP(OtherClients[[#This Row],[Part]],PartControl!$A$2:$E$564,5,FALSE)</f>
        <v>infasco</v>
      </c>
      <c r="Y3018" s="108">
        <f>IF(OtherClients[[#This Row],[Re-certified or New]]&lt;&gt;"Re-certified",IF(OtherClients[[#This Row],[Client]]="infasco",VLOOKUP(OtherClients[[#This Row],[Part]],PartControl!$A$2:$E$564,2,FALSE),OtherClients[[#This Row],[Total Quantity]]*VLOOKUP(OtherClients[[#This Row],[Part]],PartControl!$A$2:$E$564,2,FALSE)),0)</f>
        <v>106.94</v>
      </c>
      <c r="Z3018" s="151">
        <f>IF(OtherClients[[#This Row],[Re-certified or New]]&lt;&gt;"Re-certified",IF(OtherClients[[#This Row],[Client]]="infasco",VLOOKUP(OtherClients[[#This Row],[Part]],PartControl!$A$2:$E$564,2,FALSE),OtherClients[[#This Row],[Total Quantity]]*VLOOKUP(OtherClients[[#This Row],[Part]],PartControl!$A$2:$E$564,2,FALSE)),0)</f>
        <v>106.94</v>
      </c>
    </row>
    <row r="3019" spans="1:26" ht="25.15" customHeight="1" x14ac:dyDescent="0.25">
      <c r="A3019" s="143">
        <v>46276</v>
      </c>
      <c r="B3019" s="144" t="s">
        <v>345</v>
      </c>
      <c r="C3019" s="144" t="s">
        <v>843</v>
      </c>
      <c r="D3019" s="144">
        <v>717592</v>
      </c>
      <c r="E3019" s="145">
        <v>36</v>
      </c>
      <c r="F3019" s="60">
        <v>220</v>
      </c>
      <c r="G3019" s="60">
        <f>+OtherClients[[#This Row],[Boxes / Pieces]]*OtherClients[[#This Row],[Unit Quantity]]</f>
        <v>7920</v>
      </c>
      <c r="H3019" s="60" t="s">
        <v>896</v>
      </c>
      <c r="I3019" s="60" t="s">
        <v>278</v>
      </c>
      <c r="J3019" s="104"/>
      <c r="K3019" s="33" t="s">
        <v>278</v>
      </c>
      <c r="L3019" s="111"/>
      <c r="M3019" s="33" t="s">
        <v>278</v>
      </c>
      <c r="N3019" s="111"/>
      <c r="O3019" s="33" t="s">
        <v>278</v>
      </c>
      <c r="P3019" s="111"/>
      <c r="Q3019" s="33" t="s">
        <v>587</v>
      </c>
      <c r="R3019" s="111"/>
      <c r="S3019" s="33" t="s">
        <v>278</v>
      </c>
      <c r="T3019" s="111"/>
      <c r="U3019" s="33" t="s">
        <v>278</v>
      </c>
      <c r="V3019" s="111"/>
      <c r="W3019" s="152" t="s">
        <v>548</v>
      </c>
      <c r="X3019" s="150" t="str">
        <f>+VLOOKUP(OtherClients[[#This Row],[Part]],PartControl!$A$2:$E$564,5,FALSE)</f>
        <v>infasco</v>
      </c>
      <c r="Y3019" s="108">
        <f>IF(OtherClients[[#This Row],[Re-certified or New]]&lt;&gt;"Re-certified",IF(OtherClients[[#This Row],[Client]]="infasco",VLOOKUP(OtherClients[[#This Row],[Part]],PartControl!$A$2:$E$564,2,FALSE),OtherClients[[#This Row],[Total Quantity]]*VLOOKUP(OtherClients[[#This Row],[Part]],PartControl!$A$2:$E$564,2,FALSE)),0)</f>
        <v>106.94</v>
      </c>
      <c r="Z3019" s="151">
        <f>IF(OtherClients[[#This Row],[Re-certified or New]]&lt;&gt;"Re-certified",IF(OtherClients[[#This Row],[Client]]="infasco",VLOOKUP(OtherClients[[#This Row],[Part]],PartControl!$A$2:$E$564,2,FALSE),OtherClients[[#This Row],[Total Quantity]]*VLOOKUP(OtherClients[[#This Row],[Part]],PartControl!$A$2:$E$564,2,FALSE)),0)</f>
        <v>106.94</v>
      </c>
    </row>
    <row r="3020" spans="1:26" ht="25.15" customHeight="1" x14ac:dyDescent="0.25">
      <c r="A3020" s="143">
        <v>46279</v>
      </c>
      <c r="B3020" s="144" t="s">
        <v>246</v>
      </c>
      <c r="C3020" s="144">
        <v>11549168</v>
      </c>
      <c r="D3020" s="144">
        <v>716958</v>
      </c>
      <c r="E3020" s="145">
        <v>1</v>
      </c>
      <c r="F3020" s="60">
        <f>51000-45000</f>
        <v>6000</v>
      </c>
      <c r="G3020" s="60">
        <f>+OtherClients[[#This Row],[Boxes / Pieces]]*OtherClients[[#This Row],[Unit Quantity]]</f>
        <v>6000</v>
      </c>
      <c r="H3020" s="60">
        <v>285</v>
      </c>
      <c r="I3020" s="146"/>
      <c r="J3020" s="147"/>
      <c r="K3020" s="145"/>
      <c r="L3020" s="148"/>
      <c r="M3020" s="145"/>
      <c r="N3020" s="148"/>
      <c r="O3020" s="145"/>
      <c r="P3020" s="148"/>
      <c r="Q3020" s="145"/>
      <c r="R3020" s="148"/>
      <c r="S3020" s="145"/>
      <c r="T3020" s="148"/>
      <c r="U3020" s="145"/>
      <c r="V3020" s="148"/>
      <c r="W3020" s="149"/>
      <c r="X3020" s="150" t="str">
        <f>+VLOOKUP(OtherClients[[#This Row],[Part]],PartControl!$A$2:$E$564,5,FALSE)</f>
        <v>INFASCO</v>
      </c>
      <c r="Y3020" s="150"/>
      <c r="Z3020" s="151">
        <f>IF(OtherClients[[#This Row],[Re-certified or New]]&lt;&gt;"Re-certified",IF(OtherClients[[#This Row],[Client]]="infasco",VLOOKUP(OtherClients[[#This Row],[Part]],PartControl!$A$2:$E$564,2,FALSE),OtherClients[[#This Row],[Total Quantity]]*VLOOKUP(OtherClients[[#This Row],[Part]],PartControl!$A$2:$E$564,2,FALSE)),0)</f>
        <v>106.94</v>
      </c>
    </row>
    <row r="1041228" spans="3:3" ht="25.15" customHeight="1" x14ac:dyDescent="0.25">
      <c r="C1041228" s="124"/>
    </row>
  </sheetData>
  <phoneticPr fontId="34" type="noConversion"/>
  <conditionalFormatting sqref="D1056:D1048576 D1:D1052">
    <cfRule type="duplicateValues" dxfId="10" priority="47"/>
  </conditionalFormatting>
  <conditionalFormatting sqref="D1056:D1048576">
    <cfRule type="duplicateValues" dxfId="9" priority="53"/>
  </conditionalFormatting>
  <printOptions horizontalCentered="1"/>
  <pageMargins left="0.19685039370078741" right="0.19685039370078741" top="0.39370078740157483" bottom="0.39370078740157483" header="0.11811023622047245" footer="0.11811023622047245"/>
  <pageSetup scale="92" fitToHeight="0" orientation="landscape"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022"/>
  <sheetViews>
    <sheetView topLeftCell="A6" zoomScale="115" zoomScaleNormal="115" workbookViewId="0">
      <selection activeCell="E29" sqref="E29"/>
    </sheetView>
  </sheetViews>
  <sheetFormatPr defaultRowHeight="15" x14ac:dyDescent="0.25"/>
  <cols>
    <col min="1" max="1" width="23" bestFit="1" customWidth="1"/>
    <col min="2" max="2" width="19.85546875" style="107" bestFit="1" customWidth="1"/>
    <col min="3" max="3" width="19.42578125" style="47" bestFit="1" customWidth="1"/>
    <col min="4" max="4" width="23.42578125" customWidth="1"/>
    <col min="5" max="5" width="15.42578125" bestFit="1" customWidth="1"/>
    <col min="6" max="7" width="12.7109375" bestFit="1" customWidth="1"/>
    <col min="8" max="8" width="7.7109375" customWidth="1"/>
    <col min="9" max="24" width="12.7109375" bestFit="1" customWidth="1"/>
    <col min="25" max="25" width="7.7109375" customWidth="1"/>
    <col min="26" max="35" width="12.7109375" bestFit="1" customWidth="1"/>
    <col min="36" max="36" width="23.42578125" bestFit="1" customWidth="1"/>
    <col min="37" max="37" width="15.42578125" bestFit="1" customWidth="1"/>
  </cols>
  <sheetData>
    <row r="1" spans="1:5" ht="18.75" x14ac:dyDescent="0.3">
      <c r="A1" s="9" t="s">
        <v>283</v>
      </c>
    </row>
    <row r="2" spans="1:5" x14ac:dyDescent="0.25">
      <c r="A2" s="8" t="s">
        <v>353</v>
      </c>
    </row>
    <row r="3" spans="1:5" x14ac:dyDescent="0.25">
      <c r="A3" s="87"/>
    </row>
    <row r="4" spans="1:5" x14ac:dyDescent="0.25">
      <c r="A4" s="17" t="s">
        <v>331</v>
      </c>
      <c r="B4" s="87" t="s">
        <v>282</v>
      </c>
      <c r="C4" s="88" t="s">
        <v>403</v>
      </c>
    </row>
    <row r="5" spans="1:5" x14ac:dyDescent="0.25">
      <c r="A5" s="106">
        <v>46276</v>
      </c>
      <c r="B5" s="86"/>
      <c r="C5" s="89"/>
    </row>
    <row r="6" spans="1:5" x14ac:dyDescent="0.25">
      <c r="A6" s="105" t="s">
        <v>232</v>
      </c>
      <c r="B6" s="86">
        <v>16500</v>
      </c>
      <c r="C6" s="89">
        <v>106.94</v>
      </c>
    </row>
    <row r="7" spans="1:5" x14ac:dyDescent="0.25">
      <c r="A7" s="105" t="s">
        <v>233</v>
      </c>
      <c r="B7" s="86">
        <v>55000</v>
      </c>
      <c r="C7" s="89">
        <v>0</v>
      </c>
    </row>
    <row r="8" spans="1:5" x14ac:dyDescent="0.25">
      <c r="A8" s="105" t="s">
        <v>234</v>
      </c>
      <c r="B8" s="86">
        <v>19500</v>
      </c>
      <c r="C8" s="89">
        <v>106.94</v>
      </c>
    </row>
    <row r="9" spans="1:5" x14ac:dyDescent="0.25">
      <c r="A9" s="105" t="s">
        <v>235</v>
      </c>
      <c r="B9" s="86">
        <v>19800</v>
      </c>
      <c r="C9" s="89">
        <v>0</v>
      </c>
    </row>
    <row r="10" spans="1:5" x14ac:dyDescent="0.25">
      <c r="A10" s="105" t="s">
        <v>236</v>
      </c>
      <c r="B10" s="86">
        <v>63000</v>
      </c>
      <c r="C10" s="89">
        <v>106.94</v>
      </c>
    </row>
    <row r="11" spans="1:5" x14ac:dyDescent="0.25">
      <c r="A11" s="105" t="s">
        <v>237</v>
      </c>
      <c r="B11" s="86">
        <v>70700</v>
      </c>
      <c r="C11" s="89">
        <v>320.82</v>
      </c>
    </row>
    <row r="12" spans="1:5" x14ac:dyDescent="0.25">
      <c r="A12" s="105" t="s">
        <v>238</v>
      </c>
      <c r="B12" s="86">
        <v>43200</v>
      </c>
      <c r="C12" s="89">
        <v>106.94</v>
      </c>
    </row>
    <row r="13" spans="1:5" x14ac:dyDescent="0.25">
      <c r="A13" s="105" t="s">
        <v>239</v>
      </c>
      <c r="B13" s="86">
        <v>55300</v>
      </c>
      <c r="C13" s="89">
        <v>320.82</v>
      </c>
      <c r="E13" t="s">
        <v>82</v>
      </c>
    </row>
    <row r="14" spans="1:5" x14ac:dyDescent="0.25">
      <c r="A14" s="105" t="s">
        <v>240</v>
      </c>
      <c r="B14" s="86">
        <v>94250</v>
      </c>
      <c r="C14" s="89">
        <v>534.70000000000005</v>
      </c>
    </row>
    <row r="15" spans="1:5" x14ac:dyDescent="0.25">
      <c r="A15" s="105" t="s">
        <v>242</v>
      </c>
      <c r="B15" s="86">
        <v>75700</v>
      </c>
      <c r="C15" s="89">
        <v>427.76</v>
      </c>
    </row>
    <row r="16" spans="1:5" x14ac:dyDescent="0.25">
      <c r="A16" s="105" t="s">
        <v>243</v>
      </c>
      <c r="B16" s="86">
        <v>90300</v>
      </c>
      <c r="C16" s="89">
        <v>106.94</v>
      </c>
    </row>
    <row r="17" spans="1:7" x14ac:dyDescent="0.25">
      <c r="A17" s="105" t="s">
        <v>623</v>
      </c>
      <c r="B17" s="86">
        <v>84000</v>
      </c>
      <c r="C17" s="89">
        <v>213.88</v>
      </c>
    </row>
    <row r="18" spans="1:7" x14ac:dyDescent="0.25">
      <c r="A18" s="105" t="s">
        <v>624</v>
      </c>
      <c r="B18" s="86">
        <v>50400</v>
      </c>
      <c r="C18" s="89">
        <v>213.88</v>
      </c>
    </row>
    <row r="19" spans="1:7" x14ac:dyDescent="0.25">
      <c r="A19" s="105" t="s">
        <v>834</v>
      </c>
      <c r="B19" s="86">
        <v>110000</v>
      </c>
      <c r="C19" s="89">
        <v>213.88</v>
      </c>
    </row>
    <row r="20" spans="1:7" x14ac:dyDescent="0.25">
      <c r="A20" s="105" t="s">
        <v>634</v>
      </c>
      <c r="B20" s="86">
        <v>128000</v>
      </c>
      <c r="C20" s="89">
        <v>106.94</v>
      </c>
    </row>
    <row r="21" spans="1:7" x14ac:dyDescent="0.25">
      <c r="A21" s="105" t="s">
        <v>636</v>
      </c>
      <c r="B21" s="86">
        <v>26650</v>
      </c>
      <c r="C21" s="89">
        <v>106.94</v>
      </c>
    </row>
    <row r="22" spans="1:7" x14ac:dyDescent="0.25">
      <c r="A22" s="105" t="s">
        <v>637</v>
      </c>
      <c r="B22" s="86">
        <v>62000</v>
      </c>
      <c r="C22" s="89">
        <v>129.44999999999999</v>
      </c>
      <c r="G22" t="s">
        <v>593</v>
      </c>
    </row>
    <row r="23" spans="1:7" x14ac:dyDescent="0.25">
      <c r="A23" s="105" t="s">
        <v>635</v>
      </c>
      <c r="B23" s="86">
        <v>116000</v>
      </c>
      <c r="C23" s="89">
        <v>106.94</v>
      </c>
    </row>
    <row r="24" spans="1:7" x14ac:dyDescent="0.25">
      <c r="A24" s="105" t="s">
        <v>244</v>
      </c>
      <c r="B24" s="86">
        <v>49450</v>
      </c>
      <c r="C24" s="89">
        <v>0</v>
      </c>
    </row>
    <row r="25" spans="1:7" x14ac:dyDescent="0.25">
      <c r="A25" s="105" t="s">
        <v>245</v>
      </c>
      <c r="B25" s="86">
        <v>19500</v>
      </c>
      <c r="C25" s="89">
        <v>106.94</v>
      </c>
    </row>
    <row r="26" spans="1:7" x14ac:dyDescent="0.25">
      <c r="A26" s="105" t="s">
        <v>246</v>
      </c>
      <c r="B26" s="86">
        <v>50000</v>
      </c>
      <c r="C26" s="89">
        <v>213.88</v>
      </c>
    </row>
    <row r="27" spans="1:7" x14ac:dyDescent="0.25">
      <c r="A27" s="105" t="s">
        <v>250</v>
      </c>
      <c r="B27" s="86">
        <v>20400</v>
      </c>
      <c r="C27" s="89" t="e">
        <v>#N/A</v>
      </c>
    </row>
    <row r="28" spans="1:7" x14ac:dyDescent="0.25">
      <c r="A28" s="105" t="s">
        <v>251</v>
      </c>
      <c r="B28" s="86">
        <v>28500</v>
      </c>
      <c r="C28" s="89">
        <v>106.94</v>
      </c>
    </row>
    <row r="29" spans="1:7" x14ac:dyDescent="0.25">
      <c r="A29" s="105" t="s">
        <v>252</v>
      </c>
      <c r="B29" s="86">
        <v>126000</v>
      </c>
      <c r="C29" s="89">
        <v>213.88</v>
      </c>
    </row>
    <row r="30" spans="1:7" x14ac:dyDescent="0.25">
      <c r="A30" s="105" t="s">
        <v>342</v>
      </c>
      <c r="B30" s="86">
        <v>170390</v>
      </c>
      <c r="C30" s="89">
        <v>1136.9300000000003</v>
      </c>
    </row>
    <row r="31" spans="1:7" x14ac:dyDescent="0.25">
      <c r="A31" s="105" t="s">
        <v>343</v>
      </c>
      <c r="B31" s="86">
        <v>127240</v>
      </c>
      <c r="C31" s="89">
        <v>1047.9999999999998</v>
      </c>
    </row>
    <row r="32" spans="1:7" x14ac:dyDescent="0.25">
      <c r="A32" s="105" t="s">
        <v>344</v>
      </c>
      <c r="B32" s="86">
        <v>185490</v>
      </c>
      <c r="C32" s="89">
        <v>1091.9000000000001</v>
      </c>
    </row>
    <row r="33" spans="1:3" x14ac:dyDescent="0.25">
      <c r="A33" s="105" t="s">
        <v>345</v>
      </c>
      <c r="B33" s="86">
        <v>181070</v>
      </c>
      <c r="C33" s="89">
        <v>1228.1099999999999</v>
      </c>
    </row>
    <row r="34" spans="1:3" x14ac:dyDescent="0.25">
      <c r="A34" s="15" t="s">
        <v>280</v>
      </c>
      <c r="B34" s="86">
        <v>2138340</v>
      </c>
      <c r="C34" s="89" t="e">
        <v>#N/A</v>
      </c>
    </row>
    <row r="35" spans="1:3" x14ac:dyDescent="0.25">
      <c r="B35"/>
      <c r="C35"/>
    </row>
    <row r="36" spans="1:3" x14ac:dyDescent="0.25">
      <c r="B36"/>
      <c r="C36"/>
    </row>
    <row r="37" spans="1:3" x14ac:dyDescent="0.25">
      <c r="B37"/>
      <c r="C37"/>
    </row>
    <row r="38" spans="1:3" x14ac:dyDescent="0.25">
      <c r="B38"/>
      <c r="C38"/>
    </row>
    <row r="39" spans="1:3" x14ac:dyDescent="0.25">
      <c r="B39"/>
      <c r="C39"/>
    </row>
    <row r="40" spans="1:3" x14ac:dyDescent="0.25">
      <c r="B40"/>
      <c r="C40"/>
    </row>
    <row r="41" spans="1:3" x14ac:dyDescent="0.25">
      <c r="B41"/>
      <c r="C41"/>
    </row>
    <row r="42" spans="1:3" x14ac:dyDescent="0.25">
      <c r="B42"/>
      <c r="C42"/>
    </row>
    <row r="43" spans="1:3" x14ac:dyDescent="0.25">
      <c r="B43"/>
      <c r="C43"/>
    </row>
    <row r="44" spans="1:3" x14ac:dyDescent="0.25">
      <c r="B44"/>
      <c r="C44"/>
    </row>
    <row r="45" spans="1:3" x14ac:dyDescent="0.25">
      <c r="B45"/>
      <c r="C45"/>
    </row>
    <row r="46" spans="1:3" x14ac:dyDescent="0.25">
      <c r="B46"/>
      <c r="C46"/>
    </row>
    <row r="47" spans="1:3" x14ac:dyDescent="0.25">
      <c r="B47"/>
      <c r="C47"/>
    </row>
    <row r="48" spans="1:3"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row r="78" spans="2:3" x14ac:dyDescent="0.25">
      <c r="B78"/>
      <c r="C78"/>
    </row>
    <row r="79" spans="2:3" x14ac:dyDescent="0.25">
      <c r="B79"/>
      <c r="C79"/>
    </row>
    <row r="80" spans="2:3" x14ac:dyDescent="0.25">
      <c r="B80"/>
      <c r="C80"/>
    </row>
    <row r="81" spans="2:3" x14ac:dyDescent="0.25">
      <c r="B81"/>
      <c r="C81"/>
    </row>
    <row r="82" spans="2:3" x14ac:dyDescent="0.25">
      <c r="B82"/>
      <c r="C82"/>
    </row>
    <row r="83" spans="2:3" x14ac:dyDescent="0.25">
      <c r="B83"/>
      <c r="C83"/>
    </row>
    <row r="84" spans="2:3" x14ac:dyDescent="0.25">
      <c r="B84"/>
      <c r="C84"/>
    </row>
    <row r="85" spans="2:3" x14ac:dyDescent="0.25">
      <c r="B85"/>
      <c r="C85"/>
    </row>
    <row r="86" spans="2:3" x14ac:dyDescent="0.25">
      <c r="B86"/>
      <c r="C86"/>
    </row>
    <row r="87" spans="2:3" x14ac:dyDescent="0.25">
      <c r="B87"/>
      <c r="C87"/>
    </row>
    <row r="88" spans="2:3" x14ac:dyDescent="0.25">
      <c r="B88"/>
      <c r="C88"/>
    </row>
    <row r="89" spans="2:3" x14ac:dyDescent="0.25">
      <c r="B89"/>
      <c r="C89"/>
    </row>
    <row r="90" spans="2:3" x14ac:dyDescent="0.25">
      <c r="B90"/>
      <c r="C90"/>
    </row>
    <row r="91" spans="2:3" x14ac:dyDescent="0.25">
      <c r="B91"/>
      <c r="C91"/>
    </row>
    <row r="92" spans="2:3" x14ac:dyDescent="0.25">
      <c r="B92"/>
      <c r="C92"/>
    </row>
    <row r="93" spans="2:3" x14ac:dyDescent="0.25">
      <c r="B93"/>
      <c r="C93"/>
    </row>
    <row r="94" spans="2:3" x14ac:dyDescent="0.25">
      <c r="B94"/>
      <c r="C94"/>
    </row>
    <row r="95" spans="2:3" x14ac:dyDescent="0.25">
      <c r="B95"/>
      <c r="C95"/>
    </row>
    <row r="96" spans="2:3" x14ac:dyDescent="0.25">
      <c r="B96"/>
      <c r="C96"/>
    </row>
    <row r="97" spans="2:3" x14ac:dyDescent="0.25">
      <c r="B97"/>
      <c r="C97"/>
    </row>
    <row r="98" spans="2:3" x14ac:dyDescent="0.25">
      <c r="B98"/>
      <c r="C98"/>
    </row>
    <row r="99" spans="2:3" x14ac:dyDescent="0.25">
      <c r="B99"/>
      <c r="C99"/>
    </row>
    <row r="100" spans="2:3" x14ac:dyDescent="0.25">
      <c r="B100"/>
      <c r="C100"/>
    </row>
    <row r="101" spans="2:3" x14ac:dyDescent="0.25">
      <c r="B101"/>
      <c r="C101"/>
    </row>
    <row r="102" spans="2:3" x14ac:dyDescent="0.25">
      <c r="B102"/>
      <c r="C102"/>
    </row>
    <row r="103" spans="2:3" x14ac:dyDescent="0.25">
      <c r="B103"/>
      <c r="C103"/>
    </row>
    <row r="104" spans="2:3" x14ac:dyDescent="0.25">
      <c r="B104"/>
      <c r="C104"/>
    </row>
    <row r="105" spans="2:3" x14ac:dyDescent="0.25">
      <c r="B105"/>
      <c r="C105"/>
    </row>
    <row r="106" spans="2:3" x14ac:dyDescent="0.25">
      <c r="B106"/>
      <c r="C106"/>
    </row>
    <row r="107" spans="2:3" x14ac:dyDescent="0.25">
      <c r="B107"/>
      <c r="C107"/>
    </row>
    <row r="108" spans="2:3" x14ac:dyDescent="0.25">
      <c r="B108"/>
      <c r="C108"/>
    </row>
    <row r="109" spans="2:3" x14ac:dyDescent="0.25">
      <c r="B109"/>
      <c r="C109"/>
    </row>
    <row r="110" spans="2:3" x14ac:dyDescent="0.25">
      <c r="B110"/>
      <c r="C110"/>
    </row>
    <row r="111" spans="2:3" x14ac:dyDescent="0.25">
      <c r="B111"/>
      <c r="C111"/>
    </row>
    <row r="112" spans="2:3" x14ac:dyDescent="0.25">
      <c r="B112"/>
      <c r="C112"/>
    </row>
    <row r="113" spans="2:4" x14ac:dyDescent="0.25">
      <c r="B113"/>
      <c r="C113"/>
    </row>
    <row r="114" spans="2:4" x14ac:dyDescent="0.25">
      <c r="B114"/>
      <c r="C114"/>
      <c r="D114">
        <v>1</v>
      </c>
    </row>
    <row r="115" spans="2:4" x14ac:dyDescent="0.25">
      <c r="B115"/>
      <c r="C115"/>
    </row>
    <row r="116" spans="2:4" x14ac:dyDescent="0.25">
      <c r="B116"/>
      <c r="C116"/>
    </row>
    <row r="117" spans="2:4" x14ac:dyDescent="0.25">
      <c r="B117"/>
      <c r="C117"/>
    </row>
    <row r="118" spans="2:4" x14ac:dyDescent="0.25">
      <c r="B118"/>
      <c r="C118"/>
    </row>
    <row r="119" spans="2:4" x14ac:dyDescent="0.25">
      <c r="B119"/>
      <c r="C119"/>
    </row>
    <row r="120" spans="2:4" x14ac:dyDescent="0.25">
      <c r="B120"/>
      <c r="C120"/>
    </row>
    <row r="121" spans="2:4" x14ac:dyDescent="0.25">
      <c r="B121"/>
      <c r="C121"/>
    </row>
    <row r="122" spans="2:4" x14ac:dyDescent="0.25">
      <c r="B122"/>
      <c r="C122"/>
    </row>
    <row r="123" spans="2:4" x14ac:dyDescent="0.25">
      <c r="B123"/>
      <c r="C123"/>
    </row>
    <row r="124" spans="2:4" x14ac:dyDescent="0.25">
      <c r="B124"/>
      <c r="C124"/>
    </row>
    <row r="125" spans="2:4" x14ac:dyDescent="0.25">
      <c r="B125"/>
      <c r="C125"/>
    </row>
    <row r="126" spans="2:4" x14ac:dyDescent="0.25">
      <c r="B126"/>
      <c r="C126"/>
    </row>
    <row r="127" spans="2:4" x14ac:dyDescent="0.25">
      <c r="B127"/>
      <c r="C127"/>
    </row>
    <row r="128" spans="2:4"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row r="499" spans="3:3" x14ac:dyDescent="0.25">
      <c r="C499"/>
    </row>
    <row r="500" spans="3:3" x14ac:dyDescent="0.25">
      <c r="C500"/>
    </row>
    <row r="501" spans="3:3" x14ac:dyDescent="0.25">
      <c r="C501"/>
    </row>
    <row r="502" spans="3:3" x14ac:dyDescent="0.25">
      <c r="C502"/>
    </row>
    <row r="503" spans="3:3" x14ac:dyDescent="0.25">
      <c r="C503"/>
    </row>
    <row r="504" spans="3:3" x14ac:dyDescent="0.25">
      <c r="C504"/>
    </row>
    <row r="505" spans="3:3" x14ac:dyDescent="0.25">
      <c r="C505"/>
    </row>
    <row r="506" spans="3:3" x14ac:dyDescent="0.25">
      <c r="C506"/>
    </row>
    <row r="507" spans="3:3" x14ac:dyDescent="0.25">
      <c r="C507"/>
    </row>
    <row r="508" spans="3:3" x14ac:dyDescent="0.25">
      <c r="C508"/>
    </row>
    <row r="509" spans="3:3" x14ac:dyDescent="0.25">
      <c r="C509"/>
    </row>
    <row r="510" spans="3:3" x14ac:dyDescent="0.25">
      <c r="C510"/>
    </row>
    <row r="511" spans="3:3" x14ac:dyDescent="0.25">
      <c r="C511"/>
    </row>
    <row r="512" spans="3:3" x14ac:dyDescent="0.25">
      <c r="C512"/>
    </row>
    <row r="513" spans="3:3" x14ac:dyDescent="0.25">
      <c r="C513"/>
    </row>
    <row r="514" spans="3:3" x14ac:dyDescent="0.25">
      <c r="C514"/>
    </row>
    <row r="515" spans="3:3" x14ac:dyDescent="0.25">
      <c r="C515"/>
    </row>
    <row r="516" spans="3:3" x14ac:dyDescent="0.25">
      <c r="C516"/>
    </row>
    <row r="517" spans="3:3" x14ac:dyDescent="0.25">
      <c r="C517"/>
    </row>
    <row r="518" spans="3:3" x14ac:dyDescent="0.25">
      <c r="C518"/>
    </row>
    <row r="519" spans="3:3" x14ac:dyDescent="0.25">
      <c r="C519"/>
    </row>
    <row r="520" spans="3:3" x14ac:dyDescent="0.25">
      <c r="C520"/>
    </row>
    <row r="521" spans="3:3" x14ac:dyDescent="0.25">
      <c r="C521"/>
    </row>
    <row r="522" spans="3:3" x14ac:dyDescent="0.25">
      <c r="C522"/>
    </row>
    <row r="523" spans="3:3" x14ac:dyDescent="0.25">
      <c r="C523"/>
    </row>
    <row r="524" spans="3:3" x14ac:dyDescent="0.25">
      <c r="C524"/>
    </row>
    <row r="525" spans="3:3" x14ac:dyDescent="0.25">
      <c r="C525"/>
    </row>
    <row r="526" spans="3:3" x14ac:dyDescent="0.25">
      <c r="C526"/>
    </row>
    <row r="527" spans="3:3" x14ac:dyDescent="0.25">
      <c r="C527"/>
    </row>
    <row r="528" spans="3:3" x14ac:dyDescent="0.25">
      <c r="C528"/>
    </row>
    <row r="529" spans="3:3" x14ac:dyDescent="0.25">
      <c r="C529"/>
    </row>
    <row r="530" spans="3:3" x14ac:dyDescent="0.25">
      <c r="C530"/>
    </row>
    <row r="531" spans="3:3" x14ac:dyDescent="0.25">
      <c r="C531"/>
    </row>
    <row r="532" spans="3:3" x14ac:dyDescent="0.25">
      <c r="C532"/>
    </row>
    <row r="533" spans="3:3" x14ac:dyDescent="0.25">
      <c r="C533"/>
    </row>
    <row r="534" spans="3:3" x14ac:dyDescent="0.25">
      <c r="C534"/>
    </row>
    <row r="535" spans="3:3" x14ac:dyDescent="0.25">
      <c r="C535"/>
    </row>
    <row r="536" spans="3:3" x14ac:dyDescent="0.25">
      <c r="C536"/>
    </row>
    <row r="537" spans="3:3" x14ac:dyDescent="0.25">
      <c r="C537"/>
    </row>
    <row r="538" spans="3:3" x14ac:dyDescent="0.25">
      <c r="C538"/>
    </row>
    <row r="539" spans="3:3" x14ac:dyDescent="0.25">
      <c r="C539"/>
    </row>
    <row r="540" spans="3:3" x14ac:dyDescent="0.25">
      <c r="C540"/>
    </row>
    <row r="541" spans="3:3" x14ac:dyDescent="0.25">
      <c r="C541"/>
    </row>
    <row r="542" spans="3:3" x14ac:dyDescent="0.25">
      <c r="C542"/>
    </row>
    <row r="543" spans="3:3" x14ac:dyDescent="0.25">
      <c r="C543"/>
    </row>
    <row r="544" spans="3:3" x14ac:dyDescent="0.25">
      <c r="C544"/>
    </row>
    <row r="545" spans="3:3" x14ac:dyDescent="0.25">
      <c r="C545"/>
    </row>
    <row r="546" spans="3:3" x14ac:dyDescent="0.25">
      <c r="C546"/>
    </row>
    <row r="547" spans="3:3" x14ac:dyDescent="0.25">
      <c r="C547"/>
    </row>
    <row r="548" spans="3:3" x14ac:dyDescent="0.25">
      <c r="C548"/>
    </row>
    <row r="549" spans="3:3" x14ac:dyDescent="0.25">
      <c r="C549"/>
    </row>
    <row r="550" spans="3:3" x14ac:dyDescent="0.25">
      <c r="C550"/>
    </row>
    <row r="551" spans="3:3" x14ac:dyDescent="0.25">
      <c r="C551"/>
    </row>
    <row r="552" spans="3:3" x14ac:dyDescent="0.25">
      <c r="C552"/>
    </row>
    <row r="553" spans="3:3" x14ac:dyDescent="0.25">
      <c r="C553"/>
    </row>
    <row r="554" spans="3:3" x14ac:dyDescent="0.25">
      <c r="C554"/>
    </row>
    <row r="555" spans="3:3" x14ac:dyDescent="0.25">
      <c r="C555"/>
    </row>
    <row r="556" spans="3:3" x14ac:dyDescent="0.25">
      <c r="C556"/>
    </row>
    <row r="557" spans="3:3" x14ac:dyDescent="0.25">
      <c r="C557"/>
    </row>
    <row r="558" spans="3:3" x14ac:dyDescent="0.25">
      <c r="C558"/>
    </row>
    <row r="559" spans="3:3" x14ac:dyDescent="0.25">
      <c r="C559"/>
    </row>
    <row r="560" spans="3:3" x14ac:dyDescent="0.25">
      <c r="C560"/>
    </row>
    <row r="561" spans="3:3" x14ac:dyDescent="0.25">
      <c r="C561"/>
    </row>
    <row r="562" spans="3:3" x14ac:dyDescent="0.25">
      <c r="C562"/>
    </row>
    <row r="563" spans="3:3" x14ac:dyDescent="0.25">
      <c r="C563"/>
    </row>
    <row r="564" spans="3:3" x14ac:dyDescent="0.25">
      <c r="C564"/>
    </row>
    <row r="565" spans="3:3" x14ac:dyDescent="0.25">
      <c r="C565"/>
    </row>
    <row r="566" spans="3:3" x14ac:dyDescent="0.25">
      <c r="C566"/>
    </row>
    <row r="567" spans="3:3" x14ac:dyDescent="0.25">
      <c r="C567"/>
    </row>
    <row r="568" spans="3:3" x14ac:dyDescent="0.25">
      <c r="C568"/>
    </row>
    <row r="569" spans="3:3" x14ac:dyDescent="0.25">
      <c r="C569"/>
    </row>
    <row r="570" spans="3:3" x14ac:dyDescent="0.25">
      <c r="C570"/>
    </row>
    <row r="571" spans="3:3" x14ac:dyDescent="0.25">
      <c r="C571"/>
    </row>
    <row r="572" spans="3:3" x14ac:dyDescent="0.25">
      <c r="C572"/>
    </row>
    <row r="573" spans="3:3" x14ac:dyDescent="0.25">
      <c r="C573"/>
    </row>
    <row r="574" spans="3:3" x14ac:dyDescent="0.25">
      <c r="C574"/>
    </row>
    <row r="575" spans="3:3" x14ac:dyDescent="0.25">
      <c r="C575"/>
    </row>
    <row r="576" spans="3:3" x14ac:dyDescent="0.25">
      <c r="C576"/>
    </row>
    <row r="577" spans="3:3" x14ac:dyDescent="0.25">
      <c r="C577"/>
    </row>
    <row r="578" spans="3:3" x14ac:dyDescent="0.25">
      <c r="C578"/>
    </row>
    <row r="579" spans="3:3" x14ac:dyDescent="0.25">
      <c r="C579"/>
    </row>
    <row r="580" spans="3:3" x14ac:dyDescent="0.25">
      <c r="C580"/>
    </row>
    <row r="581" spans="3:3" x14ac:dyDescent="0.25">
      <c r="C581"/>
    </row>
    <row r="582" spans="3:3" x14ac:dyDescent="0.25">
      <c r="C582"/>
    </row>
    <row r="583" spans="3:3" x14ac:dyDescent="0.25">
      <c r="C583"/>
    </row>
    <row r="584" spans="3:3" x14ac:dyDescent="0.25">
      <c r="C584"/>
    </row>
    <row r="585" spans="3:3" x14ac:dyDescent="0.25">
      <c r="C585"/>
    </row>
    <row r="586" spans="3:3" x14ac:dyDescent="0.25">
      <c r="C586"/>
    </row>
    <row r="587" spans="3:3" x14ac:dyDescent="0.25">
      <c r="C587"/>
    </row>
    <row r="588" spans="3:3" x14ac:dyDescent="0.25">
      <c r="C588"/>
    </row>
    <row r="589" spans="3:3" x14ac:dyDescent="0.25">
      <c r="C589"/>
    </row>
    <row r="590" spans="3:3" x14ac:dyDescent="0.25">
      <c r="C590"/>
    </row>
    <row r="591" spans="3:3" x14ac:dyDescent="0.25">
      <c r="C591"/>
    </row>
    <row r="592" spans="3:3" x14ac:dyDescent="0.25">
      <c r="C592"/>
    </row>
    <row r="593" spans="3:3" x14ac:dyDescent="0.25">
      <c r="C593"/>
    </row>
    <row r="594" spans="3:3" x14ac:dyDescent="0.25">
      <c r="C594"/>
    </row>
    <row r="595" spans="3:3" x14ac:dyDescent="0.25">
      <c r="C595"/>
    </row>
    <row r="596" spans="3:3" x14ac:dyDescent="0.25">
      <c r="C596"/>
    </row>
    <row r="597" spans="3:3" x14ac:dyDescent="0.25">
      <c r="C597"/>
    </row>
    <row r="598" spans="3:3" x14ac:dyDescent="0.25">
      <c r="C598"/>
    </row>
    <row r="599" spans="3:3" x14ac:dyDescent="0.25">
      <c r="C599"/>
    </row>
    <row r="600" spans="3:3" x14ac:dyDescent="0.25">
      <c r="C600"/>
    </row>
    <row r="601" spans="3:3" x14ac:dyDescent="0.25">
      <c r="C601"/>
    </row>
    <row r="602" spans="3:3" x14ac:dyDescent="0.25">
      <c r="C602"/>
    </row>
    <row r="603" spans="3:3" x14ac:dyDescent="0.25">
      <c r="C603"/>
    </row>
    <row r="604" spans="3:3" x14ac:dyDescent="0.25">
      <c r="C604"/>
    </row>
    <row r="605" spans="3:3" x14ac:dyDescent="0.25">
      <c r="C605"/>
    </row>
    <row r="606" spans="3:3" x14ac:dyDescent="0.25">
      <c r="C606"/>
    </row>
    <row r="607" spans="3:3" x14ac:dyDescent="0.25">
      <c r="C607"/>
    </row>
    <row r="608" spans="3:3" x14ac:dyDescent="0.25">
      <c r="C608"/>
    </row>
    <row r="609" spans="3:3" x14ac:dyDescent="0.25">
      <c r="C609"/>
    </row>
    <row r="610" spans="3:3" x14ac:dyDescent="0.25">
      <c r="C610"/>
    </row>
    <row r="611" spans="3:3" x14ac:dyDescent="0.25">
      <c r="C611"/>
    </row>
    <row r="612" spans="3:3" x14ac:dyDescent="0.25">
      <c r="C612"/>
    </row>
    <row r="613" spans="3:3" x14ac:dyDescent="0.25">
      <c r="C613"/>
    </row>
    <row r="614" spans="3:3" x14ac:dyDescent="0.25">
      <c r="C614"/>
    </row>
    <row r="615" spans="3:3" x14ac:dyDescent="0.25">
      <c r="C615"/>
    </row>
    <row r="616" spans="3:3" x14ac:dyDescent="0.25">
      <c r="C616"/>
    </row>
    <row r="617" spans="3:3" x14ac:dyDescent="0.25">
      <c r="C617"/>
    </row>
    <row r="618" spans="3:3" x14ac:dyDescent="0.25">
      <c r="C618"/>
    </row>
    <row r="619" spans="3:3" x14ac:dyDescent="0.25">
      <c r="C619"/>
    </row>
    <row r="620" spans="3:3" x14ac:dyDescent="0.25">
      <c r="C620"/>
    </row>
    <row r="621" spans="3:3" x14ac:dyDescent="0.25">
      <c r="C621"/>
    </row>
    <row r="622" spans="3:3" x14ac:dyDescent="0.25">
      <c r="C622"/>
    </row>
    <row r="623" spans="3:3" x14ac:dyDescent="0.25">
      <c r="C623"/>
    </row>
    <row r="624" spans="3:3" x14ac:dyDescent="0.25">
      <c r="C624"/>
    </row>
    <row r="625" spans="3:3" x14ac:dyDescent="0.25">
      <c r="C625"/>
    </row>
    <row r="626" spans="3:3" x14ac:dyDescent="0.25">
      <c r="C626"/>
    </row>
    <row r="627" spans="3:3" x14ac:dyDescent="0.25">
      <c r="C627"/>
    </row>
    <row r="628" spans="3:3" x14ac:dyDescent="0.25">
      <c r="C628"/>
    </row>
    <row r="629" spans="3:3" x14ac:dyDescent="0.25">
      <c r="C629"/>
    </row>
    <row r="630" spans="3:3" x14ac:dyDescent="0.25">
      <c r="C630"/>
    </row>
    <row r="631" spans="3:3" x14ac:dyDescent="0.25">
      <c r="C631"/>
    </row>
    <row r="632" spans="3:3" x14ac:dyDescent="0.25">
      <c r="C632"/>
    </row>
    <row r="633" spans="3:3" x14ac:dyDescent="0.25">
      <c r="C633"/>
    </row>
    <row r="634" spans="3:3" x14ac:dyDescent="0.25">
      <c r="C634"/>
    </row>
    <row r="635" spans="3:3" x14ac:dyDescent="0.25">
      <c r="C635"/>
    </row>
    <row r="636" spans="3:3" x14ac:dyDescent="0.25">
      <c r="C636"/>
    </row>
    <row r="637" spans="3:3" x14ac:dyDescent="0.25">
      <c r="C637"/>
    </row>
    <row r="638" spans="3:3" x14ac:dyDescent="0.25">
      <c r="C638"/>
    </row>
    <row r="639" spans="3:3" x14ac:dyDescent="0.25">
      <c r="C639"/>
    </row>
    <row r="640" spans="3:3" x14ac:dyDescent="0.25">
      <c r="C640"/>
    </row>
    <row r="641" spans="3:3" x14ac:dyDescent="0.25">
      <c r="C641"/>
    </row>
    <row r="642" spans="3:3" x14ac:dyDescent="0.25">
      <c r="C642"/>
    </row>
    <row r="643" spans="3:3" x14ac:dyDescent="0.25">
      <c r="C643"/>
    </row>
    <row r="644" spans="3:3" x14ac:dyDescent="0.25">
      <c r="C644"/>
    </row>
    <row r="645" spans="3:3" x14ac:dyDescent="0.25">
      <c r="C645"/>
    </row>
    <row r="646" spans="3:3" x14ac:dyDescent="0.25">
      <c r="C646"/>
    </row>
    <row r="647" spans="3:3" x14ac:dyDescent="0.25">
      <c r="C647"/>
    </row>
    <row r="648" spans="3:3" x14ac:dyDescent="0.25">
      <c r="C648"/>
    </row>
    <row r="649" spans="3:3" x14ac:dyDescent="0.25">
      <c r="C649"/>
    </row>
    <row r="650" spans="3:3" x14ac:dyDescent="0.25">
      <c r="C650"/>
    </row>
    <row r="651" spans="3:3" x14ac:dyDescent="0.25">
      <c r="C651"/>
    </row>
    <row r="652" spans="3:3" x14ac:dyDescent="0.25">
      <c r="C652"/>
    </row>
    <row r="653" spans="3:3" x14ac:dyDescent="0.25">
      <c r="C653"/>
    </row>
    <row r="654" spans="3:3" x14ac:dyDescent="0.25">
      <c r="C654"/>
    </row>
    <row r="655" spans="3:3" x14ac:dyDescent="0.25">
      <c r="C655"/>
    </row>
    <row r="656" spans="3:3" x14ac:dyDescent="0.25">
      <c r="C656"/>
    </row>
    <row r="657" spans="3:3" x14ac:dyDescent="0.25">
      <c r="C657"/>
    </row>
    <row r="658" spans="3:3" x14ac:dyDescent="0.25">
      <c r="C658"/>
    </row>
    <row r="659" spans="3:3" x14ac:dyDescent="0.25">
      <c r="C659"/>
    </row>
    <row r="660" spans="3:3" x14ac:dyDescent="0.25">
      <c r="C660"/>
    </row>
    <row r="661" spans="3:3" x14ac:dyDescent="0.25">
      <c r="C661"/>
    </row>
    <row r="662" spans="3:3" x14ac:dyDescent="0.25">
      <c r="C662"/>
    </row>
    <row r="663" spans="3:3" x14ac:dyDescent="0.25">
      <c r="C663"/>
    </row>
    <row r="664" spans="3:3" x14ac:dyDescent="0.25">
      <c r="C664"/>
    </row>
    <row r="665" spans="3:3" x14ac:dyDescent="0.25">
      <c r="C665"/>
    </row>
    <row r="666" spans="3:3" x14ac:dyDescent="0.25">
      <c r="C666"/>
    </row>
    <row r="667" spans="3:3" x14ac:dyDescent="0.25">
      <c r="C667"/>
    </row>
    <row r="668" spans="3:3" x14ac:dyDescent="0.25">
      <c r="C668"/>
    </row>
    <row r="669" spans="3:3" x14ac:dyDescent="0.25">
      <c r="C669"/>
    </row>
    <row r="670" spans="3:3" x14ac:dyDescent="0.25">
      <c r="C670"/>
    </row>
    <row r="671" spans="3:3" x14ac:dyDescent="0.25">
      <c r="C671"/>
    </row>
    <row r="672" spans="3:3" x14ac:dyDescent="0.25">
      <c r="C672"/>
    </row>
    <row r="673" spans="3:3" x14ac:dyDescent="0.25">
      <c r="C673"/>
    </row>
    <row r="674" spans="3:3" x14ac:dyDescent="0.25">
      <c r="C674"/>
    </row>
    <row r="675" spans="3:3" x14ac:dyDescent="0.25">
      <c r="C675"/>
    </row>
    <row r="676" spans="3:3" x14ac:dyDescent="0.25">
      <c r="C676"/>
    </row>
    <row r="677" spans="3:3" x14ac:dyDescent="0.25">
      <c r="C677"/>
    </row>
    <row r="678" spans="3:3" x14ac:dyDescent="0.25">
      <c r="C678"/>
    </row>
    <row r="679" spans="3:3" x14ac:dyDescent="0.25">
      <c r="C679"/>
    </row>
    <row r="680" spans="3:3" x14ac:dyDescent="0.25">
      <c r="C680"/>
    </row>
    <row r="681" spans="3:3" x14ac:dyDescent="0.25">
      <c r="C681"/>
    </row>
    <row r="682" spans="3:3" x14ac:dyDescent="0.25">
      <c r="C682"/>
    </row>
    <row r="683" spans="3:3" x14ac:dyDescent="0.25">
      <c r="C683"/>
    </row>
    <row r="684" spans="3:3" x14ac:dyDescent="0.25">
      <c r="C684"/>
    </row>
    <row r="685" spans="3:3" x14ac:dyDescent="0.25">
      <c r="C685"/>
    </row>
    <row r="686" spans="3:3" x14ac:dyDescent="0.25">
      <c r="C686"/>
    </row>
    <row r="687" spans="3:3" x14ac:dyDescent="0.25">
      <c r="C687"/>
    </row>
    <row r="688" spans="3:3" x14ac:dyDescent="0.25">
      <c r="C688"/>
    </row>
    <row r="689" spans="3:3" x14ac:dyDescent="0.25">
      <c r="C689"/>
    </row>
    <row r="690" spans="3:3" x14ac:dyDescent="0.25">
      <c r="C690"/>
    </row>
    <row r="691" spans="3:3" x14ac:dyDescent="0.25">
      <c r="C691"/>
    </row>
    <row r="692" spans="3:3" x14ac:dyDescent="0.25">
      <c r="C692"/>
    </row>
    <row r="693" spans="3:3" x14ac:dyDescent="0.25">
      <c r="C693"/>
    </row>
    <row r="694" spans="3:3" x14ac:dyDescent="0.25">
      <c r="C694"/>
    </row>
    <row r="695" spans="3:3" x14ac:dyDescent="0.25">
      <c r="C695"/>
    </row>
    <row r="696" spans="3:3" x14ac:dyDescent="0.25">
      <c r="C696"/>
    </row>
    <row r="697" spans="3:3" x14ac:dyDescent="0.25">
      <c r="C697"/>
    </row>
    <row r="698" spans="3:3" x14ac:dyDescent="0.25">
      <c r="C698"/>
    </row>
    <row r="699" spans="3:3" x14ac:dyDescent="0.25">
      <c r="C699"/>
    </row>
    <row r="700" spans="3:3" x14ac:dyDescent="0.25">
      <c r="C700"/>
    </row>
    <row r="701" spans="3:3" x14ac:dyDescent="0.25">
      <c r="C701"/>
    </row>
    <row r="702" spans="3:3" x14ac:dyDescent="0.25">
      <c r="C702"/>
    </row>
    <row r="703" spans="3:3" x14ac:dyDescent="0.25">
      <c r="C703"/>
    </row>
    <row r="704" spans="3:3" x14ac:dyDescent="0.25">
      <c r="C704"/>
    </row>
    <row r="705" spans="3:3" x14ac:dyDescent="0.25">
      <c r="C705"/>
    </row>
    <row r="706" spans="3:3" x14ac:dyDescent="0.25">
      <c r="C706"/>
    </row>
    <row r="707" spans="3:3" x14ac:dyDescent="0.25">
      <c r="C707"/>
    </row>
    <row r="708" spans="3:3" x14ac:dyDescent="0.25">
      <c r="C708"/>
    </row>
    <row r="709" spans="3:3" x14ac:dyDescent="0.25">
      <c r="C709"/>
    </row>
    <row r="710" spans="3:3" x14ac:dyDescent="0.25">
      <c r="C710"/>
    </row>
    <row r="711" spans="3:3" x14ac:dyDescent="0.25">
      <c r="C711"/>
    </row>
    <row r="712" spans="3:3" x14ac:dyDescent="0.25">
      <c r="C712"/>
    </row>
    <row r="713" spans="3:3" x14ac:dyDescent="0.25">
      <c r="C713"/>
    </row>
    <row r="714" spans="3:3" x14ac:dyDescent="0.25">
      <c r="C714"/>
    </row>
    <row r="715" spans="3:3" x14ac:dyDescent="0.25">
      <c r="C715"/>
    </row>
    <row r="716" spans="3:3" x14ac:dyDescent="0.25">
      <c r="C716"/>
    </row>
    <row r="717" spans="3:3" x14ac:dyDescent="0.25">
      <c r="C717"/>
    </row>
    <row r="718" spans="3:3" x14ac:dyDescent="0.25">
      <c r="C718"/>
    </row>
    <row r="719" spans="3:3" x14ac:dyDescent="0.25">
      <c r="C719"/>
    </row>
    <row r="720" spans="3:3" x14ac:dyDescent="0.25">
      <c r="C720"/>
    </row>
    <row r="721" spans="3:3" x14ac:dyDescent="0.25">
      <c r="C721"/>
    </row>
    <row r="722" spans="3:3" x14ac:dyDescent="0.25">
      <c r="C722"/>
    </row>
    <row r="723" spans="3:3" x14ac:dyDescent="0.25">
      <c r="C723"/>
    </row>
    <row r="724" spans="3:3" x14ac:dyDescent="0.25">
      <c r="C724"/>
    </row>
    <row r="725" spans="3:3" x14ac:dyDescent="0.25">
      <c r="C725"/>
    </row>
    <row r="726" spans="3:3" x14ac:dyDescent="0.25">
      <c r="C726"/>
    </row>
    <row r="727" spans="3:3" x14ac:dyDescent="0.25">
      <c r="C727"/>
    </row>
    <row r="728" spans="3:3" x14ac:dyDescent="0.25">
      <c r="C728"/>
    </row>
    <row r="729" spans="3:3" x14ac:dyDescent="0.25">
      <c r="C729"/>
    </row>
    <row r="730" spans="3:3" x14ac:dyDescent="0.25">
      <c r="C730"/>
    </row>
    <row r="731" spans="3:3" x14ac:dyDescent="0.25">
      <c r="C731"/>
    </row>
    <row r="732" spans="3:3" x14ac:dyDescent="0.25">
      <c r="C732"/>
    </row>
    <row r="733" spans="3:3" x14ac:dyDescent="0.25">
      <c r="C733"/>
    </row>
    <row r="734" spans="3:3" x14ac:dyDescent="0.25">
      <c r="C734"/>
    </row>
    <row r="735" spans="3:3" x14ac:dyDescent="0.25">
      <c r="C735"/>
    </row>
    <row r="736" spans="3:3" x14ac:dyDescent="0.25">
      <c r="C736"/>
    </row>
    <row r="737" spans="3:3" x14ac:dyDescent="0.25">
      <c r="C737"/>
    </row>
    <row r="738" spans="3:3" x14ac:dyDescent="0.25">
      <c r="C738"/>
    </row>
    <row r="739" spans="3:3" x14ac:dyDescent="0.25">
      <c r="C739"/>
    </row>
    <row r="740" spans="3:3" x14ac:dyDescent="0.25">
      <c r="C740"/>
    </row>
    <row r="741" spans="3:3" x14ac:dyDescent="0.25">
      <c r="C741"/>
    </row>
    <row r="742" spans="3:3" x14ac:dyDescent="0.25">
      <c r="C742"/>
    </row>
    <row r="743" spans="3:3" x14ac:dyDescent="0.25">
      <c r="C743"/>
    </row>
    <row r="744" spans="3:3" x14ac:dyDescent="0.25">
      <c r="C744"/>
    </row>
    <row r="745" spans="3:3" x14ac:dyDescent="0.25">
      <c r="C745"/>
    </row>
    <row r="746" spans="3:3" x14ac:dyDescent="0.25">
      <c r="C746"/>
    </row>
    <row r="747" spans="3:3" x14ac:dyDescent="0.25">
      <c r="C747"/>
    </row>
    <row r="748" spans="3:3" x14ac:dyDescent="0.25">
      <c r="C748"/>
    </row>
    <row r="749" spans="3:3" x14ac:dyDescent="0.25">
      <c r="C749"/>
    </row>
    <row r="750" spans="3:3" x14ac:dyDescent="0.25">
      <c r="C750"/>
    </row>
    <row r="751" spans="3:3" x14ac:dyDescent="0.25">
      <c r="C751"/>
    </row>
    <row r="752" spans="3:3" x14ac:dyDescent="0.25">
      <c r="C752"/>
    </row>
    <row r="753" spans="3:3" x14ac:dyDescent="0.25">
      <c r="C753"/>
    </row>
    <row r="754" spans="3:3" x14ac:dyDescent="0.25">
      <c r="C754"/>
    </row>
    <row r="755" spans="3:3" x14ac:dyDescent="0.25">
      <c r="C755"/>
    </row>
    <row r="756" spans="3:3" x14ac:dyDescent="0.25">
      <c r="C756"/>
    </row>
    <row r="757" spans="3:3" x14ac:dyDescent="0.25">
      <c r="C757"/>
    </row>
    <row r="758" spans="3:3" x14ac:dyDescent="0.25">
      <c r="C758"/>
    </row>
    <row r="759" spans="3:3" x14ac:dyDescent="0.25">
      <c r="C759"/>
    </row>
    <row r="760" spans="3:3" x14ac:dyDescent="0.25">
      <c r="C760"/>
    </row>
    <row r="761" spans="3:3" x14ac:dyDescent="0.25">
      <c r="C761"/>
    </row>
    <row r="762" spans="3:3" x14ac:dyDescent="0.25">
      <c r="C762"/>
    </row>
    <row r="763" spans="3:3" x14ac:dyDescent="0.25">
      <c r="C763"/>
    </row>
    <row r="764" spans="3:3" x14ac:dyDescent="0.25">
      <c r="C764"/>
    </row>
    <row r="765" spans="3:3" x14ac:dyDescent="0.25">
      <c r="C765"/>
    </row>
    <row r="766" spans="3:3" x14ac:dyDescent="0.25">
      <c r="C766"/>
    </row>
    <row r="767" spans="3:3" x14ac:dyDescent="0.25">
      <c r="C767"/>
    </row>
    <row r="768" spans="3:3" x14ac:dyDescent="0.25">
      <c r="C768"/>
    </row>
    <row r="769" spans="3:3" x14ac:dyDescent="0.25">
      <c r="C769"/>
    </row>
    <row r="770" spans="3:3" x14ac:dyDescent="0.25">
      <c r="C770"/>
    </row>
    <row r="771" spans="3:3" x14ac:dyDescent="0.25">
      <c r="C771"/>
    </row>
    <row r="772" spans="3:3" x14ac:dyDescent="0.25">
      <c r="C772"/>
    </row>
    <row r="773" spans="3:3" x14ac:dyDescent="0.25">
      <c r="C773"/>
    </row>
    <row r="774" spans="3:3" x14ac:dyDescent="0.25">
      <c r="C774"/>
    </row>
    <row r="775" spans="3:3" x14ac:dyDescent="0.25">
      <c r="C775"/>
    </row>
    <row r="776" spans="3:3" x14ac:dyDescent="0.25">
      <c r="C776"/>
    </row>
    <row r="777" spans="3:3" x14ac:dyDescent="0.25">
      <c r="C777"/>
    </row>
    <row r="778" spans="3:3" x14ac:dyDescent="0.25">
      <c r="C778"/>
    </row>
    <row r="779" spans="3:3" x14ac:dyDescent="0.25">
      <c r="C779"/>
    </row>
    <row r="780" spans="3:3" x14ac:dyDescent="0.25">
      <c r="C780"/>
    </row>
    <row r="781" spans="3:3" x14ac:dyDescent="0.25">
      <c r="C781"/>
    </row>
    <row r="782" spans="3:3" x14ac:dyDescent="0.25">
      <c r="C782"/>
    </row>
    <row r="783" spans="3:3" x14ac:dyDescent="0.25">
      <c r="C783"/>
    </row>
    <row r="784" spans="3:3" x14ac:dyDescent="0.25">
      <c r="C784"/>
    </row>
    <row r="785" spans="3:3" x14ac:dyDescent="0.25">
      <c r="C785"/>
    </row>
    <row r="786" spans="3:3" x14ac:dyDescent="0.25">
      <c r="C786"/>
    </row>
    <row r="787" spans="3:3" x14ac:dyDescent="0.25">
      <c r="C787"/>
    </row>
    <row r="788" spans="3:3" x14ac:dyDescent="0.25">
      <c r="C788"/>
    </row>
    <row r="789" spans="3:3" x14ac:dyDescent="0.25">
      <c r="C789"/>
    </row>
    <row r="790" spans="3:3" x14ac:dyDescent="0.25">
      <c r="C790"/>
    </row>
    <row r="791" spans="3:3" x14ac:dyDescent="0.25">
      <c r="C791"/>
    </row>
    <row r="792" spans="3:3" x14ac:dyDescent="0.25">
      <c r="C792"/>
    </row>
    <row r="793" spans="3:3" x14ac:dyDescent="0.25">
      <c r="C793"/>
    </row>
    <row r="794" spans="3:3" x14ac:dyDescent="0.25">
      <c r="C794"/>
    </row>
    <row r="795" spans="3:3" x14ac:dyDescent="0.25">
      <c r="C795"/>
    </row>
    <row r="796" spans="3:3" x14ac:dyDescent="0.25">
      <c r="C796"/>
    </row>
    <row r="797" spans="3:3" x14ac:dyDescent="0.25">
      <c r="C797"/>
    </row>
    <row r="798" spans="3:3" x14ac:dyDescent="0.25">
      <c r="C798"/>
    </row>
    <row r="799" spans="3:3" x14ac:dyDescent="0.25">
      <c r="C799"/>
    </row>
    <row r="800" spans="3:3" x14ac:dyDescent="0.25">
      <c r="C800"/>
    </row>
    <row r="801" spans="3:3" x14ac:dyDescent="0.25">
      <c r="C801"/>
    </row>
    <row r="802" spans="3:3" x14ac:dyDescent="0.25">
      <c r="C802"/>
    </row>
    <row r="803" spans="3:3" x14ac:dyDescent="0.25">
      <c r="C803"/>
    </row>
    <row r="804" spans="3:3" x14ac:dyDescent="0.25">
      <c r="C804"/>
    </row>
    <row r="805" spans="3:3" x14ac:dyDescent="0.25">
      <c r="C805"/>
    </row>
    <row r="806" spans="3:3" x14ac:dyDescent="0.25">
      <c r="C806"/>
    </row>
    <row r="807" spans="3:3" x14ac:dyDescent="0.25">
      <c r="C807"/>
    </row>
    <row r="808" spans="3:3" x14ac:dyDescent="0.25">
      <c r="C808"/>
    </row>
    <row r="809" spans="3:3" x14ac:dyDescent="0.25">
      <c r="C809"/>
    </row>
    <row r="810" spans="3:3" x14ac:dyDescent="0.25">
      <c r="C810"/>
    </row>
    <row r="811" spans="3:3" x14ac:dyDescent="0.25">
      <c r="C811"/>
    </row>
    <row r="812" spans="3:3" x14ac:dyDescent="0.25">
      <c r="C812"/>
    </row>
    <row r="813" spans="3:3" x14ac:dyDescent="0.25">
      <c r="C813"/>
    </row>
    <row r="814" spans="3:3" x14ac:dyDescent="0.25">
      <c r="C814"/>
    </row>
    <row r="815" spans="3:3" x14ac:dyDescent="0.25">
      <c r="C815"/>
    </row>
    <row r="816" spans="3:3" x14ac:dyDescent="0.25">
      <c r="C816"/>
    </row>
    <row r="817" spans="3:3" x14ac:dyDescent="0.25">
      <c r="C817"/>
    </row>
    <row r="818" spans="3:3" x14ac:dyDescent="0.25">
      <c r="C818"/>
    </row>
    <row r="819" spans="3:3" x14ac:dyDescent="0.25">
      <c r="C819"/>
    </row>
    <row r="820" spans="3:3" x14ac:dyDescent="0.25">
      <c r="C820"/>
    </row>
    <row r="821" spans="3:3" x14ac:dyDescent="0.25">
      <c r="C821"/>
    </row>
    <row r="822" spans="3:3" x14ac:dyDescent="0.25">
      <c r="C822"/>
    </row>
    <row r="823" spans="3:3" x14ac:dyDescent="0.25">
      <c r="C823"/>
    </row>
    <row r="824" spans="3:3" x14ac:dyDescent="0.25">
      <c r="C824"/>
    </row>
    <row r="825" spans="3:3" x14ac:dyDescent="0.25">
      <c r="C825"/>
    </row>
    <row r="826" spans="3:3" x14ac:dyDescent="0.25">
      <c r="C826"/>
    </row>
    <row r="827" spans="3:3" x14ac:dyDescent="0.25">
      <c r="C827"/>
    </row>
    <row r="828" spans="3:3" x14ac:dyDescent="0.25">
      <c r="C828"/>
    </row>
    <row r="829" spans="3:3" x14ac:dyDescent="0.25">
      <c r="C829"/>
    </row>
    <row r="830" spans="3:3" x14ac:dyDescent="0.25">
      <c r="C830"/>
    </row>
    <row r="831" spans="3:3" x14ac:dyDescent="0.25">
      <c r="C831"/>
    </row>
    <row r="832" spans="3:3" x14ac:dyDescent="0.25">
      <c r="C832"/>
    </row>
    <row r="833" spans="3:3" x14ac:dyDescent="0.25">
      <c r="C833"/>
    </row>
    <row r="834" spans="3:3" x14ac:dyDescent="0.25">
      <c r="C834"/>
    </row>
    <row r="835" spans="3:3" x14ac:dyDescent="0.25">
      <c r="C835"/>
    </row>
    <row r="836" spans="3:3" x14ac:dyDescent="0.25">
      <c r="C836"/>
    </row>
    <row r="837" spans="3:3" x14ac:dyDescent="0.25">
      <c r="C837"/>
    </row>
    <row r="838" spans="3:3" x14ac:dyDescent="0.25">
      <c r="C838"/>
    </row>
    <row r="839" spans="3:3" x14ac:dyDescent="0.25">
      <c r="C839"/>
    </row>
    <row r="840" spans="3:3" x14ac:dyDescent="0.25">
      <c r="C840"/>
    </row>
    <row r="841" spans="3:3" x14ac:dyDescent="0.25">
      <c r="C841"/>
    </row>
    <row r="842" spans="3:3" x14ac:dyDescent="0.25">
      <c r="C842"/>
    </row>
    <row r="843" spans="3:3" x14ac:dyDescent="0.25">
      <c r="C843"/>
    </row>
    <row r="844" spans="3:3" x14ac:dyDescent="0.25">
      <c r="C844"/>
    </row>
    <row r="845" spans="3:3" x14ac:dyDescent="0.25">
      <c r="C845"/>
    </row>
    <row r="846" spans="3:3" x14ac:dyDescent="0.25">
      <c r="C846"/>
    </row>
    <row r="847" spans="3:3" x14ac:dyDescent="0.25">
      <c r="C847"/>
    </row>
    <row r="848" spans="3:3" x14ac:dyDescent="0.25">
      <c r="C848"/>
    </row>
    <row r="849" spans="3:3" x14ac:dyDescent="0.25">
      <c r="C849"/>
    </row>
    <row r="850" spans="3:3" x14ac:dyDescent="0.25">
      <c r="C850"/>
    </row>
    <row r="851" spans="3:3" x14ac:dyDescent="0.25">
      <c r="C851"/>
    </row>
    <row r="852" spans="3:3" x14ac:dyDescent="0.25">
      <c r="C852"/>
    </row>
    <row r="853" spans="3:3" x14ac:dyDescent="0.25">
      <c r="C853"/>
    </row>
    <row r="854" spans="3:3" x14ac:dyDescent="0.25">
      <c r="C854"/>
    </row>
    <row r="855" spans="3:3" x14ac:dyDescent="0.25">
      <c r="C855"/>
    </row>
    <row r="856" spans="3:3" x14ac:dyDescent="0.25">
      <c r="C856"/>
    </row>
    <row r="857" spans="3:3" x14ac:dyDescent="0.25">
      <c r="C857"/>
    </row>
    <row r="858" spans="3:3" x14ac:dyDescent="0.25">
      <c r="C858"/>
    </row>
    <row r="859" spans="3:3" x14ac:dyDescent="0.25">
      <c r="C859"/>
    </row>
    <row r="860" spans="3:3" x14ac:dyDescent="0.25">
      <c r="C860"/>
    </row>
    <row r="861" spans="3:3" x14ac:dyDescent="0.25">
      <c r="C861"/>
    </row>
    <row r="862" spans="3:3" x14ac:dyDescent="0.25">
      <c r="C862"/>
    </row>
    <row r="863" spans="3:3" x14ac:dyDescent="0.25">
      <c r="C863"/>
    </row>
    <row r="864" spans="3:3" x14ac:dyDescent="0.25">
      <c r="C864"/>
    </row>
    <row r="865" spans="3:3" x14ac:dyDescent="0.25">
      <c r="C865"/>
    </row>
    <row r="866" spans="3:3" x14ac:dyDescent="0.25">
      <c r="C866"/>
    </row>
    <row r="867" spans="3:3" x14ac:dyDescent="0.25">
      <c r="C867"/>
    </row>
    <row r="868" spans="3:3" x14ac:dyDescent="0.25">
      <c r="C868"/>
    </row>
    <row r="869" spans="3:3" x14ac:dyDescent="0.25">
      <c r="C869"/>
    </row>
    <row r="870" spans="3:3" x14ac:dyDescent="0.25">
      <c r="C870"/>
    </row>
    <row r="871" spans="3:3" x14ac:dyDescent="0.25">
      <c r="C871"/>
    </row>
    <row r="872" spans="3:3" x14ac:dyDescent="0.25">
      <c r="C872"/>
    </row>
    <row r="873" spans="3:3" x14ac:dyDescent="0.25">
      <c r="C873"/>
    </row>
    <row r="874" spans="3:3" x14ac:dyDescent="0.25">
      <c r="C874"/>
    </row>
    <row r="875" spans="3:3" x14ac:dyDescent="0.25">
      <c r="C875"/>
    </row>
    <row r="876" spans="3:3" x14ac:dyDescent="0.25">
      <c r="C876"/>
    </row>
    <row r="877" spans="3:3" x14ac:dyDescent="0.25">
      <c r="C877"/>
    </row>
    <row r="878" spans="3:3" x14ac:dyDescent="0.25">
      <c r="C878"/>
    </row>
    <row r="879" spans="3:3" x14ac:dyDescent="0.25">
      <c r="C879"/>
    </row>
    <row r="880" spans="3:3" x14ac:dyDescent="0.25">
      <c r="C880"/>
    </row>
    <row r="881" spans="3:3" x14ac:dyDescent="0.25">
      <c r="C881"/>
    </row>
    <row r="882" spans="3:3" x14ac:dyDescent="0.25">
      <c r="C882"/>
    </row>
    <row r="883" spans="3:3" x14ac:dyDescent="0.25">
      <c r="C883"/>
    </row>
    <row r="884" spans="3:3" x14ac:dyDescent="0.25">
      <c r="C884"/>
    </row>
    <row r="885" spans="3:3" x14ac:dyDescent="0.25">
      <c r="C885"/>
    </row>
    <row r="886" spans="3:3" x14ac:dyDescent="0.25">
      <c r="C886"/>
    </row>
    <row r="887" spans="3:3" x14ac:dyDescent="0.25">
      <c r="C887"/>
    </row>
    <row r="888" spans="3:3" x14ac:dyDescent="0.25">
      <c r="C888"/>
    </row>
    <row r="889" spans="3:3" x14ac:dyDescent="0.25">
      <c r="C889"/>
    </row>
    <row r="890" spans="3:3" x14ac:dyDescent="0.25">
      <c r="C890"/>
    </row>
    <row r="891" spans="3:3" x14ac:dyDescent="0.25">
      <c r="C891"/>
    </row>
    <row r="892" spans="3:3" x14ac:dyDescent="0.25">
      <c r="C892"/>
    </row>
    <row r="893" spans="3:3" x14ac:dyDescent="0.25">
      <c r="C893"/>
    </row>
    <row r="894" spans="3:3" x14ac:dyDescent="0.25">
      <c r="C894"/>
    </row>
    <row r="895" spans="3:3" x14ac:dyDescent="0.25">
      <c r="C895"/>
    </row>
    <row r="896" spans="3:3" x14ac:dyDescent="0.25">
      <c r="C896"/>
    </row>
    <row r="897" spans="3:3" x14ac:dyDescent="0.25">
      <c r="C897"/>
    </row>
    <row r="898" spans="3:3" x14ac:dyDescent="0.25">
      <c r="C898"/>
    </row>
    <row r="899" spans="3:3" x14ac:dyDescent="0.25">
      <c r="C899"/>
    </row>
    <row r="900" spans="3:3" x14ac:dyDescent="0.25">
      <c r="C900"/>
    </row>
    <row r="901" spans="3:3" x14ac:dyDescent="0.25">
      <c r="C901"/>
    </row>
    <row r="902" spans="3:3" x14ac:dyDescent="0.25">
      <c r="C902"/>
    </row>
    <row r="903" spans="3:3" x14ac:dyDescent="0.25">
      <c r="C903"/>
    </row>
    <row r="904" spans="3:3" x14ac:dyDescent="0.25">
      <c r="C904"/>
    </row>
    <row r="905" spans="3:3" x14ac:dyDescent="0.25">
      <c r="C905"/>
    </row>
    <row r="906" spans="3:3" x14ac:dyDescent="0.25">
      <c r="C906"/>
    </row>
    <row r="907" spans="3:3" x14ac:dyDescent="0.25">
      <c r="C907"/>
    </row>
    <row r="908" spans="3:3" x14ac:dyDescent="0.25">
      <c r="C908"/>
    </row>
    <row r="909" spans="3:3" x14ac:dyDescent="0.25">
      <c r="C909"/>
    </row>
    <row r="910" spans="3:3" x14ac:dyDescent="0.25">
      <c r="C910"/>
    </row>
    <row r="911" spans="3:3" x14ac:dyDescent="0.25">
      <c r="C911"/>
    </row>
    <row r="912" spans="3:3" x14ac:dyDescent="0.25">
      <c r="C912"/>
    </row>
    <row r="913" spans="3:3" x14ac:dyDescent="0.25">
      <c r="C913"/>
    </row>
    <row r="914" spans="3:3" x14ac:dyDescent="0.25">
      <c r="C914"/>
    </row>
    <row r="915" spans="3:3" x14ac:dyDescent="0.25">
      <c r="C915"/>
    </row>
    <row r="916" spans="3:3" x14ac:dyDescent="0.25">
      <c r="C916"/>
    </row>
    <row r="917" spans="3:3" x14ac:dyDescent="0.25">
      <c r="C917"/>
    </row>
    <row r="918" spans="3:3" x14ac:dyDescent="0.25">
      <c r="C918"/>
    </row>
    <row r="919" spans="3:3" x14ac:dyDescent="0.25">
      <c r="C919"/>
    </row>
    <row r="920" spans="3:3" x14ac:dyDescent="0.25">
      <c r="C920"/>
    </row>
    <row r="921" spans="3:3" x14ac:dyDescent="0.25">
      <c r="C921"/>
    </row>
    <row r="922" spans="3:3" x14ac:dyDescent="0.25">
      <c r="C922"/>
    </row>
    <row r="923" spans="3:3" x14ac:dyDescent="0.25">
      <c r="C923"/>
    </row>
    <row r="924" spans="3:3" x14ac:dyDescent="0.25">
      <c r="C924"/>
    </row>
    <row r="925" spans="3:3" x14ac:dyDescent="0.25">
      <c r="C925"/>
    </row>
    <row r="926" spans="3:3" x14ac:dyDescent="0.25">
      <c r="C926"/>
    </row>
    <row r="927" spans="3:3" x14ac:dyDescent="0.25">
      <c r="C927"/>
    </row>
    <row r="928" spans="3:3" x14ac:dyDescent="0.25">
      <c r="C928"/>
    </row>
    <row r="929" spans="3:3" x14ac:dyDescent="0.25">
      <c r="C929"/>
    </row>
    <row r="930" spans="3:3" x14ac:dyDescent="0.25">
      <c r="C930"/>
    </row>
    <row r="931" spans="3:3" x14ac:dyDescent="0.25">
      <c r="C931"/>
    </row>
    <row r="932" spans="3:3" x14ac:dyDescent="0.25">
      <c r="C932"/>
    </row>
    <row r="933" spans="3:3" x14ac:dyDescent="0.25">
      <c r="C933"/>
    </row>
    <row r="934" spans="3:3" x14ac:dyDescent="0.25">
      <c r="C934"/>
    </row>
    <row r="935" spans="3:3" x14ac:dyDescent="0.25">
      <c r="C935"/>
    </row>
    <row r="936" spans="3:3" x14ac:dyDescent="0.25">
      <c r="C936"/>
    </row>
    <row r="937" spans="3:3" x14ac:dyDescent="0.25">
      <c r="C937"/>
    </row>
    <row r="938" spans="3:3" x14ac:dyDescent="0.25">
      <c r="C938"/>
    </row>
    <row r="939" spans="3:3" x14ac:dyDescent="0.25">
      <c r="C939"/>
    </row>
    <row r="940" spans="3:3" x14ac:dyDescent="0.25">
      <c r="C940"/>
    </row>
    <row r="941" spans="3:3" x14ac:dyDescent="0.25">
      <c r="C941"/>
    </row>
    <row r="942" spans="3:3" x14ac:dyDescent="0.25">
      <c r="C942"/>
    </row>
    <row r="943" spans="3:3" x14ac:dyDescent="0.25">
      <c r="C943"/>
    </row>
    <row r="944" spans="3:3" x14ac:dyDescent="0.25">
      <c r="C944"/>
    </row>
    <row r="945" spans="3:3" x14ac:dyDescent="0.25">
      <c r="C945"/>
    </row>
    <row r="946" spans="3:3" x14ac:dyDescent="0.25">
      <c r="C946"/>
    </row>
    <row r="947" spans="3:3" x14ac:dyDescent="0.25">
      <c r="C947"/>
    </row>
    <row r="948" spans="3:3" x14ac:dyDescent="0.25">
      <c r="C948"/>
    </row>
    <row r="949" spans="3:3" x14ac:dyDescent="0.25">
      <c r="C949"/>
    </row>
    <row r="950" spans="3:3" x14ac:dyDescent="0.25">
      <c r="C950"/>
    </row>
    <row r="951" spans="3:3" x14ac:dyDescent="0.25">
      <c r="C951"/>
    </row>
    <row r="952" spans="3:3" x14ac:dyDescent="0.25">
      <c r="C952"/>
    </row>
    <row r="953" spans="3:3" x14ac:dyDescent="0.25">
      <c r="C953"/>
    </row>
    <row r="954" spans="3:3" x14ac:dyDescent="0.25">
      <c r="C954"/>
    </row>
    <row r="955" spans="3:3" x14ac:dyDescent="0.25">
      <c r="C955"/>
    </row>
    <row r="956" spans="3:3" x14ac:dyDescent="0.25">
      <c r="C956"/>
    </row>
    <row r="957" spans="3:3" x14ac:dyDescent="0.25">
      <c r="C957"/>
    </row>
    <row r="958" spans="3:3" x14ac:dyDescent="0.25">
      <c r="C958"/>
    </row>
    <row r="959" spans="3:3" x14ac:dyDescent="0.25">
      <c r="C959"/>
    </row>
    <row r="960" spans="3:3" x14ac:dyDescent="0.25">
      <c r="C960"/>
    </row>
    <row r="961" spans="3:3" x14ac:dyDescent="0.25">
      <c r="C961"/>
    </row>
    <row r="962" spans="3:3" x14ac:dyDescent="0.25">
      <c r="C962"/>
    </row>
    <row r="963" spans="3:3" x14ac:dyDescent="0.25">
      <c r="C963"/>
    </row>
    <row r="964" spans="3:3" x14ac:dyDescent="0.25">
      <c r="C964"/>
    </row>
    <row r="965" spans="3:3" x14ac:dyDescent="0.25">
      <c r="C965"/>
    </row>
    <row r="966" spans="3:3" x14ac:dyDescent="0.25">
      <c r="C966"/>
    </row>
    <row r="967" spans="3:3" x14ac:dyDescent="0.25">
      <c r="C967"/>
    </row>
    <row r="968" spans="3:3" x14ac:dyDescent="0.25">
      <c r="C968"/>
    </row>
    <row r="969" spans="3:3" x14ac:dyDescent="0.25">
      <c r="C969"/>
    </row>
    <row r="970" spans="3:3" x14ac:dyDescent="0.25">
      <c r="C970"/>
    </row>
    <row r="971" spans="3:3" x14ac:dyDescent="0.25">
      <c r="C971"/>
    </row>
    <row r="972" spans="3:3" x14ac:dyDescent="0.25">
      <c r="C972"/>
    </row>
    <row r="973" spans="3:3" x14ac:dyDescent="0.25">
      <c r="C973"/>
    </row>
    <row r="974" spans="3:3" x14ac:dyDescent="0.25">
      <c r="C974"/>
    </row>
    <row r="975" spans="3:3" x14ac:dyDescent="0.25">
      <c r="C975"/>
    </row>
    <row r="976" spans="3:3" x14ac:dyDescent="0.25">
      <c r="C976"/>
    </row>
    <row r="977" spans="3:3" x14ac:dyDescent="0.25">
      <c r="C977"/>
    </row>
    <row r="978" spans="3:3" x14ac:dyDescent="0.25">
      <c r="C978"/>
    </row>
    <row r="979" spans="3:3" x14ac:dyDescent="0.25">
      <c r="C979"/>
    </row>
    <row r="980" spans="3:3" x14ac:dyDescent="0.25">
      <c r="C980"/>
    </row>
    <row r="981" spans="3:3" x14ac:dyDescent="0.25">
      <c r="C981"/>
    </row>
    <row r="982" spans="3:3" x14ac:dyDescent="0.25">
      <c r="C982"/>
    </row>
    <row r="983" spans="3:3" x14ac:dyDescent="0.25">
      <c r="C983"/>
    </row>
    <row r="984" spans="3:3" x14ac:dyDescent="0.25">
      <c r="C984"/>
    </row>
    <row r="985" spans="3:3" x14ac:dyDescent="0.25">
      <c r="C985"/>
    </row>
    <row r="986" spans="3:3" x14ac:dyDescent="0.25">
      <c r="C986"/>
    </row>
    <row r="987" spans="3:3" x14ac:dyDescent="0.25">
      <c r="C987"/>
    </row>
    <row r="988" spans="3:3" x14ac:dyDescent="0.25">
      <c r="C988"/>
    </row>
    <row r="989" spans="3:3" x14ac:dyDescent="0.25">
      <c r="C989"/>
    </row>
    <row r="990" spans="3:3" x14ac:dyDescent="0.25">
      <c r="C990"/>
    </row>
    <row r="991" spans="3:3" x14ac:dyDescent="0.25">
      <c r="C991"/>
    </row>
    <row r="992" spans="3:3" x14ac:dyDescent="0.25">
      <c r="C992"/>
    </row>
    <row r="993" spans="3:3" x14ac:dyDescent="0.25">
      <c r="C993"/>
    </row>
    <row r="994" spans="3:3" x14ac:dyDescent="0.25">
      <c r="C994"/>
    </row>
    <row r="995" spans="3:3" x14ac:dyDescent="0.25">
      <c r="C995"/>
    </row>
    <row r="996" spans="3:3" x14ac:dyDescent="0.25">
      <c r="C996"/>
    </row>
    <row r="997" spans="3:3" x14ac:dyDescent="0.25">
      <c r="C997"/>
    </row>
    <row r="998" spans="3:3" x14ac:dyDescent="0.25">
      <c r="C998"/>
    </row>
    <row r="999" spans="3:3" x14ac:dyDescent="0.25">
      <c r="C999"/>
    </row>
    <row r="1000" spans="3:3" x14ac:dyDescent="0.25">
      <c r="C1000"/>
    </row>
    <row r="1001" spans="3:3" x14ac:dyDescent="0.25">
      <c r="C1001"/>
    </row>
    <row r="1002" spans="3:3" x14ac:dyDescent="0.25">
      <c r="C1002"/>
    </row>
    <row r="1003" spans="3:3" x14ac:dyDescent="0.25">
      <c r="C1003"/>
    </row>
    <row r="1004" spans="3:3" x14ac:dyDescent="0.25">
      <c r="C1004"/>
    </row>
    <row r="1005" spans="3:3" x14ac:dyDescent="0.25">
      <c r="C1005"/>
    </row>
    <row r="1006" spans="3:3" x14ac:dyDescent="0.25">
      <c r="C1006"/>
    </row>
    <row r="1007" spans="3:3" x14ac:dyDescent="0.25">
      <c r="C1007"/>
    </row>
    <row r="1008" spans="3:3" x14ac:dyDescent="0.25">
      <c r="C1008"/>
    </row>
    <row r="1009" spans="3:3" x14ac:dyDescent="0.25">
      <c r="C1009"/>
    </row>
    <row r="1010" spans="3:3" x14ac:dyDescent="0.25">
      <c r="C1010"/>
    </row>
    <row r="1011" spans="3:3" x14ac:dyDescent="0.25">
      <c r="C1011"/>
    </row>
    <row r="1012" spans="3:3" x14ac:dyDescent="0.25">
      <c r="C1012"/>
    </row>
    <row r="1013" spans="3:3" x14ac:dyDescent="0.25">
      <c r="C1013"/>
    </row>
    <row r="1014" spans="3:3" x14ac:dyDescent="0.25">
      <c r="C1014"/>
    </row>
    <row r="1015" spans="3:3" x14ac:dyDescent="0.25">
      <c r="C1015"/>
    </row>
    <row r="1016" spans="3:3" x14ac:dyDescent="0.25">
      <c r="C1016"/>
    </row>
    <row r="1017" spans="3:3" x14ac:dyDescent="0.25">
      <c r="C1017"/>
    </row>
    <row r="1018" spans="3:3" x14ac:dyDescent="0.25">
      <c r="C1018"/>
    </row>
    <row r="1019" spans="3:3" x14ac:dyDescent="0.25">
      <c r="C1019"/>
    </row>
    <row r="1020" spans="3:3" x14ac:dyDescent="0.25">
      <c r="C1020"/>
    </row>
    <row r="1021" spans="3:3" x14ac:dyDescent="0.25">
      <c r="C1021"/>
    </row>
    <row r="1022" spans="3:3" x14ac:dyDescent="0.25">
      <c r="C1022"/>
    </row>
    <row r="1023" spans="3:3" x14ac:dyDescent="0.25">
      <c r="C1023"/>
    </row>
    <row r="1024" spans="3:3" x14ac:dyDescent="0.25">
      <c r="C1024"/>
    </row>
    <row r="1025" spans="3:3" x14ac:dyDescent="0.25">
      <c r="C1025"/>
    </row>
    <row r="1026" spans="3:3" x14ac:dyDescent="0.25">
      <c r="C1026"/>
    </row>
    <row r="1027" spans="3:3" x14ac:dyDescent="0.25">
      <c r="C1027"/>
    </row>
    <row r="1028" spans="3:3" x14ac:dyDescent="0.25">
      <c r="C1028"/>
    </row>
    <row r="1029" spans="3:3" x14ac:dyDescent="0.25">
      <c r="C1029"/>
    </row>
    <row r="1030" spans="3:3" x14ac:dyDescent="0.25">
      <c r="C1030"/>
    </row>
    <row r="1031" spans="3:3" x14ac:dyDescent="0.25">
      <c r="C1031"/>
    </row>
    <row r="1032" spans="3:3" x14ac:dyDescent="0.25">
      <c r="C1032"/>
    </row>
    <row r="1033" spans="3:3" x14ac:dyDescent="0.25">
      <c r="C1033"/>
    </row>
    <row r="1034" spans="3:3" x14ac:dyDescent="0.25">
      <c r="C1034"/>
    </row>
    <row r="1035" spans="3:3" x14ac:dyDescent="0.25">
      <c r="C1035"/>
    </row>
    <row r="1036" spans="3:3" x14ac:dyDescent="0.25">
      <c r="C1036"/>
    </row>
    <row r="1037" spans="3:3" x14ac:dyDescent="0.25">
      <c r="C1037"/>
    </row>
    <row r="1038" spans="3:3" x14ac:dyDescent="0.25">
      <c r="C1038"/>
    </row>
    <row r="1039" spans="3:3" x14ac:dyDescent="0.25">
      <c r="C1039"/>
    </row>
    <row r="1040" spans="3:3" x14ac:dyDescent="0.25">
      <c r="C1040"/>
    </row>
    <row r="1041" spans="3:3" x14ac:dyDescent="0.25">
      <c r="C1041"/>
    </row>
    <row r="1042" spans="3:3" x14ac:dyDescent="0.25">
      <c r="C1042"/>
    </row>
    <row r="1043" spans="3:3" x14ac:dyDescent="0.25">
      <c r="C1043"/>
    </row>
    <row r="1044" spans="3:3" x14ac:dyDescent="0.25">
      <c r="C1044"/>
    </row>
    <row r="1045" spans="3:3" x14ac:dyDescent="0.25">
      <c r="C1045"/>
    </row>
    <row r="1046" spans="3:3" x14ac:dyDescent="0.25">
      <c r="C1046"/>
    </row>
    <row r="1047" spans="3:3" x14ac:dyDescent="0.25">
      <c r="C1047"/>
    </row>
    <row r="1048" spans="3:3" x14ac:dyDescent="0.25">
      <c r="C1048"/>
    </row>
    <row r="1049" spans="3:3" x14ac:dyDescent="0.25">
      <c r="C1049"/>
    </row>
    <row r="1050" spans="3:3" x14ac:dyDescent="0.25">
      <c r="C1050"/>
    </row>
    <row r="1051" spans="3:3" x14ac:dyDescent="0.25">
      <c r="C1051"/>
    </row>
    <row r="1052" spans="3:3" x14ac:dyDescent="0.25">
      <c r="C1052"/>
    </row>
    <row r="1053" spans="3:3" x14ac:dyDescent="0.25">
      <c r="C1053"/>
    </row>
    <row r="1054" spans="3:3" x14ac:dyDescent="0.25">
      <c r="C1054"/>
    </row>
    <row r="1055" spans="3:3" x14ac:dyDescent="0.25">
      <c r="C1055"/>
    </row>
    <row r="1056" spans="3:3" x14ac:dyDescent="0.25">
      <c r="C1056"/>
    </row>
    <row r="1057" spans="3:3" x14ac:dyDescent="0.25">
      <c r="C1057"/>
    </row>
    <row r="1058" spans="3:3" x14ac:dyDescent="0.25">
      <c r="C1058"/>
    </row>
    <row r="1059" spans="3:3" x14ac:dyDescent="0.25">
      <c r="C1059"/>
    </row>
    <row r="1060" spans="3:3" x14ac:dyDescent="0.25">
      <c r="C1060"/>
    </row>
    <row r="1061" spans="3:3" x14ac:dyDescent="0.25">
      <c r="C1061"/>
    </row>
    <row r="1062" spans="3:3" x14ac:dyDescent="0.25">
      <c r="C1062"/>
    </row>
    <row r="1063" spans="3:3" x14ac:dyDescent="0.25">
      <c r="C1063"/>
    </row>
    <row r="1064" spans="3:3" x14ac:dyDescent="0.25">
      <c r="C1064"/>
    </row>
    <row r="1065" spans="3:3" x14ac:dyDescent="0.25">
      <c r="C1065"/>
    </row>
    <row r="1066" spans="3:3" x14ac:dyDescent="0.25">
      <c r="C1066"/>
    </row>
    <row r="1067" spans="3:3" x14ac:dyDescent="0.25">
      <c r="C1067"/>
    </row>
    <row r="1068" spans="3:3" x14ac:dyDescent="0.25">
      <c r="C1068"/>
    </row>
    <row r="1069" spans="3:3" x14ac:dyDescent="0.25">
      <c r="C1069"/>
    </row>
    <row r="1070" spans="3:3" x14ac:dyDescent="0.25">
      <c r="C1070"/>
    </row>
    <row r="1071" spans="3:3" x14ac:dyDescent="0.25">
      <c r="C1071"/>
    </row>
    <row r="1072" spans="3:3" x14ac:dyDescent="0.25">
      <c r="C1072"/>
    </row>
    <row r="1073" spans="3:3" x14ac:dyDescent="0.25">
      <c r="C1073"/>
    </row>
    <row r="1074" spans="3:3" x14ac:dyDescent="0.25">
      <c r="C1074"/>
    </row>
    <row r="1075" spans="3:3" x14ac:dyDescent="0.25">
      <c r="C1075"/>
    </row>
    <row r="1076" spans="3:3" x14ac:dyDescent="0.25">
      <c r="C1076"/>
    </row>
    <row r="1077" spans="3:3" x14ac:dyDescent="0.25">
      <c r="C1077"/>
    </row>
    <row r="1078" spans="3:3" x14ac:dyDescent="0.25">
      <c r="C1078"/>
    </row>
    <row r="1079" spans="3:3" x14ac:dyDescent="0.25">
      <c r="C1079"/>
    </row>
    <row r="1080" spans="3:3" x14ac:dyDescent="0.25">
      <c r="C1080"/>
    </row>
    <row r="1081" spans="3:3" x14ac:dyDescent="0.25">
      <c r="C1081"/>
    </row>
    <row r="1082" spans="3:3" x14ac:dyDescent="0.25">
      <c r="C1082"/>
    </row>
    <row r="1083" spans="3:3" x14ac:dyDescent="0.25">
      <c r="C1083"/>
    </row>
    <row r="1084" spans="3:3" x14ac:dyDescent="0.25">
      <c r="C1084"/>
    </row>
    <row r="1085" spans="3:3" x14ac:dyDescent="0.25">
      <c r="C1085"/>
    </row>
    <row r="1086" spans="3:3" x14ac:dyDescent="0.25">
      <c r="C1086"/>
    </row>
    <row r="1087" spans="3:3" x14ac:dyDescent="0.25">
      <c r="C1087"/>
    </row>
    <row r="1088" spans="3:3" x14ac:dyDescent="0.25">
      <c r="C1088"/>
    </row>
    <row r="1089" spans="3:3" x14ac:dyDescent="0.25">
      <c r="C1089"/>
    </row>
    <row r="1090" spans="3:3" x14ac:dyDescent="0.25">
      <c r="C1090"/>
    </row>
    <row r="1091" spans="3:3" x14ac:dyDescent="0.25">
      <c r="C1091"/>
    </row>
    <row r="1092" spans="3:3" x14ac:dyDescent="0.25">
      <c r="C1092"/>
    </row>
    <row r="1093" spans="3:3" x14ac:dyDescent="0.25">
      <c r="C1093"/>
    </row>
    <row r="1094" spans="3:3" x14ac:dyDescent="0.25">
      <c r="C1094"/>
    </row>
    <row r="1095" spans="3:3" x14ac:dyDescent="0.25">
      <c r="C1095"/>
    </row>
    <row r="1096" spans="3:3" x14ac:dyDescent="0.25">
      <c r="C1096"/>
    </row>
    <row r="1097" spans="3:3" x14ac:dyDescent="0.25">
      <c r="C1097"/>
    </row>
    <row r="1098" spans="3:3" x14ac:dyDescent="0.25">
      <c r="C1098"/>
    </row>
    <row r="1099" spans="3:3" x14ac:dyDescent="0.25">
      <c r="C1099"/>
    </row>
    <row r="1100" spans="3:3" x14ac:dyDescent="0.25">
      <c r="C1100"/>
    </row>
    <row r="1101" spans="3:3" x14ac:dyDescent="0.25">
      <c r="C1101"/>
    </row>
    <row r="1102" spans="3:3" x14ac:dyDescent="0.25">
      <c r="C1102"/>
    </row>
    <row r="1103" spans="3:3" x14ac:dyDescent="0.25">
      <c r="C1103"/>
    </row>
    <row r="1104" spans="3:3" x14ac:dyDescent="0.25">
      <c r="C1104"/>
    </row>
    <row r="1105" spans="3:3" x14ac:dyDescent="0.25">
      <c r="C1105"/>
    </row>
    <row r="1106" spans="3:3" x14ac:dyDescent="0.25">
      <c r="C1106"/>
    </row>
    <row r="1107" spans="3:3" x14ac:dyDescent="0.25">
      <c r="C1107"/>
    </row>
    <row r="1108" spans="3:3" x14ac:dyDescent="0.25">
      <c r="C1108"/>
    </row>
    <row r="1109" spans="3:3" x14ac:dyDescent="0.25">
      <c r="C1109"/>
    </row>
    <row r="1110" spans="3:3" x14ac:dyDescent="0.25">
      <c r="C1110"/>
    </row>
    <row r="1111" spans="3:3" x14ac:dyDescent="0.25">
      <c r="C1111"/>
    </row>
    <row r="1112" spans="3:3" x14ac:dyDescent="0.25">
      <c r="C1112"/>
    </row>
    <row r="1113" spans="3:3" x14ac:dyDescent="0.25">
      <c r="C1113"/>
    </row>
    <row r="1114" spans="3:3" x14ac:dyDescent="0.25">
      <c r="C1114"/>
    </row>
    <row r="1115" spans="3:3" x14ac:dyDescent="0.25">
      <c r="C1115"/>
    </row>
    <row r="1116" spans="3:3" x14ac:dyDescent="0.25">
      <c r="C1116"/>
    </row>
    <row r="1117" spans="3:3" x14ac:dyDescent="0.25">
      <c r="C1117"/>
    </row>
    <row r="1118" spans="3:3" x14ac:dyDescent="0.25">
      <c r="C1118"/>
    </row>
    <row r="1119" spans="3:3" x14ac:dyDescent="0.25">
      <c r="C1119"/>
    </row>
    <row r="1120" spans="3:3" x14ac:dyDescent="0.25">
      <c r="C1120"/>
    </row>
    <row r="1121" spans="3:3" x14ac:dyDescent="0.25">
      <c r="C1121"/>
    </row>
    <row r="1122" spans="3:3" x14ac:dyDescent="0.25">
      <c r="C1122"/>
    </row>
    <row r="1123" spans="3:3" x14ac:dyDescent="0.25">
      <c r="C1123"/>
    </row>
    <row r="1124" spans="3:3" x14ac:dyDescent="0.25">
      <c r="C1124"/>
    </row>
    <row r="1125" spans="3:3" x14ac:dyDescent="0.25">
      <c r="C1125"/>
    </row>
    <row r="1126" spans="3:3" x14ac:dyDescent="0.25">
      <c r="C1126"/>
    </row>
    <row r="1127" spans="3:3" x14ac:dyDescent="0.25">
      <c r="C1127"/>
    </row>
    <row r="1128" spans="3:3" x14ac:dyDescent="0.25">
      <c r="C1128"/>
    </row>
    <row r="1129" spans="3:3" x14ac:dyDescent="0.25">
      <c r="C1129"/>
    </row>
    <row r="1130" spans="3:3" x14ac:dyDescent="0.25">
      <c r="C1130"/>
    </row>
    <row r="1131" spans="3:3" x14ac:dyDescent="0.25">
      <c r="C1131"/>
    </row>
    <row r="1132" spans="3:3" x14ac:dyDescent="0.25">
      <c r="C1132"/>
    </row>
    <row r="1133" spans="3:3" x14ac:dyDescent="0.25">
      <c r="C1133"/>
    </row>
    <row r="1134" spans="3:3" x14ac:dyDescent="0.25">
      <c r="C1134"/>
    </row>
    <row r="1135" spans="3:3" x14ac:dyDescent="0.25">
      <c r="C1135"/>
    </row>
    <row r="1136" spans="3:3" x14ac:dyDescent="0.25">
      <c r="C1136"/>
    </row>
    <row r="1137" spans="3:3" x14ac:dyDescent="0.25">
      <c r="C1137"/>
    </row>
    <row r="1138" spans="3:3" x14ac:dyDescent="0.25">
      <c r="C1138"/>
    </row>
    <row r="1139" spans="3:3" x14ac:dyDescent="0.25">
      <c r="C1139"/>
    </row>
    <row r="1140" spans="3:3" x14ac:dyDescent="0.25">
      <c r="C1140"/>
    </row>
    <row r="1141" spans="3:3" x14ac:dyDescent="0.25">
      <c r="C1141"/>
    </row>
    <row r="1142" spans="3:3" x14ac:dyDescent="0.25">
      <c r="C1142"/>
    </row>
    <row r="1143" spans="3:3" x14ac:dyDescent="0.25">
      <c r="C1143"/>
    </row>
    <row r="1144" spans="3:3" x14ac:dyDescent="0.25">
      <c r="C1144"/>
    </row>
    <row r="1145" spans="3:3" x14ac:dyDescent="0.25">
      <c r="C1145"/>
    </row>
    <row r="1146" spans="3:3" x14ac:dyDescent="0.25">
      <c r="C1146"/>
    </row>
    <row r="1147" spans="3:3" x14ac:dyDescent="0.25">
      <c r="C1147"/>
    </row>
    <row r="1148" spans="3:3" x14ac:dyDescent="0.25">
      <c r="C1148"/>
    </row>
    <row r="1149" spans="3:3" x14ac:dyDescent="0.25">
      <c r="C1149"/>
    </row>
    <row r="1150" spans="3:3" x14ac:dyDescent="0.25">
      <c r="C1150"/>
    </row>
    <row r="1151" spans="3:3" x14ac:dyDescent="0.25">
      <c r="C1151"/>
    </row>
    <row r="1152" spans="3:3" x14ac:dyDescent="0.25">
      <c r="C1152"/>
    </row>
    <row r="1153" spans="3:3" x14ac:dyDescent="0.25">
      <c r="C1153"/>
    </row>
    <row r="1154" spans="3:3" x14ac:dyDescent="0.25">
      <c r="C1154"/>
    </row>
    <row r="1155" spans="3:3" x14ac:dyDescent="0.25">
      <c r="C1155"/>
    </row>
    <row r="1156" spans="3:3" x14ac:dyDescent="0.25">
      <c r="C1156"/>
    </row>
    <row r="1157" spans="3:3" x14ac:dyDescent="0.25">
      <c r="C1157"/>
    </row>
    <row r="1158" spans="3:3" x14ac:dyDescent="0.25">
      <c r="C1158"/>
    </row>
    <row r="1159" spans="3:3" x14ac:dyDescent="0.25">
      <c r="C1159"/>
    </row>
    <row r="1160" spans="3:3" x14ac:dyDescent="0.25">
      <c r="C1160"/>
    </row>
    <row r="1161" spans="3:3" x14ac:dyDescent="0.25">
      <c r="C1161"/>
    </row>
    <row r="1162" spans="3:3" x14ac:dyDescent="0.25">
      <c r="C1162"/>
    </row>
    <row r="1163" spans="3:3" x14ac:dyDescent="0.25">
      <c r="C1163"/>
    </row>
    <row r="1164" spans="3:3" x14ac:dyDescent="0.25">
      <c r="C1164"/>
    </row>
    <row r="1165" spans="3:3" x14ac:dyDescent="0.25">
      <c r="C1165"/>
    </row>
    <row r="1166" spans="3:3" x14ac:dyDescent="0.25">
      <c r="C1166"/>
    </row>
    <row r="1167" spans="3:3" x14ac:dyDescent="0.25">
      <c r="C1167"/>
    </row>
    <row r="1168" spans="3:3" x14ac:dyDescent="0.25">
      <c r="C1168"/>
    </row>
    <row r="1169" spans="3:3" x14ac:dyDescent="0.25">
      <c r="C1169"/>
    </row>
    <row r="1170" spans="3:3" x14ac:dyDescent="0.25">
      <c r="C1170"/>
    </row>
    <row r="1171" spans="3:3" x14ac:dyDescent="0.25">
      <c r="C1171"/>
    </row>
    <row r="1172" spans="3:3" x14ac:dyDescent="0.25">
      <c r="C1172"/>
    </row>
    <row r="1173" spans="3:3" x14ac:dyDescent="0.25">
      <c r="C1173"/>
    </row>
    <row r="1174" spans="3:3" x14ac:dyDescent="0.25">
      <c r="C1174"/>
    </row>
    <row r="1175" spans="3:3" x14ac:dyDescent="0.25">
      <c r="C1175"/>
    </row>
    <row r="1176" spans="3:3" x14ac:dyDescent="0.25">
      <c r="C1176"/>
    </row>
    <row r="1177" spans="3:3" x14ac:dyDescent="0.25">
      <c r="C1177"/>
    </row>
    <row r="1178" spans="3:3" x14ac:dyDescent="0.25">
      <c r="C1178"/>
    </row>
    <row r="1179" spans="3:3" x14ac:dyDescent="0.25">
      <c r="C1179"/>
    </row>
    <row r="1180" spans="3:3" x14ac:dyDescent="0.25">
      <c r="C1180"/>
    </row>
    <row r="1181" spans="3:3" x14ac:dyDescent="0.25">
      <c r="C1181"/>
    </row>
    <row r="1182" spans="3:3" x14ac:dyDescent="0.25">
      <c r="C1182"/>
    </row>
    <row r="1183" spans="3:3" x14ac:dyDescent="0.25">
      <c r="C1183"/>
    </row>
    <row r="1184" spans="3:3" x14ac:dyDescent="0.25">
      <c r="C1184"/>
    </row>
    <row r="1185" spans="3:3" x14ac:dyDescent="0.25">
      <c r="C1185"/>
    </row>
    <row r="1186" spans="3:3" x14ac:dyDescent="0.25">
      <c r="C1186"/>
    </row>
    <row r="1187" spans="3:3" x14ac:dyDescent="0.25">
      <c r="C1187"/>
    </row>
    <row r="1188" spans="3:3" x14ac:dyDescent="0.25">
      <c r="C1188"/>
    </row>
    <row r="1189" spans="3:3" x14ac:dyDescent="0.25">
      <c r="C1189"/>
    </row>
    <row r="1190" spans="3:3" x14ac:dyDescent="0.25">
      <c r="C1190"/>
    </row>
    <row r="1191" spans="3:3" x14ac:dyDescent="0.25">
      <c r="C1191"/>
    </row>
    <row r="1192" spans="3:3" x14ac:dyDescent="0.25">
      <c r="C1192"/>
    </row>
    <row r="1193" spans="3:3" x14ac:dyDescent="0.25">
      <c r="C1193"/>
    </row>
    <row r="1194" spans="3:3" x14ac:dyDescent="0.25">
      <c r="C1194"/>
    </row>
    <row r="1195" spans="3:3" x14ac:dyDescent="0.25">
      <c r="C1195"/>
    </row>
    <row r="1196" spans="3:3" x14ac:dyDescent="0.25">
      <c r="C1196"/>
    </row>
    <row r="1197" spans="3:3" x14ac:dyDescent="0.25">
      <c r="C1197"/>
    </row>
    <row r="1198" spans="3:3" x14ac:dyDescent="0.25">
      <c r="C1198"/>
    </row>
    <row r="1199" spans="3:3" x14ac:dyDescent="0.25">
      <c r="C1199"/>
    </row>
    <row r="1200" spans="3:3" x14ac:dyDescent="0.25">
      <c r="C1200"/>
    </row>
    <row r="1201" spans="3:3" x14ac:dyDescent="0.25">
      <c r="C1201"/>
    </row>
    <row r="1202" spans="3:3" x14ac:dyDescent="0.25">
      <c r="C1202"/>
    </row>
    <row r="1203" spans="3:3" x14ac:dyDescent="0.25">
      <c r="C1203"/>
    </row>
    <row r="1204" spans="3:3" x14ac:dyDescent="0.25">
      <c r="C1204"/>
    </row>
    <row r="1205" spans="3:3" x14ac:dyDescent="0.25">
      <c r="C1205"/>
    </row>
    <row r="1206" spans="3:3" x14ac:dyDescent="0.25">
      <c r="C1206"/>
    </row>
    <row r="1207" spans="3:3" x14ac:dyDescent="0.25">
      <c r="C1207"/>
    </row>
    <row r="1208" spans="3:3" x14ac:dyDescent="0.25">
      <c r="C1208"/>
    </row>
    <row r="1209" spans="3:3" x14ac:dyDescent="0.25">
      <c r="C1209"/>
    </row>
    <row r="1210" spans="3:3" x14ac:dyDescent="0.25">
      <c r="C1210"/>
    </row>
    <row r="1211" spans="3:3" x14ac:dyDescent="0.25">
      <c r="C1211"/>
    </row>
    <row r="1212" spans="3:3" x14ac:dyDescent="0.25">
      <c r="C1212"/>
    </row>
    <row r="1213" spans="3:3" x14ac:dyDescent="0.25">
      <c r="C1213"/>
    </row>
    <row r="1214" spans="3:3" x14ac:dyDescent="0.25">
      <c r="C1214"/>
    </row>
    <row r="1215" spans="3:3" x14ac:dyDescent="0.25">
      <c r="C1215"/>
    </row>
    <row r="1216" spans="3:3" x14ac:dyDescent="0.25">
      <c r="C1216"/>
    </row>
    <row r="1217" spans="3:3" x14ac:dyDescent="0.25">
      <c r="C1217"/>
    </row>
    <row r="1218" spans="3:3" x14ac:dyDescent="0.25">
      <c r="C1218"/>
    </row>
    <row r="1219" spans="3:3" x14ac:dyDescent="0.25">
      <c r="C1219"/>
    </row>
    <row r="1220" spans="3:3" x14ac:dyDescent="0.25">
      <c r="C1220"/>
    </row>
    <row r="1221" spans="3:3" x14ac:dyDescent="0.25">
      <c r="C1221"/>
    </row>
    <row r="1222" spans="3:3" x14ac:dyDescent="0.25">
      <c r="C1222"/>
    </row>
    <row r="1223" spans="3:3" x14ac:dyDescent="0.25">
      <c r="C1223"/>
    </row>
    <row r="1224" spans="3:3" x14ac:dyDescent="0.25">
      <c r="C1224"/>
    </row>
    <row r="1225" spans="3:3" x14ac:dyDescent="0.25">
      <c r="C1225"/>
    </row>
    <row r="1226" spans="3:3" x14ac:dyDescent="0.25">
      <c r="C1226"/>
    </row>
    <row r="1227" spans="3:3" x14ac:dyDescent="0.25">
      <c r="C1227"/>
    </row>
    <row r="1228" spans="3:3" x14ac:dyDescent="0.25">
      <c r="C1228"/>
    </row>
    <row r="1229" spans="3:3" x14ac:dyDescent="0.25">
      <c r="C1229"/>
    </row>
    <row r="1230" spans="3:3" x14ac:dyDescent="0.25">
      <c r="C1230"/>
    </row>
    <row r="1231" spans="3:3" x14ac:dyDescent="0.25">
      <c r="C1231"/>
    </row>
    <row r="1232" spans="3:3" x14ac:dyDescent="0.25">
      <c r="C1232"/>
    </row>
    <row r="1233" spans="3:3" x14ac:dyDescent="0.25">
      <c r="C1233"/>
    </row>
    <row r="1234" spans="3:3" x14ac:dyDescent="0.25">
      <c r="C1234"/>
    </row>
    <row r="1235" spans="3:3" x14ac:dyDescent="0.25">
      <c r="C1235"/>
    </row>
    <row r="1236" spans="3:3" x14ac:dyDescent="0.25">
      <c r="C1236"/>
    </row>
    <row r="1237" spans="3:3" x14ac:dyDescent="0.25">
      <c r="C1237"/>
    </row>
    <row r="1238" spans="3:3" x14ac:dyDescent="0.25">
      <c r="C1238"/>
    </row>
    <row r="1239" spans="3:3" x14ac:dyDescent="0.25">
      <c r="C1239"/>
    </row>
    <row r="1240" spans="3:3" x14ac:dyDescent="0.25">
      <c r="C1240"/>
    </row>
    <row r="1241" spans="3:3" x14ac:dyDescent="0.25">
      <c r="C1241"/>
    </row>
    <row r="1242" spans="3:3" x14ac:dyDescent="0.25">
      <c r="C1242"/>
    </row>
    <row r="1243" spans="3:3" x14ac:dyDescent="0.25">
      <c r="C1243"/>
    </row>
    <row r="1244" spans="3:3" x14ac:dyDescent="0.25">
      <c r="C1244"/>
    </row>
    <row r="1245" spans="3:3" x14ac:dyDescent="0.25">
      <c r="C1245"/>
    </row>
    <row r="1246" spans="3:3" x14ac:dyDescent="0.25">
      <c r="C1246"/>
    </row>
    <row r="1247" spans="3:3" x14ac:dyDescent="0.25">
      <c r="C1247"/>
    </row>
    <row r="1248" spans="3:3" x14ac:dyDescent="0.25">
      <c r="C1248"/>
    </row>
    <row r="1249" spans="3:3" x14ac:dyDescent="0.25">
      <c r="C1249"/>
    </row>
    <row r="1250" spans="3:3" x14ac:dyDescent="0.25">
      <c r="C1250"/>
    </row>
    <row r="1251" spans="3:3" x14ac:dyDescent="0.25">
      <c r="C1251"/>
    </row>
    <row r="1252" spans="3:3" x14ac:dyDescent="0.25">
      <c r="C1252"/>
    </row>
    <row r="1253" spans="3:3" x14ac:dyDescent="0.25">
      <c r="C1253"/>
    </row>
    <row r="1254" spans="3:3" x14ac:dyDescent="0.25">
      <c r="C1254"/>
    </row>
    <row r="1255" spans="3:3" x14ac:dyDescent="0.25">
      <c r="C1255"/>
    </row>
    <row r="1256" spans="3:3" x14ac:dyDescent="0.25">
      <c r="C1256"/>
    </row>
    <row r="1257" spans="3:3" x14ac:dyDescent="0.25">
      <c r="C1257"/>
    </row>
    <row r="1258" spans="3:3" x14ac:dyDescent="0.25">
      <c r="C1258"/>
    </row>
    <row r="1259" spans="3:3" x14ac:dyDescent="0.25">
      <c r="C1259"/>
    </row>
    <row r="1260" spans="3:3" x14ac:dyDescent="0.25">
      <c r="C1260"/>
    </row>
    <row r="1261" spans="3:3" x14ac:dyDescent="0.25">
      <c r="C1261"/>
    </row>
    <row r="1262" spans="3:3" x14ac:dyDescent="0.25">
      <c r="C1262"/>
    </row>
    <row r="1263" spans="3:3" x14ac:dyDescent="0.25">
      <c r="C1263"/>
    </row>
    <row r="1264" spans="3:3" x14ac:dyDescent="0.25">
      <c r="C1264"/>
    </row>
    <row r="1265" spans="3:3" x14ac:dyDescent="0.25">
      <c r="C1265"/>
    </row>
    <row r="1266" spans="3:3" x14ac:dyDescent="0.25">
      <c r="C1266"/>
    </row>
    <row r="1267" spans="3:3" x14ac:dyDescent="0.25">
      <c r="C1267"/>
    </row>
    <row r="1268" spans="3:3" x14ac:dyDescent="0.25">
      <c r="C1268"/>
    </row>
    <row r="1269" spans="3:3" x14ac:dyDescent="0.25">
      <c r="C1269"/>
    </row>
    <row r="1270" spans="3:3" x14ac:dyDescent="0.25">
      <c r="C1270"/>
    </row>
    <row r="1271" spans="3:3" x14ac:dyDescent="0.25">
      <c r="C1271"/>
    </row>
    <row r="1272" spans="3:3" x14ac:dyDescent="0.25">
      <c r="C1272"/>
    </row>
    <row r="1273" spans="3:3" x14ac:dyDescent="0.25">
      <c r="C1273"/>
    </row>
    <row r="1274" spans="3:3" x14ac:dyDescent="0.25">
      <c r="C1274"/>
    </row>
    <row r="1275" spans="3:3" x14ac:dyDescent="0.25">
      <c r="C1275"/>
    </row>
    <row r="1276" spans="3:3" x14ac:dyDescent="0.25">
      <c r="C1276"/>
    </row>
    <row r="1277" spans="3:3" x14ac:dyDescent="0.25">
      <c r="C1277"/>
    </row>
    <row r="1278" spans="3:3" x14ac:dyDescent="0.25">
      <c r="C1278"/>
    </row>
    <row r="1279" spans="3:3" x14ac:dyDescent="0.25">
      <c r="C1279"/>
    </row>
    <row r="1280" spans="3:3" x14ac:dyDescent="0.25">
      <c r="C1280"/>
    </row>
    <row r="1281" spans="3:3" x14ac:dyDescent="0.25">
      <c r="C1281"/>
    </row>
    <row r="1282" spans="3:3" x14ac:dyDescent="0.25">
      <c r="C1282"/>
    </row>
    <row r="1283" spans="3:3" x14ac:dyDescent="0.25">
      <c r="C1283"/>
    </row>
    <row r="1284" spans="3:3" x14ac:dyDescent="0.25">
      <c r="C1284"/>
    </row>
    <row r="1285" spans="3:3" x14ac:dyDescent="0.25">
      <c r="C1285"/>
    </row>
    <row r="1286" spans="3:3" x14ac:dyDescent="0.25">
      <c r="C1286"/>
    </row>
    <row r="1287" spans="3:3" x14ac:dyDescent="0.25">
      <c r="C1287"/>
    </row>
    <row r="1288" spans="3:3" x14ac:dyDescent="0.25">
      <c r="C1288"/>
    </row>
    <row r="1289" spans="3:3" x14ac:dyDescent="0.25">
      <c r="C1289"/>
    </row>
    <row r="1290" spans="3:3" x14ac:dyDescent="0.25">
      <c r="C1290"/>
    </row>
    <row r="1291" spans="3:3" x14ac:dyDescent="0.25">
      <c r="C1291"/>
    </row>
    <row r="1292" spans="3:3" x14ac:dyDescent="0.25">
      <c r="C1292"/>
    </row>
    <row r="1293" spans="3:3" x14ac:dyDescent="0.25">
      <c r="C1293"/>
    </row>
    <row r="1294" spans="3:3" x14ac:dyDescent="0.25">
      <c r="C1294"/>
    </row>
    <row r="1295" spans="3:3" x14ac:dyDescent="0.25">
      <c r="C1295"/>
    </row>
    <row r="1296" spans="3:3" x14ac:dyDescent="0.25">
      <c r="C1296"/>
    </row>
    <row r="1297" spans="3:3" x14ac:dyDescent="0.25">
      <c r="C1297"/>
    </row>
    <row r="1298" spans="3:3" x14ac:dyDescent="0.25">
      <c r="C1298"/>
    </row>
    <row r="1299" spans="3:3" x14ac:dyDescent="0.25">
      <c r="C1299"/>
    </row>
    <row r="1300" spans="3:3" x14ac:dyDescent="0.25">
      <c r="C1300"/>
    </row>
    <row r="1301" spans="3:3" x14ac:dyDescent="0.25">
      <c r="C1301"/>
    </row>
    <row r="1302" spans="3:3" x14ac:dyDescent="0.25">
      <c r="C1302"/>
    </row>
    <row r="1303" spans="3:3" x14ac:dyDescent="0.25">
      <c r="C1303"/>
    </row>
    <row r="1304" spans="3:3" x14ac:dyDescent="0.25">
      <c r="C1304"/>
    </row>
    <row r="1305" spans="3:3" x14ac:dyDescent="0.25">
      <c r="C1305"/>
    </row>
    <row r="1306" spans="3:3" x14ac:dyDescent="0.25">
      <c r="C1306"/>
    </row>
    <row r="1307" spans="3:3" x14ac:dyDescent="0.25">
      <c r="C1307"/>
    </row>
    <row r="1308" spans="3:3" x14ac:dyDescent="0.25">
      <c r="C1308"/>
    </row>
    <row r="1309" spans="3:3" x14ac:dyDescent="0.25">
      <c r="C1309"/>
    </row>
    <row r="1310" spans="3:3" x14ac:dyDescent="0.25">
      <c r="C1310"/>
    </row>
    <row r="1311" spans="3:3" x14ac:dyDescent="0.25">
      <c r="C1311"/>
    </row>
    <row r="1312" spans="3:3" x14ac:dyDescent="0.25">
      <c r="C1312"/>
    </row>
    <row r="1313" spans="3:3" x14ac:dyDescent="0.25">
      <c r="C1313"/>
    </row>
    <row r="1314" spans="3:3" x14ac:dyDescent="0.25">
      <c r="C1314"/>
    </row>
    <row r="1315" spans="3:3" x14ac:dyDescent="0.25">
      <c r="C1315"/>
    </row>
    <row r="1316" spans="3:3" x14ac:dyDescent="0.25">
      <c r="C1316"/>
    </row>
    <row r="1317" spans="3:3" x14ac:dyDescent="0.25">
      <c r="C1317"/>
    </row>
    <row r="1318" spans="3:3" x14ac:dyDescent="0.25">
      <c r="C1318"/>
    </row>
    <row r="1319" spans="3:3" x14ac:dyDescent="0.25">
      <c r="C1319"/>
    </row>
    <row r="1320" spans="3:3" x14ac:dyDescent="0.25">
      <c r="C1320"/>
    </row>
    <row r="1321" spans="3:3" x14ac:dyDescent="0.25">
      <c r="C1321"/>
    </row>
    <row r="1322" spans="3:3" x14ac:dyDescent="0.25">
      <c r="C1322"/>
    </row>
    <row r="1323" spans="3:3" x14ac:dyDescent="0.25">
      <c r="C1323"/>
    </row>
    <row r="1324" spans="3:3" x14ac:dyDescent="0.25">
      <c r="C1324"/>
    </row>
    <row r="1325" spans="3:3" x14ac:dyDescent="0.25">
      <c r="C1325"/>
    </row>
    <row r="1326" spans="3:3" x14ac:dyDescent="0.25">
      <c r="C1326"/>
    </row>
    <row r="1327" spans="3:3" x14ac:dyDescent="0.25">
      <c r="C1327"/>
    </row>
    <row r="1328" spans="3:3" x14ac:dyDescent="0.25">
      <c r="C1328"/>
    </row>
    <row r="1329" spans="3:3" x14ac:dyDescent="0.25">
      <c r="C1329"/>
    </row>
    <row r="1330" spans="3:3" x14ac:dyDescent="0.25">
      <c r="C1330"/>
    </row>
    <row r="1331" spans="3:3" x14ac:dyDescent="0.25">
      <c r="C1331"/>
    </row>
    <row r="1332" spans="3:3" x14ac:dyDescent="0.25">
      <c r="C1332"/>
    </row>
    <row r="1333" spans="3:3" x14ac:dyDescent="0.25">
      <c r="C1333"/>
    </row>
    <row r="1334" spans="3:3" x14ac:dyDescent="0.25">
      <c r="C1334"/>
    </row>
    <row r="1335" spans="3:3" x14ac:dyDescent="0.25">
      <c r="C1335"/>
    </row>
    <row r="1336" spans="3:3" x14ac:dyDescent="0.25">
      <c r="C1336"/>
    </row>
    <row r="1337" spans="3:3" x14ac:dyDescent="0.25">
      <c r="C1337"/>
    </row>
    <row r="1338" spans="3:3" x14ac:dyDescent="0.25">
      <c r="C1338"/>
    </row>
    <row r="1339" spans="3:3" x14ac:dyDescent="0.25">
      <c r="C1339"/>
    </row>
    <row r="1340" spans="3:3" x14ac:dyDescent="0.25">
      <c r="C1340"/>
    </row>
    <row r="1341" spans="3:3" x14ac:dyDescent="0.25">
      <c r="C1341"/>
    </row>
    <row r="1342" spans="3:3" x14ac:dyDescent="0.25">
      <c r="C1342"/>
    </row>
    <row r="1343" spans="3:3" x14ac:dyDescent="0.25">
      <c r="C1343"/>
    </row>
    <row r="1344" spans="3:3" x14ac:dyDescent="0.25">
      <c r="C1344"/>
    </row>
    <row r="1345" spans="3:3" x14ac:dyDescent="0.25">
      <c r="C1345"/>
    </row>
    <row r="1346" spans="3:3" x14ac:dyDescent="0.25">
      <c r="C1346"/>
    </row>
    <row r="1347" spans="3:3" x14ac:dyDescent="0.25">
      <c r="C1347"/>
    </row>
    <row r="1348" spans="3:3" x14ac:dyDescent="0.25">
      <c r="C1348"/>
    </row>
    <row r="1349" spans="3:3" x14ac:dyDescent="0.25">
      <c r="C1349"/>
    </row>
    <row r="1350" spans="3:3" x14ac:dyDescent="0.25">
      <c r="C1350"/>
    </row>
    <row r="1351" spans="3:3" x14ac:dyDescent="0.25">
      <c r="C1351"/>
    </row>
    <row r="1352" spans="3:3" x14ac:dyDescent="0.25">
      <c r="C1352"/>
    </row>
    <row r="1353" spans="3:3" x14ac:dyDescent="0.25">
      <c r="C1353"/>
    </row>
    <row r="1354" spans="3:3" x14ac:dyDescent="0.25">
      <c r="C1354"/>
    </row>
    <row r="1355" spans="3:3" x14ac:dyDescent="0.25">
      <c r="C1355"/>
    </row>
    <row r="1356" spans="3:3" x14ac:dyDescent="0.25">
      <c r="C1356"/>
    </row>
    <row r="1357" spans="3:3" x14ac:dyDescent="0.25">
      <c r="C1357"/>
    </row>
    <row r="1358" spans="3:3" x14ac:dyDescent="0.25">
      <c r="C1358"/>
    </row>
    <row r="1359" spans="3:3" x14ac:dyDescent="0.25">
      <c r="C1359"/>
    </row>
    <row r="1360" spans="3:3" x14ac:dyDescent="0.25">
      <c r="C1360"/>
    </row>
    <row r="1361" spans="3:3" x14ac:dyDescent="0.25">
      <c r="C1361"/>
    </row>
    <row r="1362" spans="3:3" x14ac:dyDescent="0.25">
      <c r="C1362"/>
    </row>
    <row r="1363" spans="3:3" x14ac:dyDescent="0.25">
      <c r="C1363"/>
    </row>
    <row r="1364" spans="3:3" x14ac:dyDescent="0.25">
      <c r="C1364"/>
    </row>
    <row r="1365" spans="3:3" x14ac:dyDescent="0.25">
      <c r="C1365"/>
    </row>
    <row r="1366" spans="3:3" x14ac:dyDescent="0.25">
      <c r="C1366"/>
    </row>
    <row r="1367" spans="3:3" x14ac:dyDescent="0.25">
      <c r="C1367"/>
    </row>
    <row r="1368" spans="3:3" x14ac:dyDescent="0.25">
      <c r="C1368"/>
    </row>
    <row r="1369" spans="3:3" x14ac:dyDescent="0.25">
      <c r="C1369"/>
    </row>
    <row r="1370" spans="3:3" x14ac:dyDescent="0.25">
      <c r="C1370"/>
    </row>
    <row r="1371" spans="3:3" x14ac:dyDescent="0.25">
      <c r="C1371"/>
    </row>
    <row r="1372" spans="3:3" x14ac:dyDescent="0.25">
      <c r="C1372"/>
    </row>
    <row r="1373" spans="3:3" x14ac:dyDescent="0.25">
      <c r="C1373"/>
    </row>
    <row r="1374" spans="3:3" x14ac:dyDescent="0.25">
      <c r="C1374"/>
    </row>
    <row r="1375" spans="3:3" x14ac:dyDescent="0.25">
      <c r="C1375"/>
    </row>
    <row r="1376" spans="3:3" x14ac:dyDescent="0.25">
      <c r="C1376"/>
    </row>
    <row r="1377" spans="3:3" x14ac:dyDescent="0.25">
      <c r="C1377"/>
    </row>
    <row r="1378" spans="3:3" x14ac:dyDescent="0.25">
      <c r="C1378"/>
    </row>
    <row r="1379" spans="3:3" x14ac:dyDescent="0.25">
      <c r="C1379"/>
    </row>
    <row r="1380" spans="3:3" x14ac:dyDescent="0.25">
      <c r="C1380"/>
    </row>
    <row r="1381" spans="3:3" x14ac:dyDescent="0.25">
      <c r="C1381"/>
    </row>
    <row r="1382" spans="3:3" x14ac:dyDescent="0.25">
      <c r="C1382"/>
    </row>
    <row r="1383" spans="3:3" x14ac:dyDescent="0.25">
      <c r="C1383"/>
    </row>
    <row r="1384" spans="3:3" x14ac:dyDescent="0.25">
      <c r="C1384"/>
    </row>
    <row r="1385" spans="3:3" x14ac:dyDescent="0.25">
      <c r="C1385"/>
    </row>
    <row r="1386" spans="3:3" x14ac:dyDescent="0.25">
      <c r="C1386"/>
    </row>
    <row r="1387" spans="3:3" x14ac:dyDescent="0.25">
      <c r="C1387"/>
    </row>
    <row r="1388" spans="3:3" x14ac:dyDescent="0.25">
      <c r="C1388"/>
    </row>
    <row r="1389" spans="3:3" x14ac:dyDescent="0.25">
      <c r="C1389"/>
    </row>
    <row r="1390" spans="3:3" x14ac:dyDescent="0.25">
      <c r="C1390"/>
    </row>
    <row r="1391" spans="3:3" x14ac:dyDescent="0.25">
      <c r="C1391"/>
    </row>
    <row r="1392" spans="3:3" x14ac:dyDescent="0.25">
      <c r="C1392"/>
    </row>
    <row r="1393" spans="3:3" x14ac:dyDescent="0.25">
      <c r="C1393"/>
    </row>
    <row r="1394" spans="3:3" x14ac:dyDescent="0.25">
      <c r="C1394"/>
    </row>
    <row r="1395" spans="3:3" x14ac:dyDescent="0.25">
      <c r="C1395"/>
    </row>
    <row r="1396" spans="3:3" x14ac:dyDescent="0.25">
      <c r="C1396"/>
    </row>
    <row r="1397" spans="3:3" x14ac:dyDescent="0.25">
      <c r="C1397"/>
    </row>
    <row r="1398" spans="3:3" x14ac:dyDescent="0.25">
      <c r="C1398"/>
    </row>
    <row r="1399" spans="3:3" x14ac:dyDescent="0.25">
      <c r="C1399"/>
    </row>
    <row r="1400" spans="3:3" x14ac:dyDescent="0.25">
      <c r="C1400"/>
    </row>
    <row r="1401" spans="3:3" x14ac:dyDescent="0.25">
      <c r="C1401"/>
    </row>
    <row r="1402" spans="3:3" x14ac:dyDescent="0.25">
      <c r="C1402"/>
    </row>
    <row r="1403" spans="3:3" x14ac:dyDescent="0.25">
      <c r="C1403"/>
    </row>
    <row r="1404" spans="3:3" x14ac:dyDescent="0.25">
      <c r="C1404"/>
    </row>
    <row r="1405" spans="3:3" x14ac:dyDescent="0.25">
      <c r="C1405"/>
    </row>
    <row r="1406" spans="3:3" x14ac:dyDescent="0.25">
      <c r="C1406"/>
    </row>
    <row r="1407" spans="3:3" x14ac:dyDescent="0.25">
      <c r="C1407"/>
    </row>
    <row r="1408" spans="3:3" x14ac:dyDescent="0.25">
      <c r="C1408"/>
    </row>
    <row r="1409" spans="3:3" x14ac:dyDescent="0.25">
      <c r="C1409"/>
    </row>
    <row r="1410" spans="3:3" x14ac:dyDescent="0.25">
      <c r="C1410"/>
    </row>
    <row r="1411" spans="3:3" x14ac:dyDescent="0.25">
      <c r="C1411"/>
    </row>
    <row r="1412" spans="3:3" x14ac:dyDescent="0.25">
      <c r="C1412"/>
    </row>
    <row r="1413" spans="3:3" x14ac:dyDescent="0.25">
      <c r="C1413"/>
    </row>
    <row r="1414" spans="3:3" x14ac:dyDescent="0.25">
      <c r="C1414"/>
    </row>
    <row r="1415" spans="3:3" x14ac:dyDescent="0.25">
      <c r="C1415"/>
    </row>
    <row r="1416" spans="3:3" x14ac:dyDescent="0.25">
      <c r="C1416"/>
    </row>
    <row r="1417" spans="3:3" x14ac:dyDescent="0.25">
      <c r="C1417"/>
    </row>
    <row r="1418" spans="3:3" x14ac:dyDescent="0.25">
      <c r="C1418"/>
    </row>
    <row r="1419" spans="3:3" x14ac:dyDescent="0.25">
      <c r="C1419"/>
    </row>
    <row r="1420" spans="3:3" x14ac:dyDescent="0.25">
      <c r="C1420"/>
    </row>
    <row r="1421" spans="3:3" x14ac:dyDescent="0.25">
      <c r="C1421"/>
    </row>
    <row r="1422" spans="3:3" x14ac:dyDescent="0.25">
      <c r="C1422"/>
    </row>
    <row r="1423" spans="3:3" x14ac:dyDescent="0.25">
      <c r="C1423"/>
    </row>
    <row r="1424" spans="3:3" x14ac:dyDescent="0.25">
      <c r="C1424"/>
    </row>
    <row r="1425" spans="3:3" x14ac:dyDescent="0.25">
      <c r="C1425"/>
    </row>
    <row r="1426" spans="3:3" x14ac:dyDescent="0.25">
      <c r="C1426"/>
    </row>
    <row r="1427" spans="3:3" x14ac:dyDescent="0.25">
      <c r="C1427"/>
    </row>
    <row r="1428" spans="3:3" x14ac:dyDescent="0.25">
      <c r="C1428"/>
    </row>
    <row r="1429" spans="3:3" x14ac:dyDescent="0.25">
      <c r="C1429"/>
    </row>
    <row r="1430" spans="3:3" x14ac:dyDescent="0.25">
      <c r="C1430"/>
    </row>
    <row r="1431" spans="3:3" x14ac:dyDescent="0.25">
      <c r="C1431"/>
    </row>
    <row r="1432" spans="3:3" x14ac:dyDescent="0.25">
      <c r="C1432"/>
    </row>
    <row r="1433" spans="3:3" x14ac:dyDescent="0.25">
      <c r="C1433"/>
    </row>
    <row r="1434" spans="3:3" x14ac:dyDescent="0.25">
      <c r="C1434"/>
    </row>
    <row r="1435" spans="3:3" x14ac:dyDescent="0.25">
      <c r="C1435"/>
    </row>
    <row r="1436" spans="3:3" x14ac:dyDescent="0.25">
      <c r="C1436"/>
    </row>
    <row r="1437" spans="3:3" x14ac:dyDescent="0.25">
      <c r="C1437"/>
    </row>
    <row r="1438" spans="3:3" x14ac:dyDescent="0.25">
      <c r="C1438"/>
    </row>
    <row r="1439" spans="3:3" x14ac:dyDescent="0.25">
      <c r="C1439"/>
    </row>
    <row r="1440" spans="3:3" x14ac:dyDescent="0.25">
      <c r="C1440"/>
    </row>
    <row r="1441" spans="3:3" x14ac:dyDescent="0.25">
      <c r="C1441"/>
    </row>
    <row r="1442" spans="3:3" x14ac:dyDescent="0.25">
      <c r="C1442"/>
    </row>
    <row r="1443" spans="3:3" x14ac:dyDescent="0.25">
      <c r="C1443"/>
    </row>
    <row r="1444" spans="3:3" x14ac:dyDescent="0.25">
      <c r="C1444"/>
    </row>
    <row r="1445" spans="3:3" x14ac:dyDescent="0.25">
      <c r="C1445"/>
    </row>
    <row r="1446" spans="3:3" x14ac:dyDescent="0.25">
      <c r="C1446"/>
    </row>
    <row r="1447" spans="3:3" x14ac:dyDescent="0.25">
      <c r="C1447"/>
    </row>
    <row r="1448" spans="3:3" x14ac:dyDescent="0.25">
      <c r="C1448"/>
    </row>
    <row r="1449" spans="3:3" x14ac:dyDescent="0.25">
      <c r="C1449"/>
    </row>
    <row r="1450" spans="3:3" x14ac:dyDescent="0.25">
      <c r="C1450"/>
    </row>
    <row r="1451" spans="3:3" x14ac:dyDescent="0.25">
      <c r="C1451"/>
    </row>
    <row r="1452" spans="3:3" x14ac:dyDescent="0.25">
      <c r="C1452"/>
    </row>
    <row r="1453" spans="3:3" x14ac:dyDescent="0.25">
      <c r="C1453"/>
    </row>
    <row r="1454" spans="3:3" x14ac:dyDescent="0.25">
      <c r="C1454"/>
    </row>
    <row r="1455" spans="3:3" x14ac:dyDescent="0.25">
      <c r="C1455"/>
    </row>
    <row r="1456" spans="3:3" x14ac:dyDescent="0.25">
      <c r="C1456"/>
    </row>
    <row r="1457" spans="3:3" x14ac:dyDescent="0.25">
      <c r="C1457"/>
    </row>
    <row r="1458" spans="3:3" x14ac:dyDescent="0.25">
      <c r="C1458"/>
    </row>
    <row r="1459" spans="3:3" x14ac:dyDescent="0.25">
      <c r="C1459"/>
    </row>
    <row r="1460" spans="3:3" x14ac:dyDescent="0.25">
      <c r="C1460"/>
    </row>
    <row r="1461" spans="3:3" x14ac:dyDescent="0.25">
      <c r="C1461"/>
    </row>
    <row r="1462" spans="3:3" x14ac:dyDescent="0.25">
      <c r="C1462"/>
    </row>
    <row r="1463" spans="3:3" x14ac:dyDescent="0.25">
      <c r="C1463"/>
    </row>
    <row r="1464" spans="3:3" x14ac:dyDescent="0.25">
      <c r="C1464"/>
    </row>
    <row r="1465" spans="3:3" x14ac:dyDescent="0.25">
      <c r="C1465"/>
    </row>
    <row r="1466" spans="3:3" x14ac:dyDescent="0.25">
      <c r="C1466"/>
    </row>
    <row r="1467" spans="3:3" x14ac:dyDescent="0.25">
      <c r="C1467"/>
    </row>
    <row r="1468" spans="3:3" x14ac:dyDescent="0.25">
      <c r="C1468"/>
    </row>
    <row r="1469" spans="3:3" x14ac:dyDescent="0.25">
      <c r="C1469"/>
    </row>
    <row r="1470" spans="3:3" x14ac:dyDescent="0.25">
      <c r="C1470"/>
    </row>
    <row r="1471" spans="3:3" x14ac:dyDescent="0.25">
      <c r="C1471"/>
    </row>
    <row r="1472" spans="3:3" x14ac:dyDescent="0.25">
      <c r="C1472"/>
    </row>
    <row r="1473" spans="3:3" x14ac:dyDescent="0.25">
      <c r="C1473"/>
    </row>
    <row r="1474" spans="3:3" x14ac:dyDescent="0.25">
      <c r="C1474"/>
    </row>
    <row r="1475" spans="3:3" x14ac:dyDescent="0.25">
      <c r="C1475"/>
    </row>
    <row r="1476" spans="3:3" x14ac:dyDescent="0.25">
      <c r="C1476"/>
    </row>
    <row r="1477" spans="3:3" x14ac:dyDescent="0.25">
      <c r="C1477"/>
    </row>
    <row r="1478" spans="3:3" x14ac:dyDescent="0.25">
      <c r="C1478"/>
    </row>
    <row r="1479" spans="3:3" x14ac:dyDescent="0.25">
      <c r="C1479"/>
    </row>
    <row r="1480" spans="3:3" x14ac:dyDescent="0.25">
      <c r="C1480"/>
    </row>
    <row r="1481" spans="3:3" x14ac:dyDescent="0.25">
      <c r="C1481"/>
    </row>
    <row r="1482" spans="3:3" x14ac:dyDescent="0.25">
      <c r="C1482"/>
    </row>
    <row r="1483" spans="3:3" x14ac:dyDescent="0.25">
      <c r="C1483"/>
    </row>
    <row r="1484" spans="3:3" x14ac:dyDescent="0.25">
      <c r="C1484"/>
    </row>
    <row r="1485" spans="3:3" x14ac:dyDescent="0.25">
      <c r="C1485"/>
    </row>
    <row r="1486" spans="3:3" x14ac:dyDescent="0.25">
      <c r="C1486"/>
    </row>
    <row r="1487" spans="3:3" x14ac:dyDescent="0.25">
      <c r="C1487"/>
    </row>
    <row r="1488" spans="3:3" x14ac:dyDescent="0.25">
      <c r="C1488"/>
    </row>
    <row r="1489" spans="3:3" x14ac:dyDescent="0.25">
      <c r="C1489"/>
    </row>
    <row r="1490" spans="3:3" x14ac:dyDescent="0.25">
      <c r="C1490"/>
    </row>
    <row r="1491" spans="3:3" x14ac:dyDescent="0.25">
      <c r="C1491"/>
    </row>
    <row r="1492" spans="3:3" x14ac:dyDescent="0.25">
      <c r="C1492"/>
    </row>
    <row r="1493" spans="3:3" x14ac:dyDescent="0.25">
      <c r="C1493"/>
    </row>
    <row r="1494" spans="3:3" x14ac:dyDescent="0.25">
      <c r="C1494"/>
    </row>
    <row r="1495" spans="3:3" x14ac:dyDescent="0.25">
      <c r="C1495"/>
    </row>
    <row r="1496" spans="3:3" x14ac:dyDescent="0.25">
      <c r="C1496"/>
    </row>
    <row r="1497" spans="3:3" x14ac:dyDescent="0.25">
      <c r="C1497"/>
    </row>
    <row r="1498" spans="3:3" x14ac:dyDescent="0.25">
      <c r="C1498"/>
    </row>
    <row r="1499" spans="3:3" x14ac:dyDescent="0.25">
      <c r="C1499"/>
    </row>
    <row r="1500" spans="3:3" x14ac:dyDescent="0.25">
      <c r="C1500"/>
    </row>
    <row r="1501" spans="3:3" x14ac:dyDescent="0.25">
      <c r="C1501"/>
    </row>
    <row r="1502" spans="3:3" x14ac:dyDescent="0.25">
      <c r="C1502"/>
    </row>
    <row r="1503" spans="3:3" x14ac:dyDescent="0.25">
      <c r="C1503"/>
    </row>
    <row r="1504" spans="3:3" x14ac:dyDescent="0.25">
      <c r="C1504"/>
    </row>
    <row r="1505" spans="3:3" x14ac:dyDescent="0.25">
      <c r="C1505"/>
    </row>
    <row r="1506" spans="3:3" x14ac:dyDescent="0.25">
      <c r="C1506"/>
    </row>
    <row r="1507" spans="3:3" x14ac:dyDescent="0.25">
      <c r="C1507"/>
    </row>
    <row r="1508" spans="3:3" x14ac:dyDescent="0.25">
      <c r="C1508"/>
    </row>
    <row r="1509" spans="3:3" x14ac:dyDescent="0.25">
      <c r="C1509"/>
    </row>
    <row r="1510" spans="3:3" x14ac:dyDescent="0.25">
      <c r="C1510"/>
    </row>
    <row r="1511" spans="3:3" x14ac:dyDescent="0.25">
      <c r="C1511"/>
    </row>
    <row r="1512" spans="3:3" x14ac:dyDescent="0.25">
      <c r="C1512"/>
    </row>
    <row r="1513" spans="3:3" x14ac:dyDescent="0.25">
      <c r="C1513"/>
    </row>
    <row r="1514" spans="3:3" x14ac:dyDescent="0.25">
      <c r="C1514"/>
    </row>
    <row r="1515" spans="3:3" x14ac:dyDescent="0.25">
      <c r="C1515"/>
    </row>
    <row r="1516" spans="3:3" x14ac:dyDescent="0.25">
      <c r="C1516"/>
    </row>
    <row r="1517" spans="3:3" x14ac:dyDescent="0.25">
      <c r="C1517"/>
    </row>
    <row r="1518" spans="3:3" x14ac:dyDescent="0.25">
      <c r="C1518"/>
    </row>
    <row r="1519" spans="3:3" x14ac:dyDescent="0.25">
      <c r="C1519"/>
    </row>
    <row r="1520" spans="3:3" x14ac:dyDescent="0.25">
      <c r="C1520"/>
    </row>
    <row r="1521" spans="3:3" x14ac:dyDescent="0.25">
      <c r="C1521"/>
    </row>
    <row r="1522" spans="3:3" x14ac:dyDescent="0.25">
      <c r="C1522"/>
    </row>
    <row r="1523" spans="3:3" x14ac:dyDescent="0.25">
      <c r="C1523"/>
    </row>
    <row r="1524" spans="3:3" x14ac:dyDescent="0.25">
      <c r="C1524"/>
    </row>
    <row r="1525" spans="3:3" x14ac:dyDescent="0.25">
      <c r="C1525"/>
    </row>
    <row r="1526" spans="3:3" x14ac:dyDescent="0.25">
      <c r="C1526"/>
    </row>
    <row r="1527" spans="3:3" x14ac:dyDescent="0.25">
      <c r="C1527"/>
    </row>
    <row r="1528" spans="3:3" x14ac:dyDescent="0.25">
      <c r="C1528"/>
    </row>
    <row r="1529" spans="3:3" x14ac:dyDescent="0.25">
      <c r="C1529"/>
    </row>
    <row r="1530" spans="3:3" x14ac:dyDescent="0.25">
      <c r="C1530"/>
    </row>
    <row r="1531" spans="3:3" x14ac:dyDescent="0.25">
      <c r="C1531"/>
    </row>
    <row r="1532" spans="3:3" x14ac:dyDescent="0.25">
      <c r="C1532"/>
    </row>
    <row r="1533" spans="3:3" x14ac:dyDescent="0.25">
      <c r="C1533"/>
    </row>
    <row r="1534" spans="3:3" x14ac:dyDescent="0.25">
      <c r="C1534"/>
    </row>
    <row r="1535" spans="3:3" x14ac:dyDescent="0.25">
      <c r="C1535"/>
    </row>
    <row r="1536" spans="3:3" x14ac:dyDescent="0.25">
      <c r="C1536"/>
    </row>
    <row r="1537" spans="3:3" x14ac:dyDescent="0.25">
      <c r="C1537"/>
    </row>
    <row r="1538" spans="3:3" x14ac:dyDescent="0.25">
      <c r="C1538"/>
    </row>
    <row r="1539" spans="3:3" x14ac:dyDescent="0.25">
      <c r="C1539"/>
    </row>
    <row r="1540" spans="3:3" x14ac:dyDescent="0.25">
      <c r="C1540"/>
    </row>
    <row r="1541" spans="3:3" x14ac:dyDescent="0.25">
      <c r="C1541"/>
    </row>
    <row r="1542" spans="3:3" x14ac:dyDescent="0.25">
      <c r="C1542"/>
    </row>
    <row r="1543" spans="3:3" x14ac:dyDescent="0.25">
      <c r="C1543"/>
    </row>
    <row r="1544" spans="3:3" x14ac:dyDescent="0.25">
      <c r="C1544"/>
    </row>
    <row r="1545" spans="3:3" x14ac:dyDescent="0.25">
      <c r="C1545"/>
    </row>
    <row r="1546" spans="3:3" x14ac:dyDescent="0.25">
      <c r="C1546"/>
    </row>
    <row r="1547" spans="3:3" x14ac:dyDescent="0.25">
      <c r="C1547"/>
    </row>
    <row r="1548" spans="3:3" x14ac:dyDescent="0.25">
      <c r="C1548"/>
    </row>
    <row r="1549" spans="3:3" x14ac:dyDescent="0.25">
      <c r="C1549"/>
    </row>
    <row r="1550" spans="3:3" x14ac:dyDescent="0.25">
      <c r="C1550"/>
    </row>
    <row r="1551" spans="3:3" x14ac:dyDescent="0.25">
      <c r="C1551"/>
    </row>
    <row r="1552" spans="3:3" x14ac:dyDescent="0.25">
      <c r="C1552"/>
    </row>
    <row r="1553" spans="3:3" x14ac:dyDescent="0.25">
      <c r="C1553"/>
    </row>
    <row r="1554" spans="3:3" x14ac:dyDescent="0.25">
      <c r="C1554"/>
    </row>
    <row r="1555" spans="3:3" x14ac:dyDescent="0.25">
      <c r="C1555"/>
    </row>
    <row r="1556" spans="3:3" x14ac:dyDescent="0.25">
      <c r="C1556"/>
    </row>
    <row r="1557" spans="3:3" x14ac:dyDescent="0.25">
      <c r="C1557"/>
    </row>
    <row r="1558" spans="3:3" x14ac:dyDescent="0.25">
      <c r="C1558"/>
    </row>
    <row r="1559" spans="3:3" x14ac:dyDescent="0.25">
      <c r="C1559"/>
    </row>
    <row r="1560" spans="3:3" x14ac:dyDescent="0.25">
      <c r="C1560"/>
    </row>
    <row r="1561" spans="3:3" x14ac:dyDescent="0.25">
      <c r="C1561"/>
    </row>
    <row r="1562" spans="3:3" x14ac:dyDescent="0.25">
      <c r="C1562"/>
    </row>
    <row r="1563" spans="3:3" x14ac:dyDescent="0.25">
      <c r="C1563"/>
    </row>
    <row r="1564" spans="3:3" x14ac:dyDescent="0.25">
      <c r="C1564"/>
    </row>
    <row r="1565" spans="3:3" x14ac:dyDescent="0.25">
      <c r="C1565"/>
    </row>
    <row r="1566" spans="3:3" x14ac:dyDescent="0.25">
      <c r="C1566"/>
    </row>
    <row r="1567" spans="3:3" x14ac:dyDescent="0.25">
      <c r="C1567"/>
    </row>
    <row r="1568" spans="3:3" x14ac:dyDescent="0.25">
      <c r="C1568"/>
    </row>
    <row r="1569" spans="3:3" x14ac:dyDescent="0.25">
      <c r="C1569"/>
    </row>
    <row r="1570" spans="3:3" x14ac:dyDescent="0.25">
      <c r="C1570"/>
    </row>
    <row r="1571" spans="3:3" x14ac:dyDescent="0.25">
      <c r="C1571"/>
    </row>
    <row r="1572" spans="3:3" x14ac:dyDescent="0.25">
      <c r="C1572"/>
    </row>
    <row r="1573" spans="3:3" x14ac:dyDescent="0.25">
      <c r="C1573"/>
    </row>
    <row r="1574" spans="3:3" x14ac:dyDescent="0.25">
      <c r="C1574"/>
    </row>
    <row r="1575" spans="3:3" x14ac:dyDescent="0.25">
      <c r="C1575"/>
    </row>
    <row r="1576" spans="3:3" x14ac:dyDescent="0.25">
      <c r="C1576"/>
    </row>
    <row r="1577" spans="3:3" x14ac:dyDescent="0.25">
      <c r="C1577"/>
    </row>
    <row r="1578" spans="3:3" x14ac:dyDescent="0.25">
      <c r="C1578"/>
    </row>
    <row r="1579" spans="3:3" x14ac:dyDescent="0.25">
      <c r="C1579"/>
    </row>
    <row r="1580" spans="3:3" x14ac:dyDescent="0.25">
      <c r="C1580"/>
    </row>
    <row r="1581" spans="3:3" x14ac:dyDescent="0.25">
      <c r="C1581"/>
    </row>
    <row r="1582" spans="3:3" x14ac:dyDescent="0.25">
      <c r="C1582"/>
    </row>
    <row r="1583" spans="3:3" x14ac:dyDescent="0.25">
      <c r="C1583"/>
    </row>
    <row r="1584" spans="3:3" x14ac:dyDescent="0.25">
      <c r="C1584"/>
    </row>
    <row r="1585" spans="3:3" x14ac:dyDescent="0.25">
      <c r="C1585"/>
    </row>
    <row r="1586" spans="3:3" x14ac:dyDescent="0.25">
      <c r="C1586"/>
    </row>
    <row r="1587" spans="3:3" x14ac:dyDescent="0.25">
      <c r="C1587"/>
    </row>
    <row r="1588" spans="3:3" x14ac:dyDescent="0.25">
      <c r="C1588"/>
    </row>
    <row r="1589" spans="3:3" x14ac:dyDescent="0.25">
      <c r="C1589"/>
    </row>
    <row r="1590" spans="3:3" x14ac:dyDescent="0.25">
      <c r="C1590"/>
    </row>
    <row r="1591" spans="3:3" x14ac:dyDescent="0.25">
      <c r="C1591"/>
    </row>
    <row r="1592" spans="3:3" x14ac:dyDescent="0.25">
      <c r="C1592"/>
    </row>
    <row r="1593" spans="3:3" x14ac:dyDescent="0.25">
      <c r="C1593"/>
    </row>
    <row r="1594" spans="3:3" x14ac:dyDescent="0.25">
      <c r="C1594"/>
    </row>
    <row r="1595" spans="3:3" x14ac:dyDescent="0.25">
      <c r="C1595"/>
    </row>
    <row r="1596" spans="3:3" x14ac:dyDescent="0.25">
      <c r="C1596"/>
    </row>
    <row r="1597" spans="3:3" x14ac:dyDescent="0.25">
      <c r="C1597"/>
    </row>
    <row r="1598" spans="3:3" x14ac:dyDescent="0.25">
      <c r="C1598"/>
    </row>
    <row r="1599" spans="3:3" x14ac:dyDescent="0.25">
      <c r="C1599"/>
    </row>
    <row r="1600" spans="3:3" x14ac:dyDescent="0.25">
      <c r="C1600"/>
    </row>
    <row r="1601" spans="3:3" x14ac:dyDescent="0.25">
      <c r="C1601"/>
    </row>
    <row r="1602" spans="3:3" x14ac:dyDescent="0.25">
      <c r="C1602"/>
    </row>
    <row r="1603" spans="3:3" x14ac:dyDescent="0.25">
      <c r="C1603"/>
    </row>
    <row r="1604" spans="3:3" x14ac:dyDescent="0.25">
      <c r="C1604"/>
    </row>
    <row r="1605" spans="3:3" x14ac:dyDescent="0.25">
      <c r="C1605"/>
    </row>
    <row r="1606" spans="3:3" x14ac:dyDescent="0.25">
      <c r="C1606"/>
    </row>
    <row r="1607" spans="3:3" x14ac:dyDescent="0.25">
      <c r="C1607"/>
    </row>
    <row r="1608" spans="3:3" x14ac:dyDescent="0.25">
      <c r="C1608"/>
    </row>
    <row r="1609" spans="3:3" x14ac:dyDescent="0.25">
      <c r="C1609"/>
    </row>
    <row r="1610" spans="3:3" x14ac:dyDescent="0.25">
      <c r="C1610"/>
    </row>
    <row r="1611" spans="3:3" x14ac:dyDescent="0.25">
      <c r="C1611"/>
    </row>
    <row r="1612" spans="3:3" x14ac:dyDescent="0.25">
      <c r="C1612"/>
    </row>
    <row r="1613" spans="3:3" x14ac:dyDescent="0.25">
      <c r="C1613"/>
    </row>
    <row r="1614" spans="3:3" x14ac:dyDescent="0.25">
      <c r="C1614"/>
    </row>
    <row r="1615" spans="3:3" x14ac:dyDescent="0.25">
      <c r="C1615"/>
    </row>
    <row r="1616" spans="3:3" x14ac:dyDescent="0.25">
      <c r="C1616"/>
    </row>
    <row r="1617" spans="3:3" x14ac:dyDescent="0.25">
      <c r="C1617"/>
    </row>
    <row r="1618" spans="3:3" x14ac:dyDescent="0.25">
      <c r="C1618"/>
    </row>
    <row r="1619" spans="3:3" x14ac:dyDescent="0.25">
      <c r="C1619"/>
    </row>
    <row r="1620" spans="3:3" x14ac:dyDescent="0.25">
      <c r="C1620"/>
    </row>
    <row r="1621" spans="3:3" x14ac:dyDescent="0.25">
      <c r="C1621"/>
    </row>
    <row r="1622" spans="3:3" x14ac:dyDescent="0.25">
      <c r="C1622"/>
    </row>
    <row r="1623" spans="3:3" x14ac:dyDescent="0.25">
      <c r="C1623"/>
    </row>
    <row r="1624" spans="3:3" x14ac:dyDescent="0.25">
      <c r="C1624"/>
    </row>
    <row r="1625" spans="3:3" x14ac:dyDescent="0.25">
      <c r="C1625"/>
    </row>
    <row r="1626" spans="3:3" x14ac:dyDescent="0.25">
      <c r="C1626"/>
    </row>
    <row r="1627" spans="3:3" x14ac:dyDescent="0.25">
      <c r="C1627"/>
    </row>
    <row r="1628" spans="3:3" x14ac:dyDescent="0.25">
      <c r="C1628"/>
    </row>
    <row r="1629" spans="3:3" x14ac:dyDescent="0.25">
      <c r="C1629"/>
    </row>
    <row r="1630" spans="3:3" x14ac:dyDescent="0.25">
      <c r="C1630"/>
    </row>
    <row r="1631" spans="3:3" x14ac:dyDescent="0.25">
      <c r="C1631"/>
    </row>
    <row r="1632" spans="3:3" x14ac:dyDescent="0.25">
      <c r="C1632"/>
    </row>
    <row r="1633" spans="3:3" x14ac:dyDescent="0.25">
      <c r="C1633"/>
    </row>
    <row r="1634" spans="3:3" x14ac:dyDescent="0.25">
      <c r="C1634"/>
    </row>
    <row r="1635" spans="3:3" x14ac:dyDescent="0.25">
      <c r="C1635"/>
    </row>
    <row r="1636" spans="3:3" x14ac:dyDescent="0.25">
      <c r="C1636"/>
    </row>
    <row r="1637" spans="3:3" x14ac:dyDescent="0.25">
      <c r="C1637"/>
    </row>
    <row r="1638" spans="3:3" x14ac:dyDescent="0.25">
      <c r="C1638"/>
    </row>
    <row r="1639" spans="3:3" x14ac:dyDescent="0.25">
      <c r="C1639"/>
    </row>
    <row r="1640" spans="3:3" x14ac:dyDescent="0.25">
      <c r="C1640"/>
    </row>
    <row r="1641" spans="3:3" x14ac:dyDescent="0.25">
      <c r="C1641"/>
    </row>
    <row r="1642" spans="3:3" x14ac:dyDescent="0.25">
      <c r="C1642"/>
    </row>
    <row r="1643" spans="3:3" x14ac:dyDescent="0.25">
      <c r="C1643"/>
    </row>
    <row r="1644" spans="3:3" x14ac:dyDescent="0.25">
      <c r="C1644"/>
    </row>
    <row r="1645" spans="3:3" x14ac:dyDescent="0.25">
      <c r="C1645"/>
    </row>
    <row r="1646" spans="3:3" x14ac:dyDescent="0.25">
      <c r="C1646"/>
    </row>
    <row r="1647" spans="3:3" x14ac:dyDescent="0.25">
      <c r="C1647"/>
    </row>
    <row r="1648" spans="3:3" x14ac:dyDescent="0.25">
      <c r="C1648"/>
    </row>
    <row r="1649" spans="3:3" x14ac:dyDescent="0.25">
      <c r="C1649"/>
    </row>
    <row r="1650" spans="3:3" x14ac:dyDescent="0.25">
      <c r="C1650"/>
    </row>
    <row r="1651" spans="3:3" x14ac:dyDescent="0.25">
      <c r="C1651"/>
    </row>
    <row r="1652" spans="3:3" x14ac:dyDescent="0.25">
      <c r="C1652"/>
    </row>
    <row r="1653" spans="3:3" x14ac:dyDescent="0.25">
      <c r="C1653"/>
    </row>
    <row r="1654" spans="3:3" x14ac:dyDescent="0.25">
      <c r="C1654"/>
    </row>
    <row r="1655" spans="3:3" x14ac:dyDescent="0.25">
      <c r="C1655"/>
    </row>
    <row r="1656" spans="3:3" x14ac:dyDescent="0.25">
      <c r="C1656"/>
    </row>
    <row r="1657" spans="3:3" x14ac:dyDescent="0.25">
      <c r="C1657"/>
    </row>
    <row r="1658" spans="3:3" x14ac:dyDescent="0.25">
      <c r="C1658"/>
    </row>
    <row r="1659" spans="3:3" x14ac:dyDescent="0.25">
      <c r="C1659"/>
    </row>
    <row r="1660" spans="3:3" x14ac:dyDescent="0.25">
      <c r="C1660"/>
    </row>
    <row r="1661" spans="3:3" x14ac:dyDescent="0.25">
      <c r="C1661"/>
    </row>
    <row r="1662" spans="3:3" x14ac:dyDescent="0.25">
      <c r="C1662"/>
    </row>
    <row r="1663" spans="3:3" x14ac:dyDescent="0.25">
      <c r="C1663"/>
    </row>
    <row r="1664" spans="3:3" x14ac:dyDescent="0.25">
      <c r="C1664"/>
    </row>
    <row r="1665" spans="3:3" x14ac:dyDescent="0.25">
      <c r="C1665"/>
    </row>
    <row r="1666" spans="3:3" x14ac:dyDescent="0.25">
      <c r="C1666"/>
    </row>
    <row r="1667" spans="3:3" x14ac:dyDescent="0.25">
      <c r="C1667"/>
    </row>
    <row r="1668" spans="3:3" x14ac:dyDescent="0.25">
      <c r="C1668"/>
    </row>
    <row r="1669" spans="3:3" x14ac:dyDescent="0.25">
      <c r="C1669"/>
    </row>
    <row r="1670" spans="3:3" x14ac:dyDescent="0.25">
      <c r="C1670"/>
    </row>
    <row r="1671" spans="3:3" x14ac:dyDescent="0.25">
      <c r="C1671"/>
    </row>
    <row r="1672" spans="3:3" x14ac:dyDescent="0.25">
      <c r="C1672"/>
    </row>
    <row r="1673" spans="3:3" x14ac:dyDescent="0.25">
      <c r="C1673"/>
    </row>
    <row r="1674" spans="3:3" x14ac:dyDescent="0.25">
      <c r="C1674"/>
    </row>
    <row r="1675" spans="3:3" x14ac:dyDescent="0.25">
      <c r="C1675"/>
    </row>
    <row r="1676" spans="3:3" x14ac:dyDescent="0.25">
      <c r="C1676"/>
    </row>
    <row r="1677" spans="3:3" x14ac:dyDescent="0.25">
      <c r="C1677"/>
    </row>
    <row r="1678" spans="3:3" x14ac:dyDescent="0.25">
      <c r="C1678"/>
    </row>
    <row r="1679" spans="3:3" x14ac:dyDescent="0.25">
      <c r="C1679"/>
    </row>
    <row r="1680" spans="3:3" x14ac:dyDescent="0.25">
      <c r="C1680"/>
    </row>
    <row r="1681" spans="3:3" x14ac:dyDescent="0.25">
      <c r="C1681"/>
    </row>
    <row r="1682" spans="3:3" x14ac:dyDescent="0.25">
      <c r="C1682"/>
    </row>
    <row r="1683" spans="3:3" x14ac:dyDescent="0.25">
      <c r="C1683"/>
    </row>
    <row r="1684" spans="3:3" x14ac:dyDescent="0.25">
      <c r="C1684"/>
    </row>
    <row r="1685" spans="3:3" x14ac:dyDescent="0.25">
      <c r="C1685"/>
    </row>
    <row r="1686" spans="3:3" x14ac:dyDescent="0.25">
      <c r="C1686"/>
    </row>
    <row r="1687" spans="3:3" x14ac:dyDescent="0.25">
      <c r="C1687"/>
    </row>
    <row r="1688" spans="3:3" x14ac:dyDescent="0.25">
      <c r="C1688"/>
    </row>
    <row r="1689" spans="3:3" x14ac:dyDescent="0.25">
      <c r="C1689"/>
    </row>
    <row r="1690" spans="3:3" x14ac:dyDescent="0.25">
      <c r="C1690"/>
    </row>
    <row r="1691" spans="3:3" x14ac:dyDescent="0.25">
      <c r="C1691"/>
    </row>
    <row r="1692" spans="3:3" x14ac:dyDescent="0.25">
      <c r="C1692"/>
    </row>
    <row r="1693" spans="3:3" x14ac:dyDescent="0.25">
      <c r="C1693"/>
    </row>
    <row r="1694" spans="3:3" x14ac:dyDescent="0.25">
      <c r="C1694"/>
    </row>
    <row r="1695" spans="3:3" x14ac:dyDescent="0.25">
      <c r="C1695"/>
    </row>
    <row r="1696" spans="3:3" x14ac:dyDescent="0.25">
      <c r="C1696"/>
    </row>
    <row r="1697" spans="3:3" x14ac:dyDescent="0.25">
      <c r="C1697"/>
    </row>
    <row r="1698" spans="3:3" x14ac:dyDescent="0.25">
      <c r="C1698"/>
    </row>
    <row r="1699" spans="3:3" x14ac:dyDescent="0.25">
      <c r="C1699"/>
    </row>
    <row r="1700" spans="3:3" x14ac:dyDescent="0.25">
      <c r="C1700"/>
    </row>
    <row r="1701" spans="3:3" x14ac:dyDescent="0.25">
      <c r="C1701"/>
    </row>
    <row r="1702" spans="3:3" x14ac:dyDescent="0.25">
      <c r="C1702"/>
    </row>
    <row r="1703" spans="3:3" x14ac:dyDescent="0.25">
      <c r="C1703"/>
    </row>
    <row r="1704" spans="3:3" x14ac:dyDescent="0.25">
      <c r="C1704"/>
    </row>
    <row r="1705" spans="3:3" x14ac:dyDescent="0.25">
      <c r="C1705"/>
    </row>
    <row r="1706" spans="3:3" x14ac:dyDescent="0.25">
      <c r="C1706"/>
    </row>
    <row r="1707" spans="3:3" x14ac:dyDescent="0.25">
      <c r="C1707"/>
    </row>
    <row r="1708" spans="3:3" x14ac:dyDescent="0.25">
      <c r="C1708"/>
    </row>
    <row r="1709" spans="3:3" x14ac:dyDescent="0.25">
      <c r="C1709"/>
    </row>
    <row r="1710" spans="3:3" x14ac:dyDescent="0.25">
      <c r="C1710"/>
    </row>
    <row r="1711" spans="3:3" x14ac:dyDescent="0.25">
      <c r="C1711"/>
    </row>
    <row r="1712" spans="3:3" x14ac:dyDescent="0.25">
      <c r="C1712"/>
    </row>
    <row r="1713" spans="3:3" x14ac:dyDescent="0.25">
      <c r="C1713"/>
    </row>
    <row r="1714" spans="3:3" x14ac:dyDescent="0.25">
      <c r="C1714"/>
    </row>
    <row r="1715" spans="3:3" x14ac:dyDescent="0.25">
      <c r="C1715"/>
    </row>
    <row r="1716" spans="3:3" x14ac:dyDescent="0.25">
      <c r="C1716"/>
    </row>
    <row r="1717" spans="3:3" x14ac:dyDescent="0.25">
      <c r="C1717"/>
    </row>
    <row r="1718" spans="3:3" x14ac:dyDescent="0.25">
      <c r="C1718"/>
    </row>
    <row r="1719" spans="3:3" x14ac:dyDescent="0.25">
      <c r="C1719"/>
    </row>
    <row r="1720" spans="3:3" x14ac:dyDescent="0.25">
      <c r="C1720"/>
    </row>
    <row r="1721" spans="3:3" x14ac:dyDescent="0.25">
      <c r="C1721"/>
    </row>
    <row r="1722" spans="3:3" x14ac:dyDescent="0.25">
      <c r="C1722"/>
    </row>
    <row r="1723" spans="3:3" x14ac:dyDescent="0.25">
      <c r="C1723"/>
    </row>
    <row r="1724" spans="3:3" x14ac:dyDescent="0.25">
      <c r="C1724"/>
    </row>
    <row r="1725" spans="3:3" x14ac:dyDescent="0.25">
      <c r="C1725"/>
    </row>
    <row r="1726" spans="3:3" x14ac:dyDescent="0.25">
      <c r="C1726"/>
    </row>
    <row r="1727" spans="3:3" x14ac:dyDescent="0.25">
      <c r="C1727"/>
    </row>
    <row r="1728" spans="3:3" x14ac:dyDescent="0.25">
      <c r="C1728"/>
    </row>
    <row r="1729" spans="3:3" x14ac:dyDescent="0.25">
      <c r="C1729"/>
    </row>
    <row r="1730" spans="3:3" x14ac:dyDescent="0.25">
      <c r="C1730"/>
    </row>
    <row r="1731" spans="3:3" x14ac:dyDescent="0.25">
      <c r="C1731"/>
    </row>
    <row r="1732" spans="3:3" x14ac:dyDescent="0.25">
      <c r="C1732"/>
    </row>
    <row r="1733" spans="3:3" x14ac:dyDescent="0.25">
      <c r="C1733"/>
    </row>
    <row r="1734" spans="3:3" x14ac:dyDescent="0.25">
      <c r="C1734"/>
    </row>
    <row r="1735" spans="3:3" x14ac:dyDescent="0.25">
      <c r="C1735"/>
    </row>
    <row r="1736" spans="3:3" x14ac:dyDescent="0.25">
      <c r="C1736"/>
    </row>
    <row r="1737" spans="3:3" x14ac:dyDescent="0.25">
      <c r="C1737"/>
    </row>
    <row r="1738" spans="3:3" x14ac:dyDescent="0.25">
      <c r="C1738"/>
    </row>
    <row r="1739" spans="3:3" x14ac:dyDescent="0.25">
      <c r="C1739"/>
    </row>
    <row r="1740" spans="3:3" x14ac:dyDescent="0.25">
      <c r="C1740"/>
    </row>
    <row r="1741" spans="3:3" x14ac:dyDescent="0.25">
      <c r="C1741"/>
    </row>
    <row r="1742" spans="3:3" x14ac:dyDescent="0.25">
      <c r="C1742"/>
    </row>
    <row r="1743" spans="3:3" x14ac:dyDescent="0.25">
      <c r="C1743"/>
    </row>
    <row r="1744" spans="3:3" x14ac:dyDescent="0.25">
      <c r="C1744"/>
    </row>
    <row r="1745" spans="3:3" x14ac:dyDescent="0.25">
      <c r="C1745"/>
    </row>
    <row r="1746" spans="3:3" x14ac:dyDescent="0.25">
      <c r="C1746"/>
    </row>
    <row r="1747" spans="3:3" x14ac:dyDescent="0.25">
      <c r="C1747"/>
    </row>
    <row r="1748" spans="3:3" x14ac:dyDescent="0.25">
      <c r="C1748"/>
    </row>
    <row r="1749" spans="3:3" x14ac:dyDescent="0.25">
      <c r="C1749"/>
    </row>
    <row r="1750" spans="3:3" x14ac:dyDescent="0.25">
      <c r="C1750"/>
    </row>
    <row r="1751" spans="3:3" x14ac:dyDescent="0.25">
      <c r="C1751"/>
    </row>
    <row r="1752" spans="3:3" x14ac:dyDescent="0.25">
      <c r="C1752"/>
    </row>
    <row r="1753" spans="3:3" x14ac:dyDescent="0.25">
      <c r="C1753"/>
    </row>
    <row r="1754" spans="3:3" x14ac:dyDescent="0.25">
      <c r="C1754"/>
    </row>
    <row r="1755" spans="3:3" x14ac:dyDescent="0.25">
      <c r="C1755"/>
    </row>
    <row r="1756" spans="3:3" x14ac:dyDescent="0.25">
      <c r="C1756"/>
    </row>
    <row r="1757" spans="3:3" x14ac:dyDescent="0.25">
      <c r="C1757"/>
    </row>
    <row r="1758" spans="3:3" x14ac:dyDescent="0.25">
      <c r="C1758"/>
    </row>
    <row r="1759" spans="3:3" x14ac:dyDescent="0.25">
      <c r="C1759"/>
    </row>
    <row r="1760" spans="3:3" x14ac:dyDescent="0.25">
      <c r="C1760"/>
    </row>
    <row r="1761" spans="3:3" x14ac:dyDescent="0.25">
      <c r="C1761"/>
    </row>
    <row r="1762" spans="3:3" x14ac:dyDescent="0.25">
      <c r="C1762"/>
    </row>
    <row r="1763" spans="3:3" x14ac:dyDescent="0.25">
      <c r="C1763"/>
    </row>
    <row r="1764" spans="3:3" x14ac:dyDescent="0.25">
      <c r="C1764"/>
    </row>
    <row r="1765" spans="3:3" x14ac:dyDescent="0.25">
      <c r="C1765"/>
    </row>
    <row r="1766" spans="3:3" x14ac:dyDescent="0.25">
      <c r="C1766"/>
    </row>
    <row r="1767" spans="3:3" x14ac:dyDescent="0.25">
      <c r="C1767"/>
    </row>
    <row r="1768" spans="3:3" x14ac:dyDescent="0.25">
      <c r="C1768"/>
    </row>
    <row r="1769" spans="3:3" x14ac:dyDescent="0.25">
      <c r="C1769"/>
    </row>
    <row r="1770" spans="3:3" x14ac:dyDescent="0.25">
      <c r="C1770"/>
    </row>
    <row r="1771" spans="3:3" x14ac:dyDescent="0.25">
      <c r="C1771"/>
    </row>
    <row r="1772" spans="3:3" x14ac:dyDescent="0.25">
      <c r="C1772"/>
    </row>
    <row r="1773" spans="3:3" x14ac:dyDescent="0.25">
      <c r="C1773"/>
    </row>
    <row r="1774" spans="3:3" x14ac:dyDescent="0.25">
      <c r="C1774"/>
    </row>
    <row r="1775" spans="3:3" x14ac:dyDescent="0.25">
      <c r="C1775"/>
    </row>
    <row r="1776" spans="3:3" x14ac:dyDescent="0.25">
      <c r="C1776"/>
    </row>
    <row r="1777" spans="3:3" x14ac:dyDescent="0.25">
      <c r="C1777"/>
    </row>
    <row r="1778" spans="3:3" x14ac:dyDescent="0.25">
      <c r="C1778"/>
    </row>
    <row r="1779" spans="3:3" x14ac:dyDescent="0.25">
      <c r="C1779"/>
    </row>
    <row r="1780" spans="3:3" x14ac:dyDescent="0.25">
      <c r="C1780"/>
    </row>
    <row r="1781" spans="3:3" x14ac:dyDescent="0.25">
      <c r="C1781"/>
    </row>
    <row r="1782" spans="3:3" x14ac:dyDescent="0.25">
      <c r="C1782"/>
    </row>
    <row r="1783" spans="3:3" x14ac:dyDescent="0.25">
      <c r="C1783"/>
    </row>
    <row r="1784" spans="3:3" x14ac:dyDescent="0.25">
      <c r="C1784"/>
    </row>
    <row r="1785" spans="3:3" x14ac:dyDescent="0.25">
      <c r="C1785"/>
    </row>
    <row r="1786" spans="3:3" x14ac:dyDescent="0.25">
      <c r="C1786"/>
    </row>
    <row r="1787" spans="3:3" x14ac:dyDescent="0.25">
      <c r="C1787"/>
    </row>
    <row r="1788" spans="3:3" x14ac:dyDescent="0.25">
      <c r="C1788"/>
    </row>
    <row r="1789" spans="3:3" x14ac:dyDescent="0.25">
      <c r="C1789"/>
    </row>
    <row r="1790" spans="3:3" x14ac:dyDescent="0.25">
      <c r="C1790"/>
    </row>
    <row r="1791" spans="3:3" x14ac:dyDescent="0.25">
      <c r="C1791"/>
    </row>
    <row r="1792" spans="3:3" x14ac:dyDescent="0.25">
      <c r="C1792"/>
    </row>
    <row r="1793" spans="3:3" x14ac:dyDescent="0.25">
      <c r="C1793"/>
    </row>
    <row r="1794" spans="3:3" x14ac:dyDescent="0.25">
      <c r="C1794"/>
    </row>
    <row r="1795" spans="3:3" x14ac:dyDescent="0.25">
      <c r="C1795"/>
    </row>
    <row r="1796" spans="3:3" x14ac:dyDescent="0.25">
      <c r="C1796"/>
    </row>
    <row r="1797" spans="3:3" x14ac:dyDescent="0.25">
      <c r="C1797"/>
    </row>
    <row r="1798" spans="3:3" x14ac:dyDescent="0.25">
      <c r="C1798"/>
    </row>
    <row r="1799" spans="3:3" x14ac:dyDescent="0.25">
      <c r="C1799"/>
    </row>
    <row r="1800" spans="3:3" x14ac:dyDescent="0.25">
      <c r="C1800"/>
    </row>
    <row r="1801" spans="3:3" x14ac:dyDescent="0.25">
      <c r="C1801"/>
    </row>
    <row r="1802" spans="3:3" x14ac:dyDescent="0.25">
      <c r="C1802"/>
    </row>
    <row r="1803" spans="3:3" x14ac:dyDescent="0.25">
      <c r="C1803"/>
    </row>
    <row r="1804" spans="3:3" x14ac:dyDescent="0.25">
      <c r="C1804"/>
    </row>
    <row r="1805" spans="3:3" x14ac:dyDescent="0.25">
      <c r="C1805"/>
    </row>
    <row r="1806" spans="3:3" x14ac:dyDescent="0.25">
      <c r="C1806"/>
    </row>
    <row r="1807" spans="3:3" x14ac:dyDescent="0.25">
      <c r="C1807"/>
    </row>
    <row r="1808" spans="3:3" x14ac:dyDescent="0.25">
      <c r="C1808"/>
    </row>
    <row r="1809" spans="3:3" x14ac:dyDescent="0.25">
      <c r="C1809"/>
    </row>
    <row r="1810" spans="3:3" x14ac:dyDescent="0.25">
      <c r="C1810"/>
    </row>
    <row r="1811" spans="3:3" x14ac:dyDescent="0.25">
      <c r="C1811"/>
    </row>
    <row r="1812" spans="3:3" x14ac:dyDescent="0.25">
      <c r="C1812"/>
    </row>
    <row r="1813" spans="3:3" x14ac:dyDescent="0.25">
      <c r="C1813"/>
    </row>
    <row r="1814" spans="3:3" x14ac:dyDescent="0.25">
      <c r="C1814"/>
    </row>
    <row r="1815" spans="3:3" x14ac:dyDescent="0.25">
      <c r="C1815"/>
    </row>
    <row r="1816" spans="3:3" x14ac:dyDescent="0.25">
      <c r="C1816"/>
    </row>
    <row r="1817" spans="3:3" x14ac:dyDescent="0.25">
      <c r="C1817"/>
    </row>
    <row r="1818" spans="3:3" x14ac:dyDescent="0.25">
      <c r="C1818"/>
    </row>
    <row r="1819" spans="3:3" x14ac:dyDescent="0.25">
      <c r="C1819"/>
    </row>
    <row r="1820" spans="3:3" x14ac:dyDescent="0.25">
      <c r="C1820"/>
    </row>
    <row r="1821" spans="3:3" x14ac:dyDescent="0.25">
      <c r="C1821"/>
    </row>
    <row r="1822" spans="3:3" x14ac:dyDescent="0.25">
      <c r="C1822"/>
    </row>
    <row r="1823" spans="3:3" x14ac:dyDescent="0.25">
      <c r="C1823"/>
    </row>
    <row r="1824" spans="3:3" x14ac:dyDescent="0.25">
      <c r="C1824"/>
    </row>
    <row r="1825" spans="3:3" x14ac:dyDescent="0.25">
      <c r="C1825"/>
    </row>
    <row r="1826" spans="3:3" x14ac:dyDescent="0.25">
      <c r="C1826"/>
    </row>
    <row r="1827" spans="3:3" x14ac:dyDescent="0.25">
      <c r="C1827"/>
    </row>
    <row r="1828" spans="3:3" x14ac:dyDescent="0.25">
      <c r="C1828"/>
    </row>
    <row r="1829" spans="3:3" x14ac:dyDescent="0.25">
      <c r="C1829"/>
    </row>
    <row r="1830" spans="3:3" x14ac:dyDescent="0.25">
      <c r="C1830"/>
    </row>
    <row r="1831" spans="3:3" x14ac:dyDescent="0.25">
      <c r="C1831"/>
    </row>
    <row r="1832" spans="3:3" x14ac:dyDescent="0.25">
      <c r="C1832"/>
    </row>
    <row r="1833" spans="3:3" x14ac:dyDescent="0.25">
      <c r="C1833"/>
    </row>
    <row r="1834" spans="3:3" x14ac:dyDescent="0.25">
      <c r="C1834"/>
    </row>
    <row r="1835" spans="3:3" x14ac:dyDescent="0.25">
      <c r="C1835"/>
    </row>
    <row r="1836" spans="3:3" x14ac:dyDescent="0.25">
      <c r="C1836"/>
    </row>
    <row r="1837" spans="3:3" x14ac:dyDescent="0.25">
      <c r="C1837"/>
    </row>
    <row r="1838" spans="3:3" x14ac:dyDescent="0.25">
      <c r="C1838"/>
    </row>
    <row r="1839" spans="3:3" x14ac:dyDescent="0.25">
      <c r="C1839"/>
    </row>
    <row r="1840" spans="3:3" x14ac:dyDescent="0.25">
      <c r="C1840"/>
    </row>
    <row r="1841" spans="3:3" x14ac:dyDescent="0.25">
      <c r="C1841"/>
    </row>
    <row r="1842" spans="3:3" x14ac:dyDescent="0.25">
      <c r="C1842"/>
    </row>
    <row r="1843" spans="3:3" x14ac:dyDescent="0.25">
      <c r="C1843"/>
    </row>
    <row r="1844" spans="3:3" x14ac:dyDescent="0.25">
      <c r="C1844"/>
    </row>
    <row r="1845" spans="3:3" x14ac:dyDescent="0.25">
      <c r="C1845"/>
    </row>
    <row r="1846" spans="3:3" x14ac:dyDescent="0.25">
      <c r="C1846"/>
    </row>
    <row r="1847" spans="3:3" x14ac:dyDescent="0.25">
      <c r="C1847"/>
    </row>
    <row r="1848" spans="3:3" x14ac:dyDescent="0.25">
      <c r="C1848"/>
    </row>
    <row r="1849" spans="3:3" x14ac:dyDescent="0.25">
      <c r="C1849"/>
    </row>
    <row r="1850" spans="3:3" x14ac:dyDescent="0.25">
      <c r="C1850"/>
    </row>
    <row r="1851" spans="3:3" x14ac:dyDescent="0.25">
      <c r="C1851"/>
    </row>
    <row r="1852" spans="3:3" x14ac:dyDescent="0.25">
      <c r="C1852"/>
    </row>
    <row r="1853" spans="3:3" x14ac:dyDescent="0.25">
      <c r="C1853"/>
    </row>
    <row r="1854" spans="3:3" x14ac:dyDescent="0.25">
      <c r="C1854"/>
    </row>
    <row r="1855" spans="3:3" x14ac:dyDescent="0.25">
      <c r="C1855"/>
    </row>
    <row r="1856" spans="3:3" x14ac:dyDescent="0.25">
      <c r="C1856"/>
    </row>
    <row r="1857" spans="3:3" x14ac:dyDescent="0.25">
      <c r="C1857"/>
    </row>
    <row r="1858" spans="3:3" x14ac:dyDescent="0.25">
      <c r="C1858"/>
    </row>
    <row r="1859" spans="3:3" x14ac:dyDescent="0.25">
      <c r="C1859"/>
    </row>
    <row r="1860" spans="3:3" x14ac:dyDescent="0.25">
      <c r="C1860"/>
    </row>
    <row r="1861" spans="3:3" x14ac:dyDescent="0.25">
      <c r="C1861"/>
    </row>
    <row r="1862" spans="3:3" x14ac:dyDescent="0.25">
      <c r="C1862"/>
    </row>
    <row r="1863" spans="3:3" x14ac:dyDescent="0.25">
      <c r="C1863"/>
    </row>
    <row r="1864" spans="3:3" x14ac:dyDescent="0.25">
      <c r="C1864"/>
    </row>
    <row r="1865" spans="3:3" x14ac:dyDescent="0.25">
      <c r="C1865"/>
    </row>
    <row r="1866" spans="3:3" x14ac:dyDescent="0.25">
      <c r="C1866"/>
    </row>
    <row r="1867" spans="3:3" x14ac:dyDescent="0.25">
      <c r="C1867"/>
    </row>
    <row r="1868" spans="3:3" x14ac:dyDescent="0.25">
      <c r="C1868"/>
    </row>
    <row r="1869" spans="3:3" x14ac:dyDescent="0.25">
      <c r="C1869"/>
    </row>
    <row r="1870" spans="3:3" x14ac:dyDescent="0.25">
      <c r="C1870"/>
    </row>
    <row r="1871" spans="3:3" x14ac:dyDescent="0.25">
      <c r="C1871"/>
    </row>
    <row r="1872" spans="3:3" x14ac:dyDescent="0.25">
      <c r="C1872"/>
    </row>
    <row r="1873" spans="3:3" x14ac:dyDescent="0.25">
      <c r="C1873"/>
    </row>
    <row r="1874" spans="3:3" x14ac:dyDescent="0.25">
      <c r="C1874"/>
    </row>
    <row r="1875" spans="3:3" x14ac:dyDescent="0.25">
      <c r="C1875"/>
    </row>
    <row r="1876" spans="3:3" x14ac:dyDescent="0.25">
      <c r="C1876"/>
    </row>
    <row r="1877" spans="3:3" x14ac:dyDescent="0.25">
      <c r="C1877"/>
    </row>
    <row r="1878" spans="3:3" x14ac:dyDescent="0.25">
      <c r="C1878"/>
    </row>
    <row r="1879" spans="3:3" x14ac:dyDescent="0.25">
      <c r="C1879"/>
    </row>
    <row r="1880" spans="3:3" x14ac:dyDescent="0.25">
      <c r="C1880"/>
    </row>
    <row r="1881" spans="3:3" x14ac:dyDescent="0.25">
      <c r="C1881"/>
    </row>
    <row r="1882" spans="3:3" x14ac:dyDescent="0.25">
      <c r="C1882"/>
    </row>
    <row r="1883" spans="3:3" x14ac:dyDescent="0.25">
      <c r="C1883"/>
    </row>
    <row r="1884" spans="3:3" x14ac:dyDescent="0.25">
      <c r="C1884"/>
    </row>
    <row r="1885" spans="3:3" x14ac:dyDescent="0.25">
      <c r="C1885"/>
    </row>
    <row r="1886" spans="3:3" x14ac:dyDescent="0.25">
      <c r="C1886"/>
    </row>
    <row r="1887" spans="3:3" x14ac:dyDescent="0.25">
      <c r="C1887"/>
    </row>
    <row r="1888" spans="3:3" x14ac:dyDescent="0.25">
      <c r="C1888"/>
    </row>
    <row r="1889" spans="3:3" x14ac:dyDescent="0.25">
      <c r="C1889"/>
    </row>
    <row r="1890" spans="3:3" x14ac:dyDescent="0.25">
      <c r="C1890"/>
    </row>
    <row r="1891" spans="3:3" x14ac:dyDescent="0.25">
      <c r="C1891"/>
    </row>
    <row r="1892" spans="3:3" x14ac:dyDescent="0.25">
      <c r="C1892"/>
    </row>
    <row r="1893" spans="3:3" x14ac:dyDescent="0.25">
      <c r="C1893"/>
    </row>
    <row r="1894" spans="3:3" x14ac:dyDescent="0.25">
      <c r="C1894"/>
    </row>
    <row r="1895" spans="3:3" x14ac:dyDescent="0.25">
      <c r="C1895"/>
    </row>
    <row r="1896" spans="3:3" x14ac:dyDescent="0.25">
      <c r="C1896"/>
    </row>
    <row r="1897" spans="3:3" x14ac:dyDescent="0.25">
      <c r="C1897"/>
    </row>
    <row r="1898" spans="3:3" x14ac:dyDescent="0.25">
      <c r="C1898"/>
    </row>
    <row r="1899" spans="3:3" x14ac:dyDescent="0.25">
      <c r="C1899"/>
    </row>
    <row r="1900" spans="3:3" x14ac:dyDescent="0.25">
      <c r="C1900"/>
    </row>
    <row r="1901" spans="3:3" x14ac:dyDescent="0.25">
      <c r="C1901"/>
    </row>
    <row r="1902" spans="3:3" x14ac:dyDescent="0.25">
      <c r="C1902"/>
    </row>
    <row r="1903" spans="3:3" x14ac:dyDescent="0.25">
      <c r="C1903"/>
    </row>
    <row r="1904" spans="3:3" x14ac:dyDescent="0.25">
      <c r="C1904"/>
    </row>
    <row r="1905" spans="3:3" x14ac:dyDescent="0.25">
      <c r="C1905"/>
    </row>
    <row r="1906" spans="3:3" x14ac:dyDescent="0.25">
      <c r="C1906"/>
    </row>
    <row r="1907" spans="3:3" x14ac:dyDescent="0.25">
      <c r="C1907"/>
    </row>
    <row r="1908" spans="3:3" x14ac:dyDescent="0.25">
      <c r="C1908"/>
    </row>
    <row r="1909" spans="3:3" x14ac:dyDescent="0.25">
      <c r="C1909"/>
    </row>
    <row r="1910" spans="3:3" x14ac:dyDescent="0.25">
      <c r="C1910"/>
    </row>
    <row r="1911" spans="3:3" x14ac:dyDescent="0.25">
      <c r="C1911"/>
    </row>
    <row r="1912" spans="3:3" x14ac:dyDescent="0.25">
      <c r="C1912"/>
    </row>
    <row r="1913" spans="3:3" x14ac:dyDescent="0.25">
      <c r="C1913"/>
    </row>
    <row r="1914" spans="3:3" x14ac:dyDescent="0.25">
      <c r="C1914"/>
    </row>
    <row r="1915" spans="3:3" x14ac:dyDescent="0.25">
      <c r="C1915"/>
    </row>
    <row r="1916" spans="3:3" x14ac:dyDescent="0.25">
      <c r="C1916"/>
    </row>
    <row r="1917" spans="3:3" x14ac:dyDescent="0.25">
      <c r="C1917"/>
    </row>
    <row r="1918" spans="3:3" x14ac:dyDescent="0.25">
      <c r="C1918"/>
    </row>
    <row r="1919" spans="3:3" x14ac:dyDescent="0.25">
      <c r="C1919"/>
    </row>
    <row r="1920" spans="3:3" x14ac:dyDescent="0.25">
      <c r="C1920"/>
    </row>
    <row r="1921" spans="3:3" x14ac:dyDescent="0.25">
      <c r="C1921"/>
    </row>
    <row r="1922" spans="3:3" x14ac:dyDescent="0.25">
      <c r="C1922"/>
    </row>
    <row r="1923" spans="3:3" x14ac:dyDescent="0.25">
      <c r="C1923"/>
    </row>
    <row r="1924" spans="3:3" x14ac:dyDescent="0.25">
      <c r="C1924"/>
    </row>
    <row r="1925" spans="3:3" x14ac:dyDescent="0.25">
      <c r="C1925"/>
    </row>
    <row r="1926" spans="3:3" x14ac:dyDescent="0.25">
      <c r="C1926"/>
    </row>
    <row r="1927" spans="3:3" x14ac:dyDescent="0.25">
      <c r="C1927"/>
    </row>
    <row r="1928" spans="3:3" x14ac:dyDescent="0.25">
      <c r="C1928"/>
    </row>
    <row r="1929" spans="3:3" x14ac:dyDescent="0.25">
      <c r="C1929"/>
    </row>
    <row r="1930" spans="3:3" x14ac:dyDescent="0.25">
      <c r="C1930"/>
    </row>
    <row r="1931" spans="3:3" x14ac:dyDescent="0.25">
      <c r="C1931"/>
    </row>
    <row r="1932" spans="3:3" x14ac:dyDescent="0.25">
      <c r="C1932"/>
    </row>
    <row r="1933" spans="3:3" x14ac:dyDescent="0.25">
      <c r="C1933"/>
    </row>
    <row r="1934" spans="3:3" x14ac:dyDescent="0.25">
      <c r="C1934"/>
    </row>
    <row r="1935" spans="3:3" x14ac:dyDescent="0.25">
      <c r="C1935"/>
    </row>
    <row r="1936" spans="3:3" x14ac:dyDescent="0.25">
      <c r="C1936"/>
    </row>
    <row r="1937" spans="3:3" x14ac:dyDescent="0.25">
      <c r="C1937"/>
    </row>
    <row r="1938" spans="3:3" x14ac:dyDescent="0.25">
      <c r="C1938"/>
    </row>
    <row r="1939" spans="3:3" x14ac:dyDescent="0.25">
      <c r="C1939"/>
    </row>
    <row r="1940" spans="3:3" x14ac:dyDescent="0.25">
      <c r="C1940"/>
    </row>
    <row r="1941" spans="3:3" x14ac:dyDescent="0.25">
      <c r="C1941"/>
    </row>
    <row r="1942" spans="3:3" x14ac:dyDescent="0.25">
      <c r="C1942"/>
    </row>
    <row r="1943" spans="3:3" x14ac:dyDescent="0.25">
      <c r="C1943"/>
    </row>
    <row r="1944" spans="3:3" x14ac:dyDescent="0.25">
      <c r="C1944"/>
    </row>
    <row r="1945" spans="3:3" x14ac:dyDescent="0.25">
      <c r="C1945"/>
    </row>
    <row r="1946" spans="3:3" x14ac:dyDescent="0.25">
      <c r="C1946"/>
    </row>
    <row r="1947" spans="3:3" x14ac:dyDescent="0.25">
      <c r="C1947"/>
    </row>
    <row r="1948" spans="3:3" x14ac:dyDescent="0.25">
      <c r="C1948"/>
    </row>
    <row r="1949" spans="3:3" x14ac:dyDescent="0.25">
      <c r="C1949"/>
    </row>
    <row r="1950" spans="3:3" x14ac:dyDescent="0.25">
      <c r="C1950"/>
    </row>
    <row r="1951" spans="3:3" x14ac:dyDescent="0.25">
      <c r="C1951"/>
    </row>
    <row r="1952" spans="3:3" x14ac:dyDescent="0.25">
      <c r="C1952"/>
    </row>
    <row r="1953" spans="3:3" x14ac:dyDescent="0.25">
      <c r="C1953"/>
    </row>
    <row r="1954" spans="3:3" x14ac:dyDescent="0.25">
      <c r="C1954"/>
    </row>
    <row r="1955" spans="3:3" x14ac:dyDescent="0.25">
      <c r="C1955"/>
    </row>
    <row r="1956" spans="3:3" x14ac:dyDescent="0.25">
      <c r="C1956"/>
    </row>
    <row r="1957" spans="3:3" x14ac:dyDescent="0.25">
      <c r="C1957"/>
    </row>
    <row r="1958" spans="3:3" x14ac:dyDescent="0.25">
      <c r="C1958"/>
    </row>
    <row r="1959" spans="3:3" x14ac:dyDescent="0.25">
      <c r="C1959"/>
    </row>
    <row r="1960" spans="3:3" x14ac:dyDescent="0.25">
      <c r="C1960"/>
    </row>
    <row r="1961" spans="3:3" x14ac:dyDescent="0.25">
      <c r="C1961"/>
    </row>
    <row r="1962" spans="3:3" x14ac:dyDescent="0.25">
      <c r="C1962"/>
    </row>
    <row r="1963" spans="3:3" x14ac:dyDescent="0.25">
      <c r="C1963"/>
    </row>
    <row r="1964" spans="3:3" x14ac:dyDescent="0.25">
      <c r="C1964"/>
    </row>
    <row r="1965" spans="3:3" x14ac:dyDescent="0.25">
      <c r="C1965"/>
    </row>
    <row r="1966" spans="3:3" x14ac:dyDescent="0.25">
      <c r="C1966"/>
    </row>
    <row r="1967" spans="3:3" x14ac:dyDescent="0.25">
      <c r="C1967"/>
    </row>
    <row r="1968" spans="3:3" x14ac:dyDescent="0.25">
      <c r="C1968"/>
    </row>
    <row r="1969" spans="3:3" x14ac:dyDescent="0.25">
      <c r="C1969"/>
    </row>
    <row r="1970" spans="3:3" x14ac:dyDescent="0.25">
      <c r="C1970"/>
    </row>
    <row r="1971" spans="3:3" x14ac:dyDescent="0.25">
      <c r="C1971"/>
    </row>
    <row r="1972" spans="3:3" x14ac:dyDescent="0.25">
      <c r="C1972"/>
    </row>
    <row r="1973" spans="3:3" x14ac:dyDescent="0.25">
      <c r="C1973"/>
    </row>
    <row r="1974" spans="3:3" x14ac:dyDescent="0.25">
      <c r="C1974"/>
    </row>
    <row r="1975" spans="3:3" x14ac:dyDescent="0.25">
      <c r="C1975"/>
    </row>
    <row r="1976" spans="3:3" x14ac:dyDescent="0.25">
      <c r="C1976"/>
    </row>
    <row r="1977" spans="3:3" x14ac:dyDescent="0.25">
      <c r="C1977"/>
    </row>
    <row r="1978" spans="3:3" x14ac:dyDescent="0.25">
      <c r="C1978"/>
    </row>
    <row r="1979" spans="3:3" x14ac:dyDescent="0.25">
      <c r="C1979"/>
    </row>
    <row r="1980" spans="3:3" x14ac:dyDescent="0.25">
      <c r="C1980"/>
    </row>
    <row r="1981" spans="3:3" x14ac:dyDescent="0.25">
      <c r="C1981"/>
    </row>
    <row r="1982" spans="3:3" x14ac:dyDescent="0.25">
      <c r="C1982"/>
    </row>
    <row r="1983" spans="3:3" x14ac:dyDescent="0.25">
      <c r="C1983"/>
    </row>
    <row r="1984" spans="3:3" x14ac:dyDescent="0.25">
      <c r="C1984"/>
    </row>
    <row r="1985" spans="3:3" x14ac:dyDescent="0.25">
      <c r="C1985"/>
    </row>
    <row r="1986" spans="3:3" x14ac:dyDescent="0.25">
      <c r="C1986"/>
    </row>
    <row r="1987" spans="3:3" x14ac:dyDescent="0.25">
      <c r="C1987"/>
    </row>
    <row r="1988" spans="3:3" x14ac:dyDescent="0.25">
      <c r="C1988"/>
    </row>
    <row r="1989" spans="3:3" x14ac:dyDescent="0.25">
      <c r="C1989"/>
    </row>
    <row r="1990" spans="3:3" x14ac:dyDescent="0.25">
      <c r="C1990"/>
    </row>
    <row r="1991" spans="3:3" x14ac:dyDescent="0.25">
      <c r="C1991"/>
    </row>
    <row r="1992" spans="3:3" x14ac:dyDescent="0.25">
      <c r="C1992"/>
    </row>
    <row r="1993" spans="3:3" x14ac:dyDescent="0.25">
      <c r="C1993"/>
    </row>
    <row r="1994" spans="3:3" x14ac:dyDescent="0.25">
      <c r="C1994"/>
    </row>
    <row r="1995" spans="3:3" x14ac:dyDescent="0.25">
      <c r="C1995"/>
    </row>
    <row r="1996" spans="3:3" x14ac:dyDescent="0.25">
      <c r="C1996"/>
    </row>
    <row r="1997" spans="3:3" x14ac:dyDescent="0.25">
      <c r="C1997"/>
    </row>
    <row r="1998" spans="3:3" x14ac:dyDescent="0.25">
      <c r="C1998"/>
    </row>
    <row r="1999" spans="3:3" x14ac:dyDescent="0.25">
      <c r="C1999"/>
    </row>
    <row r="2000" spans="3:3" x14ac:dyDescent="0.25">
      <c r="C2000"/>
    </row>
    <row r="2001" spans="3:3" x14ac:dyDescent="0.25">
      <c r="C2001"/>
    </row>
    <row r="2002" spans="3:3" x14ac:dyDescent="0.25">
      <c r="C2002"/>
    </row>
    <row r="2003" spans="3:3" x14ac:dyDescent="0.25">
      <c r="C2003"/>
    </row>
    <row r="2004" spans="3:3" x14ac:dyDescent="0.25">
      <c r="C2004"/>
    </row>
    <row r="2005" spans="3:3" x14ac:dyDescent="0.25">
      <c r="C2005"/>
    </row>
    <row r="2006" spans="3:3" x14ac:dyDescent="0.25">
      <c r="C2006"/>
    </row>
    <row r="2007" spans="3:3" x14ac:dyDescent="0.25">
      <c r="C2007"/>
    </row>
    <row r="2008" spans="3:3" x14ac:dyDescent="0.25">
      <c r="C2008"/>
    </row>
    <row r="2009" spans="3:3" x14ac:dyDescent="0.25">
      <c r="C2009"/>
    </row>
    <row r="2010" spans="3:3" x14ac:dyDescent="0.25">
      <c r="C2010"/>
    </row>
    <row r="2011" spans="3:3" x14ac:dyDescent="0.25">
      <c r="C2011"/>
    </row>
    <row r="2012" spans="3:3" x14ac:dyDescent="0.25">
      <c r="C2012"/>
    </row>
    <row r="2013" spans="3:3" x14ac:dyDescent="0.25">
      <c r="C2013"/>
    </row>
    <row r="2014" spans="3:3" x14ac:dyDescent="0.25">
      <c r="C2014"/>
    </row>
    <row r="2015" spans="3:3" x14ac:dyDescent="0.25">
      <c r="C2015"/>
    </row>
    <row r="2016" spans="3:3" x14ac:dyDescent="0.25">
      <c r="C2016"/>
    </row>
    <row r="2017" spans="3:3" x14ac:dyDescent="0.25">
      <c r="C2017"/>
    </row>
    <row r="2018" spans="3:3" x14ac:dyDescent="0.25">
      <c r="C2018"/>
    </row>
    <row r="2019" spans="3:3" x14ac:dyDescent="0.25">
      <c r="C2019"/>
    </row>
    <row r="2020" spans="3:3" x14ac:dyDescent="0.25">
      <c r="C2020"/>
    </row>
    <row r="2021" spans="3:3" x14ac:dyDescent="0.25">
      <c r="C2021"/>
    </row>
    <row r="2022" spans="3:3" x14ac:dyDescent="0.25">
      <c r="C2022"/>
    </row>
    <row r="2023" spans="3:3" x14ac:dyDescent="0.25">
      <c r="C2023"/>
    </row>
    <row r="2024" spans="3:3" x14ac:dyDescent="0.25">
      <c r="C2024"/>
    </row>
    <row r="2025" spans="3:3" x14ac:dyDescent="0.25">
      <c r="C2025"/>
    </row>
    <row r="2026" spans="3:3" x14ac:dyDescent="0.25">
      <c r="C2026"/>
    </row>
    <row r="2027" spans="3:3" x14ac:dyDescent="0.25">
      <c r="C2027"/>
    </row>
    <row r="2028" spans="3:3" x14ac:dyDescent="0.25">
      <c r="C2028"/>
    </row>
    <row r="2029" spans="3:3" x14ac:dyDescent="0.25">
      <c r="C2029"/>
    </row>
    <row r="2030" spans="3:3" x14ac:dyDescent="0.25">
      <c r="C2030"/>
    </row>
    <row r="2031" spans="3:3" x14ac:dyDescent="0.25">
      <c r="C2031"/>
    </row>
    <row r="2032" spans="3:3" x14ac:dyDescent="0.25">
      <c r="C2032"/>
    </row>
    <row r="2033" spans="3:3" x14ac:dyDescent="0.25">
      <c r="C2033"/>
    </row>
    <row r="2034" spans="3:3" x14ac:dyDescent="0.25">
      <c r="C2034"/>
    </row>
    <row r="2035" spans="3:3" x14ac:dyDescent="0.25">
      <c r="C2035"/>
    </row>
    <row r="2036" spans="3:3" x14ac:dyDescent="0.25">
      <c r="C2036"/>
    </row>
    <row r="2037" spans="3:3" x14ac:dyDescent="0.25">
      <c r="C2037"/>
    </row>
    <row r="2038" spans="3:3" x14ac:dyDescent="0.25">
      <c r="C2038"/>
    </row>
    <row r="2039" spans="3:3" x14ac:dyDescent="0.25">
      <c r="C2039"/>
    </row>
    <row r="2040" spans="3:3" x14ac:dyDescent="0.25">
      <c r="C2040"/>
    </row>
    <row r="2041" spans="3:3" x14ac:dyDescent="0.25">
      <c r="C2041"/>
    </row>
    <row r="2042" spans="3:3" x14ac:dyDescent="0.25">
      <c r="C2042"/>
    </row>
    <row r="2043" spans="3:3" x14ac:dyDescent="0.25">
      <c r="C2043"/>
    </row>
    <row r="2044" spans="3:3" x14ac:dyDescent="0.25">
      <c r="C2044"/>
    </row>
    <row r="2045" spans="3:3" x14ac:dyDescent="0.25">
      <c r="C2045"/>
    </row>
    <row r="2046" spans="3:3" x14ac:dyDescent="0.25">
      <c r="C2046"/>
    </row>
    <row r="2047" spans="3:3" x14ac:dyDescent="0.25">
      <c r="C2047"/>
    </row>
    <row r="2048" spans="3:3" x14ac:dyDescent="0.25">
      <c r="C2048"/>
    </row>
    <row r="2049" spans="3:3" x14ac:dyDescent="0.25">
      <c r="C2049"/>
    </row>
    <row r="2050" spans="3:3" x14ac:dyDescent="0.25">
      <c r="C2050"/>
    </row>
    <row r="2051" spans="3:3" x14ac:dyDescent="0.25">
      <c r="C2051"/>
    </row>
    <row r="2052" spans="3:3" x14ac:dyDescent="0.25">
      <c r="C2052"/>
    </row>
    <row r="2053" spans="3:3" x14ac:dyDescent="0.25">
      <c r="C2053"/>
    </row>
    <row r="2054" spans="3:3" x14ac:dyDescent="0.25">
      <c r="C2054"/>
    </row>
    <row r="2055" spans="3:3" x14ac:dyDescent="0.25">
      <c r="C2055"/>
    </row>
    <row r="2056" spans="3:3" x14ac:dyDescent="0.25">
      <c r="C2056"/>
    </row>
    <row r="2057" spans="3:3" x14ac:dyDescent="0.25">
      <c r="C2057"/>
    </row>
    <row r="2058" spans="3:3" x14ac:dyDescent="0.25">
      <c r="C2058"/>
    </row>
    <row r="2059" spans="3:3" x14ac:dyDescent="0.25">
      <c r="C2059"/>
    </row>
    <row r="2060" spans="3:3" x14ac:dyDescent="0.25">
      <c r="C2060"/>
    </row>
    <row r="2061" spans="3:3" x14ac:dyDescent="0.25">
      <c r="C2061"/>
    </row>
    <row r="2062" spans="3:3" x14ac:dyDescent="0.25">
      <c r="C2062"/>
    </row>
    <row r="2063" spans="3:3" x14ac:dyDescent="0.25">
      <c r="C2063"/>
    </row>
    <row r="2064" spans="3:3" x14ac:dyDescent="0.25">
      <c r="C2064"/>
    </row>
    <row r="2065" spans="3:3" x14ac:dyDescent="0.25">
      <c r="C2065"/>
    </row>
    <row r="2066" spans="3:3" x14ac:dyDescent="0.25">
      <c r="C2066"/>
    </row>
    <row r="2067" spans="3:3" x14ac:dyDescent="0.25">
      <c r="C2067"/>
    </row>
    <row r="2068" spans="3:3" x14ac:dyDescent="0.25">
      <c r="C2068"/>
    </row>
    <row r="2069" spans="3:3" x14ac:dyDescent="0.25">
      <c r="C2069"/>
    </row>
    <row r="2070" spans="3:3" x14ac:dyDescent="0.25">
      <c r="C2070"/>
    </row>
    <row r="2071" spans="3:3" x14ac:dyDescent="0.25">
      <c r="C2071"/>
    </row>
    <row r="2072" spans="3:3" x14ac:dyDescent="0.25">
      <c r="C2072"/>
    </row>
    <row r="2073" spans="3:3" x14ac:dyDescent="0.25">
      <c r="C2073"/>
    </row>
    <row r="2074" spans="3:3" x14ac:dyDescent="0.25">
      <c r="C2074"/>
    </row>
    <row r="2075" spans="3:3" x14ac:dyDescent="0.25">
      <c r="C2075"/>
    </row>
    <row r="2076" spans="3:3" x14ac:dyDescent="0.25">
      <c r="C2076"/>
    </row>
    <row r="2077" spans="3:3" x14ac:dyDescent="0.25">
      <c r="C2077"/>
    </row>
    <row r="2078" spans="3:3" x14ac:dyDescent="0.25">
      <c r="C2078"/>
    </row>
    <row r="2079" spans="3:3" x14ac:dyDescent="0.25">
      <c r="C2079"/>
    </row>
    <row r="2080" spans="3:3" x14ac:dyDescent="0.25">
      <c r="C2080"/>
    </row>
    <row r="2081" spans="3:3" x14ac:dyDescent="0.25">
      <c r="C2081"/>
    </row>
    <row r="2082" spans="3:3" x14ac:dyDescent="0.25">
      <c r="C2082"/>
    </row>
    <row r="2083" spans="3:3" x14ac:dyDescent="0.25">
      <c r="C2083"/>
    </row>
    <row r="2084" spans="3:3" x14ac:dyDescent="0.25">
      <c r="C2084"/>
    </row>
    <row r="2085" spans="3:3" x14ac:dyDescent="0.25">
      <c r="C2085"/>
    </row>
    <row r="2086" spans="3:3" x14ac:dyDescent="0.25">
      <c r="C2086"/>
    </row>
    <row r="2087" spans="3:3" x14ac:dyDescent="0.25">
      <c r="C2087"/>
    </row>
    <row r="2088" spans="3:3" x14ac:dyDescent="0.25">
      <c r="C2088"/>
    </row>
    <row r="2089" spans="3:3" x14ac:dyDescent="0.25">
      <c r="C2089"/>
    </row>
    <row r="2090" spans="3:3" x14ac:dyDescent="0.25">
      <c r="C2090"/>
    </row>
    <row r="2091" spans="3:3" x14ac:dyDescent="0.25">
      <c r="C2091"/>
    </row>
    <row r="2092" spans="3:3" x14ac:dyDescent="0.25">
      <c r="C2092"/>
    </row>
    <row r="2093" spans="3:3" x14ac:dyDescent="0.25">
      <c r="C2093"/>
    </row>
    <row r="2094" spans="3:3" x14ac:dyDescent="0.25">
      <c r="C2094"/>
    </row>
    <row r="2095" spans="3:3" x14ac:dyDescent="0.25">
      <c r="C2095"/>
    </row>
    <row r="2096" spans="3:3" x14ac:dyDescent="0.25">
      <c r="C2096"/>
    </row>
    <row r="2097" spans="3:3" x14ac:dyDescent="0.25">
      <c r="C2097"/>
    </row>
    <row r="2098" spans="3:3" x14ac:dyDescent="0.25">
      <c r="C2098"/>
    </row>
    <row r="2099" spans="3:3" x14ac:dyDescent="0.25">
      <c r="C2099"/>
    </row>
    <row r="2100" spans="3:3" x14ac:dyDescent="0.25">
      <c r="C2100"/>
    </row>
    <row r="2101" spans="3:3" x14ac:dyDescent="0.25">
      <c r="C2101"/>
    </row>
    <row r="2102" spans="3:3" x14ac:dyDescent="0.25">
      <c r="C2102"/>
    </row>
    <row r="2103" spans="3:3" x14ac:dyDescent="0.25">
      <c r="C2103"/>
    </row>
    <row r="2104" spans="3:3" x14ac:dyDescent="0.25">
      <c r="C2104"/>
    </row>
    <row r="2105" spans="3:3" x14ac:dyDescent="0.25">
      <c r="C2105"/>
    </row>
    <row r="2106" spans="3:3" x14ac:dyDescent="0.25">
      <c r="C2106"/>
    </row>
    <row r="2107" spans="3:3" x14ac:dyDescent="0.25">
      <c r="C2107"/>
    </row>
    <row r="2108" spans="3:3" x14ac:dyDescent="0.25">
      <c r="C2108"/>
    </row>
    <row r="2109" spans="3:3" x14ac:dyDescent="0.25">
      <c r="C2109"/>
    </row>
    <row r="2110" spans="3:3" x14ac:dyDescent="0.25">
      <c r="C2110"/>
    </row>
    <row r="2111" spans="3:3" x14ac:dyDescent="0.25">
      <c r="C2111"/>
    </row>
    <row r="2112" spans="3:3" x14ac:dyDescent="0.25">
      <c r="C2112"/>
    </row>
    <row r="2113" spans="3:3" x14ac:dyDescent="0.25">
      <c r="C2113"/>
    </row>
    <row r="2114" spans="3:3" x14ac:dyDescent="0.25">
      <c r="C2114"/>
    </row>
    <row r="2115" spans="3:3" x14ac:dyDescent="0.25">
      <c r="C2115"/>
    </row>
    <row r="2116" spans="3:3" x14ac:dyDescent="0.25">
      <c r="C2116"/>
    </row>
    <row r="2117" spans="3:3" x14ac:dyDescent="0.25">
      <c r="C2117"/>
    </row>
    <row r="2118" spans="3:3" x14ac:dyDescent="0.25">
      <c r="C2118"/>
    </row>
    <row r="2119" spans="3:3" x14ac:dyDescent="0.25">
      <c r="C2119"/>
    </row>
    <row r="2120" spans="3:3" x14ac:dyDescent="0.25">
      <c r="C2120"/>
    </row>
    <row r="2121" spans="3:3" x14ac:dyDescent="0.25">
      <c r="C2121"/>
    </row>
    <row r="2122" spans="3:3" x14ac:dyDescent="0.25">
      <c r="C2122"/>
    </row>
    <row r="2123" spans="3:3" x14ac:dyDescent="0.25">
      <c r="C2123"/>
    </row>
    <row r="2124" spans="3:3" x14ac:dyDescent="0.25">
      <c r="C2124"/>
    </row>
    <row r="2125" spans="3:3" x14ac:dyDescent="0.25">
      <c r="C2125"/>
    </row>
    <row r="2126" spans="3:3" x14ac:dyDescent="0.25">
      <c r="C2126"/>
    </row>
    <row r="2127" spans="3:3" x14ac:dyDescent="0.25">
      <c r="C2127"/>
    </row>
    <row r="2128" spans="3:3" x14ac:dyDescent="0.25">
      <c r="C2128"/>
    </row>
    <row r="2129" spans="3:3" x14ac:dyDescent="0.25">
      <c r="C2129"/>
    </row>
    <row r="2130" spans="3:3" x14ac:dyDescent="0.25">
      <c r="C2130"/>
    </row>
    <row r="2131" spans="3:3" x14ac:dyDescent="0.25">
      <c r="C2131"/>
    </row>
    <row r="2132" spans="3:3" x14ac:dyDescent="0.25">
      <c r="C2132"/>
    </row>
    <row r="2133" spans="3:3" x14ac:dyDescent="0.25">
      <c r="C2133"/>
    </row>
    <row r="2134" spans="3:3" x14ac:dyDescent="0.25">
      <c r="C2134"/>
    </row>
    <row r="2135" spans="3:3" x14ac:dyDescent="0.25">
      <c r="C2135"/>
    </row>
    <row r="2136" spans="3:3" x14ac:dyDescent="0.25">
      <c r="C2136"/>
    </row>
    <row r="2137" spans="3:3" x14ac:dyDescent="0.25">
      <c r="C2137"/>
    </row>
    <row r="2138" spans="3:3" x14ac:dyDescent="0.25">
      <c r="C2138"/>
    </row>
    <row r="2139" spans="3:3" x14ac:dyDescent="0.25">
      <c r="C2139"/>
    </row>
    <row r="2140" spans="3:3" x14ac:dyDescent="0.25">
      <c r="C2140"/>
    </row>
    <row r="2141" spans="3:3" x14ac:dyDescent="0.25">
      <c r="C2141"/>
    </row>
    <row r="2142" spans="3:3" x14ac:dyDescent="0.25">
      <c r="C2142"/>
    </row>
    <row r="2143" spans="3:3" x14ac:dyDescent="0.25">
      <c r="C2143"/>
    </row>
    <row r="2144" spans="3:3" x14ac:dyDescent="0.25">
      <c r="C2144"/>
    </row>
    <row r="2145" spans="3:3" x14ac:dyDescent="0.25">
      <c r="C2145"/>
    </row>
    <row r="2146" spans="3:3" x14ac:dyDescent="0.25">
      <c r="C2146"/>
    </row>
    <row r="2147" spans="3:3" x14ac:dyDescent="0.25">
      <c r="C2147"/>
    </row>
    <row r="2148" spans="3:3" x14ac:dyDescent="0.25">
      <c r="C2148"/>
    </row>
    <row r="2149" spans="3:3" x14ac:dyDescent="0.25">
      <c r="C2149"/>
    </row>
    <row r="2150" spans="3:3" x14ac:dyDescent="0.25">
      <c r="C2150"/>
    </row>
    <row r="2151" spans="3:3" x14ac:dyDescent="0.25">
      <c r="C2151"/>
    </row>
    <row r="2152" spans="3:3" x14ac:dyDescent="0.25">
      <c r="C2152"/>
    </row>
    <row r="2153" spans="3:3" x14ac:dyDescent="0.25">
      <c r="C2153"/>
    </row>
    <row r="2154" spans="3:3" x14ac:dyDescent="0.25">
      <c r="C2154"/>
    </row>
    <row r="2155" spans="3:3" x14ac:dyDescent="0.25">
      <c r="C2155"/>
    </row>
    <row r="2156" spans="3:3" x14ac:dyDescent="0.25">
      <c r="C2156"/>
    </row>
    <row r="2157" spans="3:3" x14ac:dyDescent="0.25">
      <c r="C2157"/>
    </row>
    <row r="2158" spans="3:3" x14ac:dyDescent="0.25">
      <c r="C2158"/>
    </row>
    <row r="2159" spans="3:3" x14ac:dyDescent="0.25">
      <c r="C2159"/>
    </row>
    <row r="2160" spans="3:3" x14ac:dyDescent="0.25">
      <c r="C2160"/>
    </row>
    <row r="2161" spans="3:3" x14ac:dyDescent="0.25">
      <c r="C2161"/>
    </row>
    <row r="2162" spans="3:3" x14ac:dyDescent="0.25">
      <c r="C2162"/>
    </row>
    <row r="2163" spans="3:3" x14ac:dyDescent="0.25">
      <c r="C2163"/>
    </row>
    <row r="2164" spans="3:3" x14ac:dyDescent="0.25">
      <c r="C2164"/>
    </row>
    <row r="2165" spans="3:3" x14ac:dyDescent="0.25">
      <c r="C2165"/>
    </row>
    <row r="2166" spans="3:3" x14ac:dyDescent="0.25">
      <c r="C2166"/>
    </row>
    <row r="2167" spans="3:3" x14ac:dyDescent="0.25">
      <c r="C2167"/>
    </row>
    <row r="2168" spans="3:3" x14ac:dyDescent="0.25">
      <c r="C2168"/>
    </row>
    <row r="2169" spans="3:3" x14ac:dyDescent="0.25">
      <c r="C2169"/>
    </row>
    <row r="2170" spans="3:3" x14ac:dyDescent="0.25">
      <c r="C2170"/>
    </row>
    <row r="2171" spans="3:3" x14ac:dyDescent="0.25">
      <c r="C2171"/>
    </row>
    <row r="2172" spans="3:3" x14ac:dyDescent="0.25">
      <c r="C2172"/>
    </row>
    <row r="2173" spans="3:3" x14ac:dyDescent="0.25">
      <c r="C2173"/>
    </row>
    <row r="2174" spans="3:3" x14ac:dyDescent="0.25">
      <c r="C2174"/>
    </row>
    <row r="2175" spans="3:3" x14ac:dyDescent="0.25">
      <c r="C2175"/>
    </row>
    <row r="2176" spans="3:3" x14ac:dyDescent="0.25">
      <c r="C2176"/>
    </row>
    <row r="2177" spans="3:3" x14ac:dyDescent="0.25">
      <c r="C2177"/>
    </row>
    <row r="2178" spans="3:3" x14ac:dyDescent="0.25">
      <c r="C2178"/>
    </row>
    <row r="2179" spans="3:3" x14ac:dyDescent="0.25">
      <c r="C2179"/>
    </row>
    <row r="2180" spans="3:3" x14ac:dyDescent="0.25">
      <c r="C2180"/>
    </row>
    <row r="2181" spans="3:3" x14ac:dyDescent="0.25">
      <c r="C2181"/>
    </row>
    <row r="2182" spans="3:3" x14ac:dyDescent="0.25">
      <c r="C2182"/>
    </row>
    <row r="2183" spans="3:3" x14ac:dyDescent="0.25">
      <c r="C2183"/>
    </row>
    <row r="2184" spans="3:3" x14ac:dyDescent="0.25">
      <c r="C2184"/>
    </row>
    <row r="2185" spans="3:3" x14ac:dyDescent="0.25">
      <c r="C2185"/>
    </row>
    <row r="2186" spans="3:3" x14ac:dyDescent="0.25">
      <c r="C2186"/>
    </row>
    <row r="2187" spans="3:3" x14ac:dyDescent="0.25">
      <c r="C2187"/>
    </row>
    <row r="2188" spans="3:3" x14ac:dyDescent="0.25">
      <c r="C2188"/>
    </row>
    <row r="2189" spans="3:3" x14ac:dyDescent="0.25">
      <c r="C2189"/>
    </row>
    <row r="2190" spans="3:3" x14ac:dyDescent="0.25">
      <c r="C2190"/>
    </row>
    <row r="2191" spans="3:3" x14ac:dyDescent="0.25">
      <c r="C2191"/>
    </row>
    <row r="2192" spans="3:3" x14ac:dyDescent="0.25">
      <c r="C2192"/>
    </row>
    <row r="2193" spans="3:3" x14ac:dyDescent="0.25">
      <c r="C2193"/>
    </row>
    <row r="2194" spans="3:3" x14ac:dyDescent="0.25">
      <c r="C2194"/>
    </row>
    <row r="2195" spans="3:3" x14ac:dyDescent="0.25">
      <c r="C2195"/>
    </row>
    <row r="2196" spans="3:3" x14ac:dyDescent="0.25">
      <c r="C2196"/>
    </row>
    <row r="2197" spans="3:3" x14ac:dyDescent="0.25">
      <c r="C2197"/>
    </row>
    <row r="2198" spans="3:3" x14ac:dyDescent="0.25">
      <c r="C2198"/>
    </row>
    <row r="2199" spans="3:3" x14ac:dyDescent="0.25">
      <c r="C2199"/>
    </row>
    <row r="2200" spans="3:3" x14ac:dyDescent="0.25">
      <c r="C2200"/>
    </row>
    <row r="2201" spans="3:3" x14ac:dyDescent="0.25">
      <c r="C2201"/>
    </row>
    <row r="2202" spans="3:3" x14ac:dyDescent="0.25">
      <c r="C2202"/>
    </row>
    <row r="2203" spans="3:3" x14ac:dyDescent="0.25">
      <c r="C2203"/>
    </row>
    <row r="2204" spans="3:3" x14ac:dyDescent="0.25">
      <c r="C2204"/>
    </row>
    <row r="2205" spans="3:3" x14ac:dyDescent="0.25">
      <c r="C2205"/>
    </row>
    <row r="2206" spans="3:3" x14ac:dyDescent="0.25">
      <c r="C2206"/>
    </row>
    <row r="2207" spans="3:3" x14ac:dyDescent="0.25">
      <c r="C2207"/>
    </row>
    <row r="2208" spans="3:3" x14ac:dyDescent="0.25">
      <c r="C2208"/>
    </row>
    <row r="2209" spans="3:3" x14ac:dyDescent="0.25">
      <c r="C2209"/>
    </row>
    <row r="2210" spans="3:3" x14ac:dyDescent="0.25">
      <c r="C2210"/>
    </row>
    <row r="2211" spans="3:3" x14ac:dyDescent="0.25">
      <c r="C2211"/>
    </row>
    <row r="2212" spans="3:3" x14ac:dyDescent="0.25">
      <c r="C2212"/>
    </row>
    <row r="2213" spans="3:3" x14ac:dyDescent="0.25">
      <c r="C2213"/>
    </row>
    <row r="2214" spans="3:3" x14ac:dyDescent="0.25">
      <c r="C2214"/>
    </row>
    <row r="2215" spans="3:3" x14ac:dyDescent="0.25">
      <c r="C2215"/>
    </row>
    <row r="2216" spans="3:3" x14ac:dyDescent="0.25">
      <c r="C2216"/>
    </row>
    <row r="2217" spans="3:3" x14ac:dyDescent="0.25">
      <c r="C2217"/>
    </row>
    <row r="2218" spans="3:3" x14ac:dyDescent="0.25">
      <c r="C2218"/>
    </row>
    <row r="2219" spans="3:3" x14ac:dyDescent="0.25">
      <c r="C2219"/>
    </row>
    <row r="2220" spans="3:3" x14ac:dyDescent="0.25">
      <c r="C2220"/>
    </row>
    <row r="2221" spans="3:3" x14ac:dyDescent="0.25">
      <c r="C2221"/>
    </row>
    <row r="2222" spans="3:3" x14ac:dyDescent="0.25">
      <c r="C2222"/>
    </row>
    <row r="2223" spans="3:3" x14ac:dyDescent="0.25">
      <c r="C2223"/>
    </row>
    <row r="2224" spans="3:3" x14ac:dyDescent="0.25">
      <c r="C2224"/>
    </row>
    <row r="2225" spans="3:3" x14ac:dyDescent="0.25">
      <c r="C2225"/>
    </row>
    <row r="2226" spans="3:3" x14ac:dyDescent="0.25">
      <c r="C2226"/>
    </row>
    <row r="2227" spans="3:3" x14ac:dyDescent="0.25">
      <c r="C2227"/>
    </row>
    <row r="2228" spans="3:3" x14ac:dyDescent="0.25">
      <c r="C2228"/>
    </row>
    <row r="2229" spans="3:3" x14ac:dyDescent="0.25">
      <c r="C2229"/>
    </row>
    <row r="2230" spans="3:3" x14ac:dyDescent="0.25">
      <c r="C2230"/>
    </row>
    <row r="2231" spans="3:3" x14ac:dyDescent="0.25">
      <c r="C2231"/>
    </row>
    <row r="2232" spans="3:3" x14ac:dyDescent="0.25">
      <c r="C2232"/>
    </row>
    <row r="2233" spans="3:3" x14ac:dyDescent="0.25">
      <c r="C2233"/>
    </row>
    <row r="2234" spans="3:3" x14ac:dyDescent="0.25">
      <c r="C2234"/>
    </row>
    <row r="2235" spans="3:3" x14ac:dyDescent="0.25">
      <c r="C2235"/>
    </row>
    <row r="2236" spans="3:3" x14ac:dyDescent="0.25">
      <c r="C2236"/>
    </row>
    <row r="2237" spans="3:3" x14ac:dyDescent="0.25">
      <c r="C2237"/>
    </row>
    <row r="2238" spans="3:3" x14ac:dyDescent="0.25">
      <c r="C2238"/>
    </row>
    <row r="2239" spans="3:3" x14ac:dyDescent="0.25">
      <c r="C2239"/>
    </row>
    <row r="2240" spans="3:3" x14ac:dyDescent="0.25">
      <c r="C2240"/>
    </row>
    <row r="2241" spans="3:3" x14ac:dyDescent="0.25">
      <c r="C2241"/>
    </row>
    <row r="2242" spans="3:3" x14ac:dyDescent="0.25">
      <c r="C2242"/>
    </row>
    <row r="2243" spans="3:3" x14ac:dyDescent="0.25">
      <c r="C2243"/>
    </row>
    <row r="2244" spans="3:3" x14ac:dyDescent="0.25">
      <c r="C2244"/>
    </row>
    <row r="2245" spans="3:3" x14ac:dyDescent="0.25">
      <c r="C2245"/>
    </row>
    <row r="2246" spans="3:3" x14ac:dyDescent="0.25">
      <c r="C2246"/>
    </row>
    <row r="2247" spans="3:3" x14ac:dyDescent="0.25">
      <c r="C2247"/>
    </row>
    <row r="2248" spans="3:3" x14ac:dyDescent="0.25">
      <c r="C2248"/>
    </row>
    <row r="2249" spans="3:3" x14ac:dyDescent="0.25">
      <c r="C2249"/>
    </row>
    <row r="2250" spans="3:3" x14ac:dyDescent="0.25">
      <c r="C2250"/>
    </row>
    <row r="2251" spans="3:3" x14ac:dyDescent="0.25">
      <c r="C2251"/>
    </row>
    <row r="2252" spans="3:3" x14ac:dyDescent="0.25">
      <c r="C2252"/>
    </row>
    <row r="2253" spans="3:3" x14ac:dyDescent="0.25">
      <c r="C2253"/>
    </row>
    <row r="2254" spans="3:3" x14ac:dyDescent="0.25">
      <c r="C2254"/>
    </row>
    <row r="2255" spans="3:3" x14ac:dyDescent="0.25">
      <c r="C2255"/>
    </row>
    <row r="2256" spans="3:3" x14ac:dyDescent="0.25">
      <c r="C2256"/>
    </row>
    <row r="2257" spans="3:3" x14ac:dyDescent="0.25">
      <c r="C2257"/>
    </row>
    <row r="2258" spans="3:3" x14ac:dyDescent="0.25">
      <c r="C2258"/>
    </row>
    <row r="2259" spans="3:3" x14ac:dyDescent="0.25">
      <c r="C2259"/>
    </row>
    <row r="2260" spans="3:3" x14ac:dyDescent="0.25">
      <c r="C2260"/>
    </row>
    <row r="2261" spans="3:3" x14ac:dyDescent="0.25">
      <c r="C2261"/>
    </row>
    <row r="2262" spans="3:3" x14ac:dyDescent="0.25">
      <c r="C2262"/>
    </row>
    <row r="2263" spans="3:3" x14ac:dyDescent="0.25">
      <c r="C2263"/>
    </row>
    <row r="2264" spans="3:3" x14ac:dyDescent="0.25">
      <c r="C2264"/>
    </row>
    <row r="2265" spans="3:3" x14ac:dyDescent="0.25">
      <c r="C2265"/>
    </row>
    <row r="2266" spans="3:3" x14ac:dyDescent="0.25">
      <c r="C2266"/>
    </row>
    <row r="2267" spans="3:3" x14ac:dyDescent="0.25">
      <c r="C2267"/>
    </row>
    <row r="2268" spans="3:3" x14ac:dyDescent="0.25">
      <c r="C2268"/>
    </row>
    <row r="2269" spans="3:3" x14ac:dyDescent="0.25">
      <c r="C2269"/>
    </row>
    <row r="2270" spans="3:3" x14ac:dyDescent="0.25">
      <c r="C2270"/>
    </row>
    <row r="2271" spans="3:3" x14ac:dyDescent="0.25">
      <c r="C2271"/>
    </row>
    <row r="2272" spans="3:3" x14ac:dyDescent="0.25">
      <c r="C2272"/>
    </row>
    <row r="2273" spans="3:3" x14ac:dyDescent="0.25">
      <c r="C2273"/>
    </row>
    <row r="2274" spans="3:3" x14ac:dyDescent="0.25">
      <c r="C2274"/>
    </row>
    <row r="2275" spans="3:3" x14ac:dyDescent="0.25">
      <c r="C2275"/>
    </row>
    <row r="2276" spans="3:3" x14ac:dyDescent="0.25">
      <c r="C2276"/>
    </row>
    <row r="2277" spans="3:3" x14ac:dyDescent="0.25">
      <c r="C2277"/>
    </row>
    <row r="2278" spans="3:3" x14ac:dyDescent="0.25">
      <c r="C2278"/>
    </row>
    <row r="2279" spans="3:3" x14ac:dyDescent="0.25">
      <c r="C2279"/>
    </row>
    <row r="2280" spans="3:3" x14ac:dyDescent="0.25">
      <c r="C2280"/>
    </row>
    <row r="2281" spans="3:3" x14ac:dyDescent="0.25">
      <c r="C2281"/>
    </row>
    <row r="2282" spans="3:3" x14ac:dyDescent="0.25">
      <c r="C2282"/>
    </row>
    <row r="2283" spans="3:3" x14ac:dyDescent="0.25">
      <c r="C2283"/>
    </row>
    <row r="2284" spans="3:3" x14ac:dyDescent="0.25">
      <c r="C2284"/>
    </row>
    <row r="2285" spans="3:3" x14ac:dyDescent="0.25">
      <c r="C2285"/>
    </row>
    <row r="2286" spans="3:3" x14ac:dyDescent="0.25">
      <c r="C2286"/>
    </row>
    <row r="2287" spans="3:3" x14ac:dyDescent="0.25">
      <c r="C2287"/>
    </row>
    <row r="2288" spans="3:3" x14ac:dyDescent="0.25">
      <c r="C2288"/>
    </row>
    <row r="2289" spans="3:3" x14ac:dyDescent="0.25">
      <c r="C2289"/>
    </row>
    <row r="2290" spans="3:3" x14ac:dyDescent="0.25">
      <c r="C2290"/>
    </row>
    <row r="2291" spans="3:3" x14ac:dyDescent="0.25">
      <c r="C2291"/>
    </row>
    <row r="2292" spans="3:3" x14ac:dyDescent="0.25">
      <c r="C2292"/>
    </row>
    <row r="2293" spans="3:3" x14ac:dyDescent="0.25">
      <c r="C2293"/>
    </row>
    <row r="2294" spans="3:3" x14ac:dyDescent="0.25">
      <c r="C2294"/>
    </row>
    <row r="2295" spans="3:3" x14ac:dyDescent="0.25">
      <c r="C2295"/>
    </row>
    <row r="2296" spans="3:3" x14ac:dyDescent="0.25">
      <c r="C2296"/>
    </row>
    <row r="2297" spans="3:3" x14ac:dyDescent="0.25">
      <c r="C2297"/>
    </row>
    <row r="2298" spans="3:3" x14ac:dyDescent="0.25">
      <c r="C2298"/>
    </row>
    <row r="2299" spans="3:3" x14ac:dyDescent="0.25">
      <c r="C2299"/>
    </row>
    <row r="2300" spans="3:3" x14ac:dyDescent="0.25">
      <c r="C2300"/>
    </row>
    <row r="2301" spans="3:3" x14ac:dyDescent="0.25">
      <c r="C2301"/>
    </row>
    <row r="2302" spans="3:3" x14ac:dyDescent="0.25">
      <c r="C2302"/>
    </row>
    <row r="2303" spans="3:3" x14ac:dyDescent="0.25">
      <c r="C2303"/>
    </row>
    <row r="2304" spans="3:3" x14ac:dyDescent="0.25">
      <c r="C2304"/>
    </row>
    <row r="2305" spans="3:3" x14ac:dyDescent="0.25">
      <c r="C2305"/>
    </row>
    <row r="2306" spans="3:3" x14ac:dyDescent="0.25">
      <c r="C2306"/>
    </row>
    <row r="2307" spans="3:3" x14ac:dyDescent="0.25">
      <c r="C2307"/>
    </row>
    <row r="2308" spans="3:3" x14ac:dyDescent="0.25">
      <c r="C2308"/>
    </row>
    <row r="2309" spans="3:3" x14ac:dyDescent="0.25">
      <c r="C2309"/>
    </row>
    <row r="2310" spans="3:3" x14ac:dyDescent="0.25">
      <c r="C2310"/>
    </row>
    <row r="2311" spans="3:3" x14ac:dyDescent="0.25">
      <c r="C2311"/>
    </row>
    <row r="2312" spans="3:3" x14ac:dyDescent="0.25">
      <c r="C2312"/>
    </row>
    <row r="2313" spans="3:3" x14ac:dyDescent="0.25">
      <c r="C2313"/>
    </row>
    <row r="2314" spans="3:3" x14ac:dyDescent="0.25">
      <c r="C2314"/>
    </row>
    <row r="2315" spans="3:3" x14ac:dyDescent="0.25">
      <c r="C2315"/>
    </row>
    <row r="2316" spans="3:3" x14ac:dyDescent="0.25">
      <c r="C2316"/>
    </row>
    <row r="2317" spans="3:3" x14ac:dyDescent="0.25">
      <c r="C2317"/>
    </row>
    <row r="2318" spans="3:3" x14ac:dyDescent="0.25">
      <c r="C2318"/>
    </row>
    <row r="2319" spans="3:3" x14ac:dyDescent="0.25">
      <c r="C2319"/>
    </row>
    <row r="2320" spans="3:3" x14ac:dyDescent="0.25">
      <c r="C2320"/>
    </row>
    <row r="2321" spans="3:3" x14ac:dyDescent="0.25">
      <c r="C2321"/>
    </row>
    <row r="2322" spans="3:3" x14ac:dyDescent="0.25">
      <c r="C2322"/>
    </row>
    <row r="2323" spans="3:3" x14ac:dyDescent="0.25">
      <c r="C2323"/>
    </row>
    <row r="2324" spans="3:3" x14ac:dyDescent="0.25">
      <c r="C2324"/>
    </row>
    <row r="2325" spans="3:3" x14ac:dyDescent="0.25">
      <c r="C2325"/>
    </row>
    <row r="2326" spans="3:3" x14ac:dyDescent="0.25">
      <c r="C2326"/>
    </row>
    <row r="2327" spans="3:3" x14ac:dyDescent="0.25">
      <c r="C2327"/>
    </row>
    <row r="2328" spans="3:3" x14ac:dyDescent="0.25">
      <c r="C2328"/>
    </row>
    <row r="2329" spans="3:3" x14ac:dyDescent="0.25">
      <c r="C2329"/>
    </row>
    <row r="2330" spans="3:3" x14ac:dyDescent="0.25">
      <c r="C2330"/>
    </row>
    <row r="2331" spans="3:3" x14ac:dyDescent="0.25">
      <c r="C2331"/>
    </row>
    <row r="2332" spans="3:3" x14ac:dyDescent="0.25">
      <c r="C2332"/>
    </row>
    <row r="2333" spans="3:3" x14ac:dyDescent="0.25">
      <c r="C2333"/>
    </row>
    <row r="2334" spans="3:3" x14ac:dyDescent="0.25">
      <c r="C2334"/>
    </row>
    <row r="2335" spans="3:3" x14ac:dyDescent="0.25">
      <c r="C2335"/>
    </row>
    <row r="2336" spans="3:3" x14ac:dyDescent="0.25">
      <c r="C2336"/>
    </row>
    <row r="2337" spans="3:3" x14ac:dyDescent="0.25">
      <c r="C2337"/>
    </row>
    <row r="2338" spans="3:3" x14ac:dyDescent="0.25">
      <c r="C2338"/>
    </row>
    <row r="2339" spans="3:3" x14ac:dyDescent="0.25">
      <c r="C2339"/>
    </row>
    <row r="2340" spans="3:3" x14ac:dyDescent="0.25">
      <c r="C2340"/>
    </row>
    <row r="2341" spans="3:3" x14ac:dyDescent="0.25">
      <c r="C2341"/>
    </row>
    <row r="2342" spans="3:3" x14ac:dyDescent="0.25">
      <c r="C2342"/>
    </row>
    <row r="2343" spans="3:3" x14ac:dyDescent="0.25">
      <c r="C2343"/>
    </row>
    <row r="2344" spans="3:3" x14ac:dyDescent="0.25">
      <c r="C2344"/>
    </row>
    <row r="2345" spans="3:3" x14ac:dyDescent="0.25">
      <c r="C2345"/>
    </row>
    <row r="2346" spans="3:3" x14ac:dyDescent="0.25">
      <c r="C2346"/>
    </row>
    <row r="2347" spans="3:3" x14ac:dyDescent="0.25">
      <c r="C2347"/>
    </row>
    <row r="2348" spans="3:3" x14ac:dyDescent="0.25">
      <c r="C2348"/>
    </row>
    <row r="2349" spans="3:3" x14ac:dyDescent="0.25">
      <c r="C2349"/>
    </row>
    <row r="2350" spans="3:3" x14ac:dyDescent="0.25">
      <c r="C2350"/>
    </row>
    <row r="2351" spans="3:3" x14ac:dyDescent="0.25">
      <c r="C2351"/>
    </row>
    <row r="2352" spans="3:3" x14ac:dyDescent="0.25">
      <c r="C2352"/>
    </row>
    <row r="2353" spans="3:3" x14ac:dyDescent="0.25">
      <c r="C2353"/>
    </row>
    <row r="2354" spans="3:3" x14ac:dyDescent="0.25">
      <c r="C2354"/>
    </row>
    <row r="2355" spans="3:3" x14ac:dyDescent="0.25">
      <c r="C2355"/>
    </row>
    <row r="2356" spans="3:3" x14ac:dyDescent="0.25">
      <c r="C2356"/>
    </row>
    <row r="2357" spans="3:3" x14ac:dyDescent="0.25">
      <c r="C2357"/>
    </row>
    <row r="2358" spans="3:3" x14ac:dyDescent="0.25">
      <c r="C2358"/>
    </row>
    <row r="2359" spans="3:3" x14ac:dyDescent="0.25">
      <c r="C2359"/>
    </row>
    <row r="2360" spans="3:3" x14ac:dyDescent="0.25">
      <c r="C2360"/>
    </row>
    <row r="2361" spans="3:3" x14ac:dyDescent="0.25">
      <c r="C2361"/>
    </row>
    <row r="2362" spans="3:3" x14ac:dyDescent="0.25">
      <c r="C2362"/>
    </row>
    <row r="2363" spans="3:3" x14ac:dyDescent="0.25">
      <c r="C2363"/>
    </row>
    <row r="2364" spans="3:3" x14ac:dyDescent="0.25">
      <c r="C2364"/>
    </row>
    <row r="2365" spans="3:3" x14ac:dyDescent="0.25">
      <c r="C2365"/>
    </row>
    <row r="2366" spans="3:3" x14ac:dyDescent="0.25">
      <c r="C2366"/>
    </row>
    <row r="2367" spans="3:3" x14ac:dyDescent="0.25">
      <c r="C2367"/>
    </row>
    <row r="2368" spans="3:3" x14ac:dyDescent="0.25">
      <c r="C2368"/>
    </row>
    <row r="2369" spans="3:3" x14ac:dyDescent="0.25">
      <c r="C2369"/>
    </row>
    <row r="2370" spans="3:3" x14ac:dyDescent="0.25">
      <c r="C2370"/>
    </row>
    <row r="2371" spans="3:3" x14ac:dyDescent="0.25">
      <c r="C2371"/>
    </row>
    <row r="2372" spans="3:3" x14ac:dyDescent="0.25">
      <c r="C2372"/>
    </row>
    <row r="2373" spans="3:3" x14ac:dyDescent="0.25">
      <c r="C2373"/>
    </row>
    <row r="2374" spans="3:3" x14ac:dyDescent="0.25">
      <c r="C2374"/>
    </row>
    <row r="2375" spans="3:3" x14ac:dyDescent="0.25">
      <c r="C2375"/>
    </row>
    <row r="2376" spans="3:3" x14ac:dyDescent="0.25">
      <c r="C2376"/>
    </row>
    <row r="2377" spans="3:3" x14ac:dyDescent="0.25">
      <c r="C2377"/>
    </row>
    <row r="2378" spans="3:3" x14ac:dyDescent="0.25">
      <c r="C2378"/>
    </row>
    <row r="2379" spans="3:3" x14ac:dyDescent="0.25">
      <c r="C2379"/>
    </row>
    <row r="2380" spans="3:3" x14ac:dyDescent="0.25">
      <c r="C2380"/>
    </row>
    <row r="2381" spans="3:3" x14ac:dyDescent="0.25">
      <c r="C2381"/>
    </row>
    <row r="2382" spans="3:3" x14ac:dyDescent="0.25">
      <c r="C2382"/>
    </row>
    <row r="2383" spans="3:3" x14ac:dyDescent="0.25">
      <c r="C2383"/>
    </row>
    <row r="2384" spans="3:3" x14ac:dyDescent="0.25">
      <c r="C2384"/>
    </row>
    <row r="2385" spans="3:3" x14ac:dyDescent="0.25">
      <c r="C2385"/>
    </row>
    <row r="2386" spans="3:3" x14ac:dyDescent="0.25">
      <c r="C2386"/>
    </row>
    <row r="2387" spans="3:3" x14ac:dyDescent="0.25">
      <c r="C2387"/>
    </row>
    <row r="2388" spans="3:3" x14ac:dyDescent="0.25">
      <c r="C2388"/>
    </row>
    <row r="2389" spans="3:3" x14ac:dyDescent="0.25">
      <c r="C2389"/>
    </row>
    <row r="2390" spans="3:3" x14ac:dyDescent="0.25">
      <c r="C2390"/>
    </row>
    <row r="2391" spans="3:3" x14ac:dyDescent="0.25">
      <c r="C2391"/>
    </row>
    <row r="2392" spans="3:3" x14ac:dyDescent="0.25">
      <c r="C2392"/>
    </row>
    <row r="2393" spans="3:3" x14ac:dyDescent="0.25">
      <c r="C2393"/>
    </row>
    <row r="2394" spans="3:3" x14ac:dyDescent="0.25">
      <c r="C2394"/>
    </row>
    <row r="2395" spans="3:3" x14ac:dyDescent="0.25">
      <c r="C2395"/>
    </row>
    <row r="2396" spans="3:3" x14ac:dyDescent="0.25">
      <c r="C2396"/>
    </row>
    <row r="2397" spans="3:3" x14ac:dyDescent="0.25">
      <c r="C2397"/>
    </row>
    <row r="2398" spans="3:3" x14ac:dyDescent="0.25">
      <c r="C2398"/>
    </row>
    <row r="2399" spans="3:3" x14ac:dyDescent="0.25">
      <c r="C2399"/>
    </row>
    <row r="2400" spans="3:3" x14ac:dyDescent="0.25">
      <c r="C2400"/>
    </row>
    <row r="2401" spans="3:3" x14ac:dyDescent="0.25">
      <c r="C2401"/>
    </row>
    <row r="2402" spans="3:3" x14ac:dyDescent="0.25">
      <c r="C2402"/>
    </row>
    <row r="2403" spans="3:3" x14ac:dyDescent="0.25">
      <c r="C2403"/>
    </row>
    <row r="2404" spans="3:3" x14ac:dyDescent="0.25">
      <c r="C2404"/>
    </row>
    <row r="2405" spans="3:3" x14ac:dyDescent="0.25">
      <c r="C2405"/>
    </row>
    <row r="2406" spans="3:3" x14ac:dyDescent="0.25">
      <c r="C2406"/>
    </row>
    <row r="2407" spans="3:3" x14ac:dyDescent="0.25">
      <c r="C2407"/>
    </row>
    <row r="2408" spans="3:3" x14ac:dyDescent="0.25">
      <c r="C2408"/>
    </row>
    <row r="2409" spans="3:3" x14ac:dyDescent="0.25">
      <c r="C2409"/>
    </row>
    <row r="2410" spans="3:3" x14ac:dyDescent="0.25">
      <c r="C2410"/>
    </row>
    <row r="2411" spans="3:3" x14ac:dyDescent="0.25">
      <c r="C2411"/>
    </row>
    <row r="2412" spans="3:3" x14ac:dyDescent="0.25">
      <c r="C2412"/>
    </row>
    <row r="2413" spans="3:3" x14ac:dyDescent="0.25">
      <c r="C2413"/>
    </row>
    <row r="2414" spans="3:3" x14ac:dyDescent="0.25">
      <c r="C2414"/>
    </row>
    <row r="2415" spans="3:3" x14ac:dyDescent="0.25">
      <c r="C2415"/>
    </row>
    <row r="2416" spans="3:3" x14ac:dyDescent="0.25">
      <c r="C2416"/>
    </row>
    <row r="2417" spans="3:3" x14ac:dyDescent="0.25">
      <c r="C2417"/>
    </row>
    <row r="2418" spans="3:3" x14ac:dyDescent="0.25">
      <c r="C2418"/>
    </row>
    <row r="2419" spans="3:3" x14ac:dyDescent="0.25">
      <c r="C2419"/>
    </row>
    <row r="2420" spans="3:3" x14ac:dyDescent="0.25">
      <c r="C2420"/>
    </row>
    <row r="2421" spans="3:3" x14ac:dyDescent="0.25">
      <c r="C2421"/>
    </row>
    <row r="2422" spans="3:3" x14ac:dyDescent="0.25">
      <c r="C2422"/>
    </row>
    <row r="2423" spans="3:3" x14ac:dyDescent="0.25">
      <c r="C2423"/>
    </row>
    <row r="2424" spans="3:3" x14ac:dyDescent="0.25">
      <c r="C2424"/>
    </row>
    <row r="2425" spans="3:3" x14ac:dyDescent="0.25">
      <c r="C2425"/>
    </row>
    <row r="2426" spans="3:3" x14ac:dyDescent="0.25">
      <c r="C2426"/>
    </row>
    <row r="2427" spans="3:3" x14ac:dyDescent="0.25">
      <c r="C2427"/>
    </row>
    <row r="2428" spans="3:3" x14ac:dyDescent="0.25">
      <c r="C2428"/>
    </row>
    <row r="2429" spans="3:3" x14ac:dyDescent="0.25">
      <c r="C2429"/>
    </row>
    <row r="2430" spans="3:3" x14ac:dyDescent="0.25">
      <c r="C2430"/>
    </row>
    <row r="2431" spans="3:3" x14ac:dyDescent="0.25">
      <c r="C2431"/>
    </row>
    <row r="2432" spans="3:3" x14ac:dyDescent="0.25">
      <c r="C2432"/>
    </row>
    <row r="2433" spans="3:3" x14ac:dyDescent="0.25">
      <c r="C2433"/>
    </row>
    <row r="2434" spans="3:3" x14ac:dyDescent="0.25">
      <c r="C2434"/>
    </row>
    <row r="2435" spans="3:3" x14ac:dyDescent="0.25">
      <c r="C2435"/>
    </row>
    <row r="2436" spans="3:3" x14ac:dyDescent="0.25">
      <c r="C2436"/>
    </row>
    <row r="2437" spans="3:3" x14ac:dyDescent="0.25">
      <c r="C2437"/>
    </row>
    <row r="2438" spans="3:3" x14ac:dyDescent="0.25">
      <c r="C2438"/>
    </row>
    <row r="2439" spans="3:3" x14ac:dyDescent="0.25">
      <c r="C2439"/>
    </row>
    <row r="2440" spans="3:3" x14ac:dyDescent="0.25">
      <c r="C2440"/>
    </row>
    <row r="2441" spans="3:3" x14ac:dyDescent="0.25">
      <c r="C2441"/>
    </row>
    <row r="2442" spans="3:3" x14ac:dyDescent="0.25">
      <c r="C2442"/>
    </row>
    <row r="2443" spans="3:3" x14ac:dyDescent="0.25">
      <c r="C2443"/>
    </row>
    <row r="2444" spans="3:3" x14ac:dyDescent="0.25">
      <c r="C2444"/>
    </row>
    <row r="2445" spans="3:3" x14ac:dyDescent="0.25">
      <c r="C2445"/>
    </row>
    <row r="2446" spans="3:3" x14ac:dyDescent="0.25">
      <c r="C2446"/>
    </row>
    <row r="2447" spans="3:3" x14ac:dyDescent="0.25">
      <c r="C2447"/>
    </row>
    <row r="2448" spans="3:3" x14ac:dyDescent="0.25">
      <c r="C2448"/>
    </row>
    <row r="2449" spans="3:3" x14ac:dyDescent="0.25">
      <c r="C2449"/>
    </row>
    <row r="2450" spans="3:3" x14ac:dyDescent="0.25">
      <c r="C2450"/>
    </row>
    <row r="2451" spans="3:3" x14ac:dyDescent="0.25">
      <c r="C2451"/>
    </row>
    <row r="2452" spans="3:3" x14ac:dyDescent="0.25">
      <c r="C2452"/>
    </row>
    <row r="2453" spans="3:3" x14ac:dyDescent="0.25">
      <c r="C2453"/>
    </row>
    <row r="2454" spans="3:3" x14ac:dyDescent="0.25">
      <c r="C2454"/>
    </row>
    <row r="2455" spans="3:3" x14ac:dyDescent="0.25">
      <c r="C2455"/>
    </row>
    <row r="2456" spans="3:3" x14ac:dyDescent="0.25">
      <c r="C2456"/>
    </row>
    <row r="2457" spans="3:3" x14ac:dyDescent="0.25">
      <c r="C2457"/>
    </row>
    <row r="2458" spans="3:3" x14ac:dyDescent="0.25">
      <c r="C2458"/>
    </row>
    <row r="2459" spans="3:3" x14ac:dyDescent="0.25">
      <c r="C2459"/>
    </row>
    <row r="2460" spans="3:3" x14ac:dyDescent="0.25">
      <c r="C2460"/>
    </row>
    <row r="2461" spans="3:3" x14ac:dyDescent="0.25">
      <c r="C2461"/>
    </row>
    <row r="2462" spans="3:3" x14ac:dyDescent="0.25">
      <c r="C2462"/>
    </row>
    <row r="2463" spans="3:3" x14ac:dyDescent="0.25">
      <c r="C2463"/>
    </row>
    <row r="2464" spans="3:3" x14ac:dyDescent="0.25">
      <c r="C2464"/>
    </row>
    <row r="2465" spans="3:3" x14ac:dyDescent="0.25">
      <c r="C2465"/>
    </row>
    <row r="2466" spans="3:3" x14ac:dyDescent="0.25">
      <c r="C2466"/>
    </row>
    <row r="2467" spans="3:3" x14ac:dyDescent="0.25">
      <c r="C2467"/>
    </row>
    <row r="2468" spans="3:3" x14ac:dyDescent="0.25">
      <c r="C2468"/>
    </row>
    <row r="2469" spans="3:3" x14ac:dyDescent="0.25">
      <c r="C2469"/>
    </row>
    <row r="2470" spans="3:3" x14ac:dyDescent="0.25">
      <c r="C2470"/>
    </row>
    <row r="2471" spans="3:3" x14ac:dyDescent="0.25">
      <c r="C2471"/>
    </row>
    <row r="2472" spans="3:3" x14ac:dyDescent="0.25">
      <c r="C2472"/>
    </row>
    <row r="2473" spans="3:3" x14ac:dyDescent="0.25">
      <c r="C2473"/>
    </row>
    <row r="2474" spans="3:3" x14ac:dyDescent="0.25">
      <c r="C2474"/>
    </row>
    <row r="2475" spans="3:3" x14ac:dyDescent="0.25">
      <c r="C2475"/>
    </row>
    <row r="2476" spans="3:3" x14ac:dyDescent="0.25">
      <c r="C2476"/>
    </row>
    <row r="2477" spans="3:3" x14ac:dyDescent="0.25">
      <c r="C2477"/>
    </row>
    <row r="2478" spans="3:3" x14ac:dyDescent="0.25">
      <c r="C2478"/>
    </row>
    <row r="2479" spans="3:3" x14ac:dyDescent="0.25">
      <c r="C2479"/>
    </row>
    <row r="2480" spans="3:3" x14ac:dyDescent="0.25">
      <c r="C2480"/>
    </row>
    <row r="2481" spans="3:3" x14ac:dyDescent="0.25">
      <c r="C2481"/>
    </row>
    <row r="2482" spans="3:3" x14ac:dyDescent="0.25">
      <c r="C2482"/>
    </row>
    <row r="2483" spans="3:3" x14ac:dyDescent="0.25">
      <c r="C2483"/>
    </row>
    <row r="2484" spans="3:3" x14ac:dyDescent="0.25">
      <c r="C2484"/>
    </row>
    <row r="2485" spans="3:3" x14ac:dyDescent="0.25">
      <c r="C2485"/>
    </row>
    <row r="2486" spans="3:3" x14ac:dyDescent="0.25">
      <c r="C2486"/>
    </row>
    <row r="2487" spans="3:3" x14ac:dyDescent="0.25">
      <c r="C2487"/>
    </row>
    <row r="2488" spans="3:3" x14ac:dyDescent="0.25">
      <c r="C2488"/>
    </row>
    <row r="2489" spans="3:3" x14ac:dyDescent="0.25">
      <c r="C2489"/>
    </row>
    <row r="2490" spans="3:3" x14ac:dyDescent="0.25">
      <c r="C2490"/>
    </row>
    <row r="2491" spans="3:3" x14ac:dyDescent="0.25">
      <c r="C2491"/>
    </row>
    <row r="2492" spans="3:3" x14ac:dyDescent="0.25">
      <c r="C2492"/>
    </row>
    <row r="2493" spans="3:3" x14ac:dyDescent="0.25">
      <c r="C2493"/>
    </row>
    <row r="2494" spans="3:3" x14ac:dyDescent="0.25">
      <c r="C2494"/>
    </row>
    <row r="2495" spans="3:3" x14ac:dyDescent="0.25">
      <c r="C2495"/>
    </row>
    <row r="2496" spans="3:3" x14ac:dyDescent="0.25">
      <c r="C2496"/>
    </row>
    <row r="2497" spans="3:3" x14ac:dyDescent="0.25">
      <c r="C2497"/>
    </row>
    <row r="2498" spans="3:3" x14ac:dyDescent="0.25">
      <c r="C2498"/>
    </row>
    <row r="2499" spans="3:3" x14ac:dyDescent="0.25">
      <c r="C2499"/>
    </row>
    <row r="2500" spans="3:3" x14ac:dyDescent="0.25">
      <c r="C2500"/>
    </row>
    <row r="2501" spans="3:3" x14ac:dyDescent="0.25">
      <c r="C2501"/>
    </row>
    <row r="2502" spans="3:3" x14ac:dyDescent="0.25">
      <c r="C2502"/>
    </row>
    <row r="2503" spans="3:3" x14ac:dyDescent="0.25">
      <c r="C2503"/>
    </row>
    <row r="2504" spans="3:3" x14ac:dyDescent="0.25">
      <c r="C2504"/>
    </row>
    <row r="2505" spans="3:3" x14ac:dyDescent="0.25">
      <c r="C2505"/>
    </row>
    <row r="2506" spans="3:3" x14ac:dyDescent="0.25">
      <c r="C2506"/>
    </row>
    <row r="2507" spans="3:3" x14ac:dyDescent="0.25">
      <c r="C2507"/>
    </row>
    <row r="2508" spans="3:3" x14ac:dyDescent="0.25">
      <c r="C2508"/>
    </row>
    <row r="2509" spans="3:3" x14ac:dyDescent="0.25">
      <c r="C2509"/>
    </row>
    <row r="2510" spans="3:3" x14ac:dyDescent="0.25">
      <c r="C2510"/>
    </row>
    <row r="2511" spans="3:3" x14ac:dyDescent="0.25">
      <c r="C2511"/>
    </row>
    <row r="2512" spans="3:3" x14ac:dyDescent="0.25">
      <c r="C2512"/>
    </row>
    <row r="2513" spans="3:3" x14ac:dyDescent="0.25">
      <c r="C2513"/>
    </row>
    <row r="2514" spans="3:3" x14ac:dyDescent="0.25">
      <c r="C2514"/>
    </row>
    <row r="2515" spans="3:3" x14ac:dyDescent="0.25">
      <c r="C2515"/>
    </row>
    <row r="2516" spans="3:3" x14ac:dyDescent="0.25">
      <c r="C2516"/>
    </row>
    <row r="2517" spans="3:3" x14ac:dyDescent="0.25">
      <c r="C2517"/>
    </row>
    <row r="2518" spans="3:3" x14ac:dyDescent="0.25">
      <c r="C2518"/>
    </row>
    <row r="2519" spans="3:3" x14ac:dyDescent="0.25">
      <c r="C2519"/>
    </row>
    <row r="2520" spans="3:3" x14ac:dyDescent="0.25">
      <c r="C2520"/>
    </row>
    <row r="2521" spans="3:3" x14ac:dyDescent="0.25">
      <c r="C2521"/>
    </row>
    <row r="2522" spans="3:3" x14ac:dyDescent="0.25">
      <c r="C2522"/>
    </row>
    <row r="2523" spans="3:3" x14ac:dyDescent="0.25">
      <c r="C2523"/>
    </row>
    <row r="2524" spans="3:3" x14ac:dyDescent="0.25">
      <c r="C2524"/>
    </row>
    <row r="2525" spans="3:3" x14ac:dyDescent="0.25">
      <c r="C2525"/>
    </row>
    <row r="2526" spans="3:3" x14ac:dyDescent="0.25">
      <c r="C2526"/>
    </row>
    <row r="2527" spans="3:3" x14ac:dyDescent="0.25">
      <c r="C2527"/>
    </row>
    <row r="2528" spans="3:3" x14ac:dyDescent="0.25">
      <c r="C2528"/>
    </row>
    <row r="2529" spans="3:3" x14ac:dyDescent="0.25">
      <c r="C2529"/>
    </row>
    <row r="2530" spans="3:3" x14ac:dyDescent="0.25">
      <c r="C2530"/>
    </row>
    <row r="2531" spans="3:3" x14ac:dyDescent="0.25">
      <c r="C2531"/>
    </row>
    <row r="2532" spans="3:3" x14ac:dyDescent="0.25">
      <c r="C2532"/>
    </row>
    <row r="2533" spans="3:3" x14ac:dyDescent="0.25">
      <c r="C2533"/>
    </row>
    <row r="2534" spans="3:3" x14ac:dyDescent="0.25">
      <c r="C2534"/>
    </row>
    <row r="2535" spans="3:3" x14ac:dyDescent="0.25">
      <c r="C2535"/>
    </row>
    <row r="2536" spans="3:3" x14ac:dyDescent="0.25">
      <c r="C2536"/>
    </row>
    <row r="2537" spans="3:3" x14ac:dyDescent="0.25">
      <c r="C2537"/>
    </row>
    <row r="2538" spans="3:3" x14ac:dyDescent="0.25">
      <c r="C2538"/>
    </row>
    <row r="2539" spans="3:3" x14ac:dyDescent="0.25">
      <c r="C2539"/>
    </row>
    <row r="2540" spans="3:3" x14ac:dyDescent="0.25">
      <c r="C2540"/>
    </row>
    <row r="2541" spans="3:3" x14ac:dyDescent="0.25">
      <c r="C2541"/>
    </row>
    <row r="2542" spans="3:3" x14ac:dyDescent="0.25">
      <c r="C2542"/>
    </row>
    <row r="2543" spans="3:3" x14ac:dyDescent="0.25">
      <c r="C2543"/>
    </row>
    <row r="2544" spans="3:3" x14ac:dyDescent="0.25">
      <c r="C2544"/>
    </row>
    <row r="2545" spans="3:3" x14ac:dyDescent="0.25">
      <c r="C2545"/>
    </row>
    <row r="2546" spans="3:3" x14ac:dyDescent="0.25">
      <c r="C2546"/>
    </row>
    <row r="2547" spans="3:3" x14ac:dyDescent="0.25">
      <c r="C2547"/>
    </row>
    <row r="2548" spans="3:3" x14ac:dyDescent="0.25">
      <c r="C2548"/>
    </row>
    <row r="2549" spans="3:3" x14ac:dyDescent="0.25">
      <c r="C2549"/>
    </row>
    <row r="2550" spans="3:3" x14ac:dyDescent="0.25">
      <c r="C2550"/>
    </row>
    <row r="2551" spans="3:3" x14ac:dyDescent="0.25">
      <c r="C2551"/>
    </row>
    <row r="2552" spans="3:3" x14ac:dyDescent="0.25">
      <c r="C2552"/>
    </row>
    <row r="2553" spans="3:3" x14ac:dyDescent="0.25">
      <c r="C2553"/>
    </row>
    <row r="2554" spans="3:3" x14ac:dyDescent="0.25">
      <c r="C2554"/>
    </row>
    <row r="2555" spans="3:3" x14ac:dyDescent="0.25">
      <c r="C2555"/>
    </row>
    <row r="2556" spans="3:3" x14ac:dyDescent="0.25">
      <c r="C2556"/>
    </row>
    <row r="2557" spans="3:3" x14ac:dyDescent="0.25">
      <c r="C2557"/>
    </row>
    <row r="2558" spans="3:3" x14ac:dyDescent="0.25">
      <c r="C2558"/>
    </row>
    <row r="2559" spans="3:3" x14ac:dyDescent="0.25">
      <c r="C2559"/>
    </row>
    <row r="2560" spans="3:3" x14ac:dyDescent="0.25">
      <c r="C2560"/>
    </row>
    <row r="2561" spans="3:3" x14ac:dyDescent="0.25">
      <c r="C2561"/>
    </row>
    <row r="2562" spans="3:3" x14ac:dyDescent="0.25">
      <c r="C2562"/>
    </row>
    <row r="2563" spans="3:3" x14ac:dyDescent="0.25">
      <c r="C2563"/>
    </row>
    <row r="2564" spans="3:3" x14ac:dyDescent="0.25">
      <c r="C2564"/>
    </row>
    <row r="2565" spans="3:3" x14ac:dyDescent="0.25">
      <c r="C2565"/>
    </row>
    <row r="2566" spans="3:3" x14ac:dyDescent="0.25">
      <c r="C2566"/>
    </row>
    <row r="2567" spans="3:3" x14ac:dyDescent="0.25">
      <c r="C2567"/>
    </row>
    <row r="2568" spans="3:3" x14ac:dyDescent="0.25">
      <c r="C2568"/>
    </row>
    <row r="2569" spans="3:3" x14ac:dyDescent="0.25">
      <c r="C2569"/>
    </row>
    <row r="2570" spans="3:3" x14ac:dyDescent="0.25">
      <c r="C2570"/>
    </row>
    <row r="2571" spans="3:3" x14ac:dyDescent="0.25">
      <c r="C2571"/>
    </row>
    <row r="2572" spans="3:3" x14ac:dyDescent="0.25">
      <c r="C2572"/>
    </row>
    <row r="2573" spans="3:3" x14ac:dyDescent="0.25">
      <c r="C2573"/>
    </row>
    <row r="2574" spans="3:3" x14ac:dyDescent="0.25">
      <c r="C2574"/>
    </row>
    <row r="2575" spans="3:3" x14ac:dyDescent="0.25">
      <c r="C2575"/>
    </row>
    <row r="2576" spans="3:3" x14ac:dyDescent="0.25">
      <c r="C2576"/>
    </row>
    <row r="2577" spans="3:3" x14ac:dyDescent="0.25">
      <c r="C2577"/>
    </row>
    <row r="2578" spans="3:3" x14ac:dyDescent="0.25">
      <c r="C2578"/>
    </row>
    <row r="2579" spans="3:3" x14ac:dyDescent="0.25">
      <c r="C2579"/>
    </row>
    <row r="2580" spans="3:3" x14ac:dyDescent="0.25">
      <c r="C2580"/>
    </row>
    <row r="2581" spans="3:3" x14ac:dyDescent="0.25">
      <c r="C2581"/>
    </row>
    <row r="2582" spans="3:3" x14ac:dyDescent="0.25">
      <c r="C2582"/>
    </row>
    <row r="2583" spans="3:3" x14ac:dyDescent="0.25">
      <c r="C2583"/>
    </row>
    <row r="2584" spans="3:3" x14ac:dyDescent="0.25">
      <c r="C2584"/>
    </row>
    <row r="2585" spans="3:3" x14ac:dyDescent="0.25">
      <c r="C2585"/>
    </row>
    <row r="2586" spans="3:3" x14ac:dyDescent="0.25">
      <c r="C2586"/>
    </row>
    <row r="2587" spans="3:3" x14ac:dyDescent="0.25">
      <c r="C2587"/>
    </row>
    <row r="2588" spans="3:3" x14ac:dyDescent="0.25">
      <c r="C2588"/>
    </row>
    <row r="2589" spans="3:3" x14ac:dyDescent="0.25">
      <c r="C2589"/>
    </row>
    <row r="2590" spans="3:3" x14ac:dyDescent="0.25">
      <c r="C2590"/>
    </row>
    <row r="2591" spans="3:3" x14ac:dyDescent="0.25">
      <c r="C2591"/>
    </row>
    <row r="2592" spans="3:3" x14ac:dyDescent="0.25">
      <c r="C2592"/>
    </row>
    <row r="2593" spans="3:3" x14ac:dyDescent="0.25">
      <c r="C2593"/>
    </row>
    <row r="2594" spans="3:3" x14ac:dyDescent="0.25">
      <c r="C2594"/>
    </row>
    <row r="2595" spans="3:3" x14ac:dyDescent="0.25">
      <c r="C2595"/>
    </row>
    <row r="2596" spans="3:3" x14ac:dyDescent="0.25">
      <c r="C2596"/>
    </row>
    <row r="2597" spans="3:3" x14ac:dyDescent="0.25">
      <c r="C2597"/>
    </row>
    <row r="2598" spans="3:3" x14ac:dyDescent="0.25">
      <c r="C2598"/>
    </row>
    <row r="2599" spans="3:3" x14ac:dyDescent="0.25">
      <c r="C2599"/>
    </row>
    <row r="2600" spans="3:3" x14ac:dyDescent="0.25">
      <c r="C2600"/>
    </row>
    <row r="2601" spans="3:3" x14ac:dyDescent="0.25">
      <c r="C2601"/>
    </row>
    <row r="2602" spans="3:3" x14ac:dyDescent="0.25">
      <c r="C2602"/>
    </row>
    <row r="2603" spans="3:3" x14ac:dyDescent="0.25">
      <c r="C2603"/>
    </row>
    <row r="2604" spans="3:3" x14ac:dyDescent="0.25">
      <c r="C2604"/>
    </row>
    <row r="2605" spans="3:3" x14ac:dyDescent="0.25">
      <c r="C2605"/>
    </row>
    <row r="2606" spans="3:3" x14ac:dyDescent="0.25">
      <c r="C2606"/>
    </row>
    <row r="2607" spans="3:3" x14ac:dyDescent="0.25">
      <c r="C2607"/>
    </row>
    <row r="2608" spans="3:3" x14ac:dyDescent="0.25">
      <c r="C2608"/>
    </row>
    <row r="2609" spans="3:3" x14ac:dyDescent="0.25">
      <c r="C2609"/>
    </row>
    <row r="2610" spans="3:3" x14ac:dyDescent="0.25">
      <c r="C2610"/>
    </row>
    <row r="2611" spans="3:3" x14ac:dyDescent="0.25">
      <c r="C2611"/>
    </row>
    <row r="2612" spans="3:3" x14ac:dyDescent="0.25">
      <c r="C2612"/>
    </row>
    <row r="2613" spans="3:3" x14ac:dyDescent="0.25">
      <c r="C2613"/>
    </row>
    <row r="2614" spans="3:3" x14ac:dyDescent="0.25">
      <c r="C2614"/>
    </row>
    <row r="2615" spans="3:3" x14ac:dyDescent="0.25">
      <c r="C2615"/>
    </row>
    <row r="2616" spans="3:3" x14ac:dyDescent="0.25">
      <c r="C2616"/>
    </row>
    <row r="2617" spans="3:3" x14ac:dyDescent="0.25">
      <c r="C2617"/>
    </row>
    <row r="2618" spans="3:3" x14ac:dyDescent="0.25">
      <c r="C2618"/>
    </row>
    <row r="2619" spans="3:3" x14ac:dyDescent="0.25">
      <c r="C2619"/>
    </row>
    <row r="2620" spans="3:3" x14ac:dyDescent="0.25">
      <c r="C2620"/>
    </row>
    <row r="2621" spans="3:3" x14ac:dyDescent="0.25">
      <c r="C2621"/>
    </row>
    <row r="2622" spans="3:3" x14ac:dyDescent="0.25">
      <c r="C2622"/>
    </row>
    <row r="2623" spans="3:3" x14ac:dyDescent="0.25">
      <c r="C2623"/>
    </row>
    <row r="2624" spans="3:3" x14ac:dyDescent="0.25">
      <c r="C2624"/>
    </row>
    <row r="2625" spans="3:3" x14ac:dyDescent="0.25">
      <c r="C2625"/>
    </row>
    <row r="2626" spans="3:3" x14ac:dyDescent="0.25">
      <c r="C2626"/>
    </row>
    <row r="2627" spans="3:3" x14ac:dyDescent="0.25">
      <c r="C2627"/>
    </row>
    <row r="2628" spans="3:3" x14ac:dyDescent="0.25">
      <c r="C2628"/>
    </row>
    <row r="2629" spans="3:3" x14ac:dyDescent="0.25">
      <c r="C2629"/>
    </row>
    <row r="2630" spans="3:3" x14ac:dyDescent="0.25">
      <c r="C2630"/>
    </row>
    <row r="2631" spans="3:3" x14ac:dyDescent="0.25">
      <c r="C2631"/>
    </row>
    <row r="2632" spans="3:3" x14ac:dyDescent="0.25">
      <c r="C2632"/>
    </row>
    <row r="2633" spans="3:3" x14ac:dyDescent="0.25">
      <c r="C2633"/>
    </row>
    <row r="2634" spans="3:3" x14ac:dyDescent="0.25">
      <c r="C2634"/>
    </row>
    <row r="2635" spans="3:3" x14ac:dyDescent="0.25">
      <c r="C2635"/>
    </row>
    <row r="2636" spans="3:3" x14ac:dyDescent="0.25">
      <c r="C2636"/>
    </row>
    <row r="2637" spans="3:3" x14ac:dyDescent="0.25">
      <c r="C2637"/>
    </row>
    <row r="2638" spans="3:3" x14ac:dyDescent="0.25">
      <c r="C2638"/>
    </row>
    <row r="2639" spans="3:3" x14ac:dyDescent="0.25">
      <c r="C2639"/>
    </row>
    <row r="2640" spans="3:3" x14ac:dyDescent="0.25">
      <c r="C2640"/>
    </row>
    <row r="2641" spans="3:3" x14ac:dyDescent="0.25">
      <c r="C2641"/>
    </row>
    <row r="2642" spans="3:3" x14ac:dyDescent="0.25">
      <c r="C2642"/>
    </row>
    <row r="2643" spans="3:3" x14ac:dyDescent="0.25">
      <c r="C2643"/>
    </row>
    <row r="2644" spans="3:3" x14ac:dyDescent="0.25">
      <c r="C2644"/>
    </row>
    <row r="2645" spans="3:3" x14ac:dyDescent="0.25">
      <c r="C2645"/>
    </row>
    <row r="2646" spans="3:3" x14ac:dyDescent="0.25">
      <c r="C2646"/>
    </row>
    <row r="2647" spans="3:3" x14ac:dyDescent="0.25">
      <c r="C2647"/>
    </row>
    <row r="2648" spans="3:3" x14ac:dyDescent="0.25">
      <c r="C2648"/>
    </row>
    <row r="2649" spans="3:3" x14ac:dyDescent="0.25">
      <c r="C2649"/>
    </row>
    <row r="2650" spans="3:3" x14ac:dyDescent="0.25">
      <c r="C2650"/>
    </row>
    <row r="2651" spans="3:3" x14ac:dyDescent="0.25">
      <c r="C2651"/>
    </row>
    <row r="2652" spans="3:3" x14ac:dyDescent="0.25">
      <c r="C2652"/>
    </row>
    <row r="2653" spans="3:3" x14ac:dyDescent="0.25">
      <c r="C2653"/>
    </row>
    <row r="2654" spans="3:3" x14ac:dyDescent="0.25">
      <c r="C2654"/>
    </row>
    <row r="2655" spans="3:3" x14ac:dyDescent="0.25">
      <c r="C2655"/>
    </row>
    <row r="2656" spans="3:3" x14ac:dyDescent="0.25">
      <c r="C2656"/>
    </row>
    <row r="2657" spans="3:3" x14ac:dyDescent="0.25">
      <c r="C2657"/>
    </row>
    <row r="2658" spans="3:3" x14ac:dyDescent="0.25">
      <c r="C2658"/>
    </row>
    <row r="2659" spans="3:3" x14ac:dyDescent="0.25">
      <c r="C2659"/>
    </row>
    <row r="2660" spans="3:3" x14ac:dyDescent="0.25">
      <c r="C2660"/>
    </row>
    <row r="2661" spans="3:3" x14ac:dyDescent="0.25">
      <c r="C2661"/>
    </row>
    <row r="2662" spans="3:3" x14ac:dyDescent="0.25">
      <c r="C2662"/>
    </row>
    <row r="2663" spans="3:3" x14ac:dyDescent="0.25">
      <c r="C2663"/>
    </row>
    <row r="2664" spans="3:3" x14ac:dyDescent="0.25">
      <c r="C2664"/>
    </row>
    <row r="2665" spans="3:3" x14ac:dyDescent="0.25">
      <c r="C2665"/>
    </row>
    <row r="2666" spans="3:3" x14ac:dyDescent="0.25">
      <c r="C2666"/>
    </row>
    <row r="2667" spans="3:3" x14ac:dyDescent="0.25">
      <c r="C2667"/>
    </row>
    <row r="2668" spans="3:3" x14ac:dyDescent="0.25">
      <c r="C2668"/>
    </row>
    <row r="2669" spans="3:3" x14ac:dyDescent="0.25">
      <c r="C2669"/>
    </row>
    <row r="2670" spans="3:3" x14ac:dyDescent="0.25">
      <c r="C2670"/>
    </row>
    <row r="2671" spans="3:3" x14ac:dyDescent="0.25">
      <c r="C2671"/>
    </row>
    <row r="2672" spans="3:3" x14ac:dyDescent="0.25">
      <c r="C2672"/>
    </row>
    <row r="2673" spans="3:3" x14ac:dyDescent="0.25">
      <c r="C2673"/>
    </row>
    <row r="2674" spans="3:3" x14ac:dyDescent="0.25">
      <c r="C2674"/>
    </row>
    <row r="2675" spans="3:3" x14ac:dyDescent="0.25">
      <c r="C2675"/>
    </row>
    <row r="2676" spans="3:3" x14ac:dyDescent="0.25">
      <c r="C2676"/>
    </row>
    <row r="2677" spans="3:3" x14ac:dyDescent="0.25">
      <c r="C2677"/>
    </row>
    <row r="2678" spans="3:3" x14ac:dyDescent="0.25">
      <c r="C2678"/>
    </row>
    <row r="2679" spans="3:3" x14ac:dyDescent="0.25">
      <c r="C2679"/>
    </row>
    <row r="2680" spans="3:3" x14ac:dyDescent="0.25">
      <c r="C2680"/>
    </row>
    <row r="2681" spans="3:3" x14ac:dyDescent="0.25">
      <c r="C2681"/>
    </row>
    <row r="2682" spans="3:3" x14ac:dyDescent="0.25">
      <c r="C2682"/>
    </row>
    <row r="2683" spans="3:3" x14ac:dyDescent="0.25">
      <c r="C2683"/>
    </row>
    <row r="2684" spans="3:3" x14ac:dyDescent="0.25">
      <c r="C2684"/>
    </row>
    <row r="2685" spans="3:3" x14ac:dyDescent="0.25">
      <c r="C2685"/>
    </row>
    <row r="2686" spans="3:3" x14ac:dyDescent="0.25">
      <c r="C2686"/>
    </row>
    <row r="2687" spans="3:3" x14ac:dyDescent="0.25">
      <c r="C2687"/>
    </row>
    <row r="2688" spans="3:3" x14ac:dyDescent="0.25">
      <c r="C2688"/>
    </row>
    <row r="2689" spans="3:3" x14ac:dyDescent="0.25">
      <c r="C2689"/>
    </row>
    <row r="2690" spans="3:3" x14ac:dyDescent="0.25">
      <c r="C2690"/>
    </row>
    <row r="2691" spans="3:3" x14ac:dyDescent="0.25">
      <c r="C2691"/>
    </row>
    <row r="2692" spans="3:3" x14ac:dyDescent="0.25">
      <c r="C2692"/>
    </row>
    <row r="2693" spans="3:3" x14ac:dyDescent="0.25">
      <c r="C2693"/>
    </row>
    <row r="2694" spans="3:3" x14ac:dyDescent="0.25">
      <c r="C2694"/>
    </row>
    <row r="2695" spans="3:3" x14ac:dyDescent="0.25">
      <c r="C2695"/>
    </row>
    <row r="2696" spans="3:3" x14ac:dyDescent="0.25">
      <c r="C2696"/>
    </row>
    <row r="2697" spans="3:3" x14ac:dyDescent="0.25">
      <c r="C2697"/>
    </row>
    <row r="2698" spans="3:3" x14ac:dyDescent="0.25">
      <c r="C2698"/>
    </row>
    <row r="2699" spans="3:3" x14ac:dyDescent="0.25">
      <c r="C2699"/>
    </row>
    <row r="2700" spans="3:3" x14ac:dyDescent="0.25">
      <c r="C2700"/>
    </row>
    <row r="2701" spans="3:3" x14ac:dyDescent="0.25">
      <c r="C2701"/>
    </row>
    <row r="2702" spans="3:3" x14ac:dyDescent="0.25">
      <c r="C2702"/>
    </row>
    <row r="2703" spans="3:3" x14ac:dyDescent="0.25">
      <c r="C2703"/>
    </row>
    <row r="2704" spans="3:3" x14ac:dyDescent="0.25">
      <c r="C2704"/>
    </row>
    <row r="2705" spans="3:3" x14ac:dyDescent="0.25">
      <c r="C2705"/>
    </row>
    <row r="2706" spans="3:3" x14ac:dyDescent="0.25">
      <c r="C2706"/>
    </row>
    <row r="2707" spans="3:3" x14ac:dyDescent="0.25">
      <c r="C2707"/>
    </row>
    <row r="2708" spans="3:3" x14ac:dyDescent="0.25">
      <c r="C2708"/>
    </row>
    <row r="2709" spans="3:3" x14ac:dyDescent="0.25">
      <c r="C2709"/>
    </row>
    <row r="2710" spans="3:3" x14ac:dyDescent="0.25">
      <c r="C2710"/>
    </row>
    <row r="2711" spans="3:3" x14ac:dyDescent="0.25">
      <c r="C2711"/>
    </row>
    <row r="2712" spans="3:3" x14ac:dyDescent="0.25">
      <c r="C2712"/>
    </row>
    <row r="2713" spans="3:3" x14ac:dyDescent="0.25">
      <c r="C2713"/>
    </row>
    <row r="2714" spans="3:3" x14ac:dyDescent="0.25">
      <c r="C2714"/>
    </row>
    <row r="2715" spans="3:3" x14ac:dyDescent="0.25">
      <c r="C2715"/>
    </row>
    <row r="2716" spans="3:3" x14ac:dyDescent="0.25">
      <c r="C2716"/>
    </row>
    <row r="2717" spans="3:3" x14ac:dyDescent="0.25">
      <c r="C2717"/>
    </row>
    <row r="2718" spans="3:3" x14ac:dyDescent="0.25">
      <c r="C2718"/>
    </row>
    <row r="2719" spans="3:3" x14ac:dyDescent="0.25">
      <c r="C2719"/>
    </row>
    <row r="2720" spans="3:3" x14ac:dyDescent="0.25">
      <c r="C2720"/>
    </row>
    <row r="2721" spans="3:3" x14ac:dyDescent="0.25">
      <c r="C2721"/>
    </row>
    <row r="2722" spans="3:3" x14ac:dyDescent="0.25">
      <c r="C2722"/>
    </row>
    <row r="2723" spans="3:3" x14ac:dyDescent="0.25">
      <c r="C2723"/>
    </row>
    <row r="2724" spans="3:3" x14ac:dyDescent="0.25">
      <c r="C2724"/>
    </row>
    <row r="2725" spans="3:3" x14ac:dyDescent="0.25">
      <c r="C2725"/>
    </row>
    <row r="2726" spans="3:3" x14ac:dyDescent="0.25">
      <c r="C2726"/>
    </row>
    <row r="2727" spans="3:3" x14ac:dyDescent="0.25">
      <c r="C2727"/>
    </row>
    <row r="2728" spans="3:3" x14ac:dyDescent="0.25">
      <c r="C2728"/>
    </row>
    <row r="2729" spans="3:3" x14ac:dyDescent="0.25">
      <c r="C2729"/>
    </row>
    <row r="2730" spans="3:3" x14ac:dyDescent="0.25">
      <c r="C2730"/>
    </row>
    <row r="2731" spans="3:3" x14ac:dyDescent="0.25">
      <c r="C2731"/>
    </row>
    <row r="2732" spans="3:3" x14ac:dyDescent="0.25">
      <c r="C2732"/>
    </row>
    <row r="2733" spans="3:3" x14ac:dyDescent="0.25">
      <c r="C2733"/>
    </row>
    <row r="2734" spans="3:3" x14ac:dyDescent="0.25">
      <c r="C2734"/>
    </row>
    <row r="2735" spans="3:3" x14ac:dyDescent="0.25">
      <c r="C2735"/>
    </row>
    <row r="2736" spans="3:3" x14ac:dyDescent="0.25">
      <c r="C2736"/>
    </row>
    <row r="2737" spans="3:3" x14ac:dyDescent="0.25">
      <c r="C2737"/>
    </row>
    <row r="2738" spans="3:3" x14ac:dyDescent="0.25">
      <c r="C2738"/>
    </row>
    <row r="2739" spans="3:3" x14ac:dyDescent="0.25">
      <c r="C2739"/>
    </row>
    <row r="2740" spans="3:3" x14ac:dyDescent="0.25">
      <c r="C2740"/>
    </row>
    <row r="2741" spans="3:3" x14ac:dyDescent="0.25">
      <c r="C2741"/>
    </row>
    <row r="2742" spans="3:3" x14ac:dyDescent="0.25">
      <c r="C2742"/>
    </row>
    <row r="2743" spans="3:3" x14ac:dyDescent="0.25">
      <c r="C2743"/>
    </row>
    <row r="2744" spans="3:3" x14ac:dyDescent="0.25">
      <c r="C2744"/>
    </row>
    <row r="2745" spans="3:3" x14ac:dyDescent="0.25">
      <c r="C2745"/>
    </row>
    <row r="2746" spans="3:3" x14ac:dyDescent="0.25">
      <c r="C2746"/>
    </row>
    <row r="2747" spans="3:3" x14ac:dyDescent="0.25">
      <c r="C2747"/>
    </row>
    <row r="2748" spans="3:3" x14ac:dyDescent="0.25">
      <c r="C2748"/>
    </row>
    <row r="2749" spans="3:3" x14ac:dyDescent="0.25">
      <c r="C2749"/>
    </row>
    <row r="2750" spans="3:3" x14ac:dyDescent="0.25">
      <c r="C2750"/>
    </row>
    <row r="2751" spans="3:3" x14ac:dyDescent="0.25">
      <c r="C2751"/>
    </row>
    <row r="2752" spans="3:3" x14ac:dyDescent="0.25">
      <c r="C2752"/>
    </row>
    <row r="2753" spans="3:3" x14ac:dyDescent="0.25">
      <c r="C2753"/>
    </row>
    <row r="2754" spans="3:3" x14ac:dyDescent="0.25">
      <c r="C2754"/>
    </row>
    <row r="2755" spans="3:3" x14ac:dyDescent="0.25">
      <c r="C2755"/>
    </row>
    <row r="2756" spans="3:3" x14ac:dyDescent="0.25">
      <c r="C2756"/>
    </row>
    <row r="2757" spans="3:3" x14ac:dyDescent="0.25">
      <c r="C2757"/>
    </row>
    <row r="2758" spans="3:3" x14ac:dyDescent="0.25">
      <c r="C2758"/>
    </row>
    <row r="2759" spans="3:3" x14ac:dyDescent="0.25">
      <c r="C2759"/>
    </row>
    <row r="2760" spans="3:3" x14ac:dyDescent="0.25">
      <c r="C2760"/>
    </row>
    <row r="2761" spans="3:3" x14ac:dyDescent="0.25">
      <c r="C2761"/>
    </row>
    <row r="2762" spans="3:3" x14ac:dyDescent="0.25">
      <c r="C2762"/>
    </row>
    <row r="2763" spans="3:3" x14ac:dyDescent="0.25">
      <c r="C2763"/>
    </row>
    <row r="2764" spans="3:3" x14ac:dyDescent="0.25">
      <c r="C2764"/>
    </row>
    <row r="2765" spans="3:3" x14ac:dyDescent="0.25">
      <c r="C2765"/>
    </row>
    <row r="2766" spans="3:3" x14ac:dyDescent="0.25">
      <c r="C2766"/>
    </row>
    <row r="2767" spans="3:3" x14ac:dyDescent="0.25">
      <c r="C2767"/>
    </row>
    <row r="2768" spans="3:3" x14ac:dyDescent="0.25">
      <c r="C2768"/>
    </row>
    <row r="2769" spans="3:3" x14ac:dyDescent="0.25">
      <c r="C2769"/>
    </row>
    <row r="2770" spans="3:3" x14ac:dyDescent="0.25">
      <c r="C2770"/>
    </row>
    <row r="2771" spans="3:3" x14ac:dyDescent="0.25">
      <c r="C2771"/>
    </row>
    <row r="2772" spans="3:3" x14ac:dyDescent="0.25">
      <c r="C2772"/>
    </row>
    <row r="2773" spans="3:3" x14ac:dyDescent="0.25">
      <c r="C2773"/>
    </row>
    <row r="2774" spans="3:3" x14ac:dyDescent="0.25">
      <c r="C2774"/>
    </row>
    <row r="2775" spans="3:3" x14ac:dyDescent="0.25">
      <c r="C2775"/>
    </row>
    <row r="2776" spans="3:3" x14ac:dyDescent="0.25">
      <c r="C2776"/>
    </row>
    <row r="2777" spans="3:3" x14ac:dyDescent="0.25">
      <c r="C2777"/>
    </row>
    <row r="2778" spans="3:3" x14ac:dyDescent="0.25">
      <c r="C2778"/>
    </row>
    <row r="2779" spans="3:3" x14ac:dyDescent="0.25">
      <c r="C2779"/>
    </row>
    <row r="2780" spans="3:3" x14ac:dyDescent="0.25">
      <c r="C2780"/>
    </row>
    <row r="2781" spans="3:3" x14ac:dyDescent="0.25">
      <c r="C2781"/>
    </row>
    <row r="2782" spans="3:3" x14ac:dyDescent="0.25">
      <c r="C2782"/>
    </row>
    <row r="2783" spans="3:3" x14ac:dyDescent="0.25">
      <c r="C2783"/>
    </row>
    <row r="2784" spans="3:3" x14ac:dyDescent="0.25">
      <c r="C2784"/>
    </row>
    <row r="2785" spans="3:3" x14ac:dyDescent="0.25">
      <c r="C2785"/>
    </row>
    <row r="2786" spans="3:3" x14ac:dyDescent="0.25">
      <c r="C2786"/>
    </row>
    <row r="2787" spans="3:3" x14ac:dyDescent="0.25">
      <c r="C2787"/>
    </row>
    <row r="2788" spans="3:3" x14ac:dyDescent="0.25">
      <c r="C2788"/>
    </row>
    <row r="2789" spans="3:3" x14ac:dyDescent="0.25">
      <c r="C2789"/>
    </row>
    <row r="2790" spans="3:3" x14ac:dyDescent="0.25">
      <c r="C2790"/>
    </row>
    <row r="2791" spans="3:3" x14ac:dyDescent="0.25">
      <c r="C2791"/>
    </row>
    <row r="2792" spans="3:3" x14ac:dyDescent="0.25">
      <c r="C2792"/>
    </row>
    <row r="2793" spans="3:3" x14ac:dyDescent="0.25">
      <c r="C2793"/>
    </row>
    <row r="2794" spans="3:3" x14ac:dyDescent="0.25">
      <c r="C2794"/>
    </row>
    <row r="2795" spans="3:3" x14ac:dyDescent="0.25">
      <c r="C2795"/>
    </row>
    <row r="2796" spans="3:3" x14ac:dyDescent="0.25">
      <c r="C2796"/>
    </row>
    <row r="2797" spans="3:3" x14ac:dyDescent="0.25">
      <c r="C2797"/>
    </row>
    <row r="2798" spans="3:3" x14ac:dyDescent="0.25">
      <c r="C2798"/>
    </row>
    <row r="2799" spans="3:3" x14ac:dyDescent="0.25">
      <c r="C2799"/>
    </row>
    <row r="2800" spans="3:3" x14ac:dyDescent="0.25">
      <c r="C2800"/>
    </row>
    <row r="2801" spans="3:3" x14ac:dyDescent="0.25">
      <c r="C2801"/>
    </row>
    <row r="2802" spans="3:3" x14ac:dyDescent="0.25">
      <c r="C2802"/>
    </row>
    <row r="2803" spans="3:3" x14ac:dyDescent="0.25">
      <c r="C2803"/>
    </row>
    <row r="2804" spans="3:3" x14ac:dyDescent="0.25">
      <c r="C2804"/>
    </row>
    <row r="2805" spans="3:3" x14ac:dyDescent="0.25">
      <c r="C2805"/>
    </row>
    <row r="2806" spans="3:3" x14ac:dyDescent="0.25">
      <c r="C2806"/>
    </row>
    <row r="2807" spans="3:3" x14ac:dyDescent="0.25">
      <c r="C2807"/>
    </row>
    <row r="2808" spans="3:3" x14ac:dyDescent="0.25">
      <c r="C2808"/>
    </row>
    <row r="2809" spans="3:3" x14ac:dyDescent="0.25">
      <c r="C2809"/>
    </row>
    <row r="2810" spans="3:3" x14ac:dyDescent="0.25">
      <c r="C2810"/>
    </row>
    <row r="2811" spans="3:3" x14ac:dyDescent="0.25">
      <c r="C2811"/>
    </row>
    <row r="2812" spans="3:3" x14ac:dyDescent="0.25">
      <c r="C2812"/>
    </row>
    <row r="2813" spans="3:3" x14ac:dyDescent="0.25">
      <c r="C2813"/>
    </row>
    <row r="2814" spans="3:3" x14ac:dyDescent="0.25">
      <c r="C2814"/>
    </row>
    <row r="2815" spans="3:3" x14ac:dyDescent="0.25">
      <c r="C2815"/>
    </row>
    <row r="2816" spans="3:3" x14ac:dyDescent="0.25">
      <c r="C2816"/>
    </row>
    <row r="2817" spans="3:3" x14ac:dyDescent="0.25">
      <c r="C2817"/>
    </row>
    <row r="2818" spans="3:3" x14ac:dyDescent="0.25">
      <c r="C2818"/>
    </row>
    <row r="2819" spans="3:3" x14ac:dyDescent="0.25">
      <c r="C2819"/>
    </row>
    <row r="2820" spans="3:3" x14ac:dyDescent="0.25">
      <c r="C2820"/>
    </row>
    <row r="2821" spans="3:3" x14ac:dyDescent="0.25">
      <c r="C2821"/>
    </row>
    <row r="2822" spans="3:3" x14ac:dyDescent="0.25">
      <c r="C2822"/>
    </row>
    <row r="2823" spans="3:3" x14ac:dyDescent="0.25">
      <c r="C2823"/>
    </row>
    <row r="2824" spans="3:3" x14ac:dyDescent="0.25">
      <c r="C2824"/>
    </row>
    <row r="2825" spans="3:3" x14ac:dyDescent="0.25">
      <c r="C2825"/>
    </row>
    <row r="2826" spans="3:3" x14ac:dyDescent="0.25">
      <c r="C2826"/>
    </row>
    <row r="2827" spans="3:3" x14ac:dyDescent="0.25">
      <c r="C2827"/>
    </row>
    <row r="2828" spans="3:3" x14ac:dyDescent="0.25">
      <c r="C2828"/>
    </row>
    <row r="2829" spans="3:3" x14ac:dyDescent="0.25">
      <c r="C2829"/>
    </row>
    <row r="2830" spans="3:3" x14ac:dyDescent="0.25">
      <c r="C2830"/>
    </row>
    <row r="2831" spans="3:3" x14ac:dyDescent="0.25">
      <c r="C2831"/>
    </row>
    <row r="2832" spans="3:3" x14ac:dyDescent="0.25">
      <c r="C2832"/>
    </row>
    <row r="2833" spans="3:3" x14ac:dyDescent="0.25">
      <c r="C2833"/>
    </row>
    <row r="2834" spans="3:3" x14ac:dyDescent="0.25">
      <c r="C2834"/>
    </row>
    <row r="2835" spans="3:3" x14ac:dyDescent="0.25">
      <c r="C2835"/>
    </row>
    <row r="2836" spans="3:3" x14ac:dyDescent="0.25">
      <c r="C2836"/>
    </row>
    <row r="2837" spans="3:3" x14ac:dyDescent="0.25">
      <c r="C2837"/>
    </row>
    <row r="2838" spans="3:3" x14ac:dyDescent="0.25">
      <c r="C2838"/>
    </row>
    <row r="2839" spans="3:3" x14ac:dyDescent="0.25">
      <c r="C2839"/>
    </row>
    <row r="2840" spans="3:3" x14ac:dyDescent="0.25">
      <c r="C2840"/>
    </row>
    <row r="2841" spans="3:3" x14ac:dyDescent="0.25">
      <c r="C2841"/>
    </row>
    <row r="2842" spans="3:3" x14ac:dyDescent="0.25">
      <c r="C2842"/>
    </row>
    <row r="2843" spans="3:3" x14ac:dyDescent="0.25">
      <c r="C2843"/>
    </row>
    <row r="2844" spans="3:3" x14ac:dyDescent="0.25">
      <c r="C2844"/>
    </row>
    <row r="2845" spans="3:3" x14ac:dyDescent="0.25">
      <c r="C2845"/>
    </row>
    <row r="2846" spans="3:3" x14ac:dyDescent="0.25">
      <c r="C2846"/>
    </row>
    <row r="2847" spans="3:3" x14ac:dyDescent="0.25">
      <c r="C2847"/>
    </row>
    <row r="2848" spans="3:3" x14ac:dyDescent="0.25">
      <c r="C2848"/>
    </row>
    <row r="2849" spans="3:3" x14ac:dyDescent="0.25">
      <c r="C2849"/>
    </row>
    <row r="2850" spans="3:3" x14ac:dyDescent="0.25">
      <c r="C2850"/>
    </row>
    <row r="2851" spans="3:3" x14ac:dyDescent="0.25">
      <c r="C2851"/>
    </row>
    <row r="2852" spans="3:3" x14ac:dyDescent="0.25">
      <c r="C2852"/>
    </row>
    <row r="2853" spans="3:3" x14ac:dyDescent="0.25">
      <c r="C2853"/>
    </row>
    <row r="2854" spans="3:3" x14ac:dyDescent="0.25">
      <c r="C2854"/>
    </row>
    <row r="2855" spans="3:3" x14ac:dyDescent="0.25">
      <c r="C2855"/>
    </row>
    <row r="2856" spans="3:3" x14ac:dyDescent="0.25">
      <c r="C2856"/>
    </row>
    <row r="2857" spans="3:3" x14ac:dyDescent="0.25">
      <c r="C2857"/>
    </row>
    <row r="2858" spans="3:3" x14ac:dyDescent="0.25">
      <c r="C2858"/>
    </row>
    <row r="2859" spans="3:3" x14ac:dyDescent="0.25">
      <c r="C2859"/>
    </row>
    <row r="2860" spans="3:3" x14ac:dyDescent="0.25">
      <c r="C2860"/>
    </row>
    <row r="2861" spans="3:3" x14ac:dyDescent="0.25">
      <c r="C2861"/>
    </row>
    <row r="2862" spans="3:3" x14ac:dyDescent="0.25">
      <c r="C2862"/>
    </row>
    <row r="2863" spans="3:3" x14ac:dyDescent="0.25">
      <c r="C2863"/>
    </row>
    <row r="2864" spans="3:3" x14ac:dyDescent="0.25">
      <c r="C2864"/>
    </row>
    <row r="2865" spans="3:3" x14ac:dyDescent="0.25">
      <c r="C2865"/>
    </row>
    <row r="2866" spans="3:3" x14ac:dyDescent="0.25">
      <c r="C2866"/>
    </row>
    <row r="2867" spans="3:3" x14ac:dyDescent="0.25">
      <c r="C2867"/>
    </row>
    <row r="2868" spans="3:3" x14ac:dyDescent="0.25">
      <c r="C2868"/>
    </row>
    <row r="2869" spans="3:3" x14ac:dyDescent="0.25">
      <c r="C2869"/>
    </row>
    <row r="2870" spans="3:3" x14ac:dyDescent="0.25">
      <c r="C2870"/>
    </row>
    <row r="2871" spans="3:3" x14ac:dyDescent="0.25">
      <c r="C2871"/>
    </row>
    <row r="2872" spans="3:3" x14ac:dyDescent="0.25">
      <c r="C2872"/>
    </row>
    <row r="2873" spans="3:3" x14ac:dyDescent="0.25">
      <c r="C2873"/>
    </row>
    <row r="2874" spans="3:3" x14ac:dyDescent="0.25">
      <c r="C2874"/>
    </row>
    <row r="2875" spans="3:3" x14ac:dyDescent="0.25">
      <c r="C2875"/>
    </row>
    <row r="2876" spans="3:3" x14ac:dyDescent="0.25">
      <c r="C2876"/>
    </row>
    <row r="2877" spans="3:3" x14ac:dyDescent="0.25">
      <c r="C2877"/>
    </row>
    <row r="2878" spans="3:3" x14ac:dyDescent="0.25">
      <c r="C2878"/>
    </row>
    <row r="2879" spans="3:3" x14ac:dyDescent="0.25">
      <c r="C2879"/>
    </row>
    <row r="2880" spans="3:3" x14ac:dyDescent="0.25">
      <c r="C2880"/>
    </row>
    <row r="2881" spans="3:3" x14ac:dyDescent="0.25">
      <c r="C2881"/>
    </row>
    <row r="2882" spans="3:3" x14ac:dyDescent="0.25">
      <c r="C2882"/>
    </row>
    <row r="2883" spans="3:3" x14ac:dyDescent="0.25">
      <c r="C2883"/>
    </row>
    <row r="2884" spans="3:3" x14ac:dyDescent="0.25">
      <c r="C2884"/>
    </row>
    <row r="2885" spans="3:3" x14ac:dyDescent="0.25">
      <c r="C2885"/>
    </row>
    <row r="2886" spans="3:3" x14ac:dyDescent="0.25">
      <c r="C2886"/>
    </row>
    <row r="2887" spans="3:3" x14ac:dyDescent="0.25">
      <c r="C2887"/>
    </row>
    <row r="2888" spans="3:3" x14ac:dyDescent="0.25">
      <c r="C2888"/>
    </row>
    <row r="2889" spans="3:3" x14ac:dyDescent="0.25">
      <c r="C2889"/>
    </row>
    <row r="2890" spans="3:3" x14ac:dyDescent="0.25">
      <c r="C2890"/>
    </row>
    <row r="2891" spans="3:3" x14ac:dyDescent="0.25">
      <c r="C2891"/>
    </row>
    <row r="2892" spans="3:3" x14ac:dyDescent="0.25">
      <c r="C2892"/>
    </row>
    <row r="2893" spans="3:3" x14ac:dyDescent="0.25">
      <c r="C2893"/>
    </row>
    <row r="2894" spans="3:3" x14ac:dyDescent="0.25">
      <c r="C2894"/>
    </row>
    <row r="2895" spans="3:3" x14ac:dyDescent="0.25">
      <c r="C2895"/>
    </row>
    <row r="2896" spans="3:3" x14ac:dyDescent="0.25">
      <c r="C2896"/>
    </row>
    <row r="2897" spans="3:3" x14ac:dyDescent="0.25">
      <c r="C2897"/>
    </row>
    <row r="2898" spans="3:3" x14ac:dyDescent="0.25">
      <c r="C2898"/>
    </row>
    <row r="2899" spans="3:3" x14ac:dyDescent="0.25">
      <c r="C2899"/>
    </row>
    <row r="2900" spans="3:3" x14ac:dyDescent="0.25">
      <c r="C2900"/>
    </row>
    <row r="2901" spans="3:3" x14ac:dyDescent="0.25">
      <c r="C2901"/>
    </row>
    <row r="2902" spans="3:3" x14ac:dyDescent="0.25">
      <c r="C2902"/>
    </row>
    <row r="2903" spans="3:3" x14ac:dyDescent="0.25">
      <c r="C2903"/>
    </row>
    <row r="2904" spans="3:3" x14ac:dyDescent="0.25">
      <c r="C2904"/>
    </row>
    <row r="2905" spans="3:3" x14ac:dyDescent="0.25">
      <c r="C2905"/>
    </row>
    <row r="2906" spans="3:3" x14ac:dyDescent="0.25">
      <c r="C2906"/>
    </row>
    <row r="2907" spans="3:3" x14ac:dyDescent="0.25">
      <c r="C2907"/>
    </row>
    <row r="2908" spans="3:3" x14ac:dyDescent="0.25">
      <c r="C2908"/>
    </row>
    <row r="2909" spans="3:3" x14ac:dyDescent="0.25">
      <c r="C2909"/>
    </row>
    <row r="2910" spans="3:3" x14ac:dyDescent="0.25">
      <c r="C2910"/>
    </row>
    <row r="2911" spans="3:3" x14ac:dyDescent="0.25">
      <c r="C2911"/>
    </row>
    <row r="2912" spans="3:3" x14ac:dyDescent="0.25">
      <c r="C2912"/>
    </row>
    <row r="2913" spans="3:3" x14ac:dyDescent="0.25">
      <c r="C2913"/>
    </row>
    <row r="2914" spans="3:3" x14ac:dyDescent="0.25">
      <c r="C2914"/>
    </row>
    <row r="2915" spans="3:3" x14ac:dyDescent="0.25">
      <c r="C2915"/>
    </row>
    <row r="2916" spans="3:3" x14ac:dyDescent="0.25">
      <c r="C2916"/>
    </row>
    <row r="2917" spans="3:3" x14ac:dyDescent="0.25">
      <c r="C2917"/>
    </row>
    <row r="2918" spans="3:3" x14ac:dyDescent="0.25">
      <c r="C2918"/>
    </row>
    <row r="2919" spans="3:3" x14ac:dyDescent="0.25">
      <c r="C2919"/>
    </row>
    <row r="2920" spans="3:3" x14ac:dyDescent="0.25">
      <c r="C2920"/>
    </row>
    <row r="2921" spans="3:3" x14ac:dyDescent="0.25">
      <c r="C2921"/>
    </row>
    <row r="2922" spans="3:3" x14ac:dyDescent="0.25">
      <c r="C2922"/>
    </row>
    <row r="2923" spans="3:3" x14ac:dyDescent="0.25">
      <c r="C2923"/>
    </row>
    <row r="2924" spans="3:3" x14ac:dyDescent="0.25">
      <c r="C2924"/>
    </row>
    <row r="2925" spans="3:3" x14ac:dyDescent="0.25">
      <c r="C2925"/>
    </row>
    <row r="2926" spans="3:3" x14ac:dyDescent="0.25">
      <c r="C2926"/>
    </row>
    <row r="2927" spans="3:3" x14ac:dyDescent="0.25">
      <c r="C2927"/>
    </row>
    <row r="2928" spans="3:3" x14ac:dyDescent="0.25">
      <c r="C2928"/>
    </row>
    <row r="2929" spans="3:3" x14ac:dyDescent="0.25">
      <c r="C2929"/>
    </row>
    <row r="2930" spans="3:3" x14ac:dyDescent="0.25">
      <c r="C2930"/>
    </row>
    <row r="2931" spans="3:3" x14ac:dyDescent="0.25">
      <c r="C2931"/>
    </row>
    <row r="2932" spans="3:3" x14ac:dyDescent="0.25">
      <c r="C2932"/>
    </row>
    <row r="2933" spans="3:3" x14ac:dyDescent="0.25">
      <c r="C2933"/>
    </row>
    <row r="2934" spans="3:3" x14ac:dyDescent="0.25">
      <c r="C2934"/>
    </row>
    <row r="2935" spans="3:3" x14ac:dyDescent="0.25">
      <c r="C2935"/>
    </row>
    <row r="2936" spans="3:3" x14ac:dyDescent="0.25">
      <c r="C2936"/>
    </row>
    <row r="2937" spans="3:3" x14ac:dyDescent="0.25">
      <c r="C2937"/>
    </row>
    <row r="2938" spans="3:3" x14ac:dyDescent="0.25">
      <c r="C2938"/>
    </row>
    <row r="2939" spans="3:3" x14ac:dyDescent="0.25">
      <c r="C2939"/>
    </row>
    <row r="2940" spans="3:3" x14ac:dyDescent="0.25">
      <c r="C2940"/>
    </row>
    <row r="2941" spans="3:3" x14ac:dyDescent="0.25">
      <c r="C2941"/>
    </row>
    <row r="2942" spans="3:3" x14ac:dyDescent="0.25">
      <c r="C2942"/>
    </row>
    <row r="2943" spans="3:3" x14ac:dyDescent="0.25">
      <c r="C2943"/>
    </row>
    <row r="2944" spans="3:3" x14ac:dyDescent="0.25">
      <c r="C2944"/>
    </row>
    <row r="2945" spans="3:3" x14ac:dyDescent="0.25">
      <c r="C2945"/>
    </row>
    <row r="2946" spans="3:3" x14ac:dyDescent="0.25">
      <c r="C2946"/>
    </row>
    <row r="2947" spans="3:3" x14ac:dyDescent="0.25">
      <c r="C2947"/>
    </row>
    <row r="2948" spans="3:3" x14ac:dyDescent="0.25">
      <c r="C2948"/>
    </row>
    <row r="2949" spans="3:3" x14ac:dyDescent="0.25">
      <c r="C2949"/>
    </row>
    <row r="2950" spans="3:3" x14ac:dyDescent="0.25">
      <c r="C2950"/>
    </row>
    <row r="2951" spans="3:3" x14ac:dyDescent="0.25">
      <c r="C2951"/>
    </row>
    <row r="2952" spans="3:3" x14ac:dyDescent="0.25">
      <c r="C2952"/>
    </row>
    <row r="2953" spans="3:3" x14ac:dyDescent="0.25">
      <c r="C2953"/>
    </row>
    <row r="2954" spans="3:3" x14ac:dyDescent="0.25">
      <c r="C2954"/>
    </row>
    <row r="2955" spans="3:3" x14ac:dyDescent="0.25">
      <c r="C2955"/>
    </row>
    <row r="2956" spans="3:3" x14ac:dyDescent="0.25">
      <c r="C2956"/>
    </row>
    <row r="2957" spans="3:3" x14ac:dyDescent="0.25">
      <c r="C2957"/>
    </row>
    <row r="2958" spans="3:3" x14ac:dyDescent="0.25">
      <c r="C2958"/>
    </row>
    <row r="2959" spans="3:3" x14ac:dyDescent="0.25">
      <c r="C2959"/>
    </row>
    <row r="2960" spans="3:3" x14ac:dyDescent="0.25">
      <c r="C2960"/>
    </row>
    <row r="2961" spans="3:3" x14ac:dyDescent="0.25">
      <c r="C2961"/>
    </row>
    <row r="2962" spans="3:3" x14ac:dyDescent="0.25">
      <c r="C2962"/>
    </row>
    <row r="2963" spans="3:3" x14ac:dyDescent="0.25">
      <c r="C2963"/>
    </row>
    <row r="2964" spans="3:3" x14ac:dyDescent="0.25">
      <c r="C2964"/>
    </row>
    <row r="2965" spans="3:3" x14ac:dyDescent="0.25">
      <c r="C2965"/>
    </row>
    <row r="2966" spans="3:3" x14ac:dyDescent="0.25">
      <c r="C2966"/>
    </row>
    <row r="2967" spans="3:3" x14ac:dyDescent="0.25">
      <c r="C2967"/>
    </row>
    <row r="2968" spans="3:3" x14ac:dyDescent="0.25">
      <c r="C2968"/>
    </row>
    <row r="2969" spans="3:3" x14ac:dyDescent="0.25">
      <c r="C2969"/>
    </row>
    <row r="2970" spans="3:3" x14ac:dyDescent="0.25">
      <c r="C2970"/>
    </row>
    <row r="2971" spans="3:3" x14ac:dyDescent="0.25">
      <c r="C2971"/>
    </row>
    <row r="2972" spans="3:3" x14ac:dyDescent="0.25">
      <c r="C2972"/>
    </row>
    <row r="2973" spans="3:3" x14ac:dyDescent="0.25">
      <c r="C2973"/>
    </row>
    <row r="2974" spans="3:3" x14ac:dyDescent="0.25">
      <c r="C2974"/>
    </row>
    <row r="2975" spans="3:3" x14ac:dyDescent="0.25">
      <c r="C2975"/>
    </row>
    <row r="2976" spans="3:3" x14ac:dyDescent="0.25">
      <c r="C2976"/>
    </row>
    <row r="2977" spans="3:3" x14ac:dyDescent="0.25">
      <c r="C2977"/>
    </row>
    <row r="2978" spans="3:3" x14ac:dyDescent="0.25">
      <c r="C2978"/>
    </row>
    <row r="2979" spans="3:3" x14ac:dyDescent="0.25">
      <c r="C2979"/>
    </row>
    <row r="2980" spans="3:3" x14ac:dyDescent="0.25">
      <c r="C2980"/>
    </row>
    <row r="2981" spans="3:3" x14ac:dyDescent="0.25">
      <c r="C2981"/>
    </row>
    <row r="2982" spans="3:3" x14ac:dyDescent="0.25">
      <c r="C2982"/>
    </row>
    <row r="2983" spans="3:3" x14ac:dyDescent="0.25">
      <c r="C2983"/>
    </row>
    <row r="2984" spans="3:3" x14ac:dyDescent="0.25">
      <c r="C2984"/>
    </row>
    <row r="2985" spans="3:3" x14ac:dyDescent="0.25">
      <c r="C2985"/>
    </row>
    <row r="2986" spans="3:3" x14ac:dyDescent="0.25">
      <c r="C2986"/>
    </row>
    <row r="2987" spans="3:3" x14ac:dyDescent="0.25">
      <c r="C2987"/>
    </row>
    <row r="2988" spans="3:3" x14ac:dyDescent="0.25">
      <c r="C2988"/>
    </row>
    <row r="2989" spans="3:3" x14ac:dyDescent="0.25">
      <c r="C2989"/>
    </row>
    <row r="2990" spans="3:3" x14ac:dyDescent="0.25">
      <c r="C2990"/>
    </row>
    <row r="2991" spans="3:3" x14ac:dyDescent="0.25">
      <c r="C2991"/>
    </row>
    <row r="2992" spans="3:3" x14ac:dyDescent="0.25">
      <c r="C2992"/>
    </row>
    <row r="2993" spans="3:3" x14ac:dyDescent="0.25">
      <c r="C2993"/>
    </row>
    <row r="2994" spans="3:3" x14ac:dyDescent="0.25">
      <c r="C2994"/>
    </row>
    <row r="2995" spans="3:3" x14ac:dyDescent="0.25">
      <c r="C2995"/>
    </row>
    <row r="2996" spans="3:3" x14ac:dyDescent="0.25">
      <c r="C2996"/>
    </row>
    <row r="2997" spans="3:3" x14ac:dyDescent="0.25">
      <c r="C2997"/>
    </row>
    <row r="2998" spans="3:3" x14ac:dyDescent="0.25">
      <c r="C2998"/>
    </row>
    <row r="2999" spans="3:3" x14ac:dyDescent="0.25">
      <c r="C2999"/>
    </row>
    <row r="3000" spans="3:3" x14ac:dyDescent="0.25">
      <c r="C3000"/>
    </row>
    <row r="3001" spans="3:3" x14ac:dyDescent="0.25">
      <c r="C3001"/>
    </row>
    <row r="3002" spans="3:3" x14ac:dyDescent="0.25">
      <c r="C3002"/>
    </row>
    <row r="3003" spans="3:3" x14ac:dyDescent="0.25">
      <c r="C3003"/>
    </row>
    <row r="3004" spans="3:3" x14ac:dyDescent="0.25">
      <c r="C3004"/>
    </row>
    <row r="3005" spans="3:3" x14ac:dyDescent="0.25">
      <c r="C3005"/>
    </row>
    <row r="3006" spans="3:3" x14ac:dyDescent="0.25">
      <c r="C3006"/>
    </row>
    <row r="3007" spans="3:3" x14ac:dyDescent="0.25">
      <c r="C3007"/>
    </row>
    <row r="3008" spans="3:3" x14ac:dyDescent="0.25">
      <c r="C3008"/>
    </row>
    <row r="3009" spans="3:3" x14ac:dyDescent="0.25">
      <c r="C3009"/>
    </row>
    <row r="3010" spans="3:3" x14ac:dyDescent="0.25">
      <c r="C3010"/>
    </row>
    <row r="3011" spans="3:3" x14ac:dyDescent="0.25">
      <c r="C3011"/>
    </row>
    <row r="3012" spans="3:3" x14ac:dyDescent="0.25">
      <c r="C3012"/>
    </row>
    <row r="3013" spans="3:3" x14ac:dyDescent="0.25">
      <c r="C3013"/>
    </row>
    <row r="3014" spans="3:3" x14ac:dyDescent="0.25">
      <c r="C3014"/>
    </row>
    <row r="3015" spans="3:3" x14ac:dyDescent="0.25">
      <c r="C3015"/>
    </row>
    <row r="3016" spans="3:3" x14ac:dyDescent="0.25">
      <c r="C3016"/>
    </row>
    <row r="3017" spans="3:3" x14ac:dyDescent="0.25">
      <c r="C3017"/>
    </row>
    <row r="3018" spans="3:3" x14ac:dyDescent="0.25">
      <c r="C3018"/>
    </row>
    <row r="3019" spans="3:3" x14ac:dyDescent="0.25">
      <c r="C3019"/>
    </row>
    <row r="3020" spans="3:3" x14ac:dyDescent="0.25">
      <c r="C3020"/>
    </row>
    <row r="3021" spans="3:3" x14ac:dyDescent="0.25">
      <c r="C3021"/>
    </row>
    <row r="3022" spans="3:3" x14ac:dyDescent="0.25">
      <c r="C3022"/>
    </row>
    <row r="3023" spans="3:3" x14ac:dyDescent="0.25">
      <c r="C3023"/>
    </row>
    <row r="3024" spans="3:3" x14ac:dyDescent="0.25">
      <c r="C3024"/>
    </row>
    <row r="3025" spans="3:3" x14ac:dyDescent="0.25">
      <c r="C3025"/>
    </row>
    <row r="3026" spans="3:3" x14ac:dyDescent="0.25">
      <c r="C3026"/>
    </row>
    <row r="3027" spans="3:3" x14ac:dyDescent="0.25">
      <c r="C3027"/>
    </row>
    <row r="3028" spans="3:3" x14ac:dyDescent="0.25">
      <c r="C3028"/>
    </row>
    <row r="3029" spans="3:3" x14ac:dyDescent="0.25">
      <c r="C3029"/>
    </row>
    <row r="3030" spans="3:3" x14ac:dyDescent="0.25">
      <c r="C3030"/>
    </row>
    <row r="3031" spans="3:3" x14ac:dyDescent="0.25">
      <c r="C3031"/>
    </row>
    <row r="3032" spans="3:3" x14ac:dyDescent="0.25">
      <c r="C3032"/>
    </row>
    <row r="3033" spans="3:3" x14ac:dyDescent="0.25">
      <c r="C3033"/>
    </row>
    <row r="3034" spans="3:3" x14ac:dyDescent="0.25">
      <c r="C3034"/>
    </row>
    <row r="3035" spans="3:3" x14ac:dyDescent="0.25">
      <c r="C3035"/>
    </row>
    <row r="3036" spans="3:3" x14ac:dyDescent="0.25">
      <c r="C3036"/>
    </row>
    <row r="3037" spans="3:3" x14ac:dyDescent="0.25">
      <c r="C3037"/>
    </row>
    <row r="3038" spans="3:3" x14ac:dyDescent="0.25">
      <c r="C3038"/>
    </row>
    <row r="3039" spans="3:3" x14ac:dyDescent="0.25">
      <c r="C3039"/>
    </row>
    <row r="3040" spans="3:3" x14ac:dyDescent="0.25">
      <c r="C3040"/>
    </row>
    <row r="3041" spans="3:3" x14ac:dyDescent="0.25">
      <c r="C3041"/>
    </row>
    <row r="3042" spans="3:3" x14ac:dyDescent="0.25">
      <c r="C3042"/>
    </row>
    <row r="3043" spans="3:3" x14ac:dyDescent="0.25">
      <c r="C3043"/>
    </row>
    <row r="3044" spans="3:3" x14ac:dyDescent="0.25">
      <c r="C3044"/>
    </row>
    <row r="3045" spans="3:3" x14ac:dyDescent="0.25">
      <c r="C3045"/>
    </row>
    <row r="3046" spans="3:3" x14ac:dyDescent="0.25">
      <c r="C3046"/>
    </row>
    <row r="3047" spans="3:3" x14ac:dyDescent="0.25">
      <c r="C3047"/>
    </row>
    <row r="3048" spans="3:3" x14ac:dyDescent="0.25">
      <c r="C3048"/>
    </row>
    <row r="3049" spans="3:3" x14ac:dyDescent="0.25">
      <c r="C3049"/>
    </row>
    <row r="3050" spans="3:3" x14ac:dyDescent="0.25">
      <c r="C3050"/>
    </row>
    <row r="3051" spans="3:3" x14ac:dyDescent="0.25">
      <c r="C3051"/>
    </row>
    <row r="3052" spans="3:3" x14ac:dyDescent="0.25">
      <c r="C3052"/>
    </row>
    <row r="3053" spans="3:3" x14ac:dyDescent="0.25">
      <c r="C3053"/>
    </row>
    <row r="3054" spans="3:3" x14ac:dyDescent="0.25">
      <c r="C3054"/>
    </row>
    <row r="3055" spans="3:3" x14ac:dyDescent="0.25">
      <c r="C3055"/>
    </row>
    <row r="3056" spans="3:3" x14ac:dyDescent="0.25">
      <c r="C3056"/>
    </row>
    <row r="3057" spans="3:3" x14ac:dyDescent="0.25">
      <c r="C3057"/>
    </row>
    <row r="3058" spans="3:3" x14ac:dyDescent="0.25">
      <c r="C3058"/>
    </row>
    <row r="3059" spans="3:3" x14ac:dyDescent="0.25">
      <c r="C3059"/>
    </row>
    <row r="3060" spans="3:3" x14ac:dyDescent="0.25">
      <c r="C3060"/>
    </row>
    <row r="3061" spans="3:3" x14ac:dyDescent="0.25">
      <c r="C3061"/>
    </row>
    <row r="3062" spans="3:3" x14ac:dyDescent="0.25">
      <c r="C3062"/>
    </row>
    <row r="3063" spans="3:3" x14ac:dyDescent="0.25">
      <c r="C3063"/>
    </row>
    <row r="3064" spans="3:3" x14ac:dyDescent="0.25">
      <c r="C3064"/>
    </row>
    <row r="3065" spans="3:3" x14ac:dyDescent="0.25">
      <c r="C3065"/>
    </row>
    <row r="3066" spans="3:3" x14ac:dyDescent="0.25">
      <c r="C3066"/>
    </row>
    <row r="3067" spans="3:3" x14ac:dyDescent="0.25">
      <c r="C3067"/>
    </row>
    <row r="3068" spans="3:3" x14ac:dyDescent="0.25">
      <c r="C3068"/>
    </row>
    <row r="3069" spans="3:3" x14ac:dyDescent="0.25">
      <c r="C3069"/>
    </row>
    <row r="3070" spans="3:3" x14ac:dyDescent="0.25">
      <c r="C3070"/>
    </row>
    <row r="3071" spans="3:3" x14ac:dyDescent="0.25">
      <c r="C3071"/>
    </row>
    <row r="3072" spans="3:3" x14ac:dyDescent="0.25">
      <c r="C3072"/>
    </row>
    <row r="3073" spans="3:3" x14ac:dyDescent="0.25">
      <c r="C3073"/>
    </row>
    <row r="3074" spans="3:3" x14ac:dyDescent="0.25">
      <c r="C3074"/>
    </row>
    <row r="3075" spans="3:3" x14ac:dyDescent="0.25">
      <c r="C3075"/>
    </row>
    <row r="3076" spans="3:3" x14ac:dyDescent="0.25">
      <c r="C3076"/>
    </row>
    <row r="3077" spans="3:3" x14ac:dyDescent="0.25">
      <c r="C3077"/>
    </row>
    <row r="3078" spans="3:3" x14ac:dyDescent="0.25">
      <c r="C3078"/>
    </row>
    <row r="3079" spans="3:3" x14ac:dyDescent="0.25">
      <c r="C3079"/>
    </row>
    <row r="3080" spans="3:3" x14ac:dyDescent="0.25">
      <c r="C3080"/>
    </row>
    <row r="3081" spans="3:3" x14ac:dyDescent="0.25">
      <c r="C3081"/>
    </row>
    <row r="3082" spans="3:3" x14ac:dyDescent="0.25">
      <c r="C3082"/>
    </row>
    <row r="3083" spans="3:3" x14ac:dyDescent="0.25">
      <c r="C3083"/>
    </row>
    <row r="3084" spans="3:3" x14ac:dyDescent="0.25">
      <c r="C3084"/>
    </row>
    <row r="3085" spans="3:3" x14ac:dyDescent="0.25">
      <c r="C3085"/>
    </row>
    <row r="3086" spans="3:3" x14ac:dyDescent="0.25">
      <c r="C3086"/>
    </row>
    <row r="3087" spans="3:3" x14ac:dyDescent="0.25">
      <c r="C3087"/>
    </row>
    <row r="3088" spans="3:3" x14ac:dyDescent="0.25">
      <c r="C3088"/>
    </row>
    <row r="3089" spans="3:3" x14ac:dyDescent="0.25">
      <c r="C3089"/>
    </row>
    <row r="3090" spans="3:3" x14ac:dyDescent="0.25">
      <c r="C3090"/>
    </row>
    <row r="3091" spans="3:3" x14ac:dyDescent="0.25">
      <c r="C3091"/>
    </row>
    <row r="3092" spans="3:3" x14ac:dyDescent="0.25">
      <c r="C3092"/>
    </row>
    <row r="3093" spans="3:3" x14ac:dyDescent="0.25">
      <c r="C3093"/>
    </row>
    <row r="3094" spans="3:3" x14ac:dyDescent="0.25">
      <c r="C3094"/>
    </row>
    <row r="3095" spans="3:3" x14ac:dyDescent="0.25">
      <c r="C3095"/>
    </row>
    <row r="3096" spans="3:3" x14ac:dyDescent="0.25">
      <c r="C3096"/>
    </row>
    <row r="3097" spans="3:3" x14ac:dyDescent="0.25">
      <c r="C3097"/>
    </row>
    <row r="3098" spans="3:3" x14ac:dyDescent="0.25">
      <c r="C3098"/>
    </row>
    <row r="3099" spans="3:3" x14ac:dyDescent="0.25">
      <c r="C3099"/>
    </row>
    <row r="3100" spans="3:3" x14ac:dyDescent="0.25">
      <c r="C3100"/>
    </row>
    <row r="3101" spans="3:3" x14ac:dyDescent="0.25">
      <c r="C3101"/>
    </row>
    <row r="3102" spans="3:3" x14ac:dyDescent="0.25">
      <c r="C3102"/>
    </row>
    <row r="3103" spans="3:3" x14ac:dyDescent="0.25">
      <c r="C3103"/>
    </row>
    <row r="3104" spans="3:3" x14ac:dyDescent="0.25">
      <c r="C3104"/>
    </row>
    <row r="3105" spans="3:3" x14ac:dyDescent="0.25">
      <c r="C3105"/>
    </row>
    <row r="3106" spans="3:3" x14ac:dyDescent="0.25">
      <c r="C3106"/>
    </row>
    <row r="3107" spans="3:3" x14ac:dyDescent="0.25">
      <c r="C3107"/>
    </row>
    <row r="3108" spans="3:3" x14ac:dyDescent="0.25">
      <c r="C3108"/>
    </row>
    <row r="3109" spans="3:3" x14ac:dyDescent="0.25">
      <c r="C3109"/>
    </row>
    <row r="3110" spans="3:3" x14ac:dyDescent="0.25">
      <c r="C3110"/>
    </row>
    <row r="3111" spans="3:3" x14ac:dyDescent="0.25">
      <c r="C3111"/>
    </row>
    <row r="3112" spans="3:3" x14ac:dyDescent="0.25">
      <c r="C3112"/>
    </row>
    <row r="3113" spans="3:3" x14ac:dyDescent="0.25">
      <c r="C3113"/>
    </row>
    <row r="3114" spans="3:3" x14ac:dyDescent="0.25">
      <c r="C3114"/>
    </row>
    <row r="3115" spans="3:3" x14ac:dyDescent="0.25">
      <c r="C3115"/>
    </row>
    <row r="3116" spans="3:3" x14ac:dyDescent="0.25">
      <c r="C3116"/>
    </row>
    <row r="3117" spans="3:3" x14ac:dyDescent="0.25">
      <c r="C3117"/>
    </row>
    <row r="3118" spans="3:3" x14ac:dyDescent="0.25">
      <c r="C3118"/>
    </row>
    <row r="3119" spans="3:3" x14ac:dyDescent="0.25">
      <c r="C3119"/>
    </row>
    <row r="3120" spans="3:3" x14ac:dyDescent="0.25">
      <c r="C3120"/>
    </row>
    <row r="3121" spans="3:3" x14ac:dyDescent="0.25">
      <c r="C3121"/>
    </row>
    <row r="3122" spans="3:3" x14ac:dyDescent="0.25">
      <c r="C3122"/>
    </row>
    <row r="3123" spans="3:3" x14ac:dyDescent="0.25">
      <c r="C3123"/>
    </row>
    <row r="3124" spans="3:3" x14ac:dyDescent="0.25">
      <c r="C3124"/>
    </row>
    <row r="3125" spans="3:3" x14ac:dyDescent="0.25">
      <c r="C3125"/>
    </row>
    <row r="3126" spans="3:3" x14ac:dyDescent="0.25">
      <c r="C3126"/>
    </row>
    <row r="3127" spans="3:3" x14ac:dyDescent="0.25">
      <c r="C3127"/>
    </row>
    <row r="3128" spans="3:3" x14ac:dyDescent="0.25">
      <c r="C3128"/>
    </row>
    <row r="3129" spans="3:3" x14ac:dyDescent="0.25">
      <c r="C3129"/>
    </row>
    <row r="3130" spans="3:3" x14ac:dyDescent="0.25">
      <c r="C3130"/>
    </row>
    <row r="3131" spans="3:3" x14ac:dyDescent="0.25">
      <c r="C3131"/>
    </row>
    <row r="3132" spans="3:3" x14ac:dyDescent="0.25">
      <c r="C3132"/>
    </row>
    <row r="3133" spans="3:3" x14ac:dyDescent="0.25">
      <c r="C3133"/>
    </row>
    <row r="3134" spans="3:3" x14ac:dyDescent="0.25">
      <c r="C3134"/>
    </row>
    <row r="3135" spans="3:3" x14ac:dyDescent="0.25">
      <c r="C3135"/>
    </row>
    <row r="3136" spans="3:3" x14ac:dyDescent="0.25">
      <c r="C3136"/>
    </row>
    <row r="3137" spans="3:3" x14ac:dyDescent="0.25">
      <c r="C3137"/>
    </row>
    <row r="3138" spans="3:3" x14ac:dyDescent="0.25">
      <c r="C3138"/>
    </row>
    <row r="3139" spans="3:3" x14ac:dyDescent="0.25">
      <c r="C3139"/>
    </row>
    <row r="3140" spans="3:3" x14ac:dyDescent="0.25">
      <c r="C3140"/>
    </row>
    <row r="3141" spans="3:3" x14ac:dyDescent="0.25">
      <c r="C3141"/>
    </row>
    <row r="3142" spans="3:3" x14ac:dyDescent="0.25">
      <c r="C3142"/>
    </row>
    <row r="3143" spans="3:3" x14ac:dyDescent="0.25">
      <c r="C3143"/>
    </row>
    <row r="3144" spans="3:3" x14ac:dyDescent="0.25">
      <c r="C3144"/>
    </row>
    <row r="3145" spans="3:3" x14ac:dyDescent="0.25">
      <c r="C3145"/>
    </row>
    <row r="3146" spans="3:3" x14ac:dyDescent="0.25">
      <c r="C3146"/>
    </row>
    <row r="3147" spans="3:3" x14ac:dyDescent="0.25">
      <c r="C3147"/>
    </row>
    <row r="3148" spans="3:3" x14ac:dyDescent="0.25">
      <c r="C3148"/>
    </row>
    <row r="3149" spans="3:3" x14ac:dyDescent="0.25">
      <c r="C3149"/>
    </row>
    <row r="3150" spans="3:3" x14ac:dyDescent="0.25">
      <c r="C3150"/>
    </row>
    <row r="3151" spans="3:3" x14ac:dyDescent="0.25">
      <c r="C3151"/>
    </row>
    <row r="3152" spans="3:3" x14ac:dyDescent="0.25">
      <c r="C3152"/>
    </row>
    <row r="3153" spans="3:3" x14ac:dyDescent="0.25">
      <c r="C3153"/>
    </row>
    <row r="3154" spans="3:3" x14ac:dyDescent="0.25">
      <c r="C3154"/>
    </row>
    <row r="3155" spans="3:3" x14ac:dyDescent="0.25">
      <c r="C3155"/>
    </row>
    <row r="3156" spans="3:3" x14ac:dyDescent="0.25">
      <c r="C3156"/>
    </row>
    <row r="3157" spans="3:3" x14ac:dyDescent="0.25">
      <c r="C3157"/>
    </row>
    <row r="3158" spans="3:3" x14ac:dyDescent="0.25">
      <c r="C3158"/>
    </row>
    <row r="3159" spans="3:3" x14ac:dyDescent="0.25">
      <c r="C3159"/>
    </row>
    <row r="3160" spans="3:3" x14ac:dyDescent="0.25">
      <c r="C3160"/>
    </row>
    <row r="3161" spans="3:3" x14ac:dyDescent="0.25">
      <c r="C3161"/>
    </row>
    <row r="3162" spans="3:3" x14ac:dyDescent="0.25">
      <c r="C3162"/>
    </row>
    <row r="3163" spans="3:3" x14ac:dyDescent="0.25">
      <c r="C3163"/>
    </row>
    <row r="3164" spans="3:3" x14ac:dyDescent="0.25">
      <c r="C3164"/>
    </row>
    <row r="3165" spans="3:3" x14ac:dyDescent="0.25">
      <c r="C3165"/>
    </row>
    <row r="3166" spans="3:3" x14ac:dyDescent="0.25">
      <c r="C3166"/>
    </row>
    <row r="3167" spans="3:3" x14ac:dyDescent="0.25">
      <c r="C3167"/>
    </row>
    <row r="3168" spans="3:3" x14ac:dyDescent="0.25">
      <c r="C3168"/>
    </row>
    <row r="3169" spans="3:3" x14ac:dyDescent="0.25">
      <c r="C3169"/>
    </row>
    <row r="3170" spans="3:3" x14ac:dyDescent="0.25">
      <c r="C3170"/>
    </row>
    <row r="3171" spans="3:3" x14ac:dyDescent="0.25">
      <c r="C3171"/>
    </row>
    <row r="3172" spans="3:3" x14ac:dyDescent="0.25">
      <c r="C3172"/>
    </row>
    <row r="3173" spans="3:3" x14ac:dyDescent="0.25">
      <c r="C3173"/>
    </row>
    <row r="3174" spans="3:3" x14ac:dyDescent="0.25">
      <c r="C3174"/>
    </row>
    <row r="3175" spans="3:3" x14ac:dyDescent="0.25">
      <c r="C3175"/>
    </row>
    <row r="3176" spans="3:3" x14ac:dyDescent="0.25">
      <c r="C3176"/>
    </row>
    <row r="3177" spans="3:3" x14ac:dyDescent="0.25">
      <c r="C3177"/>
    </row>
    <row r="3178" spans="3:3" x14ac:dyDescent="0.25">
      <c r="C3178"/>
    </row>
    <row r="3179" spans="3:3" x14ac:dyDescent="0.25">
      <c r="C3179"/>
    </row>
    <row r="3180" spans="3:3" x14ac:dyDescent="0.25">
      <c r="C3180"/>
    </row>
    <row r="3181" spans="3:3" x14ac:dyDescent="0.25">
      <c r="C3181"/>
    </row>
    <row r="3182" spans="3:3" x14ac:dyDescent="0.25">
      <c r="C3182"/>
    </row>
    <row r="3183" spans="3:3" x14ac:dyDescent="0.25">
      <c r="C3183"/>
    </row>
    <row r="3184" spans="3:3" x14ac:dyDescent="0.25">
      <c r="C3184"/>
    </row>
    <row r="3185" spans="3:3" x14ac:dyDescent="0.25">
      <c r="C3185"/>
    </row>
    <row r="3186" spans="3:3" x14ac:dyDescent="0.25">
      <c r="C3186"/>
    </row>
    <row r="3187" spans="3:3" x14ac:dyDescent="0.25">
      <c r="C3187"/>
    </row>
    <row r="3188" spans="3:3" x14ac:dyDescent="0.25">
      <c r="C3188"/>
    </row>
    <row r="3189" spans="3:3" x14ac:dyDescent="0.25">
      <c r="C3189"/>
    </row>
    <row r="3190" spans="3:3" x14ac:dyDescent="0.25">
      <c r="C3190"/>
    </row>
    <row r="3191" spans="3:3" x14ac:dyDescent="0.25">
      <c r="C3191"/>
    </row>
    <row r="3192" spans="3:3" x14ac:dyDescent="0.25">
      <c r="C3192"/>
    </row>
    <row r="3193" spans="3:3" x14ac:dyDescent="0.25">
      <c r="C3193"/>
    </row>
    <row r="3194" spans="3:3" x14ac:dyDescent="0.25">
      <c r="C3194"/>
    </row>
    <row r="3195" spans="3:3" x14ac:dyDescent="0.25">
      <c r="C3195"/>
    </row>
    <row r="3196" spans="3:3" x14ac:dyDescent="0.25">
      <c r="C3196"/>
    </row>
    <row r="3197" spans="3:3" x14ac:dyDescent="0.25">
      <c r="C3197"/>
    </row>
    <row r="3198" spans="3:3" x14ac:dyDescent="0.25">
      <c r="C3198"/>
    </row>
    <row r="3199" spans="3:3" x14ac:dyDescent="0.25">
      <c r="C3199"/>
    </row>
    <row r="3200" spans="3:3" x14ac:dyDescent="0.25">
      <c r="C3200"/>
    </row>
    <row r="3201" spans="3:3" x14ac:dyDescent="0.25">
      <c r="C3201"/>
    </row>
    <row r="3202" spans="3:3" x14ac:dyDescent="0.25">
      <c r="C3202"/>
    </row>
    <row r="3203" spans="3:3" x14ac:dyDescent="0.25">
      <c r="C3203"/>
    </row>
    <row r="3204" spans="3:3" x14ac:dyDescent="0.25">
      <c r="C3204"/>
    </row>
    <row r="3205" spans="3:3" x14ac:dyDescent="0.25">
      <c r="C3205"/>
    </row>
    <row r="3206" spans="3:3" x14ac:dyDescent="0.25">
      <c r="C3206"/>
    </row>
    <row r="3207" spans="3:3" x14ac:dyDescent="0.25">
      <c r="C3207"/>
    </row>
    <row r="3208" spans="3:3" x14ac:dyDescent="0.25">
      <c r="C3208"/>
    </row>
    <row r="3209" spans="3:3" x14ac:dyDescent="0.25">
      <c r="C3209"/>
    </row>
    <row r="3210" spans="3:3" x14ac:dyDescent="0.25">
      <c r="C3210"/>
    </row>
    <row r="3211" spans="3:3" x14ac:dyDescent="0.25">
      <c r="C3211"/>
    </row>
    <row r="3212" spans="3:3" x14ac:dyDescent="0.25">
      <c r="C3212"/>
    </row>
    <row r="3213" spans="3:3" x14ac:dyDescent="0.25">
      <c r="C3213"/>
    </row>
    <row r="3214" spans="3:3" x14ac:dyDescent="0.25">
      <c r="C3214"/>
    </row>
    <row r="3215" spans="3:3" x14ac:dyDescent="0.25">
      <c r="C3215"/>
    </row>
    <row r="3216" spans="3:3" x14ac:dyDescent="0.25">
      <c r="C3216"/>
    </row>
    <row r="3217" spans="3:3" x14ac:dyDescent="0.25">
      <c r="C3217"/>
    </row>
    <row r="3218" spans="3:3" x14ac:dyDescent="0.25">
      <c r="C3218"/>
    </row>
    <row r="3219" spans="3:3" x14ac:dyDescent="0.25">
      <c r="C3219"/>
    </row>
    <row r="3220" spans="3:3" x14ac:dyDescent="0.25">
      <c r="C3220"/>
    </row>
    <row r="3221" spans="3:3" x14ac:dyDescent="0.25">
      <c r="C3221"/>
    </row>
    <row r="3222" spans="3:3" x14ac:dyDescent="0.25">
      <c r="C3222"/>
    </row>
    <row r="3223" spans="3:3" x14ac:dyDescent="0.25">
      <c r="C3223"/>
    </row>
    <row r="3224" spans="3:3" x14ac:dyDescent="0.25">
      <c r="C3224"/>
    </row>
    <row r="3225" spans="3:3" x14ac:dyDescent="0.25">
      <c r="C3225"/>
    </row>
    <row r="3226" spans="3:3" x14ac:dyDescent="0.25">
      <c r="C3226"/>
    </row>
    <row r="3227" spans="3:3" x14ac:dyDescent="0.25">
      <c r="C3227"/>
    </row>
    <row r="3228" spans="3:3" x14ac:dyDescent="0.25">
      <c r="C3228"/>
    </row>
    <row r="3229" spans="3:3" x14ac:dyDescent="0.25">
      <c r="C3229"/>
    </row>
    <row r="3230" spans="3:3" x14ac:dyDescent="0.25">
      <c r="C3230"/>
    </row>
    <row r="3231" spans="3:3" x14ac:dyDescent="0.25">
      <c r="C3231"/>
    </row>
    <row r="3232" spans="3:3" x14ac:dyDescent="0.25">
      <c r="C3232"/>
    </row>
    <row r="3233" spans="3:3" x14ac:dyDescent="0.25">
      <c r="C3233"/>
    </row>
    <row r="3234" spans="3:3" x14ac:dyDescent="0.25">
      <c r="C3234"/>
    </row>
    <row r="3235" spans="3:3" x14ac:dyDescent="0.25">
      <c r="C3235"/>
    </row>
    <row r="3236" spans="3:3" x14ac:dyDescent="0.25">
      <c r="C3236"/>
    </row>
    <row r="3237" spans="3:3" x14ac:dyDescent="0.25">
      <c r="C3237"/>
    </row>
    <row r="3238" spans="3:3" x14ac:dyDescent="0.25">
      <c r="C3238"/>
    </row>
    <row r="3239" spans="3:3" x14ac:dyDescent="0.25">
      <c r="C3239"/>
    </row>
    <row r="3240" spans="3:3" x14ac:dyDescent="0.25">
      <c r="C3240"/>
    </row>
    <row r="3241" spans="3:3" x14ac:dyDescent="0.25">
      <c r="C3241"/>
    </row>
    <row r="3242" spans="3:3" x14ac:dyDescent="0.25">
      <c r="C3242"/>
    </row>
    <row r="3243" spans="3:3" x14ac:dyDescent="0.25">
      <c r="C3243"/>
    </row>
    <row r="3244" spans="3:3" x14ac:dyDescent="0.25">
      <c r="C3244"/>
    </row>
    <row r="3245" spans="3:3" x14ac:dyDescent="0.25">
      <c r="C3245"/>
    </row>
    <row r="3246" spans="3:3" x14ac:dyDescent="0.25">
      <c r="C3246"/>
    </row>
    <row r="3247" spans="3:3" x14ac:dyDescent="0.25">
      <c r="C3247"/>
    </row>
    <row r="3248" spans="3:3" x14ac:dyDescent="0.25">
      <c r="C3248"/>
    </row>
    <row r="3249" spans="3:3" x14ac:dyDescent="0.25">
      <c r="C3249"/>
    </row>
    <row r="3250" spans="3:3" x14ac:dyDescent="0.25">
      <c r="C3250"/>
    </row>
    <row r="3251" spans="3:3" x14ac:dyDescent="0.25">
      <c r="C3251"/>
    </row>
    <row r="3252" spans="3:3" x14ac:dyDescent="0.25">
      <c r="C3252"/>
    </row>
    <row r="3253" spans="3:3" x14ac:dyDescent="0.25">
      <c r="C3253"/>
    </row>
    <row r="3254" spans="3:3" x14ac:dyDescent="0.25">
      <c r="C3254"/>
    </row>
    <row r="3255" spans="3:3" x14ac:dyDescent="0.25">
      <c r="C3255"/>
    </row>
    <row r="3256" spans="3:3" x14ac:dyDescent="0.25">
      <c r="C3256"/>
    </row>
    <row r="3257" spans="3:3" x14ac:dyDescent="0.25">
      <c r="C3257"/>
    </row>
    <row r="3258" spans="3:3" x14ac:dyDescent="0.25">
      <c r="C3258"/>
    </row>
    <row r="3259" spans="3:3" x14ac:dyDescent="0.25">
      <c r="C3259"/>
    </row>
    <row r="3260" spans="3:3" x14ac:dyDescent="0.25">
      <c r="C3260"/>
    </row>
    <row r="3261" spans="3:3" x14ac:dyDescent="0.25">
      <c r="C3261"/>
    </row>
    <row r="3262" spans="3:3" x14ac:dyDescent="0.25">
      <c r="C3262"/>
    </row>
    <row r="3263" spans="3:3" x14ac:dyDescent="0.25">
      <c r="C3263"/>
    </row>
    <row r="3264" spans="3:3" x14ac:dyDescent="0.25">
      <c r="C3264"/>
    </row>
    <row r="3265" spans="3:3" x14ac:dyDescent="0.25">
      <c r="C3265"/>
    </row>
    <row r="3266" spans="3:3" x14ac:dyDescent="0.25">
      <c r="C3266"/>
    </row>
    <row r="3267" spans="3:3" x14ac:dyDescent="0.25">
      <c r="C3267"/>
    </row>
    <row r="3268" spans="3:3" x14ac:dyDescent="0.25">
      <c r="C3268"/>
    </row>
    <row r="3269" spans="3:3" x14ac:dyDescent="0.25">
      <c r="C3269"/>
    </row>
    <row r="3270" spans="3:3" x14ac:dyDescent="0.25">
      <c r="C3270"/>
    </row>
    <row r="3271" spans="3:3" x14ac:dyDescent="0.25">
      <c r="C3271"/>
    </row>
    <row r="3272" spans="3:3" x14ac:dyDescent="0.25">
      <c r="C3272"/>
    </row>
    <row r="3273" spans="3:3" x14ac:dyDescent="0.25">
      <c r="C3273"/>
    </row>
    <row r="3274" spans="3:3" x14ac:dyDescent="0.25">
      <c r="C3274"/>
    </row>
    <row r="3275" spans="3:3" x14ac:dyDescent="0.25">
      <c r="C3275"/>
    </row>
    <row r="3276" spans="3:3" x14ac:dyDescent="0.25">
      <c r="C3276"/>
    </row>
    <row r="3277" spans="3:3" x14ac:dyDescent="0.25">
      <c r="C3277"/>
    </row>
    <row r="3278" spans="3:3" x14ac:dyDescent="0.25">
      <c r="C3278"/>
    </row>
    <row r="3279" spans="3:3" x14ac:dyDescent="0.25">
      <c r="C3279"/>
    </row>
    <row r="3280" spans="3:3" x14ac:dyDescent="0.25">
      <c r="C3280"/>
    </row>
    <row r="3281" spans="3:3" x14ac:dyDescent="0.25">
      <c r="C3281"/>
    </row>
    <row r="3282" spans="3:3" x14ac:dyDescent="0.25">
      <c r="C3282"/>
    </row>
    <row r="3283" spans="3:3" x14ac:dyDescent="0.25">
      <c r="C3283"/>
    </row>
    <row r="3284" spans="3:3" x14ac:dyDescent="0.25">
      <c r="C3284"/>
    </row>
    <row r="3285" spans="3:3" x14ac:dyDescent="0.25">
      <c r="C3285"/>
    </row>
    <row r="3286" spans="3:3" x14ac:dyDescent="0.25">
      <c r="C3286"/>
    </row>
    <row r="3287" spans="3:3" x14ac:dyDescent="0.25">
      <c r="C3287"/>
    </row>
    <row r="3288" spans="3:3" x14ac:dyDescent="0.25">
      <c r="C3288"/>
    </row>
    <row r="3289" spans="3:3" x14ac:dyDescent="0.25">
      <c r="C3289"/>
    </row>
    <row r="3290" spans="3:3" x14ac:dyDescent="0.25">
      <c r="C3290"/>
    </row>
    <row r="3291" spans="3:3" x14ac:dyDescent="0.25">
      <c r="C3291"/>
    </row>
    <row r="3292" spans="3:3" x14ac:dyDescent="0.25">
      <c r="C3292"/>
    </row>
    <row r="3293" spans="3:3" x14ac:dyDescent="0.25">
      <c r="C3293"/>
    </row>
    <row r="3294" spans="3:3" x14ac:dyDescent="0.25">
      <c r="C3294"/>
    </row>
    <row r="3295" spans="3:3" x14ac:dyDescent="0.25">
      <c r="C3295"/>
    </row>
    <row r="3296" spans="3:3" x14ac:dyDescent="0.25">
      <c r="C3296"/>
    </row>
    <row r="3297" spans="3:3" x14ac:dyDescent="0.25">
      <c r="C3297"/>
    </row>
    <row r="3298" spans="3:3" x14ac:dyDescent="0.25">
      <c r="C3298"/>
    </row>
    <row r="3299" spans="3:3" x14ac:dyDescent="0.25">
      <c r="C3299"/>
    </row>
    <row r="3300" spans="3:3" x14ac:dyDescent="0.25">
      <c r="C3300"/>
    </row>
    <row r="3301" spans="3:3" x14ac:dyDescent="0.25">
      <c r="C3301"/>
    </row>
    <row r="3302" spans="3:3" x14ac:dyDescent="0.25">
      <c r="C3302"/>
    </row>
    <row r="3303" spans="3:3" x14ac:dyDescent="0.25">
      <c r="C3303"/>
    </row>
    <row r="3304" spans="3:3" x14ac:dyDescent="0.25">
      <c r="C3304"/>
    </row>
    <row r="3305" spans="3:3" x14ac:dyDescent="0.25">
      <c r="C3305"/>
    </row>
    <row r="3306" spans="3:3" x14ac:dyDescent="0.25">
      <c r="C3306"/>
    </row>
    <row r="3307" spans="3:3" x14ac:dyDescent="0.25">
      <c r="C3307"/>
    </row>
    <row r="3308" spans="3:3" x14ac:dyDescent="0.25">
      <c r="C3308"/>
    </row>
    <row r="3309" spans="3:3" x14ac:dyDescent="0.25">
      <c r="C3309"/>
    </row>
    <row r="3310" spans="3:3" x14ac:dyDescent="0.25">
      <c r="C3310"/>
    </row>
    <row r="3311" spans="3:3" x14ac:dyDescent="0.25">
      <c r="C3311"/>
    </row>
    <row r="3312" spans="3:3" x14ac:dyDescent="0.25">
      <c r="C3312"/>
    </row>
    <row r="3313" spans="3:3" x14ac:dyDescent="0.25">
      <c r="C3313"/>
    </row>
    <row r="3314" spans="3:3" x14ac:dyDescent="0.25">
      <c r="C3314"/>
    </row>
    <row r="3315" spans="3:3" x14ac:dyDescent="0.25">
      <c r="C3315"/>
    </row>
    <row r="3316" spans="3:3" x14ac:dyDescent="0.25">
      <c r="C3316"/>
    </row>
    <row r="3317" spans="3:3" x14ac:dyDescent="0.25">
      <c r="C3317"/>
    </row>
    <row r="3318" spans="3:3" x14ac:dyDescent="0.25">
      <c r="C3318"/>
    </row>
    <row r="3319" spans="3:3" x14ac:dyDescent="0.25">
      <c r="C3319"/>
    </row>
    <row r="3320" spans="3:3" x14ac:dyDescent="0.25">
      <c r="C3320"/>
    </row>
    <row r="3321" spans="3:3" x14ac:dyDescent="0.25">
      <c r="C3321"/>
    </row>
    <row r="3322" spans="3:3" x14ac:dyDescent="0.25">
      <c r="C3322"/>
    </row>
    <row r="3323" spans="3:3" x14ac:dyDescent="0.25">
      <c r="C3323"/>
    </row>
    <row r="3324" spans="3:3" x14ac:dyDescent="0.25">
      <c r="C3324"/>
    </row>
    <row r="3325" spans="3:3" x14ac:dyDescent="0.25">
      <c r="C3325"/>
    </row>
    <row r="3326" spans="3:3" x14ac:dyDescent="0.25">
      <c r="C3326"/>
    </row>
    <row r="3327" spans="3:3" x14ac:dyDescent="0.25">
      <c r="C3327"/>
    </row>
    <row r="3328" spans="3:3" x14ac:dyDescent="0.25">
      <c r="C3328"/>
    </row>
    <row r="3329" spans="3:3" x14ac:dyDescent="0.25">
      <c r="C3329"/>
    </row>
    <row r="3330" spans="3:3" x14ac:dyDescent="0.25">
      <c r="C3330"/>
    </row>
    <row r="3331" spans="3:3" x14ac:dyDescent="0.25">
      <c r="C3331"/>
    </row>
    <row r="3332" spans="3:3" x14ac:dyDescent="0.25">
      <c r="C3332"/>
    </row>
    <row r="3333" spans="3:3" x14ac:dyDescent="0.25">
      <c r="C3333"/>
    </row>
    <row r="3334" spans="3:3" x14ac:dyDescent="0.25">
      <c r="C3334"/>
    </row>
    <row r="3335" spans="3:3" x14ac:dyDescent="0.25">
      <c r="C3335"/>
    </row>
    <row r="3336" spans="3:3" x14ac:dyDescent="0.25">
      <c r="C3336"/>
    </row>
    <row r="3337" spans="3:3" x14ac:dyDescent="0.25">
      <c r="C3337"/>
    </row>
    <row r="3338" spans="3:3" x14ac:dyDescent="0.25">
      <c r="C3338"/>
    </row>
    <row r="3339" spans="3:3" x14ac:dyDescent="0.25">
      <c r="C3339"/>
    </row>
    <row r="3340" spans="3:3" x14ac:dyDescent="0.25">
      <c r="C3340"/>
    </row>
    <row r="3341" spans="3:3" x14ac:dyDescent="0.25">
      <c r="C3341"/>
    </row>
    <row r="3342" spans="3:3" x14ac:dyDescent="0.25">
      <c r="C3342"/>
    </row>
    <row r="3343" spans="3:3" x14ac:dyDescent="0.25">
      <c r="C3343"/>
    </row>
    <row r="3344" spans="3:3" x14ac:dyDescent="0.25">
      <c r="C3344"/>
    </row>
    <row r="3345" spans="3:3" x14ac:dyDescent="0.25">
      <c r="C3345"/>
    </row>
    <row r="3346" spans="3:3" x14ac:dyDescent="0.25">
      <c r="C3346"/>
    </row>
    <row r="3347" spans="3:3" x14ac:dyDescent="0.25">
      <c r="C3347"/>
    </row>
    <row r="3348" spans="3:3" x14ac:dyDescent="0.25">
      <c r="C3348"/>
    </row>
    <row r="3349" spans="3:3" x14ac:dyDescent="0.25">
      <c r="C3349"/>
    </row>
    <row r="3350" spans="3:3" x14ac:dyDescent="0.25">
      <c r="C3350"/>
    </row>
    <row r="3351" spans="3:3" x14ac:dyDescent="0.25">
      <c r="C3351"/>
    </row>
    <row r="3352" spans="3:3" x14ac:dyDescent="0.25">
      <c r="C3352"/>
    </row>
    <row r="3353" spans="3:3" x14ac:dyDescent="0.25">
      <c r="C3353"/>
    </row>
    <row r="3354" spans="3:3" x14ac:dyDescent="0.25">
      <c r="C3354"/>
    </row>
    <row r="3355" spans="3:3" x14ac:dyDescent="0.25">
      <c r="C3355"/>
    </row>
    <row r="3356" spans="3:3" x14ac:dyDescent="0.25">
      <c r="C3356"/>
    </row>
    <row r="3357" spans="3:3" x14ac:dyDescent="0.25">
      <c r="C3357"/>
    </row>
    <row r="3358" spans="3:3" x14ac:dyDescent="0.25">
      <c r="C3358"/>
    </row>
    <row r="3359" spans="3:3" x14ac:dyDescent="0.25">
      <c r="C3359"/>
    </row>
    <row r="3360" spans="3:3" x14ac:dyDescent="0.25">
      <c r="C3360"/>
    </row>
    <row r="3361" spans="3:3" x14ac:dyDescent="0.25">
      <c r="C3361"/>
    </row>
    <row r="3362" spans="3:3" x14ac:dyDescent="0.25">
      <c r="C3362"/>
    </row>
    <row r="3363" spans="3:3" x14ac:dyDescent="0.25">
      <c r="C3363"/>
    </row>
    <row r="3364" spans="3:3" x14ac:dyDescent="0.25">
      <c r="C3364"/>
    </row>
    <row r="3365" spans="3:3" x14ac:dyDescent="0.25">
      <c r="C3365"/>
    </row>
    <row r="3366" spans="3:3" x14ac:dyDescent="0.25">
      <c r="C3366"/>
    </row>
    <row r="3367" spans="3:3" x14ac:dyDescent="0.25">
      <c r="C3367"/>
    </row>
    <row r="3368" spans="3:3" x14ac:dyDescent="0.25">
      <c r="C3368"/>
    </row>
    <row r="3369" spans="3:3" x14ac:dyDescent="0.25">
      <c r="C3369"/>
    </row>
    <row r="3370" spans="3:3" x14ac:dyDescent="0.25">
      <c r="C3370"/>
    </row>
    <row r="3371" spans="3:3" x14ac:dyDescent="0.25">
      <c r="C3371"/>
    </row>
    <row r="3372" spans="3:3" x14ac:dyDescent="0.25">
      <c r="C3372"/>
    </row>
    <row r="3373" spans="3:3" x14ac:dyDescent="0.25">
      <c r="C3373"/>
    </row>
    <row r="3374" spans="3:3" x14ac:dyDescent="0.25">
      <c r="C3374"/>
    </row>
    <row r="3375" spans="3:3" x14ac:dyDescent="0.25">
      <c r="C3375"/>
    </row>
    <row r="3376" spans="3:3" x14ac:dyDescent="0.25">
      <c r="C3376"/>
    </row>
    <row r="3377" spans="3:3" x14ac:dyDescent="0.25">
      <c r="C3377"/>
    </row>
    <row r="3378" spans="3:3" x14ac:dyDescent="0.25">
      <c r="C3378"/>
    </row>
    <row r="3379" spans="3:3" x14ac:dyDescent="0.25">
      <c r="C3379"/>
    </row>
    <row r="3380" spans="3:3" x14ac:dyDescent="0.25">
      <c r="C3380"/>
    </row>
    <row r="3381" spans="3:3" x14ac:dyDescent="0.25">
      <c r="C3381"/>
    </row>
    <row r="3382" spans="3:3" x14ac:dyDescent="0.25">
      <c r="C3382"/>
    </row>
    <row r="3383" spans="3:3" x14ac:dyDescent="0.25">
      <c r="C3383"/>
    </row>
    <row r="3384" spans="3:3" x14ac:dyDescent="0.25">
      <c r="C3384"/>
    </row>
    <row r="3385" spans="3:3" x14ac:dyDescent="0.25">
      <c r="C3385"/>
    </row>
    <row r="3386" spans="3:3" x14ac:dyDescent="0.25">
      <c r="C3386"/>
    </row>
    <row r="3387" spans="3:3" x14ac:dyDescent="0.25">
      <c r="C3387"/>
    </row>
    <row r="3388" spans="3:3" x14ac:dyDescent="0.25">
      <c r="C3388"/>
    </row>
    <row r="3389" spans="3:3" x14ac:dyDescent="0.25">
      <c r="C3389"/>
    </row>
    <row r="3390" spans="3:3" x14ac:dyDescent="0.25">
      <c r="C3390"/>
    </row>
    <row r="3391" spans="3:3" x14ac:dyDescent="0.25">
      <c r="C3391"/>
    </row>
    <row r="3392" spans="3:3" x14ac:dyDescent="0.25">
      <c r="C3392"/>
    </row>
    <row r="3393" spans="3:3" x14ac:dyDescent="0.25">
      <c r="C3393"/>
    </row>
    <row r="3394" spans="3:3" x14ac:dyDescent="0.25">
      <c r="C3394"/>
    </row>
    <row r="3395" spans="3:3" x14ac:dyDescent="0.25">
      <c r="C3395"/>
    </row>
    <row r="3396" spans="3:3" x14ac:dyDescent="0.25">
      <c r="C3396"/>
    </row>
    <row r="3397" spans="3:3" x14ac:dyDescent="0.25">
      <c r="C3397"/>
    </row>
    <row r="3398" spans="3:3" x14ac:dyDescent="0.25">
      <c r="C3398"/>
    </row>
    <row r="3399" spans="3:3" x14ac:dyDescent="0.25">
      <c r="C3399"/>
    </row>
    <row r="3400" spans="3:3" x14ac:dyDescent="0.25">
      <c r="C3400"/>
    </row>
    <row r="3401" spans="3:3" x14ac:dyDescent="0.25">
      <c r="C3401"/>
    </row>
    <row r="3402" spans="3:3" x14ac:dyDescent="0.25">
      <c r="C3402"/>
    </row>
    <row r="3403" spans="3:3" x14ac:dyDescent="0.25">
      <c r="C3403"/>
    </row>
    <row r="3404" spans="3:3" x14ac:dyDescent="0.25">
      <c r="C3404"/>
    </row>
    <row r="3405" spans="3:3" x14ac:dyDescent="0.25">
      <c r="C3405"/>
    </row>
    <row r="3406" spans="3:3" x14ac:dyDescent="0.25">
      <c r="C3406"/>
    </row>
    <row r="3407" spans="3:3" x14ac:dyDescent="0.25">
      <c r="C3407"/>
    </row>
    <row r="3408" spans="3:3" x14ac:dyDescent="0.25">
      <c r="C3408"/>
    </row>
    <row r="3409" spans="3:3" x14ac:dyDescent="0.25">
      <c r="C3409"/>
    </row>
    <row r="3410" spans="3:3" x14ac:dyDescent="0.25">
      <c r="C3410"/>
    </row>
    <row r="3411" spans="3:3" x14ac:dyDescent="0.25">
      <c r="C3411"/>
    </row>
    <row r="3412" spans="3:3" x14ac:dyDescent="0.25">
      <c r="C3412"/>
    </row>
    <row r="3413" spans="3:3" x14ac:dyDescent="0.25">
      <c r="C3413"/>
    </row>
    <row r="3414" spans="3:3" x14ac:dyDescent="0.25">
      <c r="C3414"/>
    </row>
    <row r="3415" spans="3:3" x14ac:dyDescent="0.25">
      <c r="C3415"/>
    </row>
    <row r="3416" spans="3:3" x14ac:dyDescent="0.25">
      <c r="C3416"/>
    </row>
    <row r="3417" spans="3:3" x14ac:dyDescent="0.25">
      <c r="C3417"/>
    </row>
    <row r="3418" spans="3:3" x14ac:dyDescent="0.25">
      <c r="C3418"/>
    </row>
    <row r="3419" spans="3:3" x14ac:dyDescent="0.25">
      <c r="C3419"/>
    </row>
    <row r="3420" spans="3:3" x14ac:dyDescent="0.25">
      <c r="C3420"/>
    </row>
    <row r="3421" spans="3:3" x14ac:dyDescent="0.25">
      <c r="C3421"/>
    </row>
    <row r="3422" spans="3:3" x14ac:dyDescent="0.25">
      <c r="C3422"/>
    </row>
    <row r="3423" spans="3:3" x14ac:dyDescent="0.25">
      <c r="C3423"/>
    </row>
    <row r="3424" spans="3:3" x14ac:dyDescent="0.25">
      <c r="C3424"/>
    </row>
    <row r="3425" spans="3:3" x14ac:dyDescent="0.25">
      <c r="C3425"/>
    </row>
    <row r="3426" spans="3:3" x14ac:dyDescent="0.25">
      <c r="C3426"/>
    </row>
    <row r="3427" spans="3:3" x14ac:dyDescent="0.25">
      <c r="C3427"/>
    </row>
    <row r="3428" spans="3:3" x14ac:dyDescent="0.25">
      <c r="C3428"/>
    </row>
    <row r="3429" spans="3:3" x14ac:dyDescent="0.25">
      <c r="C3429"/>
    </row>
    <row r="3430" spans="3:3" x14ac:dyDescent="0.25">
      <c r="C3430"/>
    </row>
    <row r="3431" spans="3:3" x14ac:dyDescent="0.25">
      <c r="C3431"/>
    </row>
    <row r="3432" spans="3:3" x14ac:dyDescent="0.25">
      <c r="C3432"/>
    </row>
    <row r="3433" spans="3:3" x14ac:dyDescent="0.25">
      <c r="C3433"/>
    </row>
    <row r="3434" spans="3:3" x14ac:dyDescent="0.25">
      <c r="C3434"/>
    </row>
    <row r="3435" spans="3:3" x14ac:dyDescent="0.25">
      <c r="C3435"/>
    </row>
    <row r="3436" spans="3:3" x14ac:dyDescent="0.25">
      <c r="C3436"/>
    </row>
    <row r="3437" spans="3:3" x14ac:dyDescent="0.25">
      <c r="C3437"/>
    </row>
    <row r="3438" spans="3:3" x14ac:dyDescent="0.25">
      <c r="C3438"/>
    </row>
    <row r="3439" spans="3:3" x14ac:dyDescent="0.25">
      <c r="C3439"/>
    </row>
    <row r="3440" spans="3:3" x14ac:dyDescent="0.25">
      <c r="C3440"/>
    </row>
    <row r="3441" spans="3:3" x14ac:dyDescent="0.25">
      <c r="C3441"/>
    </row>
    <row r="3442" spans="3:3" x14ac:dyDescent="0.25">
      <c r="C3442"/>
    </row>
    <row r="3443" spans="3:3" x14ac:dyDescent="0.25">
      <c r="C3443"/>
    </row>
    <row r="3444" spans="3:3" x14ac:dyDescent="0.25">
      <c r="C3444"/>
    </row>
    <row r="3445" spans="3:3" x14ac:dyDescent="0.25">
      <c r="C3445"/>
    </row>
    <row r="3446" spans="3:3" x14ac:dyDescent="0.25">
      <c r="C3446"/>
    </row>
    <row r="3447" spans="3:3" x14ac:dyDescent="0.25">
      <c r="C3447"/>
    </row>
    <row r="3448" spans="3:3" x14ac:dyDescent="0.25">
      <c r="C3448"/>
    </row>
    <row r="3449" spans="3:3" x14ac:dyDescent="0.25">
      <c r="C3449"/>
    </row>
    <row r="3450" spans="3:3" x14ac:dyDescent="0.25">
      <c r="C3450"/>
    </row>
    <row r="3451" spans="3:3" x14ac:dyDescent="0.25">
      <c r="C3451"/>
    </row>
    <row r="3452" spans="3:3" x14ac:dyDescent="0.25">
      <c r="C3452"/>
    </row>
    <row r="3453" spans="3:3" x14ac:dyDescent="0.25">
      <c r="C3453"/>
    </row>
    <row r="3454" spans="3:3" x14ac:dyDescent="0.25">
      <c r="C3454"/>
    </row>
    <row r="3455" spans="3:3" x14ac:dyDescent="0.25">
      <c r="C3455"/>
    </row>
    <row r="3456" spans="3:3" x14ac:dyDescent="0.25">
      <c r="C3456"/>
    </row>
    <row r="3457" spans="3:3" x14ac:dyDescent="0.25">
      <c r="C3457"/>
    </row>
    <row r="3458" spans="3:3" x14ac:dyDescent="0.25">
      <c r="C3458"/>
    </row>
    <row r="3459" spans="3:3" x14ac:dyDescent="0.25">
      <c r="C3459"/>
    </row>
    <row r="3460" spans="3:3" x14ac:dyDescent="0.25">
      <c r="C3460"/>
    </row>
    <row r="3461" spans="3:3" x14ac:dyDescent="0.25">
      <c r="C3461"/>
    </row>
    <row r="3462" spans="3:3" x14ac:dyDescent="0.25">
      <c r="C3462"/>
    </row>
    <row r="3463" spans="3:3" x14ac:dyDescent="0.25">
      <c r="C3463"/>
    </row>
    <row r="3464" spans="3:3" x14ac:dyDescent="0.25">
      <c r="C3464"/>
    </row>
    <row r="3465" spans="3:3" x14ac:dyDescent="0.25">
      <c r="C3465"/>
    </row>
    <row r="3466" spans="3:3" x14ac:dyDescent="0.25">
      <c r="C3466"/>
    </row>
    <row r="3467" spans="3:3" x14ac:dyDescent="0.25">
      <c r="C3467"/>
    </row>
    <row r="3468" spans="3:3" x14ac:dyDescent="0.25">
      <c r="C3468"/>
    </row>
    <row r="3469" spans="3:3" x14ac:dyDescent="0.25">
      <c r="C3469"/>
    </row>
    <row r="3470" spans="3:3" x14ac:dyDescent="0.25">
      <c r="C3470"/>
    </row>
    <row r="3471" spans="3:3" x14ac:dyDescent="0.25">
      <c r="C3471"/>
    </row>
    <row r="3472" spans="3:3" x14ac:dyDescent="0.25">
      <c r="C3472"/>
    </row>
    <row r="3473" spans="3:3" x14ac:dyDescent="0.25">
      <c r="C3473"/>
    </row>
    <row r="3474" spans="3:3" x14ac:dyDescent="0.25">
      <c r="C3474"/>
    </row>
    <row r="3475" spans="3:3" x14ac:dyDescent="0.25">
      <c r="C3475"/>
    </row>
    <row r="3476" spans="3:3" x14ac:dyDescent="0.25">
      <c r="C3476"/>
    </row>
    <row r="3477" spans="3:3" x14ac:dyDescent="0.25">
      <c r="C3477"/>
    </row>
    <row r="3478" spans="3:3" x14ac:dyDescent="0.25">
      <c r="C3478"/>
    </row>
    <row r="3479" spans="3:3" x14ac:dyDescent="0.25">
      <c r="C3479"/>
    </row>
    <row r="3480" spans="3:3" x14ac:dyDescent="0.25">
      <c r="C3480"/>
    </row>
    <row r="3481" spans="3:3" x14ac:dyDescent="0.25">
      <c r="C3481"/>
    </row>
    <row r="3482" spans="3:3" x14ac:dyDescent="0.25">
      <c r="C3482"/>
    </row>
    <row r="3483" spans="3:3" x14ac:dyDescent="0.25">
      <c r="C3483"/>
    </row>
    <row r="3484" spans="3:3" x14ac:dyDescent="0.25">
      <c r="C3484"/>
    </row>
    <row r="3485" spans="3:3" x14ac:dyDescent="0.25">
      <c r="C3485"/>
    </row>
    <row r="3486" spans="3:3" x14ac:dyDescent="0.25">
      <c r="C3486"/>
    </row>
    <row r="3487" spans="3:3" x14ac:dyDescent="0.25">
      <c r="C3487"/>
    </row>
    <row r="3488" spans="3:3" x14ac:dyDescent="0.25">
      <c r="C3488"/>
    </row>
    <row r="3489" spans="3:3" x14ac:dyDescent="0.25">
      <c r="C3489"/>
    </row>
    <row r="3490" spans="3:3" x14ac:dyDescent="0.25">
      <c r="C3490"/>
    </row>
    <row r="3491" spans="3:3" x14ac:dyDescent="0.25">
      <c r="C3491"/>
    </row>
    <row r="3492" spans="3:3" x14ac:dyDescent="0.25">
      <c r="C3492"/>
    </row>
    <row r="3493" spans="3:3" x14ac:dyDescent="0.25">
      <c r="C3493"/>
    </row>
    <row r="3494" spans="3:3" x14ac:dyDescent="0.25">
      <c r="C3494"/>
    </row>
    <row r="3495" spans="3:3" x14ac:dyDescent="0.25">
      <c r="C3495"/>
    </row>
    <row r="3496" spans="3:3" x14ac:dyDescent="0.25">
      <c r="C3496"/>
    </row>
    <row r="3497" spans="3:3" x14ac:dyDescent="0.25">
      <c r="C3497"/>
    </row>
    <row r="3498" spans="3:3" x14ac:dyDescent="0.25">
      <c r="C3498"/>
    </row>
    <row r="3499" spans="3:3" x14ac:dyDescent="0.25">
      <c r="C3499"/>
    </row>
    <row r="3500" spans="3:3" x14ac:dyDescent="0.25">
      <c r="C3500"/>
    </row>
    <row r="3501" spans="3:3" x14ac:dyDescent="0.25">
      <c r="C3501"/>
    </row>
    <row r="3502" spans="3:3" x14ac:dyDescent="0.25">
      <c r="C3502"/>
    </row>
    <row r="3503" spans="3:3" x14ac:dyDescent="0.25">
      <c r="C3503"/>
    </row>
    <row r="3504" spans="3:3" x14ac:dyDescent="0.25">
      <c r="C3504"/>
    </row>
    <row r="3505" spans="3:3" x14ac:dyDescent="0.25">
      <c r="C3505"/>
    </row>
    <row r="3506" spans="3:3" x14ac:dyDescent="0.25">
      <c r="C3506"/>
    </row>
    <row r="3507" spans="3:3" x14ac:dyDescent="0.25">
      <c r="C3507"/>
    </row>
    <row r="3508" spans="3:3" x14ac:dyDescent="0.25">
      <c r="C3508"/>
    </row>
    <row r="3509" spans="3:3" x14ac:dyDescent="0.25">
      <c r="C3509"/>
    </row>
    <row r="3510" spans="3:3" x14ac:dyDescent="0.25">
      <c r="C3510"/>
    </row>
    <row r="3511" spans="3:3" x14ac:dyDescent="0.25">
      <c r="C3511"/>
    </row>
    <row r="3512" spans="3:3" x14ac:dyDescent="0.25">
      <c r="C3512"/>
    </row>
    <row r="3513" spans="3:3" x14ac:dyDescent="0.25">
      <c r="C3513"/>
    </row>
    <row r="3514" spans="3:3" x14ac:dyDescent="0.25">
      <c r="C3514"/>
    </row>
    <row r="3515" spans="3:3" x14ac:dyDescent="0.25">
      <c r="C3515"/>
    </row>
    <row r="3516" spans="3:3" x14ac:dyDescent="0.25">
      <c r="C3516"/>
    </row>
    <row r="3517" spans="3:3" x14ac:dyDescent="0.25">
      <c r="C3517"/>
    </row>
    <row r="3518" spans="3:3" x14ac:dyDescent="0.25">
      <c r="C3518"/>
    </row>
    <row r="3519" spans="3:3" x14ac:dyDescent="0.25">
      <c r="C3519"/>
    </row>
    <row r="3520" spans="3:3" x14ac:dyDescent="0.25">
      <c r="C3520"/>
    </row>
    <row r="3521" spans="3:3" x14ac:dyDescent="0.25">
      <c r="C3521"/>
    </row>
    <row r="3522" spans="3:3" x14ac:dyDescent="0.25">
      <c r="C3522"/>
    </row>
    <row r="3523" spans="3:3" x14ac:dyDescent="0.25">
      <c r="C3523"/>
    </row>
    <row r="3524" spans="3:3" x14ac:dyDescent="0.25">
      <c r="C3524"/>
    </row>
    <row r="3525" spans="3:3" x14ac:dyDescent="0.25">
      <c r="C3525"/>
    </row>
    <row r="3526" spans="3:3" x14ac:dyDescent="0.25">
      <c r="C3526"/>
    </row>
    <row r="3527" spans="3:3" x14ac:dyDescent="0.25">
      <c r="C3527"/>
    </row>
    <row r="3528" spans="3:3" x14ac:dyDescent="0.25">
      <c r="C3528"/>
    </row>
    <row r="3529" spans="3:3" x14ac:dyDescent="0.25">
      <c r="C3529"/>
    </row>
    <row r="3530" spans="3:3" x14ac:dyDescent="0.25">
      <c r="C3530"/>
    </row>
    <row r="3531" spans="3:3" x14ac:dyDescent="0.25">
      <c r="C3531"/>
    </row>
    <row r="3532" spans="3:3" x14ac:dyDescent="0.25">
      <c r="C3532"/>
    </row>
    <row r="3533" spans="3:3" x14ac:dyDescent="0.25">
      <c r="C3533"/>
    </row>
    <row r="3534" spans="3:3" x14ac:dyDescent="0.25">
      <c r="C3534"/>
    </row>
    <row r="3535" spans="3:3" x14ac:dyDescent="0.25">
      <c r="C3535"/>
    </row>
    <row r="3536" spans="3:3" x14ac:dyDescent="0.25">
      <c r="C3536"/>
    </row>
    <row r="3537" spans="3:3" x14ac:dyDescent="0.25">
      <c r="C3537"/>
    </row>
    <row r="3538" spans="3:3" x14ac:dyDescent="0.25">
      <c r="C3538"/>
    </row>
    <row r="3539" spans="3:3" x14ac:dyDescent="0.25">
      <c r="C3539"/>
    </row>
    <row r="3540" spans="3:3" x14ac:dyDescent="0.25">
      <c r="C3540"/>
    </row>
    <row r="3541" spans="3:3" x14ac:dyDescent="0.25">
      <c r="C3541"/>
    </row>
    <row r="3542" spans="3:3" x14ac:dyDescent="0.25">
      <c r="C3542"/>
    </row>
    <row r="3543" spans="3:3" x14ac:dyDescent="0.25">
      <c r="C3543"/>
    </row>
    <row r="3544" spans="3:3" x14ac:dyDescent="0.25">
      <c r="C3544"/>
    </row>
    <row r="3545" spans="3:3" x14ac:dyDescent="0.25">
      <c r="C3545"/>
    </row>
    <row r="3546" spans="3:3" x14ac:dyDescent="0.25">
      <c r="C3546"/>
    </row>
    <row r="3547" spans="3:3" x14ac:dyDescent="0.25">
      <c r="C3547"/>
    </row>
    <row r="3548" spans="3:3" x14ac:dyDescent="0.25">
      <c r="C3548"/>
    </row>
    <row r="3549" spans="3:3" x14ac:dyDescent="0.25">
      <c r="C3549"/>
    </row>
    <row r="3550" spans="3:3" x14ac:dyDescent="0.25">
      <c r="C3550"/>
    </row>
    <row r="3551" spans="3:3" x14ac:dyDescent="0.25">
      <c r="C3551"/>
    </row>
    <row r="3552" spans="3:3" x14ac:dyDescent="0.25">
      <c r="C3552"/>
    </row>
    <row r="3553" spans="3:3" x14ac:dyDescent="0.25">
      <c r="C3553"/>
    </row>
    <row r="3554" spans="3:3" x14ac:dyDescent="0.25">
      <c r="C3554"/>
    </row>
    <row r="3555" spans="3:3" x14ac:dyDescent="0.25">
      <c r="C3555"/>
    </row>
    <row r="3556" spans="3:3" x14ac:dyDescent="0.25">
      <c r="C3556"/>
    </row>
    <row r="3557" spans="3:3" x14ac:dyDescent="0.25">
      <c r="C3557"/>
    </row>
    <row r="3558" spans="3:3" x14ac:dyDescent="0.25">
      <c r="C3558"/>
    </row>
    <row r="3559" spans="3:3" x14ac:dyDescent="0.25">
      <c r="C3559"/>
    </row>
    <row r="3560" spans="3:3" x14ac:dyDescent="0.25">
      <c r="C3560"/>
    </row>
    <row r="3561" spans="3:3" x14ac:dyDescent="0.25">
      <c r="C3561"/>
    </row>
    <row r="3562" spans="3:3" x14ac:dyDescent="0.25">
      <c r="C3562"/>
    </row>
    <row r="3563" spans="3:3" x14ac:dyDescent="0.25">
      <c r="C3563"/>
    </row>
    <row r="3564" spans="3:3" x14ac:dyDescent="0.25">
      <c r="C3564"/>
    </row>
    <row r="3565" spans="3:3" x14ac:dyDescent="0.25">
      <c r="C3565"/>
    </row>
    <row r="3566" spans="3:3" x14ac:dyDescent="0.25">
      <c r="C3566"/>
    </row>
    <row r="3567" spans="3:3" x14ac:dyDescent="0.25">
      <c r="C3567"/>
    </row>
    <row r="3568" spans="3:3" x14ac:dyDescent="0.25">
      <c r="C3568"/>
    </row>
    <row r="3569" spans="3:3" x14ac:dyDescent="0.25">
      <c r="C3569"/>
    </row>
    <row r="3570" spans="3:3" x14ac:dyDescent="0.25">
      <c r="C3570"/>
    </row>
    <row r="3571" spans="3:3" x14ac:dyDescent="0.25">
      <c r="C3571"/>
    </row>
    <row r="3572" spans="3:3" x14ac:dyDescent="0.25">
      <c r="C3572"/>
    </row>
    <row r="3573" spans="3:3" x14ac:dyDescent="0.25">
      <c r="C3573"/>
    </row>
    <row r="3574" spans="3:3" x14ac:dyDescent="0.25">
      <c r="C3574"/>
    </row>
    <row r="3575" spans="3:3" x14ac:dyDescent="0.25">
      <c r="C3575"/>
    </row>
    <row r="3576" spans="3:3" x14ac:dyDescent="0.25">
      <c r="C3576"/>
    </row>
    <row r="3577" spans="3:3" x14ac:dyDescent="0.25">
      <c r="C3577"/>
    </row>
    <row r="3578" spans="3:3" x14ac:dyDescent="0.25">
      <c r="C3578"/>
    </row>
    <row r="3579" spans="3:3" x14ac:dyDescent="0.25">
      <c r="C3579"/>
    </row>
    <row r="3580" spans="3:3" x14ac:dyDescent="0.25">
      <c r="C3580"/>
    </row>
    <row r="3581" spans="3:3" x14ac:dyDescent="0.25">
      <c r="C3581"/>
    </row>
    <row r="3582" spans="3:3" x14ac:dyDescent="0.25">
      <c r="C3582"/>
    </row>
    <row r="3583" spans="3:3" x14ac:dyDescent="0.25">
      <c r="C3583"/>
    </row>
    <row r="3584" spans="3:3" x14ac:dyDescent="0.25">
      <c r="C3584"/>
    </row>
    <row r="3585" spans="3:3" x14ac:dyDescent="0.25">
      <c r="C3585"/>
    </row>
    <row r="3586" spans="3:3" x14ac:dyDescent="0.25">
      <c r="C3586"/>
    </row>
    <row r="3587" spans="3:3" x14ac:dyDescent="0.25">
      <c r="C3587"/>
    </row>
    <row r="3588" spans="3:3" x14ac:dyDescent="0.25">
      <c r="C3588"/>
    </row>
    <row r="3589" spans="3:3" x14ac:dyDescent="0.25">
      <c r="C3589"/>
    </row>
    <row r="3590" spans="3:3" x14ac:dyDescent="0.25">
      <c r="C3590"/>
    </row>
    <row r="3591" spans="3:3" x14ac:dyDescent="0.25">
      <c r="C3591"/>
    </row>
    <row r="3592" spans="3:3" x14ac:dyDescent="0.25">
      <c r="C3592"/>
    </row>
    <row r="3593" spans="3:3" x14ac:dyDescent="0.25">
      <c r="C3593"/>
    </row>
    <row r="3594" spans="3:3" x14ac:dyDescent="0.25">
      <c r="C3594"/>
    </row>
    <row r="3595" spans="3:3" x14ac:dyDescent="0.25">
      <c r="C3595"/>
    </row>
    <row r="3596" spans="3:3" x14ac:dyDescent="0.25">
      <c r="C3596"/>
    </row>
    <row r="3597" spans="3:3" x14ac:dyDescent="0.25">
      <c r="C3597"/>
    </row>
    <row r="3598" spans="3:3" x14ac:dyDescent="0.25">
      <c r="C3598"/>
    </row>
    <row r="3599" spans="3:3" x14ac:dyDescent="0.25">
      <c r="C3599"/>
    </row>
    <row r="3600" spans="3:3" x14ac:dyDescent="0.25">
      <c r="C3600"/>
    </row>
    <row r="3601" spans="3:3" x14ac:dyDescent="0.25">
      <c r="C3601"/>
    </row>
    <row r="3602" spans="3:3" x14ac:dyDescent="0.25">
      <c r="C3602"/>
    </row>
    <row r="3603" spans="3:3" x14ac:dyDescent="0.25">
      <c r="C3603"/>
    </row>
    <row r="3604" spans="3:3" x14ac:dyDescent="0.25">
      <c r="C3604"/>
    </row>
    <row r="3605" spans="3:3" x14ac:dyDescent="0.25">
      <c r="C3605"/>
    </row>
    <row r="3606" spans="3:3" x14ac:dyDescent="0.25">
      <c r="C3606"/>
    </row>
    <row r="3607" spans="3:3" x14ac:dyDescent="0.25">
      <c r="C3607"/>
    </row>
    <row r="3608" spans="3:3" x14ac:dyDescent="0.25">
      <c r="C3608"/>
    </row>
    <row r="3609" spans="3:3" x14ac:dyDescent="0.25">
      <c r="C3609"/>
    </row>
    <row r="3610" spans="3:3" x14ac:dyDescent="0.25">
      <c r="C3610"/>
    </row>
    <row r="3611" spans="3:3" x14ac:dyDescent="0.25">
      <c r="C3611"/>
    </row>
    <row r="3612" spans="3:3" x14ac:dyDescent="0.25">
      <c r="C3612"/>
    </row>
    <row r="3613" spans="3:3" x14ac:dyDescent="0.25">
      <c r="C3613"/>
    </row>
    <row r="3614" spans="3:3" x14ac:dyDescent="0.25">
      <c r="C3614"/>
    </row>
    <row r="3615" spans="3:3" x14ac:dyDescent="0.25">
      <c r="C3615"/>
    </row>
    <row r="3616" spans="3:3" x14ac:dyDescent="0.25">
      <c r="C3616"/>
    </row>
    <row r="3617" spans="3:3" x14ac:dyDescent="0.25">
      <c r="C3617"/>
    </row>
    <row r="3618" spans="3:3" x14ac:dyDescent="0.25">
      <c r="C3618"/>
    </row>
    <row r="3619" spans="3:3" x14ac:dyDescent="0.25">
      <c r="C3619"/>
    </row>
    <row r="3620" spans="3:3" x14ac:dyDescent="0.25">
      <c r="C3620"/>
    </row>
    <row r="3621" spans="3:3" x14ac:dyDescent="0.25">
      <c r="C3621"/>
    </row>
    <row r="3622" spans="3:3" x14ac:dyDescent="0.25">
      <c r="C3622"/>
    </row>
    <row r="3623" spans="3:3" x14ac:dyDescent="0.25">
      <c r="C3623"/>
    </row>
    <row r="3624" spans="3:3" x14ac:dyDescent="0.25">
      <c r="C3624"/>
    </row>
    <row r="3625" spans="3:3" x14ac:dyDescent="0.25">
      <c r="C3625"/>
    </row>
    <row r="3626" spans="3:3" x14ac:dyDescent="0.25">
      <c r="C3626"/>
    </row>
    <row r="3627" spans="3:3" x14ac:dyDescent="0.25">
      <c r="C3627"/>
    </row>
    <row r="3628" spans="3:3" x14ac:dyDescent="0.25">
      <c r="C3628"/>
    </row>
    <row r="3629" spans="3:3" x14ac:dyDescent="0.25">
      <c r="C3629"/>
    </row>
    <row r="3630" spans="3:3" x14ac:dyDescent="0.25">
      <c r="C3630"/>
    </row>
    <row r="3631" spans="3:3" x14ac:dyDescent="0.25">
      <c r="C3631"/>
    </row>
    <row r="3632" spans="3:3" x14ac:dyDescent="0.25">
      <c r="C3632"/>
    </row>
    <row r="3633" spans="3:3" x14ac:dyDescent="0.25">
      <c r="C3633"/>
    </row>
    <row r="3634" spans="3:3" x14ac:dyDescent="0.25">
      <c r="C3634"/>
    </row>
    <row r="3635" spans="3:3" x14ac:dyDescent="0.25">
      <c r="C3635"/>
    </row>
    <row r="3636" spans="3:3" x14ac:dyDescent="0.25">
      <c r="C3636"/>
    </row>
    <row r="3637" spans="3:3" x14ac:dyDescent="0.25">
      <c r="C3637"/>
    </row>
    <row r="3638" spans="3:3" x14ac:dyDescent="0.25">
      <c r="C3638"/>
    </row>
    <row r="3639" spans="3:3" x14ac:dyDescent="0.25">
      <c r="C3639"/>
    </row>
    <row r="3640" spans="3:3" x14ac:dyDescent="0.25">
      <c r="C3640"/>
    </row>
    <row r="3641" spans="3:3" x14ac:dyDescent="0.25">
      <c r="C3641"/>
    </row>
    <row r="3642" spans="3:3" x14ac:dyDescent="0.25">
      <c r="C3642"/>
    </row>
    <row r="3643" spans="3:3" x14ac:dyDescent="0.25">
      <c r="C3643"/>
    </row>
    <row r="3644" spans="3:3" x14ac:dyDescent="0.25">
      <c r="C3644"/>
    </row>
    <row r="3645" spans="3:3" x14ac:dyDescent="0.25">
      <c r="C3645"/>
    </row>
    <row r="3646" spans="3:3" x14ac:dyDescent="0.25">
      <c r="C3646"/>
    </row>
    <row r="3647" spans="3:3" x14ac:dyDescent="0.25">
      <c r="C3647"/>
    </row>
    <row r="3648" spans="3:3" x14ac:dyDescent="0.25">
      <c r="C3648"/>
    </row>
    <row r="3649" spans="3:3" x14ac:dyDescent="0.25">
      <c r="C3649"/>
    </row>
    <row r="3650" spans="3:3" x14ac:dyDescent="0.25">
      <c r="C3650"/>
    </row>
    <row r="3651" spans="3:3" x14ac:dyDescent="0.25">
      <c r="C3651"/>
    </row>
    <row r="3652" spans="3:3" x14ac:dyDescent="0.25">
      <c r="C3652"/>
    </row>
    <row r="3653" spans="3:3" x14ac:dyDescent="0.25">
      <c r="C3653"/>
    </row>
    <row r="3654" spans="3:3" x14ac:dyDescent="0.25">
      <c r="C3654"/>
    </row>
    <row r="3655" spans="3:3" x14ac:dyDescent="0.25">
      <c r="C3655"/>
    </row>
    <row r="3656" spans="3:3" x14ac:dyDescent="0.25">
      <c r="C3656"/>
    </row>
    <row r="3657" spans="3:3" x14ac:dyDescent="0.25">
      <c r="C3657"/>
    </row>
    <row r="3658" spans="3:3" x14ac:dyDescent="0.25">
      <c r="C3658"/>
    </row>
    <row r="3659" spans="3:3" x14ac:dyDescent="0.25">
      <c r="C3659"/>
    </row>
    <row r="3660" spans="3:3" x14ac:dyDescent="0.25">
      <c r="C3660"/>
    </row>
    <row r="3661" spans="3:3" x14ac:dyDescent="0.25">
      <c r="C3661"/>
    </row>
    <row r="3662" spans="3:3" x14ac:dyDescent="0.25">
      <c r="C3662"/>
    </row>
    <row r="3663" spans="3:3" x14ac:dyDescent="0.25">
      <c r="C3663"/>
    </row>
    <row r="3664" spans="3:3" x14ac:dyDescent="0.25">
      <c r="C3664"/>
    </row>
    <row r="3665" spans="3:3" x14ac:dyDescent="0.25">
      <c r="C3665"/>
    </row>
    <row r="3666" spans="3:3" x14ac:dyDescent="0.25">
      <c r="C3666"/>
    </row>
    <row r="3667" spans="3:3" x14ac:dyDescent="0.25">
      <c r="C3667"/>
    </row>
    <row r="3668" spans="3:3" x14ac:dyDescent="0.25">
      <c r="C3668"/>
    </row>
    <row r="3669" spans="3:3" x14ac:dyDescent="0.25">
      <c r="C3669"/>
    </row>
    <row r="3670" spans="3:3" x14ac:dyDescent="0.25">
      <c r="C3670"/>
    </row>
    <row r="3671" spans="3:3" x14ac:dyDescent="0.25">
      <c r="C3671"/>
    </row>
    <row r="3672" spans="3:3" x14ac:dyDescent="0.25">
      <c r="C3672"/>
    </row>
    <row r="3673" spans="3:3" x14ac:dyDescent="0.25">
      <c r="C3673"/>
    </row>
    <row r="3674" spans="3:3" x14ac:dyDescent="0.25">
      <c r="C3674"/>
    </row>
    <row r="3675" spans="3:3" x14ac:dyDescent="0.25">
      <c r="C3675"/>
    </row>
    <row r="3676" spans="3:3" x14ac:dyDescent="0.25">
      <c r="C3676"/>
    </row>
    <row r="3677" spans="3:3" x14ac:dyDescent="0.25">
      <c r="C3677"/>
    </row>
    <row r="3678" spans="3:3" x14ac:dyDescent="0.25">
      <c r="C3678"/>
    </row>
    <row r="3679" spans="3:3" x14ac:dyDescent="0.25">
      <c r="C3679"/>
    </row>
    <row r="3680" spans="3:3" x14ac:dyDescent="0.25">
      <c r="C3680"/>
    </row>
    <row r="3681" spans="3:3" x14ac:dyDescent="0.25">
      <c r="C3681"/>
    </row>
    <row r="3682" spans="3:3" x14ac:dyDescent="0.25">
      <c r="C3682"/>
    </row>
    <row r="3683" spans="3:3" x14ac:dyDescent="0.25">
      <c r="C3683"/>
    </row>
    <row r="3684" spans="3:3" x14ac:dyDescent="0.25">
      <c r="C3684"/>
    </row>
    <row r="3685" spans="3:3" x14ac:dyDescent="0.25">
      <c r="C3685"/>
    </row>
    <row r="3686" spans="3:3" x14ac:dyDescent="0.25">
      <c r="C3686"/>
    </row>
    <row r="3687" spans="3:3" x14ac:dyDescent="0.25">
      <c r="C3687"/>
    </row>
    <row r="3688" spans="3:3" x14ac:dyDescent="0.25">
      <c r="C3688"/>
    </row>
    <row r="3689" spans="3:3" x14ac:dyDescent="0.25">
      <c r="C3689"/>
    </row>
    <row r="3690" spans="3:3" x14ac:dyDescent="0.25">
      <c r="C3690"/>
    </row>
    <row r="3691" spans="3:3" x14ac:dyDescent="0.25">
      <c r="C3691"/>
    </row>
    <row r="3692" spans="3:3" x14ac:dyDescent="0.25">
      <c r="C3692"/>
    </row>
    <row r="3693" spans="3:3" x14ac:dyDescent="0.25">
      <c r="C3693"/>
    </row>
    <row r="3694" spans="3:3" x14ac:dyDescent="0.25">
      <c r="C3694"/>
    </row>
    <row r="3695" spans="3:3" x14ac:dyDescent="0.25">
      <c r="C3695"/>
    </row>
    <row r="3696" spans="3:3" x14ac:dyDescent="0.25">
      <c r="C3696"/>
    </row>
    <row r="3697" spans="3:3" x14ac:dyDescent="0.25">
      <c r="C3697"/>
    </row>
    <row r="3698" spans="3:3" x14ac:dyDescent="0.25">
      <c r="C3698"/>
    </row>
    <row r="3699" spans="3:3" x14ac:dyDescent="0.25">
      <c r="C3699"/>
    </row>
    <row r="3700" spans="3:3" x14ac:dyDescent="0.25">
      <c r="C3700"/>
    </row>
    <row r="3701" spans="3:3" x14ac:dyDescent="0.25">
      <c r="C3701"/>
    </row>
    <row r="3702" spans="3:3" x14ac:dyDescent="0.25">
      <c r="C3702"/>
    </row>
    <row r="3703" spans="3:3" x14ac:dyDescent="0.25">
      <c r="C3703"/>
    </row>
    <row r="3704" spans="3:3" x14ac:dyDescent="0.25">
      <c r="C3704"/>
    </row>
    <row r="3705" spans="3:3" x14ac:dyDescent="0.25">
      <c r="C3705"/>
    </row>
    <row r="3706" spans="3:3" x14ac:dyDescent="0.25">
      <c r="C3706"/>
    </row>
    <row r="3707" spans="3:3" x14ac:dyDescent="0.25">
      <c r="C3707"/>
    </row>
    <row r="3708" spans="3:3" x14ac:dyDescent="0.25">
      <c r="C3708"/>
    </row>
    <row r="3709" spans="3:3" x14ac:dyDescent="0.25">
      <c r="C3709"/>
    </row>
    <row r="3710" spans="3:3" x14ac:dyDescent="0.25">
      <c r="C3710"/>
    </row>
    <row r="3711" spans="3:3" x14ac:dyDescent="0.25">
      <c r="C3711"/>
    </row>
    <row r="3712" spans="3:3" x14ac:dyDescent="0.25">
      <c r="C3712"/>
    </row>
    <row r="3713" spans="3:3" x14ac:dyDescent="0.25">
      <c r="C3713"/>
    </row>
    <row r="3714" spans="3:3" x14ac:dyDescent="0.25">
      <c r="C3714"/>
    </row>
    <row r="3715" spans="3:3" x14ac:dyDescent="0.25">
      <c r="C3715"/>
    </row>
    <row r="3716" spans="3:3" x14ac:dyDescent="0.25">
      <c r="C3716"/>
    </row>
    <row r="3717" spans="3:3" x14ac:dyDescent="0.25">
      <c r="C3717"/>
    </row>
    <row r="3718" spans="3:3" x14ac:dyDescent="0.25">
      <c r="C3718"/>
    </row>
    <row r="3719" spans="3:3" x14ac:dyDescent="0.25">
      <c r="C3719"/>
    </row>
    <row r="3720" spans="3:3" x14ac:dyDescent="0.25">
      <c r="C3720"/>
    </row>
    <row r="3721" spans="3:3" x14ac:dyDescent="0.25">
      <c r="C3721"/>
    </row>
    <row r="3722" spans="3:3" x14ac:dyDescent="0.25">
      <c r="C3722"/>
    </row>
    <row r="3723" spans="3:3" x14ac:dyDescent="0.25">
      <c r="C3723"/>
    </row>
    <row r="3724" spans="3:3" x14ac:dyDescent="0.25">
      <c r="C3724"/>
    </row>
    <row r="3725" spans="3:3" x14ac:dyDescent="0.25">
      <c r="C3725"/>
    </row>
    <row r="3726" spans="3:3" x14ac:dyDescent="0.25">
      <c r="C3726"/>
    </row>
    <row r="3727" spans="3:3" x14ac:dyDescent="0.25">
      <c r="C3727"/>
    </row>
    <row r="3728" spans="3:3" x14ac:dyDescent="0.25">
      <c r="C3728"/>
    </row>
    <row r="3729" spans="3:3" x14ac:dyDescent="0.25">
      <c r="C3729"/>
    </row>
    <row r="3730" spans="3:3" x14ac:dyDescent="0.25">
      <c r="C3730"/>
    </row>
    <row r="3731" spans="3:3" x14ac:dyDescent="0.25">
      <c r="C3731"/>
    </row>
    <row r="3732" spans="3:3" x14ac:dyDescent="0.25">
      <c r="C3732"/>
    </row>
    <row r="3733" spans="3:3" x14ac:dyDescent="0.25">
      <c r="C3733"/>
    </row>
    <row r="3734" spans="3:3" x14ac:dyDescent="0.25">
      <c r="C3734"/>
    </row>
    <row r="3735" spans="3:3" x14ac:dyDescent="0.25">
      <c r="C3735"/>
    </row>
    <row r="3736" spans="3:3" x14ac:dyDescent="0.25">
      <c r="C3736"/>
    </row>
    <row r="3737" spans="3:3" x14ac:dyDescent="0.25">
      <c r="C3737"/>
    </row>
    <row r="3738" spans="3:3" x14ac:dyDescent="0.25">
      <c r="C3738"/>
    </row>
    <row r="3739" spans="3:3" x14ac:dyDescent="0.25">
      <c r="C3739"/>
    </row>
    <row r="3740" spans="3:3" x14ac:dyDescent="0.25">
      <c r="C3740"/>
    </row>
    <row r="3741" spans="3:3" x14ac:dyDescent="0.25">
      <c r="C3741"/>
    </row>
    <row r="3742" spans="3:3" x14ac:dyDescent="0.25">
      <c r="C3742"/>
    </row>
    <row r="3743" spans="3:3" x14ac:dyDescent="0.25">
      <c r="C3743"/>
    </row>
    <row r="3744" spans="3:3" x14ac:dyDescent="0.25">
      <c r="C3744"/>
    </row>
    <row r="3745" spans="3:3" x14ac:dyDescent="0.25">
      <c r="C3745"/>
    </row>
    <row r="3746" spans="3:3" x14ac:dyDescent="0.25">
      <c r="C3746"/>
    </row>
    <row r="3747" spans="3:3" x14ac:dyDescent="0.25">
      <c r="C3747"/>
    </row>
    <row r="3748" spans="3:3" x14ac:dyDescent="0.25">
      <c r="C3748"/>
    </row>
    <row r="3749" spans="3:3" x14ac:dyDescent="0.25">
      <c r="C3749"/>
    </row>
    <row r="3750" spans="3:3" x14ac:dyDescent="0.25">
      <c r="C3750"/>
    </row>
    <row r="3751" spans="3:3" x14ac:dyDescent="0.25">
      <c r="C3751"/>
    </row>
    <row r="3752" spans="3:3" x14ac:dyDescent="0.25">
      <c r="C3752"/>
    </row>
    <row r="3753" spans="3:3" x14ac:dyDescent="0.25">
      <c r="C3753"/>
    </row>
    <row r="3754" spans="3:3" x14ac:dyDescent="0.25">
      <c r="C3754"/>
    </row>
    <row r="3755" spans="3:3" x14ac:dyDescent="0.25">
      <c r="C3755"/>
    </row>
    <row r="3756" spans="3:3" x14ac:dyDescent="0.25">
      <c r="C3756"/>
    </row>
    <row r="3757" spans="3:3" x14ac:dyDescent="0.25">
      <c r="C3757"/>
    </row>
    <row r="3758" spans="3:3" x14ac:dyDescent="0.25">
      <c r="C3758"/>
    </row>
    <row r="3759" spans="3:3" x14ac:dyDescent="0.25">
      <c r="C3759"/>
    </row>
    <row r="3760" spans="3:3" x14ac:dyDescent="0.25">
      <c r="C3760"/>
    </row>
    <row r="3761" spans="3:3" x14ac:dyDescent="0.25">
      <c r="C3761"/>
    </row>
    <row r="3762" spans="3:3" x14ac:dyDescent="0.25">
      <c r="C3762"/>
    </row>
    <row r="3763" spans="3:3" x14ac:dyDescent="0.25">
      <c r="C3763"/>
    </row>
    <row r="3764" spans="3:3" x14ac:dyDescent="0.25">
      <c r="C3764"/>
    </row>
    <row r="3765" spans="3:3" x14ac:dyDescent="0.25">
      <c r="C3765"/>
    </row>
    <row r="3766" spans="3:3" x14ac:dyDescent="0.25">
      <c r="C3766"/>
    </row>
    <row r="3767" spans="3:3" x14ac:dyDescent="0.25">
      <c r="C3767"/>
    </row>
    <row r="3768" spans="3:3" x14ac:dyDescent="0.25">
      <c r="C3768"/>
    </row>
    <row r="3769" spans="3:3" x14ac:dyDescent="0.25">
      <c r="C3769"/>
    </row>
    <row r="3770" spans="3:3" x14ac:dyDescent="0.25">
      <c r="C3770"/>
    </row>
    <row r="3771" spans="3:3" x14ac:dyDescent="0.25">
      <c r="C3771"/>
    </row>
    <row r="3772" spans="3:3" x14ac:dyDescent="0.25">
      <c r="C3772"/>
    </row>
    <row r="3773" spans="3:3" x14ac:dyDescent="0.25">
      <c r="C3773"/>
    </row>
    <row r="3774" spans="3:3" x14ac:dyDescent="0.25">
      <c r="C3774"/>
    </row>
    <row r="3775" spans="3:3" x14ac:dyDescent="0.25">
      <c r="C3775"/>
    </row>
    <row r="3776" spans="3:3" x14ac:dyDescent="0.25">
      <c r="C3776"/>
    </row>
    <row r="3777" spans="3:3" x14ac:dyDescent="0.25">
      <c r="C3777"/>
    </row>
    <row r="3778" spans="3:3" x14ac:dyDescent="0.25">
      <c r="C3778"/>
    </row>
    <row r="3779" spans="3:3" x14ac:dyDescent="0.25">
      <c r="C3779"/>
    </row>
    <row r="3780" spans="3:3" x14ac:dyDescent="0.25">
      <c r="C3780"/>
    </row>
    <row r="3781" spans="3:3" x14ac:dyDescent="0.25">
      <c r="C3781"/>
    </row>
    <row r="3782" spans="3:3" x14ac:dyDescent="0.25">
      <c r="C3782"/>
    </row>
    <row r="3783" spans="3:3" x14ac:dyDescent="0.25">
      <c r="C3783"/>
    </row>
    <row r="3784" spans="3:3" x14ac:dyDescent="0.25">
      <c r="C3784"/>
    </row>
    <row r="3785" spans="3:3" x14ac:dyDescent="0.25">
      <c r="C3785"/>
    </row>
    <row r="3786" spans="3:3" x14ac:dyDescent="0.25">
      <c r="C3786"/>
    </row>
    <row r="3787" spans="3:3" x14ac:dyDescent="0.25">
      <c r="C3787"/>
    </row>
    <row r="3788" spans="3:3" x14ac:dyDescent="0.25">
      <c r="C3788"/>
    </row>
    <row r="3789" spans="3:3" x14ac:dyDescent="0.25">
      <c r="C3789"/>
    </row>
    <row r="3790" spans="3:3" x14ac:dyDescent="0.25">
      <c r="C3790"/>
    </row>
    <row r="3791" spans="3:3" x14ac:dyDescent="0.25">
      <c r="C3791"/>
    </row>
    <row r="3792" spans="3:3" x14ac:dyDescent="0.25">
      <c r="C3792"/>
    </row>
    <row r="3793" spans="3:3" x14ac:dyDescent="0.25">
      <c r="C3793"/>
    </row>
    <row r="3794" spans="3:3" x14ac:dyDescent="0.25">
      <c r="C3794"/>
    </row>
    <row r="3795" spans="3:3" x14ac:dyDescent="0.25">
      <c r="C3795"/>
    </row>
    <row r="3796" spans="3:3" x14ac:dyDescent="0.25">
      <c r="C3796"/>
    </row>
    <row r="3797" spans="3:3" x14ac:dyDescent="0.25">
      <c r="C3797"/>
    </row>
    <row r="3798" spans="3:3" x14ac:dyDescent="0.25">
      <c r="C3798"/>
    </row>
    <row r="3799" spans="3:3" x14ac:dyDescent="0.25">
      <c r="C3799"/>
    </row>
    <row r="3800" spans="3:3" x14ac:dyDescent="0.25">
      <c r="C3800"/>
    </row>
    <row r="3801" spans="3:3" x14ac:dyDescent="0.25">
      <c r="C3801"/>
    </row>
    <row r="3802" spans="3:3" x14ac:dyDescent="0.25">
      <c r="C3802"/>
    </row>
    <row r="3803" spans="3:3" x14ac:dyDescent="0.25">
      <c r="C3803"/>
    </row>
    <row r="3804" spans="3:3" x14ac:dyDescent="0.25">
      <c r="C3804"/>
    </row>
    <row r="3805" spans="3:3" x14ac:dyDescent="0.25">
      <c r="C3805"/>
    </row>
    <row r="3806" spans="3:3" x14ac:dyDescent="0.25">
      <c r="C3806"/>
    </row>
    <row r="3807" spans="3:3" x14ac:dyDescent="0.25">
      <c r="C3807"/>
    </row>
    <row r="3808" spans="3:3" x14ac:dyDescent="0.25">
      <c r="C3808"/>
    </row>
    <row r="3809" spans="3:3" x14ac:dyDescent="0.25">
      <c r="C3809"/>
    </row>
    <row r="3810" spans="3:3" x14ac:dyDescent="0.25">
      <c r="C3810"/>
    </row>
    <row r="3811" spans="3:3" x14ac:dyDescent="0.25">
      <c r="C3811"/>
    </row>
    <row r="3812" spans="3:3" x14ac:dyDescent="0.25">
      <c r="C3812"/>
    </row>
    <row r="3813" spans="3:3" x14ac:dyDescent="0.25">
      <c r="C3813"/>
    </row>
    <row r="3814" spans="3:3" x14ac:dyDescent="0.25">
      <c r="C3814"/>
    </row>
    <row r="3815" spans="3:3" x14ac:dyDescent="0.25">
      <c r="C3815"/>
    </row>
    <row r="3816" spans="3:3" x14ac:dyDescent="0.25">
      <c r="C3816"/>
    </row>
    <row r="3817" spans="3:3" x14ac:dyDescent="0.25">
      <c r="C3817"/>
    </row>
    <row r="3818" spans="3:3" x14ac:dyDescent="0.25">
      <c r="C3818"/>
    </row>
    <row r="3819" spans="3:3" x14ac:dyDescent="0.25">
      <c r="C3819"/>
    </row>
    <row r="3820" spans="3:3" x14ac:dyDescent="0.25">
      <c r="C3820"/>
    </row>
    <row r="3821" spans="3:3" x14ac:dyDescent="0.25">
      <c r="C3821"/>
    </row>
    <row r="3822" spans="3:3" x14ac:dyDescent="0.25">
      <c r="C3822"/>
    </row>
    <row r="3823" spans="3:3" x14ac:dyDescent="0.25">
      <c r="C3823"/>
    </row>
    <row r="3824" spans="3:3" x14ac:dyDescent="0.25">
      <c r="C3824"/>
    </row>
    <row r="3825" spans="3:3" x14ac:dyDescent="0.25">
      <c r="C3825"/>
    </row>
    <row r="3826" spans="3:3" x14ac:dyDescent="0.25">
      <c r="C3826"/>
    </row>
    <row r="3827" spans="3:3" x14ac:dyDescent="0.25">
      <c r="C3827"/>
    </row>
    <row r="3828" spans="3:3" x14ac:dyDescent="0.25">
      <c r="C3828"/>
    </row>
    <row r="3829" spans="3:3" x14ac:dyDescent="0.25">
      <c r="C3829"/>
    </row>
    <row r="3830" spans="3:3" x14ac:dyDescent="0.25">
      <c r="C3830"/>
    </row>
    <row r="3831" spans="3:3" x14ac:dyDescent="0.25">
      <c r="C3831"/>
    </row>
    <row r="3832" spans="3:3" x14ac:dyDescent="0.25">
      <c r="C3832"/>
    </row>
    <row r="3833" spans="3:3" x14ac:dyDescent="0.25">
      <c r="C3833"/>
    </row>
    <row r="3834" spans="3:3" x14ac:dyDescent="0.25">
      <c r="C3834"/>
    </row>
    <row r="3835" spans="3:3" x14ac:dyDescent="0.25">
      <c r="C3835"/>
    </row>
    <row r="3836" spans="3:3" x14ac:dyDescent="0.25">
      <c r="C3836"/>
    </row>
    <row r="3837" spans="3:3" x14ac:dyDescent="0.25">
      <c r="C3837"/>
    </row>
    <row r="3838" spans="3:3" x14ac:dyDescent="0.25">
      <c r="C3838"/>
    </row>
    <row r="3839" spans="3:3" x14ac:dyDescent="0.25">
      <c r="C3839"/>
    </row>
    <row r="3840" spans="3:3" x14ac:dyDescent="0.25">
      <c r="C3840"/>
    </row>
    <row r="3841" spans="3:3" x14ac:dyDescent="0.25">
      <c r="C3841"/>
    </row>
    <row r="3842" spans="3:3" x14ac:dyDescent="0.25">
      <c r="C3842"/>
    </row>
    <row r="3843" spans="3:3" x14ac:dyDescent="0.25">
      <c r="C3843"/>
    </row>
    <row r="3844" spans="3:3" x14ac:dyDescent="0.25">
      <c r="C3844"/>
    </row>
    <row r="3845" spans="3:3" x14ac:dyDescent="0.25">
      <c r="C3845"/>
    </row>
    <row r="3846" spans="3:3" x14ac:dyDescent="0.25">
      <c r="C3846"/>
    </row>
    <row r="3847" spans="3:3" x14ac:dyDescent="0.25">
      <c r="C3847"/>
    </row>
    <row r="3848" spans="3:3" x14ac:dyDescent="0.25">
      <c r="C3848"/>
    </row>
    <row r="3849" spans="3:3" x14ac:dyDescent="0.25">
      <c r="C3849"/>
    </row>
    <row r="3850" spans="3:3" x14ac:dyDescent="0.25">
      <c r="C3850"/>
    </row>
    <row r="3851" spans="3:3" x14ac:dyDescent="0.25">
      <c r="C3851"/>
    </row>
    <row r="3852" spans="3:3" x14ac:dyDescent="0.25">
      <c r="C3852"/>
    </row>
    <row r="3853" spans="3:3" x14ac:dyDescent="0.25">
      <c r="C3853"/>
    </row>
    <row r="3854" spans="3:3" x14ac:dyDescent="0.25">
      <c r="C3854"/>
    </row>
    <row r="3855" spans="3:3" x14ac:dyDescent="0.25">
      <c r="C3855"/>
    </row>
    <row r="3856" spans="3:3" x14ac:dyDescent="0.25">
      <c r="C3856"/>
    </row>
    <row r="3857" spans="3:3" x14ac:dyDescent="0.25">
      <c r="C3857"/>
    </row>
    <row r="3858" spans="3:3" x14ac:dyDescent="0.25">
      <c r="C3858"/>
    </row>
    <row r="3859" spans="3:3" x14ac:dyDescent="0.25">
      <c r="C3859"/>
    </row>
    <row r="3860" spans="3:3" x14ac:dyDescent="0.25">
      <c r="C3860"/>
    </row>
    <row r="3861" spans="3:3" x14ac:dyDescent="0.25">
      <c r="C3861"/>
    </row>
    <row r="3862" spans="3:3" x14ac:dyDescent="0.25">
      <c r="C3862"/>
    </row>
    <row r="3863" spans="3:3" x14ac:dyDescent="0.25">
      <c r="C3863"/>
    </row>
    <row r="3864" spans="3:3" x14ac:dyDescent="0.25">
      <c r="C3864"/>
    </row>
    <row r="3865" spans="3:3" x14ac:dyDescent="0.25">
      <c r="C3865"/>
    </row>
    <row r="3866" spans="3:3" x14ac:dyDescent="0.25">
      <c r="C3866"/>
    </row>
    <row r="3867" spans="3:3" x14ac:dyDescent="0.25">
      <c r="C3867"/>
    </row>
    <row r="3868" spans="3:3" x14ac:dyDescent="0.25">
      <c r="C3868"/>
    </row>
    <row r="3869" spans="3:3" x14ac:dyDescent="0.25">
      <c r="C3869"/>
    </row>
    <row r="3870" spans="3:3" x14ac:dyDescent="0.25">
      <c r="C3870"/>
    </row>
    <row r="3871" spans="3:3" x14ac:dyDescent="0.25">
      <c r="C3871"/>
    </row>
    <row r="3872" spans="3:3" x14ac:dyDescent="0.25">
      <c r="C3872"/>
    </row>
    <row r="3873" spans="3:3" x14ac:dyDescent="0.25">
      <c r="C3873"/>
    </row>
    <row r="3874" spans="3:3" x14ac:dyDescent="0.25">
      <c r="C3874"/>
    </row>
    <row r="3875" spans="3:3" x14ac:dyDescent="0.25">
      <c r="C3875"/>
    </row>
    <row r="3876" spans="3:3" x14ac:dyDescent="0.25">
      <c r="C3876"/>
    </row>
    <row r="3877" spans="3:3" x14ac:dyDescent="0.25">
      <c r="C3877"/>
    </row>
    <row r="3878" spans="3:3" x14ac:dyDescent="0.25">
      <c r="C3878"/>
    </row>
    <row r="3879" spans="3:3" x14ac:dyDescent="0.25">
      <c r="C3879"/>
    </row>
    <row r="3880" spans="3:3" x14ac:dyDescent="0.25">
      <c r="C3880"/>
    </row>
    <row r="3881" spans="3:3" x14ac:dyDescent="0.25">
      <c r="C3881"/>
    </row>
    <row r="3882" spans="3:3" x14ac:dyDescent="0.25">
      <c r="C3882"/>
    </row>
    <row r="3883" spans="3:3" x14ac:dyDescent="0.25">
      <c r="C3883"/>
    </row>
    <row r="3884" spans="3:3" x14ac:dyDescent="0.25">
      <c r="C3884"/>
    </row>
    <row r="3885" spans="3:3" x14ac:dyDescent="0.25">
      <c r="C3885"/>
    </row>
    <row r="3886" spans="3:3" x14ac:dyDescent="0.25">
      <c r="C3886"/>
    </row>
    <row r="3887" spans="3:3" x14ac:dyDescent="0.25">
      <c r="C3887"/>
    </row>
    <row r="3888" spans="3:3" x14ac:dyDescent="0.25">
      <c r="C3888"/>
    </row>
    <row r="3889" spans="3:3" x14ac:dyDescent="0.25">
      <c r="C3889"/>
    </row>
    <row r="3890" spans="3:3" x14ac:dyDescent="0.25">
      <c r="C3890"/>
    </row>
    <row r="3891" spans="3:3" x14ac:dyDescent="0.25">
      <c r="C3891"/>
    </row>
    <row r="3892" spans="3:3" x14ac:dyDescent="0.25">
      <c r="C3892"/>
    </row>
    <row r="3893" spans="3:3" x14ac:dyDescent="0.25">
      <c r="C3893"/>
    </row>
    <row r="3894" spans="3:3" x14ac:dyDescent="0.25">
      <c r="C3894"/>
    </row>
    <row r="3895" spans="3:3" x14ac:dyDescent="0.25">
      <c r="C3895"/>
    </row>
    <row r="3896" spans="3:3" x14ac:dyDescent="0.25">
      <c r="C3896"/>
    </row>
    <row r="3897" spans="3:3" x14ac:dyDescent="0.25">
      <c r="C3897"/>
    </row>
    <row r="3898" spans="3:3" x14ac:dyDescent="0.25">
      <c r="C3898"/>
    </row>
    <row r="3899" spans="3:3" x14ac:dyDescent="0.25">
      <c r="C3899"/>
    </row>
    <row r="3900" spans="3:3" x14ac:dyDescent="0.25">
      <c r="C3900"/>
    </row>
    <row r="3901" spans="3:3" x14ac:dyDescent="0.25">
      <c r="C3901"/>
    </row>
    <row r="3902" spans="3:3" x14ac:dyDescent="0.25">
      <c r="C3902"/>
    </row>
    <row r="3903" spans="3:3" x14ac:dyDescent="0.25">
      <c r="C3903"/>
    </row>
    <row r="3904" spans="3:3" x14ac:dyDescent="0.25">
      <c r="C3904"/>
    </row>
    <row r="3905" spans="3:3" x14ac:dyDescent="0.25">
      <c r="C3905"/>
    </row>
    <row r="3906" spans="3:3" x14ac:dyDescent="0.25">
      <c r="C3906"/>
    </row>
    <row r="3907" spans="3:3" x14ac:dyDescent="0.25">
      <c r="C3907"/>
    </row>
    <row r="3908" spans="3:3" x14ac:dyDescent="0.25">
      <c r="C3908"/>
    </row>
    <row r="3909" spans="3:3" x14ac:dyDescent="0.25">
      <c r="C3909"/>
    </row>
    <row r="3910" spans="3:3" x14ac:dyDescent="0.25">
      <c r="C3910"/>
    </row>
    <row r="3911" spans="3:3" x14ac:dyDescent="0.25">
      <c r="C3911"/>
    </row>
    <row r="3912" spans="3:3" x14ac:dyDescent="0.25">
      <c r="C3912"/>
    </row>
    <row r="3913" spans="3:3" x14ac:dyDescent="0.25">
      <c r="C3913"/>
    </row>
    <row r="3914" spans="3:3" x14ac:dyDescent="0.25">
      <c r="C3914"/>
    </row>
    <row r="3915" spans="3:3" x14ac:dyDescent="0.25">
      <c r="C3915"/>
    </row>
    <row r="3916" spans="3:3" x14ac:dyDescent="0.25">
      <c r="C3916"/>
    </row>
    <row r="3917" spans="3:3" x14ac:dyDescent="0.25">
      <c r="C3917"/>
    </row>
    <row r="3918" spans="3:3" x14ac:dyDescent="0.25">
      <c r="C3918"/>
    </row>
    <row r="3919" spans="3:3" x14ac:dyDescent="0.25">
      <c r="C3919"/>
    </row>
    <row r="3920" spans="3:3" x14ac:dyDescent="0.25">
      <c r="C3920"/>
    </row>
    <row r="3921" spans="3:3" x14ac:dyDescent="0.25">
      <c r="C3921"/>
    </row>
    <row r="3922" spans="3:3" x14ac:dyDescent="0.25">
      <c r="C3922"/>
    </row>
    <row r="3923" spans="3:3" x14ac:dyDescent="0.25">
      <c r="C3923"/>
    </row>
    <row r="3924" spans="3:3" x14ac:dyDescent="0.25">
      <c r="C3924"/>
    </row>
    <row r="3925" spans="3:3" x14ac:dyDescent="0.25">
      <c r="C3925"/>
    </row>
    <row r="3926" spans="3:3" x14ac:dyDescent="0.25">
      <c r="C3926"/>
    </row>
    <row r="3927" spans="3:3" x14ac:dyDescent="0.25">
      <c r="C3927"/>
    </row>
    <row r="3928" spans="3:3" x14ac:dyDescent="0.25">
      <c r="C3928"/>
    </row>
    <row r="3929" spans="3:3" x14ac:dyDescent="0.25">
      <c r="C3929"/>
    </row>
    <row r="3930" spans="3:3" x14ac:dyDescent="0.25">
      <c r="C3930"/>
    </row>
    <row r="3931" spans="3:3" x14ac:dyDescent="0.25">
      <c r="C3931"/>
    </row>
    <row r="3932" spans="3:3" x14ac:dyDescent="0.25">
      <c r="C3932"/>
    </row>
    <row r="3933" spans="3:3" x14ac:dyDescent="0.25">
      <c r="C3933"/>
    </row>
    <row r="3934" spans="3:3" x14ac:dyDescent="0.25">
      <c r="C3934"/>
    </row>
    <row r="3935" spans="3:3" x14ac:dyDescent="0.25">
      <c r="C3935"/>
    </row>
    <row r="3936" spans="3:3" x14ac:dyDescent="0.25">
      <c r="C3936"/>
    </row>
    <row r="3937" spans="3:3" x14ac:dyDescent="0.25">
      <c r="C3937"/>
    </row>
    <row r="3938" spans="3:3" x14ac:dyDescent="0.25">
      <c r="C3938"/>
    </row>
    <row r="3939" spans="3:3" x14ac:dyDescent="0.25">
      <c r="C3939"/>
    </row>
    <row r="3940" spans="3:3" x14ac:dyDescent="0.25">
      <c r="C3940"/>
    </row>
    <row r="3941" spans="3:3" x14ac:dyDescent="0.25">
      <c r="C3941"/>
    </row>
    <row r="3942" spans="3:3" x14ac:dyDescent="0.25">
      <c r="C3942"/>
    </row>
    <row r="3943" spans="3:3" x14ac:dyDescent="0.25">
      <c r="C3943"/>
    </row>
    <row r="3944" spans="3:3" x14ac:dyDescent="0.25">
      <c r="C3944"/>
    </row>
    <row r="3945" spans="3:3" x14ac:dyDescent="0.25">
      <c r="C3945"/>
    </row>
    <row r="3946" spans="3:3" x14ac:dyDescent="0.25">
      <c r="C3946"/>
    </row>
    <row r="3947" spans="3:3" x14ac:dyDescent="0.25">
      <c r="C3947"/>
    </row>
    <row r="3948" spans="3:3" x14ac:dyDescent="0.25">
      <c r="C3948"/>
    </row>
    <row r="3949" spans="3:3" x14ac:dyDescent="0.25">
      <c r="C3949"/>
    </row>
    <row r="3950" spans="3:3" x14ac:dyDescent="0.25">
      <c r="C3950"/>
    </row>
    <row r="3951" spans="3:3" x14ac:dyDescent="0.25">
      <c r="C3951"/>
    </row>
    <row r="3952" spans="3:3" x14ac:dyDescent="0.25">
      <c r="C3952"/>
    </row>
    <row r="3953" spans="3:3" x14ac:dyDescent="0.25">
      <c r="C3953"/>
    </row>
    <row r="3954" spans="3:3" x14ac:dyDescent="0.25">
      <c r="C3954"/>
    </row>
    <row r="3955" spans="3:3" x14ac:dyDescent="0.25">
      <c r="C3955"/>
    </row>
    <row r="3956" spans="3:3" x14ac:dyDescent="0.25">
      <c r="C3956"/>
    </row>
    <row r="3957" spans="3:3" x14ac:dyDescent="0.25">
      <c r="C3957"/>
    </row>
    <row r="3958" spans="3:3" x14ac:dyDescent="0.25">
      <c r="C3958"/>
    </row>
    <row r="3959" spans="3:3" x14ac:dyDescent="0.25">
      <c r="C3959"/>
    </row>
    <row r="3960" spans="3:3" x14ac:dyDescent="0.25">
      <c r="C3960"/>
    </row>
    <row r="3961" spans="3:3" x14ac:dyDescent="0.25">
      <c r="C3961"/>
    </row>
    <row r="3962" spans="3:3" x14ac:dyDescent="0.25">
      <c r="C3962"/>
    </row>
    <row r="3963" spans="3:3" x14ac:dyDescent="0.25">
      <c r="C3963"/>
    </row>
    <row r="3964" spans="3:3" x14ac:dyDescent="0.25">
      <c r="C3964"/>
    </row>
    <row r="3965" spans="3:3" x14ac:dyDescent="0.25">
      <c r="C3965"/>
    </row>
    <row r="3966" spans="3:3" x14ac:dyDescent="0.25">
      <c r="C3966"/>
    </row>
    <row r="3967" spans="3:3" x14ac:dyDescent="0.25">
      <c r="C3967"/>
    </row>
    <row r="3968" spans="3:3" x14ac:dyDescent="0.25">
      <c r="C3968"/>
    </row>
    <row r="3969" spans="3:3" x14ac:dyDescent="0.25">
      <c r="C3969"/>
    </row>
    <row r="3970" spans="3:3" x14ac:dyDescent="0.25">
      <c r="C3970"/>
    </row>
    <row r="3971" spans="3:3" x14ac:dyDescent="0.25">
      <c r="C3971"/>
    </row>
    <row r="3972" spans="3:3" x14ac:dyDescent="0.25">
      <c r="C3972"/>
    </row>
    <row r="3973" spans="3:3" x14ac:dyDescent="0.25">
      <c r="C3973"/>
    </row>
    <row r="3974" spans="3:3" x14ac:dyDescent="0.25">
      <c r="C3974"/>
    </row>
    <row r="3975" spans="3:3" x14ac:dyDescent="0.25">
      <c r="C3975"/>
    </row>
    <row r="3976" spans="3:3" x14ac:dyDescent="0.25">
      <c r="C3976"/>
    </row>
    <row r="3977" spans="3:3" x14ac:dyDescent="0.25">
      <c r="C3977"/>
    </row>
    <row r="3978" spans="3:3" x14ac:dyDescent="0.25">
      <c r="C3978"/>
    </row>
    <row r="3979" spans="3:3" x14ac:dyDescent="0.25">
      <c r="C3979"/>
    </row>
    <row r="3980" spans="3:3" x14ac:dyDescent="0.25">
      <c r="C3980"/>
    </row>
    <row r="3981" spans="3:3" x14ac:dyDescent="0.25">
      <c r="C3981"/>
    </row>
    <row r="3982" spans="3:3" x14ac:dyDescent="0.25">
      <c r="C3982"/>
    </row>
    <row r="3983" spans="3:3" x14ac:dyDescent="0.25">
      <c r="C3983"/>
    </row>
    <row r="3984" spans="3:3" x14ac:dyDescent="0.25">
      <c r="C3984"/>
    </row>
    <row r="3985" spans="3:3" x14ac:dyDescent="0.25">
      <c r="C3985"/>
    </row>
    <row r="3986" spans="3:3" x14ac:dyDescent="0.25">
      <c r="C3986"/>
    </row>
    <row r="3987" spans="3:3" x14ac:dyDescent="0.25">
      <c r="C3987"/>
    </row>
    <row r="3988" spans="3:3" x14ac:dyDescent="0.25">
      <c r="C3988"/>
    </row>
    <row r="3989" spans="3:3" x14ac:dyDescent="0.25">
      <c r="C3989"/>
    </row>
    <row r="3990" spans="3:3" x14ac:dyDescent="0.25">
      <c r="C3990"/>
    </row>
    <row r="3991" spans="3:3" x14ac:dyDescent="0.25">
      <c r="C3991"/>
    </row>
    <row r="3992" spans="3:3" x14ac:dyDescent="0.25">
      <c r="C3992"/>
    </row>
    <row r="3993" spans="3:3" x14ac:dyDescent="0.25">
      <c r="C3993"/>
    </row>
    <row r="3994" spans="3:3" x14ac:dyDescent="0.25">
      <c r="C3994"/>
    </row>
    <row r="3995" spans="3:3" x14ac:dyDescent="0.25">
      <c r="C3995"/>
    </row>
    <row r="3996" spans="3:3" x14ac:dyDescent="0.25">
      <c r="C3996"/>
    </row>
    <row r="3997" spans="3:3" x14ac:dyDescent="0.25">
      <c r="C3997"/>
    </row>
    <row r="3998" spans="3:3" x14ac:dyDescent="0.25">
      <c r="C3998"/>
    </row>
    <row r="3999" spans="3:3" x14ac:dyDescent="0.25">
      <c r="C3999"/>
    </row>
    <row r="4000" spans="3:3" x14ac:dyDescent="0.25">
      <c r="C4000"/>
    </row>
    <row r="4001" spans="3:3" x14ac:dyDescent="0.25">
      <c r="C4001"/>
    </row>
    <row r="4002" spans="3:3" x14ac:dyDescent="0.25">
      <c r="C4002"/>
    </row>
    <row r="4003" spans="3:3" x14ac:dyDescent="0.25">
      <c r="C4003"/>
    </row>
    <row r="4004" spans="3:3" x14ac:dyDescent="0.25">
      <c r="C4004"/>
    </row>
    <row r="4005" spans="3:3" x14ac:dyDescent="0.25">
      <c r="C4005"/>
    </row>
    <row r="4006" spans="3:3" x14ac:dyDescent="0.25">
      <c r="C4006"/>
    </row>
    <row r="4007" spans="3:3" x14ac:dyDescent="0.25">
      <c r="C4007"/>
    </row>
    <row r="4008" spans="3:3" x14ac:dyDescent="0.25">
      <c r="C4008"/>
    </row>
    <row r="4009" spans="3:3" x14ac:dyDescent="0.25">
      <c r="C4009"/>
    </row>
    <row r="4010" spans="3:3" x14ac:dyDescent="0.25">
      <c r="C4010"/>
    </row>
    <row r="4011" spans="3:3" x14ac:dyDescent="0.25">
      <c r="C4011"/>
    </row>
    <row r="4012" spans="3:3" x14ac:dyDescent="0.25">
      <c r="C4012"/>
    </row>
    <row r="4013" spans="3:3" x14ac:dyDescent="0.25">
      <c r="C4013"/>
    </row>
    <row r="4014" spans="3:3" x14ac:dyDescent="0.25">
      <c r="C4014"/>
    </row>
    <row r="4015" spans="3:3" x14ac:dyDescent="0.25">
      <c r="C4015"/>
    </row>
    <row r="4016" spans="3:3" x14ac:dyDescent="0.25">
      <c r="C4016"/>
    </row>
    <row r="4017" spans="3:3" x14ac:dyDescent="0.25">
      <c r="C4017"/>
    </row>
    <row r="4018" spans="3:3" x14ac:dyDescent="0.25">
      <c r="C4018"/>
    </row>
    <row r="4019" spans="3:3" x14ac:dyDescent="0.25">
      <c r="C4019"/>
    </row>
    <row r="4020" spans="3:3" x14ac:dyDescent="0.25">
      <c r="C4020"/>
    </row>
    <row r="4021" spans="3:3" x14ac:dyDescent="0.25">
      <c r="C4021"/>
    </row>
    <row r="4022" spans="3:3" x14ac:dyDescent="0.25">
      <c r="C4022"/>
    </row>
    <row r="4023" spans="3:3" x14ac:dyDescent="0.25">
      <c r="C4023"/>
    </row>
    <row r="4024" spans="3:3" x14ac:dyDescent="0.25">
      <c r="C4024"/>
    </row>
    <row r="4025" spans="3:3" x14ac:dyDescent="0.25">
      <c r="C4025"/>
    </row>
    <row r="4026" spans="3:3" x14ac:dyDescent="0.25">
      <c r="C4026"/>
    </row>
    <row r="4027" spans="3:3" x14ac:dyDescent="0.25">
      <c r="C4027"/>
    </row>
    <row r="4028" spans="3:3" x14ac:dyDescent="0.25">
      <c r="C4028"/>
    </row>
    <row r="4029" spans="3:3" x14ac:dyDescent="0.25">
      <c r="C4029"/>
    </row>
    <row r="4030" spans="3:3" x14ac:dyDescent="0.25">
      <c r="C4030"/>
    </row>
    <row r="4031" spans="3:3" x14ac:dyDescent="0.25">
      <c r="C4031"/>
    </row>
    <row r="4032" spans="3:3" x14ac:dyDescent="0.25">
      <c r="C4032"/>
    </row>
    <row r="4033" spans="3:3" x14ac:dyDescent="0.25">
      <c r="C4033"/>
    </row>
    <row r="4034" spans="3:3" x14ac:dyDescent="0.25">
      <c r="C4034"/>
    </row>
    <row r="4035" spans="3:3" x14ac:dyDescent="0.25">
      <c r="C4035"/>
    </row>
    <row r="4036" spans="3:3" x14ac:dyDescent="0.25">
      <c r="C4036"/>
    </row>
    <row r="4037" spans="3:3" x14ac:dyDescent="0.25">
      <c r="C4037"/>
    </row>
    <row r="4038" spans="3:3" x14ac:dyDescent="0.25">
      <c r="C4038"/>
    </row>
    <row r="4039" spans="3:3" x14ac:dyDescent="0.25">
      <c r="C4039"/>
    </row>
    <row r="4040" spans="3:3" x14ac:dyDescent="0.25">
      <c r="C4040"/>
    </row>
    <row r="4041" spans="3:3" x14ac:dyDescent="0.25">
      <c r="C4041"/>
    </row>
    <row r="4042" spans="3:3" x14ac:dyDescent="0.25">
      <c r="C4042"/>
    </row>
    <row r="4043" spans="3:3" x14ac:dyDescent="0.25">
      <c r="C4043"/>
    </row>
    <row r="4044" spans="3:3" x14ac:dyDescent="0.25">
      <c r="C4044"/>
    </row>
    <row r="4045" spans="3:3" x14ac:dyDescent="0.25">
      <c r="C4045"/>
    </row>
    <row r="4046" spans="3:3" x14ac:dyDescent="0.25">
      <c r="C4046"/>
    </row>
    <row r="4047" spans="3:3" x14ac:dyDescent="0.25">
      <c r="C4047"/>
    </row>
    <row r="4048" spans="3:3" x14ac:dyDescent="0.25">
      <c r="C4048"/>
    </row>
    <row r="4049" spans="3:3" x14ac:dyDescent="0.25">
      <c r="C4049"/>
    </row>
    <row r="4050" spans="3:3" x14ac:dyDescent="0.25">
      <c r="C4050"/>
    </row>
    <row r="4051" spans="3:3" x14ac:dyDescent="0.25">
      <c r="C4051"/>
    </row>
    <row r="4052" spans="3:3" x14ac:dyDescent="0.25">
      <c r="C4052"/>
    </row>
    <row r="4053" spans="3:3" x14ac:dyDescent="0.25">
      <c r="C4053"/>
    </row>
    <row r="4054" spans="3:3" x14ac:dyDescent="0.25">
      <c r="C4054"/>
    </row>
    <row r="4055" spans="3:3" x14ac:dyDescent="0.25">
      <c r="C4055"/>
    </row>
    <row r="4056" spans="3:3" x14ac:dyDescent="0.25">
      <c r="C4056"/>
    </row>
    <row r="4057" spans="3:3" x14ac:dyDescent="0.25">
      <c r="C4057"/>
    </row>
    <row r="4058" spans="3:3" x14ac:dyDescent="0.25">
      <c r="C4058"/>
    </row>
    <row r="4059" spans="3:3" x14ac:dyDescent="0.25">
      <c r="C4059"/>
    </row>
    <row r="4060" spans="3:3" x14ac:dyDescent="0.25">
      <c r="C4060"/>
    </row>
    <row r="4061" spans="3:3" x14ac:dyDescent="0.25">
      <c r="C4061"/>
    </row>
    <row r="4062" spans="3:3" x14ac:dyDescent="0.25">
      <c r="C4062"/>
    </row>
    <row r="4063" spans="3:3" x14ac:dyDescent="0.25">
      <c r="C4063"/>
    </row>
    <row r="4064" spans="3:3" x14ac:dyDescent="0.25">
      <c r="C4064"/>
    </row>
    <row r="4065" spans="3:3" x14ac:dyDescent="0.25">
      <c r="C4065"/>
    </row>
    <row r="4066" spans="3:3" x14ac:dyDescent="0.25">
      <c r="C4066"/>
    </row>
    <row r="4067" spans="3:3" x14ac:dyDescent="0.25">
      <c r="C4067"/>
    </row>
    <row r="4068" spans="3:3" x14ac:dyDescent="0.25">
      <c r="C4068"/>
    </row>
    <row r="4069" spans="3:3" x14ac:dyDescent="0.25">
      <c r="C4069"/>
    </row>
    <row r="4070" spans="3:3" x14ac:dyDescent="0.25">
      <c r="C4070"/>
    </row>
    <row r="4071" spans="3:3" x14ac:dyDescent="0.25">
      <c r="C4071"/>
    </row>
    <row r="4072" spans="3:3" x14ac:dyDescent="0.25">
      <c r="C4072"/>
    </row>
    <row r="4073" spans="3:3" x14ac:dyDescent="0.25">
      <c r="C4073"/>
    </row>
    <row r="4074" spans="3:3" x14ac:dyDescent="0.25">
      <c r="C4074"/>
    </row>
    <row r="4075" spans="3:3" x14ac:dyDescent="0.25">
      <c r="C4075"/>
    </row>
    <row r="4076" spans="3:3" x14ac:dyDescent="0.25">
      <c r="C4076"/>
    </row>
    <row r="4077" spans="3:3" x14ac:dyDescent="0.25">
      <c r="C4077"/>
    </row>
    <row r="4078" spans="3:3" x14ac:dyDescent="0.25">
      <c r="C4078"/>
    </row>
    <row r="4079" spans="3:3" x14ac:dyDescent="0.25">
      <c r="C4079"/>
    </row>
    <row r="4080" spans="3:3" x14ac:dyDescent="0.25">
      <c r="C4080"/>
    </row>
    <row r="4081" spans="3:3" x14ac:dyDescent="0.25">
      <c r="C4081"/>
    </row>
    <row r="4082" spans="3:3" x14ac:dyDescent="0.25">
      <c r="C4082"/>
    </row>
    <row r="4083" spans="3:3" x14ac:dyDescent="0.25">
      <c r="C4083"/>
    </row>
    <row r="4084" spans="3:3" x14ac:dyDescent="0.25">
      <c r="C4084"/>
    </row>
    <row r="4085" spans="3:3" x14ac:dyDescent="0.25">
      <c r="C4085"/>
    </row>
    <row r="4086" spans="3:3" x14ac:dyDescent="0.25">
      <c r="C4086"/>
    </row>
    <row r="4087" spans="3:3" x14ac:dyDescent="0.25">
      <c r="C4087"/>
    </row>
    <row r="4088" spans="3:3" x14ac:dyDescent="0.25">
      <c r="C4088"/>
    </row>
    <row r="4089" spans="3:3" x14ac:dyDescent="0.25">
      <c r="C4089"/>
    </row>
    <row r="4090" spans="3:3" x14ac:dyDescent="0.25">
      <c r="C4090"/>
    </row>
    <row r="4091" spans="3:3" x14ac:dyDescent="0.25">
      <c r="C4091"/>
    </row>
    <row r="4092" spans="3:3" x14ac:dyDescent="0.25">
      <c r="C4092"/>
    </row>
    <row r="4093" spans="3:3" x14ac:dyDescent="0.25">
      <c r="C4093"/>
    </row>
    <row r="4094" spans="3:3" x14ac:dyDescent="0.25">
      <c r="C4094"/>
    </row>
    <row r="4095" spans="3:3" x14ac:dyDescent="0.25">
      <c r="C4095"/>
    </row>
    <row r="4096" spans="3:3" x14ac:dyDescent="0.25">
      <c r="C4096"/>
    </row>
    <row r="4097" spans="3:3" x14ac:dyDescent="0.25">
      <c r="C4097"/>
    </row>
    <row r="4098" spans="3:3" x14ac:dyDescent="0.25">
      <c r="C4098"/>
    </row>
    <row r="4099" spans="3:3" x14ac:dyDescent="0.25">
      <c r="C4099"/>
    </row>
    <row r="4100" spans="3:3" x14ac:dyDescent="0.25">
      <c r="C4100"/>
    </row>
    <row r="4101" spans="3:3" x14ac:dyDescent="0.25">
      <c r="C4101"/>
    </row>
    <row r="4102" spans="3:3" x14ac:dyDescent="0.25">
      <c r="C4102"/>
    </row>
    <row r="4103" spans="3:3" x14ac:dyDescent="0.25">
      <c r="C4103"/>
    </row>
    <row r="4104" spans="3:3" x14ac:dyDescent="0.25">
      <c r="C4104"/>
    </row>
    <row r="4105" spans="3:3" x14ac:dyDescent="0.25">
      <c r="C4105"/>
    </row>
    <row r="4106" spans="3:3" x14ac:dyDescent="0.25">
      <c r="C4106"/>
    </row>
    <row r="4107" spans="3:3" x14ac:dyDescent="0.25">
      <c r="C4107"/>
    </row>
    <row r="4108" spans="3:3" x14ac:dyDescent="0.25">
      <c r="C4108"/>
    </row>
    <row r="4109" spans="3:3" x14ac:dyDescent="0.25">
      <c r="C4109"/>
    </row>
    <row r="4110" spans="3:3" x14ac:dyDescent="0.25">
      <c r="C4110"/>
    </row>
    <row r="4111" spans="3:3" x14ac:dyDescent="0.25">
      <c r="C4111"/>
    </row>
    <row r="4112" spans="3:3" x14ac:dyDescent="0.25">
      <c r="C4112"/>
    </row>
    <row r="4113" spans="3:3" x14ac:dyDescent="0.25">
      <c r="C4113"/>
    </row>
    <row r="4114" spans="3:3" x14ac:dyDescent="0.25">
      <c r="C4114"/>
    </row>
    <row r="4115" spans="3:3" x14ac:dyDescent="0.25">
      <c r="C4115"/>
    </row>
    <row r="4116" spans="3:3" x14ac:dyDescent="0.25">
      <c r="C4116"/>
    </row>
    <row r="4117" spans="3:3" x14ac:dyDescent="0.25">
      <c r="C4117"/>
    </row>
    <row r="4118" spans="3:3" x14ac:dyDescent="0.25">
      <c r="C4118"/>
    </row>
    <row r="4119" spans="3:3" x14ac:dyDescent="0.25">
      <c r="C4119"/>
    </row>
    <row r="4120" spans="3:3" x14ac:dyDescent="0.25">
      <c r="C4120"/>
    </row>
    <row r="4121" spans="3:3" x14ac:dyDescent="0.25">
      <c r="C4121"/>
    </row>
    <row r="4122" spans="3:3" x14ac:dyDescent="0.25">
      <c r="C4122"/>
    </row>
    <row r="4123" spans="3:3" x14ac:dyDescent="0.25">
      <c r="C4123"/>
    </row>
    <row r="4124" spans="3:3" x14ac:dyDescent="0.25">
      <c r="C4124"/>
    </row>
    <row r="4125" spans="3:3" x14ac:dyDescent="0.25">
      <c r="C4125"/>
    </row>
    <row r="4126" spans="3:3" x14ac:dyDescent="0.25">
      <c r="C4126"/>
    </row>
    <row r="4127" spans="3:3" x14ac:dyDescent="0.25">
      <c r="C4127"/>
    </row>
    <row r="4128" spans="3:3" x14ac:dyDescent="0.25">
      <c r="C4128"/>
    </row>
    <row r="4129" spans="3:3" x14ac:dyDescent="0.25">
      <c r="C4129"/>
    </row>
    <row r="4130" spans="3:3" x14ac:dyDescent="0.25">
      <c r="C4130"/>
    </row>
    <row r="4131" spans="3:3" x14ac:dyDescent="0.25">
      <c r="C4131"/>
    </row>
    <row r="4132" spans="3:3" x14ac:dyDescent="0.25">
      <c r="C4132"/>
    </row>
    <row r="4133" spans="3:3" x14ac:dyDescent="0.25">
      <c r="C4133"/>
    </row>
    <row r="4134" spans="3:3" x14ac:dyDescent="0.25">
      <c r="C4134"/>
    </row>
    <row r="4135" spans="3:3" x14ac:dyDescent="0.25">
      <c r="C4135"/>
    </row>
    <row r="4136" spans="3:3" x14ac:dyDescent="0.25">
      <c r="C4136"/>
    </row>
    <row r="4137" spans="3:3" x14ac:dyDescent="0.25">
      <c r="C4137"/>
    </row>
    <row r="4138" spans="3:3" x14ac:dyDescent="0.25">
      <c r="C4138"/>
    </row>
    <row r="4139" spans="3:3" x14ac:dyDescent="0.25">
      <c r="C4139"/>
    </row>
    <row r="4140" spans="3:3" x14ac:dyDescent="0.25">
      <c r="C4140"/>
    </row>
    <row r="4141" spans="3:3" x14ac:dyDescent="0.25">
      <c r="C4141"/>
    </row>
    <row r="4142" spans="3:3" x14ac:dyDescent="0.25">
      <c r="C4142"/>
    </row>
    <row r="4143" spans="3:3" x14ac:dyDescent="0.25">
      <c r="C4143"/>
    </row>
    <row r="4144" spans="3:3" x14ac:dyDescent="0.25">
      <c r="C4144"/>
    </row>
    <row r="4145" spans="3:3" x14ac:dyDescent="0.25">
      <c r="C4145"/>
    </row>
    <row r="4146" spans="3:3" x14ac:dyDescent="0.25">
      <c r="C4146"/>
    </row>
    <row r="4147" spans="3:3" x14ac:dyDescent="0.25">
      <c r="C4147"/>
    </row>
    <row r="4148" spans="3:3" x14ac:dyDescent="0.25">
      <c r="C4148"/>
    </row>
    <row r="4149" spans="3:3" x14ac:dyDescent="0.25">
      <c r="C4149"/>
    </row>
    <row r="4150" spans="3:3" x14ac:dyDescent="0.25">
      <c r="C4150"/>
    </row>
    <row r="4151" spans="3:3" x14ac:dyDescent="0.25">
      <c r="C4151"/>
    </row>
    <row r="4152" spans="3:3" x14ac:dyDescent="0.25">
      <c r="C4152"/>
    </row>
    <row r="4153" spans="3:3" x14ac:dyDescent="0.25">
      <c r="C4153"/>
    </row>
    <row r="4154" spans="3:3" x14ac:dyDescent="0.25">
      <c r="C4154"/>
    </row>
    <row r="4155" spans="3:3" x14ac:dyDescent="0.25">
      <c r="C4155"/>
    </row>
    <row r="4156" spans="3:3" x14ac:dyDescent="0.25">
      <c r="C4156"/>
    </row>
    <row r="4157" spans="3:3" x14ac:dyDescent="0.25">
      <c r="C4157"/>
    </row>
    <row r="4158" spans="3:3" x14ac:dyDescent="0.25">
      <c r="C4158"/>
    </row>
    <row r="4159" spans="3:3" x14ac:dyDescent="0.25">
      <c r="C4159"/>
    </row>
    <row r="4160" spans="3:3" x14ac:dyDescent="0.25">
      <c r="C4160"/>
    </row>
    <row r="4161" spans="3:3" x14ac:dyDescent="0.25">
      <c r="C4161"/>
    </row>
    <row r="4162" spans="3:3" x14ac:dyDescent="0.25">
      <c r="C4162"/>
    </row>
    <row r="4163" spans="3:3" x14ac:dyDescent="0.25">
      <c r="C4163"/>
    </row>
    <row r="4164" spans="3:3" x14ac:dyDescent="0.25">
      <c r="C4164"/>
    </row>
    <row r="4165" spans="3:3" x14ac:dyDescent="0.25">
      <c r="C4165"/>
    </row>
    <row r="4166" spans="3:3" x14ac:dyDescent="0.25">
      <c r="C4166"/>
    </row>
    <row r="4167" spans="3:3" x14ac:dyDescent="0.25">
      <c r="C4167"/>
    </row>
    <row r="4168" spans="3:3" x14ac:dyDescent="0.25">
      <c r="C4168"/>
    </row>
    <row r="4169" spans="3:3" x14ac:dyDescent="0.25">
      <c r="C4169"/>
    </row>
    <row r="4170" spans="3:3" x14ac:dyDescent="0.25">
      <c r="C4170"/>
    </row>
    <row r="4171" spans="3:3" x14ac:dyDescent="0.25">
      <c r="C4171"/>
    </row>
    <row r="4172" spans="3:3" x14ac:dyDescent="0.25">
      <c r="C4172"/>
    </row>
    <row r="4173" spans="3:3" x14ac:dyDescent="0.25">
      <c r="C4173"/>
    </row>
    <row r="4174" spans="3:3" x14ac:dyDescent="0.25">
      <c r="C4174"/>
    </row>
    <row r="4175" spans="3:3" x14ac:dyDescent="0.25">
      <c r="C4175"/>
    </row>
    <row r="4176" spans="3:3" x14ac:dyDescent="0.25">
      <c r="C4176"/>
    </row>
    <row r="4177" spans="3:3" x14ac:dyDescent="0.25">
      <c r="C4177"/>
    </row>
    <row r="4178" spans="3:3" x14ac:dyDescent="0.25">
      <c r="C4178"/>
    </row>
    <row r="4179" spans="3:3" x14ac:dyDescent="0.25">
      <c r="C4179"/>
    </row>
    <row r="4180" spans="3:3" x14ac:dyDescent="0.25">
      <c r="C4180"/>
    </row>
    <row r="4181" spans="3:3" x14ac:dyDescent="0.25">
      <c r="C4181"/>
    </row>
    <row r="4182" spans="3:3" x14ac:dyDescent="0.25">
      <c r="C4182"/>
    </row>
    <row r="4183" spans="3:3" x14ac:dyDescent="0.25">
      <c r="C4183"/>
    </row>
    <row r="4184" spans="3:3" x14ac:dyDescent="0.25">
      <c r="C4184"/>
    </row>
    <row r="4185" spans="3:3" x14ac:dyDescent="0.25">
      <c r="C4185"/>
    </row>
    <row r="4186" spans="3:3" x14ac:dyDescent="0.25">
      <c r="C4186"/>
    </row>
    <row r="4187" spans="3:3" x14ac:dyDescent="0.25">
      <c r="C4187"/>
    </row>
    <row r="4188" spans="3:3" x14ac:dyDescent="0.25">
      <c r="C4188"/>
    </row>
    <row r="4189" spans="3:3" x14ac:dyDescent="0.25">
      <c r="C4189"/>
    </row>
    <row r="4190" spans="3:3" x14ac:dyDescent="0.25">
      <c r="C4190"/>
    </row>
    <row r="4191" spans="3:3" x14ac:dyDescent="0.25">
      <c r="C4191"/>
    </row>
    <row r="4192" spans="3:3" x14ac:dyDescent="0.25">
      <c r="C4192"/>
    </row>
    <row r="4193" spans="3:3" x14ac:dyDescent="0.25">
      <c r="C4193"/>
    </row>
    <row r="4194" spans="3:3" x14ac:dyDescent="0.25">
      <c r="C4194"/>
    </row>
    <row r="4195" spans="3:3" x14ac:dyDescent="0.25">
      <c r="C4195"/>
    </row>
    <row r="4196" spans="3:3" x14ac:dyDescent="0.25">
      <c r="C4196"/>
    </row>
    <row r="4197" spans="3:3" x14ac:dyDescent="0.25">
      <c r="C4197"/>
    </row>
    <row r="4198" spans="3:3" x14ac:dyDescent="0.25">
      <c r="C4198"/>
    </row>
    <row r="4199" spans="3:3" x14ac:dyDescent="0.25">
      <c r="C4199"/>
    </row>
    <row r="4200" spans="3:3" x14ac:dyDescent="0.25">
      <c r="C4200"/>
    </row>
    <row r="4201" spans="3:3" x14ac:dyDescent="0.25">
      <c r="C4201"/>
    </row>
    <row r="4202" spans="3:3" x14ac:dyDescent="0.25">
      <c r="C4202"/>
    </row>
    <row r="4203" spans="3:3" x14ac:dyDescent="0.25">
      <c r="C4203"/>
    </row>
    <row r="4204" spans="3:3" x14ac:dyDescent="0.25">
      <c r="C4204"/>
    </row>
    <row r="4205" spans="3:3" x14ac:dyDescent="0.25">
      <c r="C4205"/>
    </row>
    <row r="4206" spans="3:3" x14ac:dyDescent="0.25">
      <c r="C4206"/>
    </row>
    <row r="4207" spans="3:3" x14ac:dyDescent="0.25">
      <c r="C4207"/>
    </row>
    <row r="4208" spans="3:3" x14ac:dyDescent="0.25">
      <c r="C4208"/>
    </row>
    <row r="4209" spans="3:3" x14ac:dyDescent="0.25">
      <c r="C4209"/>
    </row>
    <row r="4210" spans="3:3" x14ac:dyDescent="0.25">
      <c r="C4210"/>
    </row>
    <row r="4211" spans="3:3" x14ac:dyDescent="0.25">
      <c r="C4211"/>
    </row>
    <row r="4212" spans="3:3" x14ac:dyDescent="0.25">
      <c r="C4212"/>
    </row>
    <row r="4213" spans="3:3" x14ac:dyDescent="0.25">
      <c r="C4213"/>
    </row>
    <row r="4214" spans="3:3" x14ac:dyDescent="0.25">
      <c r="C4214"/>
    </row>
    <row r="4215" spans="3:3" x14ac:dyDescent="0.25">
      <c r="C4215"/>
    </row>
    <row r="4216" spans="3:3" x14ac:dyDescent="0.25">
      <c r="C4216"/>
    </row>
    <row r="4217" spans="3:3" x14ac:dyDescent="0.25">
      <c r="C4217"/>
    </row>
    <row r="4218" spans="3:3" x14ac:dyDescent="0.25">
      <c r="C4218"/>
    </row>
    <row r="4219" spans="3:3" x14ac:dyDescent="0.25">
      <c r="C4219"/>
    </row>
    <row r="4220" spans="3:3" x14ac:dyDescent="0.25">
      <c r="C4220"/>
    </row>
    <row r="4221" spans="3:3" x14ac:dyDescent="0.25">
      <c r="C4221"/>
    </row>
    <row r="4222" spans="3:3" x14ac:dyDescent="0.25">
      <c r="C4222"/>
    </row>
    <row r="4223" spans="3:3" x14ac:dyDescent="0.25">
      <c r="C4223"/>
    </row>
    <row r="4224" spans="3:3" x14ac:dyDescent="0.25">
      <c r="C4224"/>
    </row>
    <row r="4225" spans="3:3" x14ac:dyDescent="0.25">
      <c r="C4225"/>
    </row>
    <row r="4226" spans="3:3" x14ac:dyDescent="0.25">
      <c r="C4226"/>
    </row>
    <row r="4227" spans="3:3" x14ac:dyDescent="0.25">
      <c r="C4227"/>
    </row>
    <row r="4228" spans="3:3" x14ac:dyDescent="0.25">
      <c r="C4228"/>
    </row>
    <row r="4229" spans="3:3" x14ac:dyDescent="0.25">
      <c r="C4229"/>
    </row>
    <row r="4230" spans="3:3" x14ac:dyDescent="0.25">
      <c r="C4230"/>
    </row>
    <row r="4231" spans="3:3" x14ac:dyDescent="0.25">
      <c r="C4231"/>
    </row>
    <row r="4232" spans="3:3" x14ac:dyDescent="0.25">
      <c r="C4232"/>
    </row>
    <row r="4233" spans="3:3" x14ac:dyDescent="0.25">
      <c r="C4233"/>
    </row>
    <row r="4234" spans="3:3" x14ac:dyDescent="0.25">
      <c r="C4234"/>
    </row>
    <row r="4235" spans="3:3" x14ac:dyDescent="0.25">
      <c r="C4235"/>
    </row>
    <row r="4236" spans="3:3" x14ac:dyDescent="0.25">
      <c r="C4236"/>
    </row>
    <row r="4237" spans="3:3" x14ac:dyDescent="0.25">
      <c r="C4237"/>
    </row>
    <row r="4238" spans="3:3" x14ac:dyDescent="0.25">
      <c r="C4238"/>
    </row>
    <row r="4239" spans="3:3" x14ac:dyDescent="0.25">
      <c r="C4239"/>
    </row>
    <row r="4240" spans="3:3" x14ac:dyDescent="0.25">
      <c r="C4240"/>
    </row>
    <row r="4241" spans="3:3" x14ac:dyDescent="0.25">
      <c r="C4241"/>
    </row>
    <row r="4242" spans="3:3" x14ac:dyDescent="0.25">
      <c r="C4242"/>
    </row>
    <row r="4243" spans="3:3" x14ac:dyDescent="0.25">
      <c r="C4243"/>
    </row>
    <row r="4244" spans="3:3" x14ac:dyDescent="0.25">
      <c r="C4244"/>
    </row>
    <row r="4245" spans="3:3" x14ac:dyDescent="0.25">
      <c r="C4245"/>
    </row>
    <row r="4246" spans="3:3" x14ac:dyDescent="0.25">
      <c r="C4246"/>
    </row>
    <row r="4247" spans="3:3" x14ac:dyDescent="0.25">
      <c r="C4247"/>
    </row>
    <row r="4248" spans="3:3" x14ac:dyDescent="0.25">
      <c r="C4248"/>
    </row>
    <row r="4249" spans="3:3" x14ac:dyDescent="0.25">
      <c r="C4249"/>
    </row>
    <row r="4250" spans="3:3" x14ac:dyDescent="0.25">
      <c r="C4250"/>
    </row>
    <row r="4251" spans="3:3" x14ac:dyDescent="0.25">
      <c r="C4251"/>
    </row>
    <row r="4252" spans="3:3" x14ac:dyDescent="0.25">
      <c r="C4252"/>
    </row>
    <row r="4253" spans="3:3" x14ac:dyDescent="0.25">
      <c r="C4253"/>
    </row>
    <row r="4254" spans="3:3" x14ac:dyDescent="0.25">
      <c r="C4254"/>
    </row>
    <row r="4255" spans="3:3" x14ac:dyDescent="0.25">
      <c r="C4255"/>
    </row>
    <row r="4256" spans="3:3" x14ac:dyDescent="0.25">
      <c r="C4256"/>
    </row>
    <row r="4257" spans="3:3" x14ac:dyDescent="0.25">
      <c r="C4257"/>
    </row>
    <row r="4258" spans="3:3" x14ac:dyDescent="0.25">
      <c r="C4258"/>
    </row>
    <row r="4259" spans="3:3" x14ac:dyDescent="0.25">
      <c r="C4259"/>
    </row>
    <row r="4260" spans="3:3" x14ac:dyDescent="0.25">
      <c r="C4260"/>
    </row>
    <row r="4261" spans="3:3" x14ac:dyDescent="0.25">
      <c r="C4261"/>
    </row>
    <row r="4262" spans="3:3" x14ac:dyDescent="0.25">
      <c r="C4262"/>
    </row>
    <row r="4263" spans="3:3" x14ac:dyDescent="0.25">
      <c r="C4263"/>
    </row>
    <row r="4264" spans="3:3" x14ac:dyDescent="0.25">
      <c r="C4264"/>
    </row>
    <row r="4265" spans="3:3" x14ac:dyDescent="0.25">
      <c r="C4265"/>
    </row>
    <row r="4266" spans="3:3" x14ac:dyDescent="0.25">
      <c r="C4266"/>
    </row>
    <row r="4267" spans="3:3" x14ac:dyDescent="0.25">
      <c r="C4267"/>
    </row>
    <row r="4268" spans="3:3" x14ac:dyDescent="0.25">
      <c r="C4268"/>
    </row>
    <row r="4269" spans="3:3" x14ac:dyDescent="0.25">
      <c r="C4269"/>
    </row>
    <row r="4270" spans="3:3" x14ac:dyDescent="0.25">
      <c r="C4270"/>
    </row>
    <row r="4271" spans="3:3" x14ac:dyDescent="0.25">
      <c r="C4271"/>
    </row>
    <row r="4272" spans="3:3" x14ac:dyDescent="0.25">
      <c r="C4272"/>
    </row>
    <row r="4273" spans="3:3" x14ac:dyDescent="0.25">
      <c r="C4273"/>
    </row>
    <row r="4274" spans="3:3" x14ac:dyDescent="0.25">
      <c r="C4274"/>
    </row>
    <row r="4275" spans="3:3" x14ac:dyDescent="0.25">
      <c r="C4275"/>
    </row>
    <row r="4276" spans="3:3" x14ac:dyDescent="0.25">
      <c r="C4276"/>
    </row>
    <row r="4277" spans="3:3" x14ac:dyDescent="0.25">
      <c r="C4277"/>
    </row>
    <row r="4278" spans="3:3" x14ac:dyDescent="0.25">
      <c r="C4278"/>
    </row>
    <row r="4279" spans="3:3" x14ac:dyDescent="0.25">
      <c r="C4279"/>
    </row>
    <row r="4280" spans="3:3" x14ac:dyDescent="0.25">
      <c r="C4280"/>
    </row>
    <row r="4281" spans="3:3" x14ac:dyDescent="0.25">
      <c r="C4281"/>
    </row>
    <row r="4282" spans="3:3" x14ac:dyDescent="0.25">
      <c r="C4282"/>
    </row>
    <row r="4283" spans="3:3" x14ac:dyDescent="0.25">
      <c r="C4283"/>
    </row>
    <row r="4284" spans="3:3" x14ac:dyDescent="0.25">
      <c r="C4284"/>
    </row>
    <row r="4285" spans="3:3" x14ac:dyDescent="0.25">
      <c r="C4285"/>
    </row>
    <row r="4286" spans="3:3" x14ac:dyDescent="0.25">
      <c r="C4286"/>
    </row>
    <row r="4287" spans="3:3" x14ac:dyDescent="0.25">
      <c r="C4287"/>
    </row>
    <row r="4288" spans="3:3" x14ac:dyDescent="0.25">
      <c r="C4288"/>
    </row>
    <row r="4289" spans="3:3" x14ac:dyDescent="0.25">
      <c r="C4289"/>
    </row>
    <row r="4290" spans="3:3" x14ac:dyDescent="0.25">
      <c r="C4290"/>
    </row>
    <row r="4291" spans="3:3" x14ac:dyDescent="0.25">
      <c r="C4291"/>
    </row>
    <row r="4292" spans="3:3" x14ac:dyDescent="0.25">
      <c r="C4292"/>
    </row>
    <row r="4293" spans="3:3" x14ac:dyDescent="0.25">
      <c r="C4293"/>
    </row>
    <row r="4294" spans="3:3" x14ac:dyDescent="0.25">
      <c r="C4294"/>
    </row>
    <row r="4295" spans="3:3" x14ac:dyDescent="0.25">
      <c r="C4295"/>
    </row>
    <row r="4296" spans="3:3" x14ac:dyDescent="0.25">
      <c r="C4296"/>
    </row>
    <row r="4297" spans="3:3" x14ac:dyDescent="0.25">
      <c r="C4297"/>
    </row>
    <row r="4298" spans="3:3" x14ac:dyDescent="0.25">
      <c r="C4298"/>
    </row>
    <row r="4299" spans="3:3" x14ac:dyDescent="0.25">
      <c r="C4299"/>
    </row>
    <row r="4300" spans="3:3" x14ac:dyDescent="0.25">
      <c r="C4300"/>
    </row>
    <row r="4301" spans="3:3" x14ac:dyDescent="0.25">
      <c r="C4301"/>
    </row>
    <row r="4302" spans="3:3" x14ac:dyDescent="0.25">
      <c r="C4302"/>
    </row>
    <row r="4303" spans="3:3" x14ac:dyDescent="0.25">
      <c r="C4303"/>
    </row>
    <row r="4304" spans="3:3" x14ac:dyDescent="0.25">
      <c r="C4304"/>
    </row>
    <row r="4305" spans="3:3" x14ac:dyDescent="0.25">
      <c r="C4305"/>
    </row>
    <row r="4306" spans="3:3" x14ac:dyDescent="0.25">
      <c r="C4306"/>
    </row>
    <row r="4307" spans="3:3" x14ac:dyDescent="0.25">
      <c r="C4307"/>
    </row>
    <row r="4308" spans="3:3" x14ac:dyDescent="0.25">
      <c r="C4308"/>
    </row>
    <row r="4309" spans="3:3" x14ac:dyDescent="0.25">
      <c r="C4309"/>
    </row>
    <row r="4310" spans="3:3" x14ac:dyDescent="0.25">
      <c r="C4310"/>
    </row>
    <row r="4311" spans="3:3" x14ac:dyDescent="0.25">
      <c r="C4311"/>
    </row>
    <row r="4312" spans="3:3" x14ac:dyDescent="0.25">
      <c r="C4312"/>
    </row>
    <row r="4313" spans="3:3" x14ac:dyDescent="0.25">
      <c r="C4313"/>
    </row>
    <row r="4314" spans="3:3" x14ac:dyDescent="0.25">
      <c r="C4314"/>
    </row>
    <row r="4315" spans="3:3" x14ac:dyDescent="0.25">
      <c r="C4315"/>
    </row>
    <row r="4316" spans="3:3" x14ac:dyDescent="0.25">
      <c r="C4316"/>
    </row>
    <row r="4317" spans="3:3" x14ac:dyDescent="0.25">
      <c r="C4317"/>
    </row>
    <row r="4318" spans="3:3" x14ac:dyDescent="0.25">
      <c r="C4318"/>
    </row>
    <row r="4319" spans="3:3" x14ac:dyDescent="0.25">
      <c r="C4319"/>
    </row>
    <row r="4320" spans="3:3" x14ac:dyDescent="0.25">
      <c r="C4320"/>
    </row>
    <row r="4321" spans="3:3" x14ac:dyDescent="0.25">
      <c r="C4321"/>
    </row>
    <row r="4322" spans="3:3" x14ac:dyDescent="0.25">
      <c r="C4322"/>
    </row>
    <row r="4323" spans="3:3" x14ac:dyDescent="0.25">
      <c r="C4323"/>
    </row>
    <row r="4324" spans="3:3" x14ac:dyDescent="0.25">
      <c r="C4324"/>
    </row>
    <row r="4325" spans="3:3" x14ac:dyDescent="0.25">
      <c r="C4325"/>
    </row>
    <row r="4326" spans="3:3" x14ac:dyDescent="0.25">
      <c r="C4326"/>
    </row>
    <row r="4327" spans="3:3" x14ac:dyDescent="0.25">
      <c r="C4327"/>
    </row>
    <row r="4328" spans="3:3" x14ac:dyDescent="0.25">
      <c r="C4328"/>
    </row>
    <row r="4329" spans="3:3" x14ac:dyDescent="0.25">
      <c r="C4329"/>
    </row>
    <row r="4330" spans="3:3" x14ac:dyDescent="0.25">
      <c r="C4330"/>
    </row>
    <row r="4331" spans="3:3" x14ac:dyDescent="0.25">
      <c r="C4331"/>
    </row>
    <row r="4332" spans="3:3" x14ac:dyDescent="0.25">
      <c r="C4332"/>
    </row>
    <row r="4333" spans="3:3" x14ac:dyDescent="0.25">
      <c r="C4333"/>
    </row>
    <row r="4334" spans="3:3" x14ac:dyDescent="0.25">
      <c r="C4334"/>
    </row>
    <row r="4335" spans="3:3" x14ac:dyDescent="0.25">
      <c r="C4335"/>
    </row>
    <row r="4336" spans="3:3" x14ac:dyDescent="0.25">
      <c r="C4336"/>
    </row>
    <row r="4337" spans="3:3" x14ac:dyDescent="0.25">
      <c r="C4337"/>
    </row>
    <row r="4338" spans="3:3" x14ac:dyDescent="0.25">
      <c r="C4338"/>
    </row>
    <row r="4339" spans="3:3" x14ac:dyDescent="0.25">
      <c r="C4339"/>
    </row>
    <row r="4340" spans="3:3" x14ac:dyDescent="0.25">
      <c r="C4340"/>
    </row>
    <row r="4341" spans="3:3" x14ac:dyDescent="0.25">
      <c r="C4341"/>
    </row>
    <row r="4342" spans="3:3" x14ac:dyDescent="0.25">
      <c r="C4342"/>
    </row>
    <row r="4343" spans="3:3" x14ac:dyDescent="0.25">
      <c r="C4343"/>
    </row>
    <row r="4344" spans="3:3" x14ac:dyDescent="0.25">
      <c r="C4344"/>
    </row>
    <row r="4345" spans="3:3" x14ac:dyDescent="0.25">
      <c r="C4345"/>
    </row>
    <row r="4346" spans="3:3" x14ac:dyDescent="0.25">
      <c r="C4346"/>
    </row>
    <row r="4347" spans="3:3" x14ac:dyDescent="0.25">
      <c r="C4347"/>
    </row>
    <row r="4348" spans="3:3" x14ac:dyDescent="0.25">
      <c r="C4348"/>
    </row>
    <row r="4349" spans="3:3" x14ac:dyDescent="0.25">
      <c r="C4349"/>
    </row>
    <row r="4350" spans="3:3" x14ac:dyDescent="0.25">
      <c r="C4350"/>
    </row>
    <row r="4351" spans="3:3" x14ac:dyDescent="0.25">
      <c r="C4351"/>
    </row>
    <row r="4352" spans="3:3" x14ac:dyDescent="0.25">
      <c r="C4352"/>
    </row>
    <row r="4353" spans="3:3" x14ac:dyDescent="0.25">
      <c r="C4353"/>
    </row>
    <row r="4354" spans="3:3" x14ac:dyDescent="0.25">
      <c r="C4354"/>
    </row>
    <row r="4355" spans="3:3" x14ac:dyDescent="0.25">
      <c r="C4355"/>
    </row>
    <row r="4356" spans="3:3" x14ac:dyDescent="0.25">
      <c r="C4356"/>
    </row>
    <row r="4357" spans="3:3" x14ac:dyDescent="0.25">
      <c r="C4357"/>
    </row>
    <row r="4358" spans="3:3" x14ac:dyDescent="0.25">
      <c r="C4358"/>
    </row>
    <row r="4359" spans="3:3" x14ac:dyDescent="0.25">
      <c r="C4359"/>
    </row>
    <row r="4360" spans="3:3" x14ac:dyDescent="0.25">
      <c r="C4360"/>
    </row>
    <row r="4361" spans="3:3" x14ac:dyDescent="0.25">
      <c r="C4361"/>
    </row>
    <row r="4362" spans="3:3" x14ac:dyDescent="0.25">
      <c r="C4362"/>
    </row>
    <row r="4363" spans="3:3" x14ac:dyDescent="0.25">
      <c r="C4363"/>
    </row>
    <row r="4364" spans="3:3" x14ac:dyDescent="0.25">
      <c r="C4364"/>
    </row>
    <row r="4365" spans="3:3" x14ac:dyDescent="0.25">
      <c r="C4365"/>
    </row>
    <row r="4366" spans="3:3" x14ac:dyDescent="0.25">
      <c r="C4366"/>
    </row>
    <row r="4367" spans="3:3" x14ac:dyDescent="0.25">
      <c r="C4367"/>
    </row>
    <row r="4368" spans="3:3" x14ac:dyDescent="0.25">
      <c r="C4368"/>
    </row>
    <row r="4369" spans="3:3" x14ac:dyDescent="0.25">
      <c r="C4369"/>
    </row>
    <row r="4370" spans="3:3" x14ac:dyDescent="0.25">
      <c r="C4370"/>
    </row>
    <row r="4371" spans="3:3" x14ac:dyDescent="0.25">
      <c r="C4371"/>
    </row>
    <row r="4372" spans="3:3" x14ac:dyDescent="0.25">
      <c r="C4372"/>
    </row>
    <row r="4373" spans="3:3" x14ac:dyDescent="0.25">
      <c r="C4373"/>
    </row>
    <row r="4374" spans="3:3" x14ac:dyDescent="0.25">
      <c r="C4374"/>
    </row>
    <row r="4375" spans="3:3" x14ac:dyDescent="0.25">
      <c r="C4375"/>
    </row>
    <row r="4376" spans="3:3" x14ac:dyDescent="0.25">
      <c r="C4376"/>
    </row>
    <row r="4377" spans="3:3" x14ac:dyDescent="0.25">
      <c r="C4377"/>
    </row>
    <row r="4378" spans="3:3" x14ac:dyDescent="0.25">
      <c r="C4378"/>
    </row>
    <row r="4379" spans="3:3" x14ac:dyDescent="0.25">
      <c r="C4379"/>
    </row>
    <row r="4380" spans="3:3" x14ac:dyDescent="0.25">
      <c r="C4380"/>
    </row>
    <row r="4381" spans="3:3" x14ac:dyDescent="0.25">
      <c r="C4381"/>
    </row>
    <row r="4382" spans="3:3" x14ac:dyDescent="0.25">
      <c r="C4382"/>
    </row>
    <row r="4383" spans="3:3" x14ac:dyDescent="0.25">
      <c r="C4383"/>
    </row>
    <row r="4384" spans="3:3" x14ac:dyDescent="0.25">
      <c r="C4384"/>
    </row>
    <row r="4385" spans="3:3" x14ac:dyDescent="0.25">
      <c r="C4385"/>
    </row>
    <row r="4386" spans="3:3" x14ac:dyDescent="0.25">
      <c r="C4386"/>
    </row>
    <row r="4387" spans="3:3" x14ac:dyDescent="0.25">
      <c r="C4387"/>
    </row>
    <row r="4388" spans="3:3" x14ac:dyDescent="0.25">
      <c r="C4388"/>
    </row>
    <row r="4389" spans="3:3" x14ac:dyDescent="0.25">
      <c r="C4389"/>
    </row>
    <row r="4390" spans="3:3" x14ac:dyDescent="0.25">
      <c r="C4390"/>
    </row>
    <row r="4391" spans="3:3" x14ac:dyDescent="0.25">
      <c r="C4391"/>
    </row>
    <row r="4392" spans="3:3" x14ac:dyDescent="0.25">
      <c r="C4392"/>
    </row>
    <row r="4393" spans="3:3" x14ac:dyDescent="0.25">
      <c r="C4393"/>
    </row>
    <row r="4394" spans="3:3" x14ac:dyDescent="0.25">
      <c r="C4394"/>
    </row>
    <row r="4395" spans="3:3" x14ac:dyDescent="0.25">
      <c r="C4395"/>
    </row>
    <row r="4396" spans="3:3" x14ac:dyDescent="0.25">
      <c r="C4396"/>
    </row>
    <row r="4397" spans="3:3" x14ac:dyDescent="0.25">
      <c r="C4397"/>
    </row>
    <row r="4398" spans="3:3" x14ac:dyDescent="0.25">
      <c r="C4398"/>
    </row>
    <row r="4399" spans="3:3" x14ac:dyDescent="0.25">
      <c r="C4399"/>
    </row>
    <row r="4400" spans="3:3" x14ac:dyDescent="0.25">
      <c r="C4400"/>
    </row>
    <row r="4401" spans="3:3" x14ac:dyDescent="0.25">
      <c r="C4401"/>
    </row>
    <row r="4402" spans="3:3" x14ac:dyDescent="0.25">
      <c r="C4402"/>
    </row>
    <row r="4403" spans="3:3" x14ac:dyDescent="0.25">
      <c r="C4403"/>
    </row>
    <row r="4404" spans="3:3" x14ac:dyDescent="0.25">
      <c r="C4404"/>
    </row>
    <row r="4405" spans="3:3" x14ac:dyDescent="0.25">
      <c r="C4405"/>
    </row>
    <row r="4406" spans="3:3" x14ac:dyDescent="0.25">
      <c r="C4406"/>
    </row>
    <row r="4407" spans="3:3" x14ac:dyDescent="0.25">
      <c r="C4407"/>
    </row>
    <row r="4408" spans="3:3" x14ac:dyDescent="0.25">
      <c r="C4408"/>
    </row>
    <row r="4409" spans="3:3" x14ac:dyDescent="0.25">
      <c r="C4409"/>
    </row>
    <row r="4410" spans="3:3" x14ac:dyDescent="0.25">
      <c r="C4410"/>
    </row>
    <row r="4411" spans="3:3" x14ac:dyDescent="0.25">
      <c r="C4411"/>
    </row>
    <row r="4412" spans="3:3" x14ac:dyDescent="0.25">
      <c r="C4412"/>
    </row>
    <row r="4413" spans="3:3" x14ac:dyDescent="0.25">
      <c r="C4413"/>
    </row>
    <row r="4414" spans="3:3" x14ac:dyDescent="0.25">
      <c r="C4414"/>
    </row>
    <row r="4415" spans="3:3" x14ac:dyDescent="0.25">
      <c r="C4415"/>
    </row>
    <row r="4416" spans="3:3" x14ac:dyDescent="0.25">
      <c r="C4416"/>
    </row>
    <row r="4417" spans="3:3" x14ac:dyDescent="0.25">
      <c r="C4417"/>
    </row>
    <row r="4418" spans="3:3" x14ac:dyDescent="0.25">
      <c r="C4418"/>
    </row>
    <row r="4419" spans="3:3" x14ac:dyDescent="0.25">
      <c r="C4419"/>
    </row>
    <row r="4420" spans="3:3" x14ac:dyDescent="0.25">
      <c r="C4420"/>
    </row>
    <row r="4421" spans="3:3" x14ac:dyDescent="0.25">
      <c r="C4421"/>
    </row>
    <row r="4422" spans="3:3" x14ac:dyDescent="0.25">
      <c r="C4422"/>
    </row>
    <row r="4423" spans="3:3" x14ac:dyDescent="0.25">
      <c r="C4423"/>
    </row>
    <row r="4424" spans="3:3" x14ac:dyDescent="0.25">
      <c r="C4424"/>
    </row>
    <row r="4425" spans="3:3" x14ac:dyDescent="0.25">
      <c r="C4425"/>
    </row>
    <row r="4426" spans="3:3" x14ac:dyDescent="0.25">
      <c r="C4426"/>
    </row>
    <row r="4427" spans="3:3" x14ac:dyDescent="0.25">
      <c r="C4427"/>
    </row>
    <row r="4428" spans="3:3" x14ac:dyDescent="0.25">
      <c r="C4428"/>
    </row>
    <row r="4429" spans="3:3" x14ac:dyDescent="0.25">
      <c r="C4429"/>
    </row>
    <row r="4430" spans="3:3" x14ac:dyDescent="0.25">
      <c r="C4430"/>
    </row>
    <row r="4431" spans="3:3" x14ac:dyDescent="0.25">
      <c r="C4431"/>
    </row>
    <row r="4432" spans="3:3" x14ac:dyDescent="0.25">
      <c r="C4432"/>
    </row>
    <row r="4433" spans="3:3" x14ac:dyDescent="0.25">
      <c r="C4433"/>
    </row>
    <row r="4434" spans="3:3" x14ac:dyDescent="0.25">
      <c r="C4434"/>
    </row>
    <row r="4435" spans="3:3" x14ac:dyDescent="0.25">
      <c r="C4435"/>
    </row>
    <row r="4436" spans="3:3" x14ac:dyDescent="0.25">
      <c r="C4436"/>
    </row>
    <row r="4437" spans="3:3" x14ac:dyDescent="0.25">
      <c r="C4437"/>
    </row>
    <row r="4438" spans="3:3" x14ac:dyDescent="0.25">
      <c r="C4438"/>
    </row>
    <row r="4439" spans="3:3" x14ac:dyDescent="0.25">
      <c r="C4439"/>
    </row>
    <row r="4440" spans="3:3" x14ac:dyDescent="0.25">
      <c r="C4440"/>
    </row>
    <row r="4441" spans="3:3" x14ac:dyDescent="0.25">
      <c r="C4441"/>
    </row>
    <row r="4442" spans="3:3" x14ac:dyDescent="0.25">
      <c r="C4442"/>
    </row>
    <row r="4443" spans="3:3" x14ac:dyDescent="0.25">
      <c r="C4443"/>
    </row>
    <row r="4444" spans="3:3" x14ac:dyDescent="0.25">
      <c r="C4444"/>
    </row>
    <row r="4445" spans="3:3" x14ac:dyDescent="0.25">
      <c r="C4445"/>
    </row>
    <row r="4446" spans="3:3" x14ac:dyDescent="0.25">
      <c r="C4446"/>
    </row>
    <row r="4447" spans="3:3" x14ac:dyDescent="0.25">
      <c r="C4447"/>
    </row>
    <row r="4448" spans="3:3" x14ac:dyDescent="0.25">
      <c r="C4448"/>
    </row>
    <row r="4449" spans="3:3" x14ac:dyDescent="0.25">
      <c r="C4449"/>
    </row>
    <row r="4450" spans="3:3" x14ac:dyDescent="0.25">
      <c r="C4450"/>
    </row>
    <row r="4451" spans="3:3" x14ac:dyDescent="0.25">
      <c r="C4451"/>
    </row>
    <row r="4452" spans="3:3" x14ac:dyDescent="0.25">
      <c r="C4452"/>
    </row>
    <row r="4453" spans="3:3" x14ac:dyDescent="0.25">
      <c r="C4453"/>
    </row>
    <row r="4454" spans="3:3" x14ac:dyDescent="0.25">
      <c r="C4454"/>
    </row>
    <row r="4455" spans="3:3" x14ac:dyDescent="0.25">
      <c r="C4455"/>
    </row>
    <row r="4456" spans="3:3" x14ac:dyDescent="0.25">
      <c r="C4456"/>
    </row>
    <row r="4457" spans="3:3" x14ac:dyDescent="0.25">
      <c r="C4457"/>
    </row>
    <row r="4458" spans="3:3" x14ac:dyDescent="0.25">
      <c r="C4458"/>
    </row>
    <row r="4459" spans="3:3" x14ac:dyDescent="0.25">
      <c r="C4459"/>
    </row>
    <row r="4460" spans="3:3" x14ac:dyDescent="0.25">
      <c r="C4460"/>
    </row>
    <row r="4461" spans="3:3" x14ac:dyDescent="0.25">
      <c r="C4461"/>
    </row>
    <row r="4462" spans="3:3" x14ac:dyDescent="0.25">
      <c r="C4462"/>
    </row>
    <row r="4463" spans="3:3" x14ac:dyDescent="0.25">
      <c r="C4463"/>
    </row>
    <row r="4464" spans="3:3" x14ac:dyDescent="0.25">
      <c r="C4464"/>
    </row>
    <row r="4465" spans="3:3" x14ac:dyDescent="0.25">
      <c r="C4465"/>
    </row>
    <row r="4466" spans="3:3" x14ac:dyDescent="0.25">
      <c r="C4466"/>
    </row>
    <row r="4467" spans="3:3" x14ac:dyDescent="0.25">
      <c r="C4467"/>
    </row>
    <row r="4468" spans="3:3" x14ac:dyDescent="0.25">
      <c r="C4468"/>
    </row>
    <row r="4469" spans="3:3" x14ac:dyDescent="0.25">
      <c r="C4469"/>
    </row>
    <row r="4470" spans="3:3" x14ac:dyDescent="0.25">
      <c r="C4470"/>
    </row>
    <row r="4471" spans="3:3" x14ac:dyDescent="0.25">
      <c r="C4471"/>
    </row>
    <row r="4472" spans="3:3" x14ac:dyDescent="0.25">
      <c r="C4472"/>
    </row>
    <row r="4473" spans="3:3" x14ac:dyDescent="0.25">
      <c r="C4473"/>
    </row>
    <row r="4474" spans="3:3" x14ac:dyDescent="0.25">
      <c r="C4474"/>
    </row>
    <row r="4475" spans="3:3" x14ac:dyDescent="0.25">
      <c r="C4475"/>
    </row>
    <row r="4476" spans="3:3" x14ac:dyDescent="0.25">
      <c r="C4476"/>
    </row>
    <row r="4477" spans="3:3" x14ac:dyDescent="0.25">
      <c r="C4477"/>
    </row>
    <row r="4478" spans="3:3" x14ac:dyDescent="0.25">
      <c r="C4478"/>
    </row>
    <row r="4479" spans="3:3" x14ac:dyDescent="0.25">
      <c r="C4479"/>
    </row>
    <row r="4480" spans="3:3" x14ac:dyDescent="0.25">
      <c r="C4480"/>
    </row>
    <row r="4481" spans="3:3" x14ac:dyDescent="0.25">
      <c r="C4481"/>
    </row>
    <row r="4482" spans="3:3" x14ac:dyDescent="0.25">
      <c r="C4482"/>
    </row>
    <row r="4483" spans="3:3" x14ac:dyDescent="0.25">
      <c r="C4483"/>
    </row>
    <row r="4484" spans="3:3" x14ac:dyDescent="0.25">
      <c r="C4484"/>
    </row>
    <row r="4485" spans="3:3" x14ac:dyDescent="0.25">
      <c r="C4485"/>
    </row>
    <row r="4486" spans="3:3" x14ac:dyDescent="0.25">
      <c r="C4486"/>
    </row>
    <row r="4487" spans="3:3" x14ac:dyDescent="0.25">
      <c r="C4487"/>
    </row>
    <row r="4488" spans="3:3" x14ac:dyDescent="0.25">
      <c r="C4488"/>
    </row>
    <row r="4489" spans="3:3" x14ac:dyDescent="0.25">
      <c r="C4489"/>
    </row>
    <row r="4490" spans="3:3" x14ac:dyDescent="0.25">
      <c r="C4490"/>
    </row>
    <row r="4491" spans="3:3" x14ac:dyDescent="0.25">
      <c r="C4491"/>
    </row>
    <row r="4492" spans="3:3" x14ac:dyDescent="0.25">
      <c r="C4492"/>
    </row>
    <row r="4493" spans="3:3" x14ac:dyDescent="0.25">
      <c r="C4493"/>
    </row>
    <row r="4494" spans="3:3" x14ac:dyDescent="0.25">
      <c r="C4494"/>
    </row>
    <row r="4495" spans="3:3" x14ac:dyDescent="0.25">
      <c r="C4495"/>
    </row>
    <row r="4496" spans="3:3" x14ac:dyDescent="0.25">
      <c r="C4496"/>
    </row>
    <row r="4497" spans="3:3" x14ac:dyDescent="0.25">
      <c r="C4497"/>
    </row>
    <row r="4498" spans="3:3" x14ac:dyDescent="0.25">
      <c r="C4498"/>
    </row>
    <row r="4499" spans="3:3" x14ac:dyDescent="0.25">
      <c r="C4499"/>
    </row>
    <row r="4500" spans="3:3" x14ac:dyDescent="0.25">
      <c r="C4500"/>
    </row>
    <row r="4501" spans="3:3" x14ac:dyDescent="0.25">
      <c r="C4501"/>
    </row>
    <row r="4502" spans="3:3" x14ac:dyDescent="0.25">
      <c r="C4502"/>
    </row>
    <row r="4503" spans="3:3" x14ac:dyDescent="0.25">
      <c r="C4503"/>
    </row>
    <row r="4504" spans="3:3" x14ac:dyDescent="0.25">
      <c r="C4504"/>
    </row>
    <row r="4505" spans="3:3" x14ac:dyDescent="0.25">
      <c r="C4505"/>
    </row>
    <row r="4506" spans="3:3" x14ac:dyDescent="0.25">
      <c r="C4506"/>
    </row>
    <row r="4507" spans="3:3" x14ac:dyDescent="0.25">
      <c r="C4507"/>
    </row>
    <row r="4508" spans="3:3" x14ac:dyDescent="0.25">
      <c r="C4508"/>
    </row>
    <row r="4509" spans="3:3" x14ac:dyDescent="0.25">
      <c r="C4509"/>
    </row>
    <row r="4510" spans="3:3" x14ac:dyDescent="0.25">
      <c r="C4510"/>
    </row>
    <row r="4511" spans="3:3" x14ac:dyDescent="0.25">
      <c r="C4511"/>
    </row>
    <row r="4512" spans="3:3" x14ac:dyDescent="0.25">
      <c r="C4512"/>
    </row>
    <row r="4513" spans="3:3" x14ac:dyDescent="0.25">
      <c r="C4513"/>
    </row>
    <row r="4514" spans="3:3" x14ac:dyDescent="0.25">
      <c r="C4514"/>
    </row>
    <row r="4515" spans="3:3" x14ac:dyDescent="0.25">
      <c r="C4515"/>
    </row>
    <row r="4516" spans="3:3" x14ac:dyDescent="0.25">
      <c r="C4516"/>
    </row>
    <row r="4517" spans="3:3" x14ac:dyDescent="0.25">
      <c r="C4517"/>
    </row>
    <row r="4518" spans="3:3" x14ac:dyDescent="0.25">
      <c r="C4518"/>
    </row>
    <row r="4519" spans="3:3" x14ac:dyDescent="0.25">
      <c r="C4519"/>
    </row>
    <row r="4520" spans="3:3" x14ac:dyDescent="0.25">
      <c r="C4520"/>
    </row>
    <row r="4521" spans="3:3" x14ac:dyDescent="0.25">
      <c r="C4521"/>
    </row>
    <row r="4522" spans="3:3" x14ac:dyDescent="0.25">
      <c r="C4522"/>
    </row>
    <row r="4523" spans="3:3" x14ac:dyDescent="0.25">
      <c r="C4523"/>
    </row>
    <row r="4524" spans="3:3" x14ac:dyDescent="0.25">
      <c r="C4524"/>
    </row>
    <row r="4525" spans="3:3" x14ac:dyDescent="0.25">
      <c r="C4525"/>
    </row>
    <row r="4526" spans="3:3" x14ac:dyDescent="0.25">
      <c r="C4526"/>
    </row>
    <row r="4527" spans="3:3" x14ac:dyDescent="0.25">
      <c r="C4527"/>
    </row>
    <row r="4528" spans="3:3" x14ac:dyDescent="0.25">
      <c r="C4528"/>
    </row>
    <row r="4529" spans="3:3" x14ac:dyDescent="0.25">
      <c r="C4529"/>
    </row>
    <row r="4530" spans="3:3" x14ac:dyDescent="0.25">
      <c r="C4530"/>
    </row>
    <row r="4531" spans="3:3" x14ac:dyDescent="0.25">
      <c r="C4531"/>
    </row>
    <row r="4532" spans="3:3" x14ac:dyDescent="0.25">
      <c r="C4532"/>
    </row>
    <row r="4533" spans="3:3" x14ac:dyDescent="0.25">
      <c r="C4533"/>
    </row>
    <row r="4534" spans="3:3" x14ac:dyDescent="0.25">
      <c r="C4534"/>
    </row>
    <row r="4535" spans="3:3" x14ac:dyDescent="0.25">
      <c r="C4535"/>
    </row>
    <row r="4536" spans="3:3" x14ac:dyDescent="0.25">
      <c r="C4536"/>
    </row>
    <row r="4537" spans="3:3" x14ac:dyDescent="0.25">
      <c r="C4537"/>
    </row>
    <row r="4538" spans="3:3" x14ac:dyDescent="0.25">
      <c r="C4538"/>
    </row>
    <row r="4539" spans="3:3" x14ac:dyDescent="0.25">
      <c r="C4539"/>
    </row>
    <row r="4540" spans="3:3" x14ac:dyDescent="0.25">
      <c r="C4540"/>
    </row>
    <row r="4541" spans="3:3" x14ac:dyDescent="0.25">
      <c r="C4541"/>
    </row>
    <row r="4542" spans="3:3" x14ac:dyDescent="0.25">
      <c r="C4542"/>
    </row>
    <row r="4543" spans="3:3" x14ac:dyDescent="0.25">
      <c r="C4543"/>
    </row>
    <row r="4544" spans="3:3" x14ac:dyDescent="0.25">
      <c r="C4544"/>
    </row>
    <row r="4545" spans="3:3" x14ac:dyDescent="0.25">
      <c r="C4545"/>
    </row>
    <row r="4546" spans="3:3" x14ac:dyDescent="0.25">
      <c r="C4546"/>
    </row>
    <row r="4547" spans="3:3" x14ac:dyDescent="0.25">
      <c r="C4547"/>
    </row>
    <row r="4548" spans="3:3" x14ac:dyDescent="0.25">
      <c r="C4548"/>
    </row>
    <row r="4549" spans="3:3" x14ac:dyDescent="0.25">
      <c r="C4549"/>
    </row>
    <row r="4550" spans="3:3" x14ac:dyDescent="0.25">
      <c r="C4550"/>
    </row>
    <row r="4551" spans="3:3" x14ac:dyDescent="0.25">
      <c r="C4551"/>
    </row>
    <row r="4552" spans="3:3" x14ac:dyDescent="0.25">
      <c r="C4552"/>
    </row>
    <row r="4553" spans="3:3" x14ac:dyDescent="0.25">
      <c r="C4553"/>
    </row>
    <row r="4554" spans="3:3" x14ac:dyDescent="0.25">
      <c r="C4554"/>
    </row>
    <row r="4555" spans="3:3" x14ac:dyDescent="0.25">
      <c r="C4555"/>
    </row>
    <row r="4556" spans="3:3" x14ac:dyDescent="0.25">
      <c r="C4556"/>
    </row>
    <row r="4557" spans="3:3" x14ac:dyDescent="0.25">
      <c r="C4557"/>
    </row>
    <row r="4558" spans="3:3" x14ac:dyDescent="0.25">
      <c r="C4558"/>
    </row>
    <row r="4559" spans="3:3" x14ac:dyDescent="0.25">
      <c r="C4559"/>
    </row>
    <row r="4560" spans="3:3" x14ac:dyDescent="0.25">
      <c r="C4560"/>
    </row>
    <row r="4561" spans="3:3" x14ac:dyDescent="0.25">
      <c r="C4561"/>
    </row>
    <row r="4562" spans="3:3" x14ac:dyDescent="0.25">
      <c r="C4562"/>
    </row>
    <row r="4563" spans="3:3" x14ac:dyDescent="0.25">
      <c r="C4563"/>
    </row>
    <row r="4564" spans="3:3" x14ac:dyDescent="0.25">
      <c r="C4564"/>
    </row>
    <row r="4565" spans="3:3" x14ac:dyDescent="0.25">
      <c r="C4565"/>
    </row>
    <row r="4566" spans="3:3" x14ac:dyDescent="0.25">
      <c r="C4566"/>
    </row>
    <row r="4567" spans="3:3" x14ac:dyDescent="0.25">
      <c r="C4567"/>
    </row>
    <row r="4568" spans="3:3" x14ac:dyDescent="0.25">
      <c r="C4568"/>
    </row>
    <row r="4569" spans="3:3" x14ac:dyDescent="0.25">
      <c r="C4569"/>
    </row>
    <row r="4570" spans="3:3" x14ac:dyDescent="0.25">
      <c r="C4570"/>
    </row>
    <row r="4571" spans="3:3" x14ac:dyDescent="0.25">
      <c r="C4571"/>
    </row>
    <row r="4572" spans="3:3" x14ac:dyDescent="0.25">
      <c r="C4572"/>
    </row>
    <row r="4573" spans="3:3" x14ac:dyDescent="0.25">
      <c r="C4573"/>
    </row>
    <row r="4574" spans="3:3" x14ac:dyDescent="0.25">
      <c r="C4574"/>
    </row>
    <row r="4575" spans="3:3" x14ac:dyDescent="0.25">
      <c r="C4575"/>
    </row>
    <row r="4576" spans="3:3" x14ac:dyDescent="0.25">
      <c r="C4576"/>
    </row>
    <row r="4577" spans="3:3" x14ac:dyDescent="0.25">
      <c r="C4577"/>
    </row>
    <row r="4578" spans="3:3" x14ac:dyDescent="0.25">
      <c r="C4578"/>
    </row>
    <row r="4579" spans="3:3" x14ac:dyDescent="0.25">
      <c r="C4579"/>
    </row>
    <row r="4580" spans="3:3" x14ac:dyDescent="0.25">
      <c r="C4580"/>
    </row>
    <row r="4581" spans="3:3" x14ac:dyDescent="0.25">
      <c r="C4581"/>
    </row>
    <row r="4582" spans="3:3" x14ac:dyDescent="0.25">
      <c r="C4582"/>
    </row>
    <row r="4583" spans="3:3" x14ac:dyDescent="0.25">
      <c r="C4583"/>
    </row>
    <row r="4584" spans="3:3" x14ac:dyDescent="0.25">
      <c r="C4584"/>
    </row>
    <row r="4585" spans="3:3" x14ac:dyDescent="0.25">
      <c r="C4585"/>
    </row>
    <row r="4586" spans="3:3" x14ac:dyDescent="0.25">
      <c r="C4586"/>
    </row>
    <row r="4587" spans="3:3" x14ac:dyDescent="0.25">
      <c r="C4587"/>
    </row>
    <row r="4588" spans="3:3" x14ac:dyDescent="0.25">
      <c r="C4588"/>
    </row>
    <row r="4589" spans="3:3" x14ac:dyDescent="0.25">
      <c r="C4589"/>
    </row>
    <row r="4590" spans="3:3" x14ac:dyDescent="0.25">
      <c r="C4590"/>
    </row>
    <row r="4591" spans="3:3" x14ac:dyDescent="0.25">
      <c r="C4591"/>
    </row>
    <row r="4592" spans="3:3" x14ac:dyDescent="0.25">
      <c r="C4592"/>
    </row>
    <row r="4593" spans="3:3" x14ac:dyDescent="0.25">
      <c r="C4593"/>
    </row>
    <row r="4594" spans="3:3" x14ac:dyDescent="0.25">
      <c r="C4594"/>
    </row>
    <row r="4595" spans="3:3" x14ac:dyDescent="0.25">
      <c r="C4595"/>
    </row>
    <row r="4596" spans="3:3" x14ac:dyDescent="0.25">
      <c r="C4596"/>
    </row>
    <row r="4597" spans="3:3" x14ac:dyDescent="0.25">
      <c r="C4597"/>
    </row>
    <row r="4598" spans="3:3" x14ac:dyDescent="0.25">
      <c r="C4598"/>
    </row>
    <row r="4599" spans="3:3" x14ac:dyDescent="0.25">
      <c r="C4599"/>
    </row>
    <row r="4600" spans="3:3" x14ac:dyDescent="0.25">
      <c r="C4600"/>
    </row>
    <row r="4601" spans="3:3" x14ac:dyDescent="0.25">
      <c r="C4601"/>
    </row>
    <row r="4602" spans="3:3" x14ac:dyDescent="0.25">
      <c r="C4602"/>
    </row>
    <row r="4603" spans="3:3" x14ac:dyDescent="0.25">
      <c r="C4603"/>
    </row>
    <row r="4604" spans="3:3" x14ac:dyDescent="0.25">
      <c r="C4604"/>
    </row>
    <row r="4605" spans="3:3" x14ac:dyDescent="0.25">
      <c r="C4605"/>
    </row>
    <row r="4606" spans="3:3" x14ac:dyDescent="0.25">
      <c r="C4606"/>
    </row>
    <row r="4607" spans="3:3" x14ac:dyDescent="0.25">
      <c r="C4607"/>
    </row>
    <row r="4608" spans="3:3" x14ac:dyDescent="0.25">
      <c r="C4608"/>
    </row>
    <row r="4609" spans="3:3" x14ac:dyDescent="0.25">
      <c r="C4609"/>
    </row>
    <row r="4610" spans="3:3" x14ac:dyDescent="0.25">
      <c r="C4610"/>
    </row>
    <row r="4611" spans="3:3" x14ac:dyDescent="0.25">
      <c r="C4611"/>
    </row>
    <row r="4612" spans="3:3" x14ac:dyDescent="0.25">
      <c r="C4612"/>
    </row>
    <row r="4613" spans="3:3" x14ac:dyDescent="0.25">
      <c r="C4613"/>
    </row>
    <row r="4614" spans="3:3" x14ac:dyDescent="0.25">
      <c r="C4614"/>
    </row>
    <row r="4615" spans="3:3" x14ac:dyDescent="0.25">
      <c r="C4615"/>
    </row>
    <row r="4616" spans="3:3" x14ac:dyDescent="0.25">
      <c r="C4616"/>
    </row>
    <row r="4617" spans="3:3" x14ac:dyDescent="0.25">
      <c r="C4617"/>
    </row>
    <row r="4618" spans="3:3" x14ac:dyDescent="0.25">
      <c r="C4618"/>
    </row>
    <row r="4619" spans="3:3" x14ac:dyDescent="0.25">
      <c r="C4619"/>
    </row>
    <row r="4620" spans="3:3" x14ac:dyDescent="0.25">
      <c r="C4620"/>
    </row>
    <row r="4621" spans="3:3" x14ac:dyDescent="0.25">
      <c r="C4621"/>
    </row>
    <row r="4622" spans="3:3" x14ac:dyDescent="0.25">
      <c r="C4622"/>
    </row>
    <row r="4623" spans="3:3" x14ac:dyDescent="0.25">
      <c r="C4623"/>
    </row>
    <row r="4624" spans="3:3" x14ac:dyDescent="0.25">
      <c r="C4624"/>
    </row>
    <row r="4625" spans="3:3" x14ac:dyDescent="0.25">
      <c r="C4625"/>
    </row>
    <row r="4626" spans="3:3" x14ac:dyDescent="0.25">
      <c r="C4626"/>
    </row>
    <row r="4627" spans="3:3" x14ac:dyDescent="0.25">
      <c r="C4627"/>
    </row>
    <row r="4628" spans="3:3" x14ac:dyDescent="0.25">
      <c r="C4628"/>
    </row>
    <row r="4629" spans="3:3" x14ac:dyDescent="0.25">
      <c r="C4629"/>
    </row>
    <row r="4630" spans="3:3" x14ac:dyDescent="0.25">
      <c r="C4630"/>
    </row>
    <row r="4631" spans="3:3" x14ac:dyDescent="0.25">
      <c r="C4631"/>
    </row>
    <row r="4632" spans="3:3" x14ac:dyDescent="0.25">
      <c r="C4632"/>
    </row>
    <row r="4633" spans="3:3" x14ac:dyDescent="0.25">
      <c r="C4633"/>
    </row>
    <row r="4634" spans="3:3" x14ac:dyDescent="0.25">
      <c r="C4634"/>
    </row>
    <row r="4635" spans="3:3" x14ac:dyDescent="0.25">
      <c r="C4635"/>
    </row>
    <row r="4636" spans="3:3" x14ac:dyDescent="0.25">
      <c r="C4636"/>
    </row>
    <row r="4637" spans="3:3" x14ac:dyDescent="0.25">
      <c r="C4637"/>
    </row>
    <row r="4638" spans="3:3" x14ac:dyDescent="0.25">
      <c r="C4638"/>
    </row>
    <row r="4639" spans="3:3" x14ac:dyDescent="0.25">
      <c r="C4639"/>
    </row>
    <row r="4640" spans="3:3" x14ac:dyDescent="0.25">
      <c r="C4640"/>
    </row>
    <row r="4641" spans="3:3" x14ac:dyDescent="0.25">
      <c r="C4641"/>
    </row>
    <row r="4642" spans="3:3" x14ac:dyDescent="0.25">
      <c r="C4642"/>
    </row>
    <row r="4643" spans="3:3" x14ac:dyDescent="0.25">
      <c r="C4643"/>
    </row>
    <row r="4644" spans="3:3" x14ac:dyDescent="0.25">
      <c r="C4644"/>
    </row>
    <row r="4645" spans="3:3" x14ac:dyDescent="0.25">
      <c r="C4645"/>
    </row>
    <row r="4646" spans="3:3" x14ac:dyDescent="0.25">
      <c r="C4646"/>
    </row>
    <row r="4647" spans="3:3" x14ac:dyDescent="0.25">
      <c r="C4647"/>
    </row>
    <row r="4648" spans="3:3" x14ac:dyDescent="0.25">
      <c r="C4648"/>
    </row>
    <row r="4649" spans="3:3" x14ac:dyDescent="0.25">
      <c r="C4649"/>
    </row>
    <row r="4650" spans="3:3" x14ac:dyDescent="0.25">
      <c r="C4650"/>
    </row>
    <row r="4651" spans="3:3" x14ac:dyDescent="0.25">
      <c r="C4651"/>
    </row>
    <row r="4652" spans="3:3" x14ac:dyDescent="0.25">
      <c r="C4652"/>
    </row>
    <row r="4653" spans="3:3" x14ac:dyDescent="0.25">
      <c r="C4653"/>
    </row>
    <row r="4654" spans="3:3" x14ac:dyDescent="0.25">
      <c r="C4654"/>
    </row>
    <row r="4655" spans="3:3" x14ac:dyDescent="0.25">
      <c r="C4655"/>
    </row>
    <row r="4656" spans="3:3" x14ac:dyDescent="0.25">
      <c r="C4656"/>
    </row>
    <row r="4657" spans="3:3" x14ac:dyDescent="0.25">
      <c r="C4657"/>
    </row>
    <row r="4658" spans="3:3" x14ac:dyDescent="0.25">
      <c r="C4658"/>
    </row>
    <row r="4659" spans="3:3" x14ac:dyDescent="0.25">
      <c r="C4659"/>
    </row>
    <row r="4660" spans="3:3" x14ac:dyDescent="0.25">
      <c r="C4660"/>
    </row>
    <row r="4661" spans="3:3" x14ac:dyDescent="0.25">
      <c r="C4661"/>
    </row>
    <row r="4662" spans="3:3" x14ac:dyDescent="0.25">
      <c r="C4662"/>
    </row>
    <row r="4663" spans="3:3" x14ac:dyDescent="0.25">
      <c r="C4663"/>
    </row>
    <row r="4664" spans="3:3" x14ac:dyDescent="0.25">
      <c r="C4664"/>
    </row>
    <row r="4665" spans="3:3" x14ac:dyDescent="0.25">
      <c r="C4665"/>
    </row>
    <row r="4666" spans="3:3" x14ac:dyDescent="0.25">
      <c r="C4666"/>
    </row>
    <row r="4667" spans="3:3" x14ac:dyDescent="0.25">
      <c r="C4667"/>
    </row>
    <row r="4668" spans="3:3" x14ac:dyDescent="0.25">
      <c r="C4668"/>
    </row>
    <row r="4669" spans="3:3" x14ac:dyDescent="0.25">
      <c r="C4669"/>
    </row>
    <row r="4670" spans="3:3" x14ac:dyDescent="0.25">
      <c r="C4670"/>
    </row>
    <row r="4671" spans="3:3" x14ac:dyDescent="0.25">
      <c r="C4671"/>
    </row>
    <row r="4672" spans="3:3" x14ac:dyDescent="0.25">
      <c r="C4672"/>
    </row>
    <row r="4673" spans="3:3" x14ac:dyDescent="0.25">
      <c r="C4673"/>
    </row>
    <row r="4674" spans="3:3" x14ac:dyDescent="0.25">
      <c r="C4674"/>
    </row>
    <row r="4675" spans="3:3" x14ac:dyDescent="0.25">
      <c r="C4675"/>
    </row>
    <row r="4676" spans="3:3" x14ac:dyDescent="0.25">
      <c r="C4676"/>
    </row>
    <row r="4677" spans="3:3" x14ac:dyDescent="0.25">
      <c r="C4677"/>
    </row>
    <row r="4678" spans="3:3" x14ac:dyDescent="0.25">
      <c r="C4678"/>
    </row>
    <row r="4679" spans="3:3" x14ac:dyDescent="0.25">
      <c r="C4679"/>
    </row>
    <row r="4680" spans="3:3" x14ac:dyDescent="0.25">
      <c r="C4680"/>
    </row>
    <row r="4681" spans="3:3" x14ac:dyDescent="0.25">
      <c r="C4681"/>
    </row>
    <row r="4682" spans="3:3" x14ac:dyDescent="0.25">
      <c r="C4682"/>
    </row>
    <row r="4683" spans="3:3" x14ac:dyDescent="0.25">
      <c r="C4683"/>
    </row>
    <row r="4684" spans="3:3" x14ac:dyDescent="0.25">
      <c r="C4684"/>
    </row>
    <row r="4685" spans="3:3" x14ac:dyDescent="0.25">
      <c r="C4685"/>
    </row>
    <row r="4686" spans="3:3" x14ac:dyDescent="0.25">
      <c r="C4686"/>
    </row>
    <row r="4687" spans="3:3" x14ac:dyDescent="0.25">
      <c r="C4687"/>
    </row>
    <row r="4688" spans="3:3" x14ac:dyDescent="0.25">
      <c r="C4688"/>
    </row>
    <row r="4689" spans="3:3" x14ac:dyDescent="0.25">
      <c r="C4689"/>
    </row>
    <row r="4690" spans="3:3" x14ac:dyDescent="0.25">
      <c r="C4690"/>
    </row>
    <row r="4691" spans="3:3" x14ac:dyDescent="0.25">
      <c r="C4691"/>
    </row>
    <row r="4692" spans="3:3" x14ac:dyDescent="0.25">
      <c r="C4692"/>
    </row>
    <row r="4693" spans="3:3" x14ac:dyDescent="0.25">
      <c r="C4693"/>
    </row>
    <row r="4694" spans="3:3" x14ac:dyDescent="0.25">
      <c r="C4694"/>
    </row>
    <row r="4695" spans="3:3" x14ac:dyDescent="0.25">
      <c r="C4695"/>
    </row>
    <row r="4696" spans="3:3" x14ac:dyDescent="0.25">
      <c r="C4696"/>
    </row>
    <row r="4697" spans="3:3" x14ac:dyDescent="0.25">
      <c r="C4697"/>
    </row>
    <row r="4698" spans="3:3" x14ac:dyDescent="0.25">
      <c r="C4698"/>
    </row>
    <row r="4699" spans="3:3" x14ac:dyDescent="0.25">
      <c r="C4699"/>
    </row>
    <row r="4700" spans="3:3" x14ac:dyDescent="0.25">
      <c r="C4700"/>
    </row>
    <row r="4701" spans="3:3" x14ac:dyDescent="0.25">
      <c r="C4701"/>
    </row>
    <row r="4702" spans="3:3" x14ac:dyDescent="0.25">
      <c r="C4702"/>
    </row>
    <row r="4703" spans="3:3" x14ac:dyDescent="0.25">
      <c r="C4703"/>
    </row>
    <row r="4704" spans="3:3" x14ac:dyDescent="0.25">
      <c r="C4704"/>
    </row>
    <row r="4705" spans="3:3" x14ac:dyDescent="0.25">
      <c r="C4705"/>
    </row>
    <row r="4706" spans="3:3" x14ac:dyDescent="0.25">
      <c r="C4706"/>
    </row>
    <row r="4707" spans="3:3" x14ac:dyDescent="0.25">
      <c r="C4707"/>
    </row>
    <row r="4708" spans="3:3" x14ac:dyDescent="0.25">
      <c r="C4708"/>
    </row>
    <row r="4709" spans="3:3" x14ac:dyDescent="0.25">
      <c r="C4709"/>
    </row>
    <row r="4710" spans="3:3" x14ac:dyDescent="0.25">
      <c r="C4710"/>
    </row>
    <row r="4711" spans="3:3" x14ac:dyDescent="0.25">
      <c r="C4711"/>
    </row>
    <row r="4712" spans="3:3" x14ac:dyDescent="0.25">
      <c r="C4712"/>
    </row>
    <row r="4713" spans="3:3" x14ac:dyDescent="0.25">
      <c r="C4713"/>
    </row>
    <row r="4714" spans="3:3" x14ac:dyDescent="0.25">
      <c r="C4714"/>
    </row>
    <row r="4715" spans="3:3" x14ac:dyDescent="0.25">
      <c r="C4715"/>
    </row>
    <row r="4716" spans="3:3" x14ac:dyDescent="0.25">
      <c r="C4716"/>
    </row>
    <row r="4717" spans="3:3" x14ac:dyDescent="0.25">
      <c r="C4717"/>
    </row>
    <row r="4718" spans="3:3" x14ac:dyDescent="0.25">
      <c r="C4718"/>
    </row>
    <row r="4719" spans="3:3" x14ac:dyDescent="0.25">
      <c r="C4719"/>
    </row>
    <row r="4720" spans="3:3" x14ac:dyDescent="0.25">
      <c r="C4720"/>
    </row>
    <row r="4721" spans="3:3" x14ac:dyDescent="0.25">
      <c r="C4721"/>
    </row>
    <row r="4722" spans="3:3" x14ac:dyDescent="0.25">
      <c r="C4722"/>
    </row>
    <row r="4723" spans="3:3" x14ac:dyDescent="0.25">
      <c r="C4723"/>
    </row>
    <row r="4724" spans="3:3" x14ac:dyDescent="0.25">
      <c r="C4724"/>
    </row>
    <row r="4725" spans="3:3" x14ac:dyDescent="0.25">
      <c r="C4725"/>
    </row>
    <row r="4726" spans="3:3" x14ac:dyDescent="0.25">
      <c r="C4726"/>
    </row>
    <row r="4727" spans="3:3" x14ac:dyDescent="0.25">
      <c r="C4727"/>
    </row>
    <row r="4728" spans="3:3" x14ac:dyDescent="0.25">
      <c r="C4728"/>
    </row>
    <row r="4729" spans="3:3" x14ac:dyDescent="0.25">
      <c r="C4729"/>
    </row>
    <row r="4730" spans="3:3" x14ac:dyDescent="0.25">
      <c r="C4730"/>
    </row>
    <row r="4731" spans="3:3" x14ac:dyDescent="0.25">
      <c r="C4731"/>
    </row>
    <row r="4732" spans="3:3" x14ac:dyDescent="0.25">
      <c r="C4732"/>
    </row>
    <row r="4733" spans="3:3" x14ac:dyDescent="0.25">
      <c r="C4733"/>
    </row>
    <row r="4734" spans="3:3" x14ac:dyDescent="0.25">
      <c r="C4734"/>
    </row>
    <row r="4735" spans="3:3" x14ac:dyDescent="0.25">
      <c r="C4735"/>
    </row>
    <row r="4736" spans="3:3" x14ac:dyDescent="0.25">
      <c r="C4736"/>
    </row>
    <row r="4737" spans="3:3" x14ac:dyDescent="0.25">
      <c r="C4737"/>
    </row>
    <row r="4738" spans="3:3" x14ac:dyDescent="0.25">
      <c r="C4738"/>
    </row>
    <row r="4739" spans="3:3" x14ac:dyDescent="0.25">
      <c r="C4739"/>
    </row>
    <row r="4740" spans="3:3" x14ac:dyDescent="0.25">
      <c r="C4740"/>
    </row>
    <row r="4741" spans="3:3" x14ac:dyDescent="0.25">
      <c r="C4741"/>
    </row>
    <row r="4742" spans="3:3" x14ac:dyDescent="0.25">
      <c r="C4742"/>
    </row>
    <row r="4743" spans="3:3" x14ac:dyDescent="0.25">
      <c r="C4743"/>
    </row>
    <row r="4744" spans="3:3" x14ac:dyDescent="0.25">
      <c r="C4744"/>
    </row>
    <row r="4745" spans="3:3" x14ac:dyDescent="0.25">
      <c r="C4745"/>
    </row>
    <row r="4746" spans="3:3" x14ac:dyDescent="0.25">
      <c r="C4746"/>
    </row>
    <row r="4747" spans="3:3" x14ac:dyDescent="0.25">
      <c r="C4747"/>
    </row>
    <row r="4748" spans="3:3" x14ac:dyDescent="0.25">
      <c r="C4748"/>
    </row>
    <row r="4749" spans="3:3" x14ac:dyDescent="0.25">
      <c r="C4749"/>
    </row>
    <row r="4750" spans="3:3" x14ac:dyDescent="0.25">
      <c r="C4750"/>
    </row>
    <row r="4751" spans="3:3" x14ac:dyDescent="0.25">
      <c r="C4751"/>
    </row>
    <row r="4752" spans="3:3" x14ac:dyDescent="0.25">
      <c r="C4752"/>
    </row>
    <row r="4753" spans="3:3" x14ac:dyDescent="0.25">
      <c r="C4753"/>
    </row>
    <row r="4754" spans="3:3" x14ac:dyDescent="0.25">
      <c r="C4754"/>
    </row>
    <row r="4755" spans="3:3" x14ac:dyDescent="0.25">
      <c r="C4755"/>
    </row>
    <row r="4756" spans="3:3" x14ac:dyDescent="0.25">
      <c r="C4756"/>
    </row>
    <row r="4757" spans="3:3" x14ac:dyDescent="0.25">
      <c r="C4757"/>
    </row>
    <row r="4758" spans="3:3" x14ac:dyDescent="0.25">
      <c r="C4758"/>
    </row>
    <row r="4759" spans="3:3" x14ac:dyDescent="0.25">
      <c r="C4759"/>
    </row>
    <row r="4760" spans="3:3" x14ac:dyDescent="0.25">
      <c r="C4760"/>
    </row>
    <row r="4761" spans="3:3" x14ac:dyDescent="0.25">
      <c r="C4761"/>
    </row>
    <row r="4762" spans="3:3" x14ac:dyDescent="0.25">
      <c r="C4762"/>
    </row>
    <row r="4763" spans="3:3" x14ac:dyDescent="0.25">
      <c r="C4763"/>
    </row>
    <row r="4764" spans="3:3" x14ac:dyDescent="0.25">
      <c r="C4764"/>
    </row>
    <row r="4765" spans="3:3" x14ac:dyDescent="0.25">
      <c r="C4765"/>
    </row>
    <row r="4766" spans="3:3" x14ac:dyDescent="0.25">
      <c r="C4766"/>
    </row>
    <row r="4767" spans="3:3" x14ac:dyDescent="0.25">
      <c r="C4767"/>
    </row>
    <row r="4768" spans="3:3" x14ac:dyDescent="0.25">
      <c r="C4768"/>
    </row>
    <row r="4769" spans="3:3" x14ac:dyDescent="0.25">
      <c r="C4769"/>
    </row>
    <row r="4770" spans="3:3" x14ac:dyDescent="0.25">
      <c r="C4770"/>
    </row>
    <row r="4771" spans="3:3" x14ac:dyDescent="0.25">
      <c r="C4771"/>
    </row>
    <row r="4772" spans="3:3" x14ac:dyDescent="0.25">
      <c r="C4772"/>
    </row>
    <row r="4773" spans="3:3" x14ac:dyDescent="0.25">
      <c r="C4773"/>
    </row>
    <row r="4774" spans="3:3" x14ac:dyDescent="0.25">
      <c r="C4774"/>
    </row>
    <row r="4775" spans="3:3" x14ac:dyDescent="0.25">
      <c r="C4775"/>
    </row>
    <row r="4776" spans="3:3" x14ac:dyDescent="0.25">
      <c r="C4776"/>
    </row>
    <row r="4777" spans="3:3" x14ac:dyDescent="0.25">
      <c r="C4777"/>
    </row>
    <row r="4778" spans="3:3" x14ac:dyDescent="0.25">
      <c r="C4778"/>
    </row>
    <row r="4779" spans="3:3" x14ac:dyDescent="0.25">
      <c r="C4779"/>
    </row>
    <row r="4780" spans="3:3" x14ac:dyDescent="0.25">
      <c r="C4780"/>
    </row>
    <row r="4781" spans="3:3" x14ac:dyDescent="0.25">
      <c r="C4781"/>
    </row>
    <row r="4782" spans="3:3" x14ac:dyDescent="0.25">
      <c r="C4782"/>
    </row>
    <row r="4783" spans="3:3" x14ac:dyDescent="0.25">
      <c r="C4783"/>
    </row>
    <row r="4784" spans="3:3" x14ac:dyDescent="0.25">
      <c r="C4784"/>
    </row>
    <row r="4785" spans="3:3" x14ac:dyDescent="0.25">
      <c r="C4785"/>
    </row>
    <row r="4786" spans="3:3" x14ac:dyDescent="0.25">
      <c r="C4786"/>
    </row>
    <row r="4787" spans="3:3" x14ac:dyDescent="0.25">
      <c r="C4787"/>
    </row>
    <row r="4788" spans="3:3" x14ac:dyDescent="0.25">
      <c r="C4788"/>
    </row>
    <row r="4789" spans="3:3" x14ac:dyDescent="0.25">
      <c r="C4789"/>
    </row>
    <row r="4790" spans="3:3" x14ac:dyDescent="0.25">
      <c r="C4790"/>
    </row>
    <row r="4791" spans="3:3" x14ac:dyDescent="0.25">
      <c r="C4791"/>
    </row>
    <row r="4792" spans="3:3" x14ac:dyDescent="0.25">
      <c r="C4792"/>
    </row>
    <row r="4793" spans="3:3" x14ac:dyDescent="0.25">
      <c r="C4793"/>
    </row>
    <row r="4794" spans="3:3" x14ac:dyDescent="0.25">
      <c r="C4794"/>
    </row>
    <row r="4795" spans="3:3" x14ac:dyDescent="0.25">
      <c r="C4795"/>
    </row>
    <row r="4796" spans="3:3" x14ac:dyDescent="0.25">
      <c r="C4796"/>
    </row>
    <row r="4797" spans="3:3" x14ac:dyDescent="0.25">
      <c r="C4797"/>
    </row>
    <row r="4798" spans="3:3" x14ac:dyDescent="0.25">
      <c r="C4798"/>
    </row>
    <row r="4799" spans="3:3" x14ac:dyDescent="0.25">
      <c r="C4799"/>
    </row>
    <row r="4800" spans="3:3" x14ac:dyDescent="0.25">
      <c r="C4800"/>
    </row>
    <row r="4801" spans="3:3" x14ac:dyDescent="0.25">
      <c r="C4801"/>
    </row>
    <row r="4802" spans="3:3" x14ac:dyDescent="0.25">
      <c r="C4802"/>
    </row>
    <row r="4803" spans="3:3" x14ac:dyDescent="0.25">
      <c r="C4803"/>
    </row>
    <row r="4804" spans="3:3" x14ac:dyDescent="0.25">
      <c r="C4804"/>
    </row>
    <row r="4805" spans="3:3" x14ac:dyDescent="0.25">
      <c r="C4805"/>
    </row>
    <row r="4806" spans="3:3" x14ac:dyDescent="0.25">
      <c r="C4806"/>
    </row>
    <row r="4807" spans="3:3" x14ac:dyDescent="0.25">
      <c r="C4807"/>
    </row>
    <row r="4808" spans="3:3" x14ac:dyDescent="0.25">
      <c r="C4808"/>
    </row>
    <row r="4809" spans="3:3" x14ac:dyDescent="0.25">
      <c r="C4809"/>
    </row>
    <row r="4810" spans="3:3" x14ac:dyDescent="0.25">
      <c r="C4810"/>
    </row>
    <row r="4811" spans="3:3" x14ac:dyDescent="0.25">
      <c r="C4811"/>
    </row>
    <row r="4812" spans="3:3" x14ac:dyDescent="0.25">
      <c r="C4812"/>
    </row>
    <row r="4813" spans="3:3" x14ac:dyDescent="0.25">
      <c r="C4813"/>
    </row>
    <row r="4814" spans="3:3" x14ac:dyDescent="0.25">
      <c r="C4814"/>
    </row>
    <row r="4815" spans="3:3" x14ac:dyDescent="0.25">
      <c r="C4815"/>
    </row>
    <row r="4816" spans="3:3" x14ac:dyDescent="0.25">
      <c r="C4816"/>
    </row>
    <row r="4817" spans="3:3" x14ac:dyDescent="0.25">
      <c r="C4817"/>
    </row>
    <row r="4818" spans="3:3" x14ac:dyDescent="0.25">
      <c r="C4818"/>
    </row>
    <row r="4819" spans="3:3" x14ac:dyDescent="0.25">
      <c r="C4819"/>
    </row>
    <row r="4820" spans="3:3" x14ac:dyDescent="0.25">
      <c r="C4820"/>
    </row>
    <row r="4821" spans="3:3" x14ac:dyDescent="0.25">
      <c r="C4821"/>
    </row>
    <row r="4822" spans="3:3" x14ac:dyDescent="0.25">
      <c r="C4822"/>
    </row>
    <row r="4823" spans="3:3" x14ac:dyDescent="0.25">
      <c r="C4823"/>
    </row>
    <row r="4824" spans="3:3" x14ac:dyDescent="0.25">
      <c r="C4824"/>
    </row>
    <row r="4825" spans="3:3" x14ac:dyDescent="0.25">
      <c r="C4825"/>
    </row>
    <row r="4826" spans="3:3" x14ac:dyDescent="0.25">
      <c r="C4826"/>
    </row>
    <row r="4827" spans="3:3" x14ac:dyDescent="0.25">
      <c r="C4827"/>
    </row>
    <row r="4828" spans="3:3" x14ac:dyDescent="0.25">
      <c r="C4828"/>
    </row>
    <row r="4829" spans="3:3" x14ac:dyDescent="0.25">
      <c r="C4829"/>
    </row>
    <row r="4830" spans="3:3" x14ac:dyDescent="0.25">
      <c r="C4830"/>
    </row>
    <row r="4831" spans="3:3" x14ac:dyDescent="0.25">
      <c r="C4831"/>
    </row>
    <row r="4832" spans="3:3" x14ac:dyDescent="0.25">
      <c r="C4832"/>
    </row>
    <row r="4833" spans="3:3" x14ac:dyDescent="0.25">
      <c r="C4833"/>
    </row>
    <row r="4834" spans="3:3" x14ac:dyDescent="0.25">
      <c r="C4834"/>
    </row>
    <row r="4835" spans="3:3" x14ac:dyDescent="0.25">
      <c r="C4835"/>
    </row>
    <row r="4836" spans="3:3" x14ac:dyDescent="0.25">
      <c r="C4836"/>
    </row>
    <row r="4837" spans="3:3" x14ac:dyDescent="0.25">
      <c r="C4837"/>
    </row>
    <row r="4838" spans="3:3" x14ac:dyDescent="0.25">
      <c r="C4838"/>
    </row>
    <row r="4839" spans="3:3" x14ac:dyDescent="0.25">
      <c r="C4839"/>
    </row>
    <row r="4840" spans="3:3" x14ac:dyDescent="0.25">
      <c r="C4840"/>
    </row>
    <row r="4841" spans="3:3" x14ac:dyDescent="0.25">
      <c r="C4841"/>
    </row>
    <row r="4842" spans="3:3" x14ac:dyDescent="0.25">
      <c r="C4842"/>
    </row>
    <row r="4843" spans="3:3" x14ac:dyDescent="0.25">
      <c r="C4843"/>
    </row>
    <row r="4844" spans="3:3" x14ac:dyDescent="0.25">
      <c r="C4844"/>
    </row>
    <row r="4845" spans="3:3" x14ac:dyDescent="0.25">
      <c r="C4845"/>
    </row>
    <row r="4846" spans="3:3" x14ac:dyDescent="0.25">
      <c r="C4846"/>
    </row>
    <row r="4847" spans="3:3" x14ac:dyDescent="0.25">
      <c r="C4847"/>
    </row>
    <row r="4848" spans="3:3" x14ac:dyDescent="0.25">
      <c r="C4848"/>
    </row>
    <row r="4849" spans="3:3" x14ac:dyDescent="0.25">
      <c r="C4849"/>
    </row>
    <row r="4850" spans="3:3" x14ac:dyDescent="0.25">
      <c r="C4850"/>
    </row>
    <row r="4851" spans="3:3" x14ac:dyDescent="0.25">
      <c r="C4851"/>
    </row>
    <row r="4852" spans="3:3" x14ac:dyDescent="0.25">
      <c r="C4852"/>
    </row>
    <row r="4853" spans="3:3" x14ac:dyDescent="0.25">
      <c r="C4853"/>
    </row>
    <row r="4854" spans="3:3" x14ac:dyDescent="0.25">
      <c r="C4854"/>
    </row>
    <row r="4855" spans="3:3" x14ac:dyDescent="0.25">
      <c r="C4855"/>
    </row>
    <row r="4856" spans="3:3" x14ac:dyDescent="0.25">
      <c r="C4856"/>
    </row>
    <row r="4857" spans="3:3" x14ac:dyDescent="0.25">
      <c r="C4857"/>
    </row>
    <row r="4858" spans="3:3" x14ac:dyDescent="0.25">
      <c r="C4858"/>
    </row>
    <row r="4859" spans="3:3" x14ac:dyDescent="0.25">
      <c r="C4859"/>
    </row>
    <row r="4860" spans="3:3" x14ac:dyDescent="0.25">
      <c r="C4860"/>
    </row>
    <row r="4861" spans="3:3" x14ac:dyDescent="0.25">
      <c r="C4861"/>
    </row>
    <row r="4862" spans="3:3" x14ac:dyDescent="0.25">
      <c r="C4862"/>
    </row>
    <row r="4863" spans="3:3" x14ac:dyDescent="0.25">
      <c r="C4863"/>
    </row>
    <row r="4864" spans="3:3" x14ac:dyDescent="0.25">
      <c r="C4864"/>
    </row>
    <row r="4865" spans="3:3" x14ac:dyDescent="0.25">
      <c r="C4865"/>
    </row>
    <row r="4866" spans="3:3" x14ac:dyDescent="0.25">
      <c r="C4866"/>
    </row>
    <row r="4867" spans="3:3" x14ac:dyDescent="0.25">
      <c r="C4867"/>
    </row>
    <row r="4868" spans="3:3" x14ac:dyDescent="0.25">
      <c r="C4868"/>
    </row>
    <row r="4869" spans="3:3" x14ac:dyDescent="0.25">
      <c r="C4869"/>
    </row>
    <row r="4870" spans="3:3" x14ac:dyDescent="0.25">
      <c r="C4870"/>
    </row>
    <row r="4871" spans="3:3" x14ac:dyDescent="0.25">
      <c r="C4871"/>
    </row>
    <row r="4872" spans="3:3" x14ac:dyDescent="0.25">
      <c r="C4872"/>
    </row>
    <row r="4873" spans="3:3" x14ac:dyDescent="0.25">
      <c r="C4873"/>
    </row>
    <row r="4874" spans="3:3" x14ac:dyDescent="0.25">
      <c r="C4874"/>
    </row>
    <row r="4875" spans="3:3" x14ac:dyDescent="0.25">
      <c r="C4875"/>
    </row>
    <row r="4876" spans="3:3" x14ac:dyDescent="0.25">
      <c r="C4876"/>
    </row>
    <row r="4877" spans="3:3" x14ac:dyDescent="0.25">
      <c r="C4877"/>
    </row>
    <row r="4878" spans="3:3" x14ac:dyDescent="0.25">
      <c r="C4878"/>
    </row>
    <row r="4879" spans="3:3" x14ac:dyDescent="0.25">
      <c r="C4879"/>
    </row>
    <row r="4880" spans="3:3" x14ac:dyDescent="0.25">
      <c r="C4880"/>
    </row>
    <row r="4881" spans="3:3" x14ac:dyDescent="0.25">
      <c r="C4881"/>
    </row>
    <row r="4882" spans="3:3" x14ac:dyDescent="0.25">
      <c r="C4882"/>
    </row>
    <row r="4883" spans="3:3" x14ac:dyDescent="0.25">
      <c r="C4883"/>
    </row>
    <row r="4884" spans="3:3" x14ac:dyDescent="0.25">
      <c r="C4884"/>
    </row>
    <row r="4885" spans="3:3" x14ac:dyDescent="0.25">
      <c r="C4885"/>
    </row>
    <row r="4886" spans="3:3" x14ac:dyDescent="0.25">
      <c r="C4886"/>
    </row>
    <row r="4887" spans="3:3" x14ac:dyDescent="0.25">
      <c r="C4887"/>
    </row>
    <row r="4888" spans="3:3" x14ac:dyDescent="0.25">
      <c r="C4888"/>
    </row>
    <row r="4889" spans="3:3" x14ac:dyDescent="0.25">
      <c r="C4889"/>
    </row>
    <row r="4890" spans="3:3" x14ac:dyDescent="0.25">
      <c r="C4890"/>
    </row>
    <row r="4891" spans="3:3" x14ac:dyDescent="0.25">
      <c r="C4891"/>
    </row>
    <row r="4892" spans="3:3" x14ac:dyDescent="0.25">
      <c r="C4892"/>
    </row>
    <row r="4893" spans="3:3" x14ac:dyDescent="0.25">
      <c r="C4893"/>
    </row>
    <row r="4894" spans="3:3" x14ac:dyDescent="0.25">
      <c r="C4894"/>
    </row>
    <row r="4895" spans="3:3" x14ac:dyDescent="0.25">
      <c r="C4895"/>
    </row>
    <row r="4896" spans="3:3" x14ac:dyDescent="0.25">
      <c r="C4896"/>
    </row>
    <row r="4897" spans="3:3" x14ac:dyDescent="0.25">
      <c r="C4897"/>
    </row>
    <row r="4898" spans="3:3" x14ac:dyDescent="0.25">
      <c r="C4898"/>
    </row>
    <row r="4899" spans="3:3" x14ac:dyDescent="0.25">
      <c r="C4899"/>
    </row>
    <row r="4900" spans="3:3" x14ac:dyDescent="0.25">
      <c r="C4900"/>
    </row>
    <row r="4901" spans="3:3" x14ac:dyDescent="0.25">
      <c r="C4901"/>
    </row>
    <row r="4902" spans="3:3" x14ac:dyDescent="0.25">
      <c r="C4902"/>
    </row>
    <row r="4903" spans="3:3" x14ac:dyDescent="0.25">
      <c r="C4903"/>
    </row>
    <row r="4904" spans="3:3" x14ac:dyDescent="0.25">
      <c r="C4904"/>
    </row>
    <row r="4905" spans="3:3" x14ac:dyDescent="0.25">
      <c r="C4905"/>
    </row>
    <row r="4906" spans="3:3" x14ac:dyDescent="0.25">
      <c r="C4906"/>
    </row>
    <row r="4907" spans="3:3" x14ac:dyDescent="0.25">
      <c r="C4907"/>
    </row>
    <row r="4908" spans="3:3" x14ac:dyDescent="0.25">
      <c r="C4908"/>
    </row>
    <row r="4909" spans="3:3" x14ac:dyDescent="0.25">
      <c r="C4909"/>
    </row>
    <row r="4910" spans="3:3" x14ac:dyDescent="0.25">
      <c r="C4910"/>
    </row>
    <row r="4911" spans="3:3" x14ac:dyDescent="0.25">
      <c r="C4911"/>
    </row>
    <row r="4912" spans="3:3" x14ac:dyDescent="0.25">
      <c r="C4912"/>
    </row>
    <row r="4913" spans="3:3" x14ac:dyDescent="0.25">
      <c r="C4913"/>
    </row>
    <row r="4914" spans="3:3" x14ac:dyDescent="0.25">
      <c r="C4914"/>
    </row>
    <row r="4915" spans="3:3" x14ac:dyDescent="0.25">
      <c r="C4915"/>
    </row>
    <row r="4916" spans="3:3" x14ac:dyDescent="0.25">
      <c r="C4916"/>
    </row>
    <row r="4917" spans="3:3" x14ac:dyDescent="0.25">
      <c r="C4917"/>
    </row>
    <row r="4918" spans="3:3" x14ac:dyDescent="0.25">
      <c r="C4918"/>
    </row>
    <row r="4919" spans="3:3" x14ac:dyDescent="0.25">
      <c r="C4919"/>
    </row>
    <row r="4920" spans="3:3" x14ac:dyDescent="0.25">
      <c r="C4920"/>
    </row>
    <row r="4921" spans="3:3" x14ac:dyDescent="0.25">
      <c r="C4921"/>
    </row>
    <row r="4922" spans="3:3" x14ac:dyDescent="0.25">
      <c r="C4922"/>
    </row>
    <row r="4923" spans="3:3" x14ac:dyDescent="0.25">
      <c r="C4923"/>
    </row>
    <row r="4924" spans="3:3" x14ac:dyDescent="0.25">
      <c r="C4924"/>
    </row>
    <row r="4925" spans="3:3" x14ac:dyDescent="0.25">
      <c r="C4925"/>
    </row>
    <row r="4926" spans="3:3" x14ac:dyDescent="0.25">
      <c r="C4926"/>
    </row>
    <row r="4927" spans="3:3" x14ac:dyDescent="0.25">
      <c r="C4927"/>
    </row>
    <row r="4928" spans="3:3" x14ac:dyDescent="0.25">
      <c r="C4928"/>
    </row>
    <row r="4929" spans="3:3" x14ac:dyDescent="0.25">
      <c r="C4929"/>
    </row>
    <row r="4930" spans="3:3" x14ac:dyDescent="0.25">
      <c r="C4930"/>
    </row>
    <row r="4931" spans="3:3" x14ac:dyDescent="0.25">
      <c r="C4931"/>
    </row>
    <row r="4932" spans="3:3" x14ac:dyDescent="0.25">
      <c r="C4932"/>
    </row>
    <row r="4933" spans="3:3" x14ac:dyDescent="0.25">
      <c r="C4933"/>
    </row>
    <row r="4934" spans="3:3" x14ac:dyDescent="0.25">
      <c r="C4934"/>
    </row>
    <row r="4935" spans="3:3" x14ac:dyDescent="0.25">
      <c r="C4935"/>
    </row>
    <row r="4936" spans="3:3" x14ac:dyDescent="0.25">
      <c r="C4936"/>
    </row>
    <row r="4937" spans="3:3" x14ac:dyDescent="0.25">
      <c r="C4937"/>
    </row>
    <row r="4938" spans="3:3" x14ac:dyDescent="0.25">
      <c r="C4938"/>
    </row>
    <row r="4939" spans="3:3" x14ac:dyDescent="0.25">
      <c r="C4939"/>
    </row>
    <row r="4940" spans="3:3" x14ac:dyDescent="0.25">
      <c r="C4940"/>
    </row>
    <row r="4941" spans="3:3" x14ac:dyDescent="0.25">
      <c r="C4941"/>
    </row>
    <row r="4942" spans="3:3" x14ac:dyDescent="0.25">
      <c r="C4942"/>
    </row>
    <row r="4943" spans="3:3" x14ac:dyDescent="0.25">
      <c r="C4943"/>
    </row>
    <row r="4944" spans="3:3" x14ac:dyDescent="0.25">
      <c r="C4944"/>
    </row>
    <row r="4945" spans="3:3" x14ac:dyDescent="0.25">
      <c r="C4945"/>
    </row>
    <row r="4946" spans="3:3" x14ac:dyDescent="0.25">
      <c r="C4946"/>
    </row>
    <row r="4947" spans="3:3" x14ac:dyDescent="0.25">
      <c r="C4947"/>
    </row>
    <row r="4948" spans="3:3" x14ac:dyDescent="0.25">
      <c r="C4948"/>
    </row>
    <row r="4949" spans="3:3" x14ac:dyDescent="0.25">
      <c r="C4949"/>
    </row>
    <row r="4950" spans="3:3" x14ac:dyDescent="0.25">
      <c r="C4950"/>
    </row>
    <row r="4951" spans="3:3" x14ac:dyDescent="0.25">
      <c r="C4951"/>
    </row>
    <row r="4952" spans="3:3" x14ac:dyDescent="0.25">
      <c r="C4952"/>
    </row>
    <row r="4953" spans="3:3" x14ac:dyDescent="0.25">
      <c r="C4953"/>
    </row>
    <row r="4954" spans="3:3" x14ac:dyDescent="0.25">
      <c r="C4954"/>
    </row>
    <row r="4955" spans="3:3" x14ac:dyDescent="0.25">
      <c r="C4955"/>
    </row>
    <row r="4956" spans="3:3" x14ac:dyDescent="0.25">
      <c r="C4956"/>
    </row>
    <row r="4957" spans="3:3" x14ac:dyDescent="0.25">
      <c r="C4957"/>
    </row>
    <row r="4958" spans="3:3" x14ac:dyDescent="0.25">
      <c r="C4958"/>
    </row>
    <row r="4959" spans="3:3" x14ac:dyDescent="0.25">
      <c r="C4959"/>
    </row>
    <row r="4960" spans="3:3" x14ac:dyDescent="0.25">
      <c r="C4960"/>
    </row>
    <row r="4961" spans="3:3" x14ac:dyDescent="0.25">
      <c r="C4961"/>
    </row>
    <row r="4962" spans="3:3" x14ac:dyDescent="0.25">
      <c r="C4962"/>
    </row>
    <row r="4963" spans="3:3" x14ac:dyDescent="0.25">
      <c r="C4963"/>
    </row>
    <row r="4964" spans="3:3" x14ac:dyDescent="0.25">
      <c r="C4964"/>
    </row>
    <row r="4965" spans="3:3" x14ac:dyDescent="0.25">
      <c r="C4965"/>
    </row>
    <row r="4966" spans="3:3" x14ac:dyDescent="0.25">
      <c r="C4966"/>
    </row>
    <row r="4967" spans="3:3" x14ac:dyDescent="0.25">
      <c r="C4967"/>
    </row>
    <row r="4968" spans="3:3" x14ac:dyDescent="0.25">
      <c r="C4968"/>
    </row>
    <row r="4969" spans="3:3" x14ac:dyDescent="0.25">
      <c r="C4969"/>
    </row>
    <row r="4970" spans="3:3" x14ac:dyDescent="0.25">
      <c r="C4970"/>
    </row>
    <row r="4971" spans="3:3" x14ac:dyDescent="0.25">
      <c r="C4971"/>
    </row>
    <row r="4972" spans="3:3" x14ac:dyDescent="0.25">
      <c r="C4972"/>
    </row>
    <row r="4973" spans="3:3" x14ac:dyDescent="0.25">
      <c r="C4973"/>
    </row>
    <row r="4974" spans="3:3" x14ac:dyDescent="0.25">
      <c r="C4974"/>
    </row>
    <row r="4975" spans="3:3" x14ac:dyDescent="0.25">
      <c r="C4975"/>
    </row>
    <row r="4976" spans="3:3" x14ac:dyDescent="0.25">
      <c r="C4976"/>
    </row>
    <row r="4977" spans="3:3" x14ac:dyDescent="0.25">
      <c r="C4977"/>
    </row>
    <row r="4978" spans="3:3" x14ac:dyDescent="0.25">
      <c r="C4978"/>
    </row>
    <row r="4979" spans="3:3" x14ac:dyDescent="0.25">
      <c r="C4979"/>
    </row>
    <row r="4980" spans="3:3" x14ac:dyDescent="0.25">
      <c r="C4980"/>
    </row>
    <row r="4981" spans="3:3" x14ac:dyDescent="0.25">
      <c r="C4981"/>
    </row>
    <row r="4982" spans="3:3" x14ac:dyDescent="0.25">
      <c r="C4982"/>
    </row>
    <row r="4983" spans="3:3" x14ac:dyDescent="0.25">
      <c r="C4983"/>
    </row>
    <row r="4984" spans="3:3" x14ac:dyDescent="0.25">
      <c r="C4984"/>
    </row>
    <row r="4985" spans="3:3" x14ac:dyDescent="0.25">
      <c r="C4985"/>
    </row>
    <row r="4986" spans="3:3" x14ac:dyDescent="0.25">
      <c r="C4986"/>
    </row>
    <row r="4987" spans="3:3" x14ac:dyDescent="0.25">
      <c r="C4987"/>
    </row>
    <row r="4988" spans="3:3" x14ac:dyDescent="0.25">
      <c r="C4988"/>
    </row>
    <row r="4989" spans="3:3" x14ac:dyDescent="0.25">
      <c r="C4989"/>
    </row>
    <row r="4990" spans="3:3" x14ac:dyDescent="0.25">
      <c r="C4990"/>
    </row>
    <row r="4991" spans="3:3" x14ac:dyDescent="0.25">
      <c r="C4991"/>
    </row>
    <row r="4992" spans="3:3" x14ac:dyDescent="0.25">
      <c r="C4992"/>
    </row>
    <row r="4993" spans="3:3" x14ac:dyDescent="0.25">
      <c r="C4993"/>
    </row>
    <row r="4994" spans="3:3" x14ac:dyDescent="0.25">
      <c r="C4994"/>
    </row>
    <row r="4995" spans="3:3" x14ac:dyDescent="0.25">
      <c r="C4995"/>
    </row>
    <row r="4996" spans="3:3" x14ac:dyDescent="0.25">
      <c r="C4996"/>
    </row>
    <row r="4997" spans="3:3" x14ac:dyDescent="0.25">
      <c r="C4997"/>
    </row>
    <row r="4998" spans="3:3" x14ac:dyDescent="0.25">
      <c r="C4998"/>
    </row>
    <row r="4999" spans="3:3" x14ac:dyDescent="0.25">
      <c r="C4999"/>
    </row>
    <row r="5000" spans="3:3" x14ac:dyDescent="0.25">
      <c r="C5000"/>
    </row>
    <row r="5001" spans="3:3" x14ac:dyDescent="0.25">
      <c r="C5001"/>
    </row>
    <row r="5002" spans="3:3" x14ac:dyDescent="0.25">
      <c r="C5002"/>
    </row>
    <row r="5003" spans="3:3" x14ac:dyDescent="0.25">
      <c r="C5003"/>
    </row>
    <row r="5004" spans="3:3" x14ac:dyDescent="0.25">
      <c r="C5004"/>
    </row>
    <row r="5005" spans="3:3" x14ac:dyDescent="0.25">
      <c r="C5005"/>
    </row>
    <row r="5006" spans="3:3" x14ac:dyDescent="0.25">
      <c r="C5006"/>
    </row>
    <row r="5007" spans="3:3" x14ac:dyDescent="0.25">
      <c r="C5007"/>
    </row>
    <row r="5008" spans="3:3" x14ac:dyDescent="0.25">
      <c r="C5008"/>
    </row>
    <row r="5009" spans="3:3" x14ac:dyDescent="0.25">
      <c r="C5009"/>
    </row>
    <row r="5010" spans="3:3" x14ac:dyDescent="0.25">
      <c r="C5010"/>
    </row>
    <row r="5011" spans="3:3" x14ac:dyDescent="0.25">
      <c r="C5011"/>
    </row>
    <row r="5012" spans="3:3" x14ac:dyDescent="0.25">
      <c r="C5012"/>
    </row>
    <row r="5013" spans="3:3" x14ac:dyDescent="0.25">
      <c r="C5013"/>
    </row>
    <row r="5014" spans="3:3" x14ac:dyDescent="0.25">
      <c r="C5014"/>
    </row>
    <row r="5015" spans="3:3" x14ac:dyDescent="0.25">
      <c r="C5015"/>
    </row>
    <row r="5016" spans="3:3" x14ac:dyDescent="0.25">
      <c r="C5016"/>
    </row>
    <row r="5017" spans="3:3" x14ac:dyDescent="0.25">
      <c r="C5017"/>
    </row>
    <row r="5018" spans="3:3" x14ac:dyDescent="0.25">
      <c r="C5018"/>
    </row>
    <row r="5019" spans="3:3" x14ac:dyDescent="0.25">
      <c r="C5019"/>
    </row>
    <row r="5020" spans="3:3" x14ac:dyDescent="0.25">
      <c r="C5020"/>
    </row>
    <row r="5021" spans="3:3" x14ac:dyDescent="0.25">
      <c r="C5021"/>
    </row>
    <row r="5022" spans="3:3" x14ac:dyDescent="0.25">
      <c r="C5022"/>
    </row>
    <row r="5023" spans="3:3" x14ac:dyDescent="0.25">
      <c r="C5023"/>
    </row>
    <row r="5024" spans="3:3" x14ac:dyDescent="0.25">
      <c r="C5024"/>
    </row>
    <row r="5025" spans="3:3" x14ac:dyDescent="0.25">
      <c r="C5025"/>
    </row>
    <row r="5026" spans="3:3" x14ac:dyDescent="0.25">
      <c r="C5026"/>
    </row>
    <row r="5027" spans="3:3" x14ac:dyDescent="0.25">
      <c r="C5027"/>
    </row>
    <row r="5028" spans="3:3" x14ac:dyDescent="0.25">
      <c r="C5028"/>
    </row>
    <row r="5029" spans="3:3" x14ac:dyDescent="0.25">
      <c r="C5029"/>
    </row>
    <row r="5030" spans="3:3" x14ac:dyDescent="0.25">
      <c r="C5030"/>
    </row>
    <row r="5031" spans="3:3" x14ac:dyDescent="0.25">
      <c r="C5031"/>
    </row>
    <row r="5032" spans="3:3" x14ac:dyDescent="0.25">
      <c r="C5032"/>
    </row>
    <row r="5033" spans="3:3" x14ac:dyDescent="0.25">
      <c r="C5033"/>
    </row>
    <row r="5034" spans="3:3" x14ac:dyDescent="0.25">
      <c r="C5034"/>
    </row>
    <row r="5035" spans="3:3" x14ac:dyDescent="0.25">
      <c r="C5035"/>
    </row>
    <row r="5036" spans="3:3" x14ac:dyDescent="0.25">
      <c r="C5036"/>
    </row>
    <row r="5037" spans="3:3" x14ac:dyDescent="0.25">
      <c r="C5037"/>
    </row>
    <row r="5038" spans="3:3" x14ac:dyDescent="0.25">
      <c r="C5038"/>
    </row>
    <row r="5039" spans="3:3" x14ac:dyDescent="0.25">
      <c r="C5039"/>
    </row>
    <row r="5040" spans="3:3" x14ac:dyDescent="0.25">
      <c r="C5040"/>
    </row>
    <row r="5041" spans="3:3" x14ac:dyDescent="0.25">
      <c r="C5041"/>
    </row>
    <row r="5042" spans="3:3" x14ac:dyDescent="0.25">
      <c r="C5042"/>
    </row>
    <row r="5043" spans="3:3" x14ac:dyDescent="0.25">
      <c r="C5043"/>
    </row>
    <row r="5044" spans="3:3" x14ac:dyDescent="0.25">
      <c r="C5044"/>
    </row>
    <row r="5045" spans="3:3" x14ac:dyDescent="0.25">
      <c r="C5045"/>
    </row>
    <row r="5046" spans="3:3" x14ac:dyDescent="0.25">
      <c r="C5046"/>
    </row>
    <row r="5047" spans="3:3" x14ac:dyDescent="0.25">
      <c r="C5047"/>
    </row>
    <row r="5048" spans="3:3" x14ac:dyDescent="0.25">
      <c r="C5048"/>
    </row>
    <row r="5049" spans="3:3" x14ac:dyDescent="0.25">
      <c r="C5049"/>
    </row>
    <row r="5050" spans="3:3" x14ac:dyDescent="0.25">
      <c r="C5050"/>
    </row>
    <row r="5051" spans="3:3" x14ac:dyDescent="0.25">
      <c r="C5051"/>
    </row>
    <row r="5052" spans="3:3" x14ac:dyDescent="0.25">
      <c r="C5052"/>
    </row>
    <row r="5053" spans="3:3" x14ac:dyDescent="0.25">
      <c r="C5053"/>
    </row>
    <row r="5054" spans="3:3" x14ac:dyDescent="0.25">
      <c r="C5054"/>
    </row>
    <row r="5055" spans="3:3" x14ac:dyDescent="0.25">
      <c r="C5055"/>
    </row>
    <row r="5056" spans="3:3" x14ac:dyDescent="0.25">
      <c r="C5056"/>
    </row>
    <row r="5057" spans="3:3" x14ac:dyDescent="0.25">
      <c r="C5057"/>
    </row>
    <row r="5058" spans="3:3" x14ac:dyDescent="0.25">
      <c r="C5058"/>
    </row>
    <row r="5059" spans="3:3" x14ac:dyDescent="0.25">
      <c r="C5059"/>
    </row>
    <row r="5060" spans="3:3" x14ac:dyDescent="0.25">
      <c r="C5060"/>
    </row>
    <row r="5061" spans="3:3" x14ac:dyDescent="0.25">
      <c r="C5061"/>
    </row>
    <row r="5062" spans="3:3" x14ac:dyDescent="0.25">
      <c r="C5062"/>
    </row>
    <row r="5063" spans="3:3" x14ac:dyDescent="0.25">
      <c r="C5063"/>
    </row>
    <row r="5064" spans="3:3" x14ac:dyDescent="0.25">
      <c r="C5064"/>
    </row>
    <row r="5065" spans="3:3" x14ac:dyDescent="0.25">
      <c r="C5065"/>
    </row>
    <row r="5066" spans="3:3" x14ac:dyDescent="0.25">
      <c r="C5066"/>
    </row>
    <row r="5067" spans="3:3" x14ac:dyDescent="0.25">
      <c r="C5067"/>
    </row>
    <row r="5068" spans="3:3" x14ac:dyDescent="0.25">
      <c r="C5068"/>
    </row>
    <row r="5069" spans="3:3" x14ac:dyDescent="0.25">
      <c r="C5069"/>
    </row>
    <row r="5070" spans="3:3" x14ac:dyDescent="0.25">
      <c r="C5070"/>
    </row>
    <row r="5071" spans="3:3" x14ac:dyDescent="0.25">
      <c r="C5071"/>
    </row>
    <row r="5072" spans="3:3" x14ac:dyDescent="0.25">
      <c r="C5072"/>
    </row>
    <row r="5073" spans="3:3" x14ac:dyDescent="0.25">
      <c r="C5073"/>
    </row>
    <row r="5074" spans="3:3" x14ac:dyDescent="0.25">
      <c r="C5074"/>
    </row>
    <row r="5075" spans="3:3" x14ac:dyDescent="0.25">
      <c r="C5075"/>
    </row>
    <row r="5076" spans="3:3" x14ac:dyDescent="0.25">
      <c r="C5076"/>
    </row>
    <row r="5077" spans="3:3" x14ac:dyDescent="0.25">
      <c r="C5077"/>
    </row>
    <row r="5078" spans="3:3" x14ac:dyDescent="0.25">
      <c r="C5078"/>
    </row>
    <row r="5079" spans="3:3" x14ac:dyDescent="0.25">
      <c r="C5079"/>
    </row>
    <row r="5080" spans="3:3" x14ac:dyDescent="0.25">
      <c r="C5080"/>
    </row>
    <row r="5081" spans="3:3" x14ac:dyDescent="0.25">
      <c r="C5081"/>
    </row>
    <row r="5082" spans="3:3" x14ac:dyDescent="0.25">
      <c r="C5082"/>
    </row>
    <row r="5083" spans="3:3" x14ac:dyDescent="0.25">
      <c r="C5083"/>
    </row>
    <row r="5084" spans="3:3" x14ac:dyDescent="0.25">
      <c r="C5084"/>
    </row>
    <row r="5085" spans="3:3" x14ac:dyDescent="0.25">
      <c r="C5085"/>
    </row>
    <row r="5086" spans="3:3" x14ac:dyDescent="0.25">
      <c r="C5086"/>
    </row>
    <row r="5087" spans="3:3" x14ac:dyDescent="0.25">
      <c r="C5087"/>
    </row>
    <row r="5088" spans="3:3" x14ac:dyDescent="0.25">
      <c r="C5088"/>
    </row>
    <row r="5089" spans="3:3" x14ac:dyDescent="0.25">
      <c r="C5089"/>
    </row>
    <row r="5090" spans="3:3" x14ac:dyDescent="0.25">
      <c r="C5090"/>
    </row>
    <row r="5091" spans="3:3" x14ac:dyDescent="0.25">
      <c r="C5091"/>
    </row>
    <row r="5092" spans="3:3" x14ac:dyDescent="0.25">
      <c r="C5092"/>
    </row>
    <row r="5093" spans="3:3" x14ac:dyDescent="0.25">
      <c r="C5093"/>
    </row>
    <row r="5094" spans="3:3" x14ac:dyDescent="0.25">
      <c r="C5094"/>
    </row>
    <row r="5095" spans="3:3" x14ac:dyDescent="0.25">
      <c r="C5095"/>
    </row>
    <row r="5096" spans="3:3" x14ac:dyDescent="0.25">
      <c r="C5096"/>
    </row>
    <row r="5097" spans="3:3" x14ac:dyDescent="0.25">
      <c r="C5097"/>
    </row>
    <row r="5098" spans="3:3" x14ac:dyDescent="0.25">
      <c r="C5098"/>
    </row>
    <row r="5099" spans="3:3" x14ac:dyDescent="0.25">
      <c r="C5099"/>
    </row>
    <row r="5100" spans="3:3" x14ac:dyDescent="0.25">
      <c r="C5100"/>
    </row>
    <row r="5101" spans="3:3" x14ac:dyDescent="0.25">
      <c r="C5101"/>
    </row>
    <row r="5102" spans="3:3" x14ac:dyDescent="0.25">
      <c r="C5102"/>
    </row>
    <row r="5103" spans="3:3" x14ac:dyDescent="0.25">
      <c r="C5103"/>
    </row>
    <row r="5104" spans="3:3" x14ac:dyDescent="0.25">
      <c r="C5104"/>
    </row>
    <row r="5105" spans="3:3" x14ac:dyDescent="0.25">
      <c r="C5105"/>
    </row>
    <row r="5106" spans="3:3" x14ac:dyDescent="0.25">
      <c r="C5106"/>
    </row>
    <row r="5107" spans="3:3" x14ac:dyDescent="0.25">
      <c r="C5107"/>
    </row>
    <row r="5108" spans="3:3" x14ac:dyDescent="0.25">
      <c r="C5108"/>
    </row>
    <row r="5109" spans="3:3" x14ac:dyDescent="0.25">
      <c r="C5109"/>
    </row>
    <row r="5110" spans="3:3" x14ac:dyDescent="0.25">
      <c r="C5110"/>
    </row>
    <row r="5111" spans="3:3" x14ac:dyDescent="0.25">
      <c r="C5111"/>
    </row>
    <row r="5112" spans="3:3" x14ac:dyDescent="0.25">
      <c r="C5112"/>
    </row>
    <row r="5113" spans="3:3" x14ac:dyDescent="0.25">
      <c r="C5113"/>
    </row>
    <row r="5114" spans="3:3" x14ac:dyDescent="0.25">
      <c r="C5114"/>
    </row>
    <row r="5115" spans="3:3" x14ac:dyDescent="0.25">
      <c r="C5115"/>
    </row>
    <row r="5116" spans="3:3" x14ac:dyDescent="0.25">
      <c r="C5116"/>
    </row>
    <row r="5117" spans="3:3" x14ac:dyDescent="0.25">
      <c r="C5117"/>
    </row>
    <row r="5118" spans="3:3" x14ac:dyDescent="0.25">
      <c r="C5118"/>
    </row>
    <row r="5119" spans="3:3" x14ac:dyDescent="0.25">
      <c r="C5119"/>
    </row>
    <row r="5120" spans="3:3" x14ac:dyDescent="0.25">
      <c r="C5120"/>
    </row>
    <row r="5121" spans="3:3" x14ac:dyDescent="0.25">
      <c r="C5121"/>
    </row>
    <row r="5122" spans="3:3" x14ac:dyDescent="0.25">
      <c r="C5122"/>
    </row>
    <row r="5123" spans="3:3" x14ac:dyDescent="0.25">
      <c r="C5123"/>
    </row>
    <row r="5124" spans="3:3" x14ac:dyDescent="0.25">
      <c r="C5124"/>
    </row>
    <row r="5125" spans="3:3" x14ac:dyDescent="0.25">
      <c r="C5125"/>
    </row>
    <row r="5126" spans="3:3" x14ac:dyDescent="0.25">
      <c r="C5126"/>
    </row>
    <row r="5127" spans="3:3" x14ac:dyDescent="0.25">
      <c r="C5127"/>
    </row>
    <row r="5128" spans="3:3" x14ac:dyDescent="0.25">
      <c r="C5128"/>
    </row>
    <row r="5129" spans="3:3" x14ac:dyDescent="0.25">
      <c r="C5129"/>
    </row>
    <row r="5130" spans="3:3" x14ac:dyDescent="0.25">
      <c r="C5130"/>
    </row>
    <row r="5131" spans="3:3" x14ac:dyDescent="0.25">
      <c r="C5131"/>
    </row>
    <row r="5132" spans="3:3" x14ac:dyDescent="0.25">
      <c r="C5132"/>
    </row>
    <row r="5133" spans="3:3" x14ac:dyDescent="0.25">
      <c r="C5133"/>
    </row>
    <row r="5134" spans="3:3" x14ac:dyDescent="0.25">
      <c r="C5134"/>
    </row>
    <row r="5135" spans="3:3" x14ac:dyDescent="0.25">
      <c r="C5135"/>
    </row>
    <row r="5136" spans="3:3" x14ac:dyDescent="0.25">
      <c r="C5136"/>
    </row>
    <row r="5137" spans="3:3" x14ac:dyDescent="0.25">
      <c r="C5137"/>
    </row>
    <row r="5138" spans="3:3" x14ac:dyDescent="0.25">
      <c r="C5138"/>
    </row>
    <row r="5139" spans="3:3" x14ac:dyDescent="0.25">
      <c r="C5139"/>
    </row>
    <row r="5140" spans="3:3" x14ac:dyDescent="0.25">
      <c r="C5140"/>
    </row>
    <row r="5141" spans="3:3" x14ac:dyDescent="0.25">
      <c r="C5141"/>
    </row>
    <row r="5142" spans="3:3" x14ac:dyDescent="0.25">
      <c r="C5142"/>
    </row>
    <row r="5143" spans="3:3" x14ac:dyDescent="0.25">
      <c r="C5143"/>
    </row>
    <row r="5144" spans="3:3" x14ac:dyDescent="0.25">
      <c r="C5144"/>
    </row>
    <row r="5145" spans="3:3" x14ac:dyDescent="0.25">
      <c r="C5145"/>
    </row>
    <row r="5146" spans="3:3" x14ac:dyDescent="0.25">
      <c r="C5146"/>
    </row>
    <row r="5147" spans="3:3" x14ac:dyDescent="0.25">
      <c r="C5147"/>
    </row>
    <row r="5148" spans="3:3" x14ac:dyDescent="0.25">
      <c r="C5148"/>
    </row>
    <row r="5149" spans="3:3" x14ac:dyDescent="0.25">
      <c r="C5149"/>
    </row>
    <row r="5150" spans="3:3" x14ac:dyDescent="0.25">
      <c r="C5150"/>
    </row>
    <row r="5151" spans="3:3" x14ac:dyDescent="0.25">
      <c r="C5151"/>
    </row>
    <row r="5152" spans="3:3" x14ac:dyDescent="0.25">
      <c r="C5152"/>
    </row>
    <row r="5153" spans="3:3" x14ac:dyDescent="0.25">
      <c r="C5153"/>
    </row>
    <row r="5154" spans="3:3" x14ac:dyDescent="0.25">
      <c r="C5154"/>
    </row>
    <row r="5155" spans="3:3" x14ac:dyDescent="0.25">
      <c r="C5155"/>
    </row>
    <row r="5156" spans="3:3" x14ac:dyDescent="0.25">
      <c r="C5156"/>
    </row>
    <row r="5157" spans="3:3" x14ac:dyDescent="0.25">
      <c r="C5157"/>
    </row>
    <row r="5158" spans="3:3" x14ac:dyDescent="0.25">
      <c r="C5158"/>
    </row>
    <row r="5159" spans="3:3" x14ac:dyDescent="0.25">
      <c r="C5159"/>
    </row>
    <row r="5160" spans="3:3" x14ac:dyDescent="0.25">
      <c r="C5160"/>
    </row>
    <row r="5161" spans="3:3" x14ac:dyDescent="0.25">
      <c r="C5161"/>
    </row>
    <row r="5162" spans="3:3" x14ac:dyDescent="0.25">
      <c r="C5162"/>
    </row>
    <row r="5163" spans="3:3" x14ac:dyDescent="0.25">
      <c r="C5163"/>
    </row>
    <row r="5164" spans="3:3" x14ac:dyDescent="0.25">
      <c r="C5164"/>
    </row>
    <row r="5165" spans="3:3" x14ac:dyDescent="0.25">
      <c r="C5165"/>
    </row>
    <row r="5166" spans="3:3" x14ac:dyDescent="0.25">
      <c r="C5166"/>
    </row>
    <row r="5167" spans="3:3" x14ac:dyDescent="0.25">
      <c r="C5167"/>
    </row>
    <row r="5168" spans="3:3" x14ac:dyDescent="0.25">
      <c r="C5168"/>
    </row>
    <row r="5169" spans="3:3" x14ac:dyDescent="0.25">
      <c r="C5169"/>
    </row>
    <row r="5170" spans="3:3" x14ac:dyDescent="0.25">
      <c r="C5170"/>
    </row>
    <row r="5171" spans="3:3" x14ac:dyDescent="0.25">
      <c r="C5171"/>
    </row>
    <row r="5172" spans="3:3" x14ac:dyDescent="0.25">
      <c r="C5172"/>
    </row>
    <row r="5173" spans="3:3" x14ac:dyDescent="0.25">
      <c r="C5173"/>
    </row>
    <row r="5174" spans="3:3" x14ac:dyDescent="0.25">
      <c r="C5174"/>
    </row>
    <row r="5175" spans="3:3" x14ac:dyDescent="0.25">
      <c r="C5175"/>
    </row>
    <row r="5176" spans="3:3" x14ac:dyDescent="0.25">
      <c r="C5176"/>
    </row>
    <row r="5177" spans="3:3" x14ac:dyDescent="0.25">
      <c r="C5177"/>
    </row>
    <row r="5178" spans="3:3" x14ac:dyDescent="0.25">
      <c r="C5178"/>
    </row>
    <row r="5179" spans="3:3" x14ac:dyDescent="0.25">
      <c r="C5179"/>
    </row>
    <row r="5180" spans="3:3" x14ac:dyDescent="0.25">
      <c r="C5180"/>
    </row>
    <row r="5181" spans="3:3" x14ac:dyDescent="0.25">
      <c r="C5181"/>
    </row>
    <row r="5182" spans="3:3" x14ac:dyDescent="0.25">
      <c r="C5182"/>
    </row>
    <row r="5183" spans="3:3" x14ac:dyDescent="0.25">
      <c r="C5183"/>
    </row>
    <row r="5184" spans="3:3" x14ac:dyDescent="0.25">
      <c r="C5184"/>
    </row>
    <row r="5185" spans="3:3" x14ac:dyDescent="0.25">
      <c r="C5185"/>
    </row>
    <row r="5186" spans="3:3" x14ac:dyDescent="0.25">
      <c r="C5186"/>
    </row>
    <row r="5187" spans="3:3" x14ac:dyDescent="0.25">
      <c r="C5187"/>
    </row>
    <row r="5188" spans="3:3" x14ac:dyDescent="0.25">
      <c r="C5188"/>
    </row>
    <row r="5189" spans="3:3" x14ac:dyDescent="0.25">
      <c r="C5189"/>
    </row>
    <row r="5190" spans="3:3" x14ac:dyDescent="0.25">
      <c r="C5190"/>
    </row>
    <row r="5191" spans="3:3" x14ac:dyDescent="0.25">
      <c r="C5191"/>
    </row>
    <row r="5192" spans="3:3" x14ac:dyDescent="0.25">
      <c r="C5192"/>
    </row>
    <row r="5193" spans="3:3" x14ac:dyDescent="0.25">
      <c r="C5193"/>
    </row>
    <row r="5194" spans="3:3" x14ac:dyDescent="0.25">
      <c r="C5194"/>
    </row>
    <row r="5195" spans="3:3" x14ac:dyDescent="0.25">
      <c r="C5195"/>
    </row>
    <row r="5196" spans="3:3" x14ac:dyDescent="0.25">
      <c r="C5196"/>
    </row>
    <row r="5197" spans="3:3" x14ac:dyDescent="0.25">
      <c r="C5197"/>
    </row>
    <row r="5198" spans="3:3" x14ac:dyDescent="0.25">
      <c r="C5198"/>
    </row>
    <row r="5199" spans="3:3" x14ac:dyDescent="0.25">
      <c r="C5199"/>
    </row>
    <row r="5200" spans="3:3" x14ac:dyDescent="0.25">
      <c r="C5200"/>
    </row>
    <row r="5201" spans="3:3" x14ac:dyDescent="0.25">
      <c r="C5201"/>
    </row>
    <row r="5202" spans="3:3" x14ac:dyDescent="0.25">
      <c r="C5202"/>
    </row>
    <row r="5203" spans="3:3" x14ac:dyDescent="0.25">
      <c r="C5203"/>
    </row>
    <row r="5204" spans="3:3" x14ac:dyDescent="0.25">
      <c r="C5204"/>
    </row>
    <row r="5205" spans="3:3" x14ac:dyDescent="0.25">
      <c r="C5205"/>
    </row>
    <row r="5206" spans="3:3" x14ac:dyDescent="0.25">
      <c r="C5206"/>
    </row>
    <row r="5207" spans="3:3" x14ac:dyDescent="0.25">
      <c r="C5207"/>
    </row>
    <row r="5208" spans="3:3" x14ac:dyDescent="0.25">
      <c r="C5208"/>
    </row>
    <row r="5209" spans="3:3" x14ac:dyDescent="0.25">
      <c r="C5209"/>
    </row>
    <row r="5210" spans="3:3" x14ac:dyDescent="0.25">
      <c r="C5210"/>
    </row>
    <row r="5211" spans="3:3" x14ac:dyDescent="0.25">
      <c r="C5211"/>
    </row>
    <row r="5212" spans="3:3" x14ac:dyDescent="0.25">
      <c r="C5212"/>
    </row>
    <row r="5213" spans="3:3" x14ac:dyDescent="0.25">
      <c r="C5213"/>
    </row>
    <row r="5214" spans="3:3" x14ac:dyDescent="0.25">
      <c r="C5214"/>
    </row>
    <row r="5215" spans="3:3" x14ac:dyDescent="0.25">
      <c r="C5215"/>
    </row>
    <row r="5216" spans="3:3" x14ac:dyDescent="0.25">
      <c r="C5216"/>
    </row>
    <row r="5217" spans="3:3" x14ac:dyDescent="0.25">
      <c r="C5217"/>
    </row>
    <row r="5218" spans="3:3" x14ac:dyDescent="0.25">
      <c r="C5218"/>
    </row>
    <row r="5219" spans="3:3" x14ac:dyDescent="0.25">
      <c r="C5219"/>
    </row>
    <row r="5220" spans="3:3" x14ac:dyDescent="0.25">
      <c r="C5220"/>
    </row>
    <row r="5221" spans="3:3" x14ac:dyDescent="0.25">
      <c r="C5221"/>
    </row>
    <row r="5222" spans="3:3" x14ac:dyDescent="0.25">
      <c r="C5222"/>
    </row>
    <row r="5223" spans="3:3" x14ac:dyDescent="0.25">
      <c r="C5223"/>
    </row>
    <row r="5224" spans="3:3" x14ac:dyDescent="0.25">
      <c r="C5224"/>
    </row>
    <row r="5225" spans="3:3" x14ac:dyDescent="0.25">
      <c r="C5225"/>
    </row>
    <row r="5226" spans="3:3" x14ac:dyDescent="0.25">
      <c r="C5226"/>
    </row>
    <row r="5227" spans="3:3" x14ac:dyDescent="0.25">
      <c r="C5227"/>
    </row>
    <row r="5228" spans="3:3" x14ac:dyDescent="0.25">
      <c r="C5228"/>
    </row>
    <row r="5229" spans="3:3" x14ac:dyDescent="0.25">
      <c r="C5229"/>
    </row>
    <row r="5230" spans="3:3" x14ac:dyDescent="0.25">
      <c r="C5230"/>
    </row>
    <row r="5231" spans="3:3" x14ac:dyDescent="0.25">
      <c r="C5231"/>
    </row>
    <row r="5232" spans="3:3" x14ac:dyDescent="0.25">
      <c r="C5232"/>
    </row>
    <row r="5233" spans="3:3" x14ac:dyDescent="0.25">
      <c r="C5233"/>
    </row>
    <row r="5234" spans="3:3" x14ac:dyDescent="0.25">
      <c r="C5234"/>
    </row>
    <row r="5235" spans="3:3" x14ac:dyDescent="0.25">
      <c r="C5235"/>
    </row>
    <row r="5236" spans="3:3" x14ac:dyDescent="0.25">
      <c r="C5236"/>
    </row>
    <row r="5237" spans="3:3" x14ac:dyDescent="0.25">
      <c r="C5237"/>
    </row>
    <row r="5238" spans="3:3" x14ac:dyDescent="0.25">
      <c r="C5238"/>
    </row>
    <row r="5239" spans="3:3" x14ac:dyDescent="0.25">
      <c r="C5239"/>
    </row>
    <row r="5240" spans="3:3" x14ac:dyDescent="0.25">
      <c r="C5240"/>
    </row>
    <row r="5241" spans="3:3" x14ac:dyDescent="0.25">
      <c r="C5241"/>
    </row>
    <row r="5242" spans="3:3" x14ac:dyDescent="0.25">
      <c r="C5242"/>
    </row>
    <row r="5243" spans="3:3" x14ac:dyDescent="0.25">
      <c r="C5243"/>
    </row>
    <row r="5244" spans="3:3" x14ac:dyDescent="0.25">
      <c r="C5244"/>
    </row>
    <row r="5245" spans="3:3" x14ac:dyDescent="0.25">
      <c r="C5245"/>
    </row>
    <row r="5246" spans="3:3" x14ac:dyDescent="0.25">
      <c r="C5246"/>
    </row>
    <row r="5247" spans="3:3" x14ac:dyDescent="0.25">
      <c r="C5247"/>
    </row>
    <row r="5248" spans="3:3" x14ac:dyDescent="0.25">
      <c r="C5248"/>
    </row>
    <row r="5249" spans="3:3" x14ac:dyDescent="0.25">
      <c r="C5249"/>
    </row>
    <row r="5250" spans="3:3" x14ac:dyDescent="0.25">
      <c r="C5250"/>
    </row>
    <row r="5251" spans="3:3" x14ac:dyDescent="0.25">
      <c r="C5251"/>
    </row>
    <row r="5252" spans="3:3" x14ac:dyDescent="0.25">
      <c r="C5252"/>
    </row>
    <row r="5253" spans="3:3" x14ac:dyDescent="0.25">
      <c r="C5253"/>
    </row>
    <row r="5254" spans="3:3" x14ac:dyDescent="0.25">
      <c r="C5254"/>
    </row>
    <row r="5255" spans="3:3" x14ac:dyDescent="0.25">
      <c r="C5255"/>
    </row>
    <row r="5256" spans="3:3" x14ac:dyDescent="0.25">
      <c r="C5256"/>
    </row>
    <row r="5257" spans="3:3" x14ac:dyDescent="0.25">
      <c r="C5257"/>
    </row>
    <row r="5258" spans="3:3" x14ac:dyDescent="0.25">
      <c r="C5258"/>
    </row>
    <row r="5259" spans="3:3" x14ac:dyDescent="0.25">
      <c r="C5259"/>
    </row>
    <row r="5260" spans="3:3" x14ac:dyDescent="0.25">
      <c r="C5260"/>
    </row>
    <row r="5261" spans="3:3" x14ac:dyDescent="0.25">
      <c r="C5261"/>
    </row>
    <row r="5262" spans="3:3" x14ac:dyDescent="0.25">
      <c r="C5262"/>
    </row>
    <row r="5263" spans="3:3" x14ac:dyDescent="0.25">
      <c r="C5263"/>
    </row>
    <row r="5264" spans="3:3" x14ac:dyDescent="0.25">
      <c r="C5264"/>
    </row>
    <row r="5265" spans="3:3" x14ac:dyDescent="0.25">
      <c r="C5265"/>
    </row>
    <row r="5266" spans="3:3" x14ac:dyDescent="0.25">
      <c r="C5266"/>
    </row>
    <row r="5267" spans="3:3" x14ac:dyDescent="0.25">
      <c r="C5267"/>
    </row>
    <row r="5268" spans="3:3" x14ac:dyDescent="0.25">
      <c r="C5268"/>
    </row>
    <row r="5269" spans="3:3" x14ac:dyDescent="0.25">
      <c r="C5269"/>
    </row>
    <row r="5270" spans="3:3" x14ac:dyDescent="0.25">
      <c r="C5270"/>
    </row>
    <row r="5271" spans="3:3" x14ac:dyDescent="0.25">
      <c r="C5271"/>
    </row>
    <row r="5272" spans="3:3" x14ac:dyDescent="0.25">
      <c r="C5272"/>
    </row>
    <row r="5273" spans="3:3" x14ac:dyDescent="0.25">
      <c r="C5273"/>
    </row>
    <row r="5274" spans="3:3" x14ac:dyDescent="0.25">
      <c r="C5274"/>
    </row>
    <row r="5275" spans="3:3" x14ac:dyDescent="0.25">
      <c r="C5275"/>
    </row>
    <row r="5276" spans="3:3" x14ac:dyDescent="0.25">
      <c r="C5276"/>
    </row>
    <row r="5277" spans="3:3" x14ac:dyDescent="0.25">
      <c r="C5277"/>
    </row>
    <row r="5278" spans="3:3" x14ac:dyDescent="0.25">
      <c r="C5278"/>
    </row>
    <row r="5279" spans="3:3" x14ac:dyDescent="0.25">
      <c r="C5279"/>
    </row>
    <row r="5280" spans="3:3" x14ac:dyDescent="0.25">
      <c r="C5280"/>
    </row>
    <row r="5281" spans="3:3" x14ac:dyDescent="0.25">
      <c r="C5281"/>
    </row>
    <row r="5282" spans="3:3" x14ac:dyDescent="0.25">
      <c r="C5282"/>
    </row>
    <row r="5283" spans="3:3" x14ac:dyDescent="0.25">
      <c r="C5283"/>
    </row>
    <row r="5284" spans="3:3" x14ac:dyDescent="0.25">
      <c r="C5284"/>
    </row>
    <row r="5285" spans="3:3" x14ac:dyDescent="0.25">
      <c r="C5285"/>
    </row>
    <row r="5286" spans="3:3" x14ac:dyDescent="0.25">
      <c r="C5286"/>
    </row>
    <row r="5287" spans="3:3" x14ac:dyDescent="0.25">
      <c r="C5287"/>
    </row>
    <row r="5288" spans="3:3" x14ac:dyDescent="0.25">
      <c r="C5288"/>
    </row>
    <row r="5289" spans="3:3" x14ac:dyDescent="0.25">
      <c r="C5289"/>
    </row>
    <row r="5290" spans="3:3" x14ac:dyDescent="0.25">
      <c r="C5290"/>
    </row>
    <row r="5291" spans="3:3" x14ac:dyDescent="0.25">
      <c r="C5291"/>
    </row>
    <row r="5292" spans="3:3" x14ac:dyDescent="0.25">
      <c r="C5292"/>
    </row>
    <row r="5293" spans="3:3" x14ac:dyDescent="0.25">
      <c r="C5293"/>
    </row>
    <row r="5294" spans="3:3" x14ac:dyDescent="0.25">
      <c r="C5294"/>
    </row>
    <row r="5295" spans="3:3" x14ac:dyDescent="0.25">
      <c r="C5295"/>
    </row>
    <row r="5296" spans="3:3" x14ac:dyDescent="0.25">
      <c r="C5296"/>
    </row>
    <row r="5297" spans="3:3" x14ac:dyDescent="0.25">
      <c r="C5297"/>
    </row>
    <row r="5298" spans="3:3" x14ac:dyDescent="0.25">
      <c r="C5298"/>
    </row>
    <row r="5299" spans="3:3" x14ac:dyDescent="0.25">
      <c r="C5299"/>
    </row>
    <row r="5300" spans="3:3" x14ac:dyDescent="0.25">
      <c r="C5300"/>
    </row>
    <row r="5301" spans="3:3" x14ac:dyDescent="0.25">
      <c r="C5301"/>
    </row>
    <row r="5302" spans="3:3" x14ac:dyDescent="0.25">
      <c r="C5302"/>
    </row>
    <row r="5303" spans="3:3" x14ac:dyDescent="0.25">
      <c r="C5303"/>
    </row>
    <row r="5304" spans="3:3" x14ac:dyDescent="0.25">
      <c r="C5304"/>
    </row>
    <row r="5305" spans="3:3" x14ac:dyDescent="0.25">
      <c r="C5305"/>
    </row>
    <row r="5306" spans="3:3" x14ac:dyDescent="0.25">
      <c r="C5306"/>
    </row>
    <row r="5307" spans="3:3" x14ac:dyDescent="0.25">
      <c r="C5307"/>
    </row>
    <row r="5308" spans="3:3" x14ac:dyDescent="0.25">
      <c r="C5308"/>
    </row>
    <row r="5309" spans="3:3" x14ac:dyDescent="0.25">
      <c r="C5309"/>
    </row>
    <row r="5310" spans="3:3" x14ac:dyDescent="0.25">
      <c r="C5310"/>
    </row>
    <row r="5311" spans="3:3" x14ac:dyDescent="0.25">
      <c r="C5311"/>
    </row>
    <row r="5312" spans="3:3" x14ac:dyDescent="0.25">
      <c r="C5312"/>
    </row>
    <row r="5313" spans="3:3" x14ac:dyDescent="0.25">
      <c r="C5313"/>
    </row>
    <row r="5314" spans="3:3" x14ac:dyDescent="0.25">
      <c r="C5314"/>
    </row>
    <row r="5315" spans="3:3" x14ac:dyDescent="0.25">
      <c r="C5315"/>
    </row>
    <row r="5316" spans="3:3" x14ac:dyDescent="0.25">
      <c r="C5316"/>
    </row>
    <row r="5317" spans="3:3" x14ac:dyDescent="0.25">
      <c r="C5317"/>
    </row>
    <row r="5318" spans="3:3" x14ac:dyDescent="0.25">
      <c r="C5318"/>
    </row>
    <row r="5319" spans="3:3" x14ac:dyDescent="0.25">
      <c r="C5319"/>
    </row>
    <row r="5320" spans="3:3" x14ac:dyDescent="0.25">
      <c r="C5320"/>
    </row>
    <row r="5321" spans="3:3" x14ac:dyDescent="0.25">
      <c r="C5321"/>
    </row>
    <row r="5322" spans="3:3" x14ac:dyDescent="0.25">
      <c r="C5322"/>
    </row>
    <row r="5323" spans="3:3" x14ac:dyDescent="0.25">
      <c r="C5323"/>
    </row>
    <row r="5324" spans="3:3" x14ac:dyDescent="0.25">
      <c r="C5324"/>
    </row>
    <row r="5325" spans="3:3" x14ac:dyDescent="0.25">
      <c r="C5325"/>
    </row>
    <row r="5326" spans="3:3" x14ac:dyDescent="0.25">
      <c r="C5326"/>
    </row>
    <row r="5327" spans="3:3" x14ac:dyDescent="0.25">
      <c r="C5327"/>
    </row>
    <row r="5328" spans="3:3" x14ac:dyDescent="0.25">
      <c r="C5328"/>
    </row>
    <row r="5329" spans="3:3" x14ac:dyDescent="0.25">
      <c r="C5329"/>
    </row>
    <row r="5330" spans="3:3" x14ac:dyDescent="0.25">
      <c r="C5330"/>
    </row>
    <row r="5331" spans="3:3" x14ac:dyDescent="0.25">
      <c r="C5331"/>
    </row>
    <row r="5332" spans="3:3" x14ac:dyDescent="0.25">
      <c r="C5332"/>
    </row>
    <row r="5333" spans="3:3" x14ac:dyDescent="0.25">
      <c r="C5333"/>
    </row>
    <row r="5334" spans="3:3" x14ac:dyDescent="0.25">
      <c r="C5334"/>
    </row>
    <row r="5335" spans="3:3" x14ac:dyDescent="0.25">
      <c r="C5335"/>
    </row>
    <row r="5336" spans="3:3" x14ac:dyDescent="0.25">
      <c r="C5336"/>
    </row>
    <row r="5337" spans="3:3" x14ac:dyDescent="0.25">
      <c r="C5337"/>
    </row>
    <row r="5338" spans="3:3" x14ac:dyDescent="0.25">
      <c r="C5338"/>
    </row>
    <row r="5339" spans="3:3" x14ac:dyDescent="0.25">
      <c r="C5339"/>
    </row>
    <row r="5340" spans="3:3" x14ac:dyDescent="0.25">
      <c r="C5340"/>
    </row>
    <row r="5341" spans="3:3" x14ac:dyDescent="0.25">
      <c r="C5341"/>
    </row>
    <row r="5342" spans="3:3" x14ac:dyDescent="0.25">
      <c r="C5342"/>
    </row>
    <row r="5343" spans="3:3" x14ac:dyDescent="0.25">
      <c r="C5343"/>
    </row>
    <row r="5344" spans="3:3" x14ac:dyDescent="0.25">
      <c r="C5344"/>
    </row>
    <row r="5345" spans="3:3" x14ac:dyDescent="0.25">
      <c r="C5345"/>
    </row>
    <row r="5346" spans="3:3" x14ac:dyDescent="0.25">
      <c r="C5346"/>
    </row>
    <row r="5347" spans="3:3" x14ac:dyDescent="0.25">
      <c r="C5347"/>
    </row>
    <row r="5348" spans="3:3" x14ac:dyDescent="0.25">
      <c r="C5348"/>
    </row>
    <row r="5349" spans="3:3" x14ac:dyDescent="0.25">
      <c r="C5349"/>
    </row>
    <row r="5350" spans="3:3" x14ac:dyDescent="0.25">
      <c r="C5350"/>
    </row>
    <row r="5351" spans="3:3" x14ac:dyDescent="0.25">
      <c r="C5351"/>
    </row>
    <row r="5352" spans="3:3" x14ac:dyDescent="0.25">
      <c r="C5352"/>
    </row>
    <row r="5353" spans="3:3" x14ac:dyDescent="0.25">
      <c r="C5353"/>
    </row>
    <row r="5354" spans="3:3" x14ac:dyDescent="0.25">
      <c r="C5354"/>
    </row>
    <row r="5355" spans="3:3" x14ac:dyDescent="0.25">
      <c r="C5355"/>
    </row>
    <row r="5356" spans="3:3" x14ac:dyDescent="0.25">
      <c r="C5356"/>
    </row>
    <row r="5357" spans="3:3" x14ac:dyDescent="0.25">
      <c r="C5357"/>
    </row>
    <row r="5358" spans="3:3" x14ac:dyDescent="0.25">
      <c r="C5358"/>
    </row>
    <row r="5359" spans="3:3" x14ac:dyDescent="0.25">
      <c r="C5359"/>
    </row>
    <row r="5360" spans="3:3" x14ac:dyDescent="0.25">
      <c r="C5360"/>
    </row>
    <row r="5361" spans="3:3" x14ac:dyDescent="0.25">
      <c r="C5361"/>
    </row>
    <row r="5362" spans="3:3" x14ac:dyDescent="0.25">
      <c r="C5362"/>
    </row>
    <row r="5363" spans="3:3" x14ac:dyDescent="0.25">
      <c r="C5363"/>
    </row>
    <row r="5364" spans="3:3" x14ac:dyDescent="0.25">
      <c r="C5364"/>
    </row>
    <row r="5365" spans="3:3" x14ac:dyDescent="0.25">
      <c r="C5365"/>
    </row>
    <row r="5366" spans="3:3" x14ac:dyDescent="0.25">
      <c r="C5366"/>
    </row>
    <row r="5367" spans="3:3" x14ac:dyDescent="0.25">
      <c r="C5367"/>
    </row>
    <row r="5368" spans="3:3" x14ac:dyDescent="0.25">
      <c r="C5368"/>
    </row>
    <row r="5369" spans="3:3" x14ac:dyDescent="0.25">
      <c r="C5369"/>
    </row>
    <row r="5370" spans="3:3" x14ac:dyDescent="0.25">
      <c r="C5370"/>
    </row>
    <row r="5371" spans="3:3" x14ac:dyDescent="0.25">
      <c r="C5371"/>
    </row>
    <row r="5372" spans="3:3" x14ac:dyDescent="0.25">
      <c r="C5372"/>
    </row>
    <row r="5373" spans="3:3" x14ac:dyDescent="0.25">
      <c r="C5373"/>
    </row>
    <row r="5374" spans="3:3" x14ac:dyDescent="0.25">
      <c r="C5374"/>
    </row>
    <row r="5375" spans="3:3" x14ac:dyDescent="0.25">
      <c r="C5375"/>
    </row>
    <row r="5376" spans="3:3" x14ac:dyDescent="0.25">
      <c r="C5376"/>
    </row>
    <row r="5377" spans="3:3" x14ac:dyDescent="0.25">
      <c r="C5377"/>
    </row>
    <row r="5378" spans="3:3" x14ac:dyDescent="0.25">
      <c r="C5378"/>
    </row>
    <row r="5379" spans="3:3" x14ac:dyDescent="0.25">
      <c r="C5379"/>
    </row>
    <row r="5380" spans="3:3" x14ac:dyDescent="0.25">
      <c r="C5380"/>
    </row>
    <row r="5381" spans="3:3" x14ac:dyDescent="0.25">
      <c r="C5381"/>
    </row>
    <row r="5382" spans="3:3" x14ac:dyDescent="0.25">
      <c r="C5382"/>
    </row>
    <row r="5383" spans="3:3" x14ac:dyDescent="0.25">
      <c r="C5383"/>
    </row>
    <row r="5384" spans="3:3" x14ac:dyDescent="0.25">
      <c r="C5384"/>
    </row>
    <row r="5385" spans="3:3" x14ac:dyDescent="0.25">
      <c r="C5385"/>
    </row>
    <row r="5386" spans="3:3" x14ac:dyDescent="0.25">
      <c r="C5386"/>
    </row>
    <row r="5387" spans="3:3" x14ac:dyDescent="0.25">
      <c r="C5387"/>
    </row>
    <row r="5388" spans="3:3" x14ac:dyDescent="0.25">
      <c r="C5388"/>
    </row>
    <row r="5389" spans="3:3" x14ac:dyDescent="0.25">
      <c r="C5389"/>
    </row>
    <row r="5390" spans="3:3" x14ac:dyDescent="0.25">
      <c r="C5390"/>
    </row>
    <row r="5391" spans="3:3" x14ac:dyDescent="0.25">
      <c r="C5391"/>
    </row>
    <row r="5392" spans="3:3" x14ac:dyDescent="0.25">
      <c r="C5392"/>
    </row>
    <row r="5393" spans="3:3" x14ac:dyDescent="0.25">
      <c r="C5393"/>
    </row>
    <row r="5394" spans="3:3" x14ac:dyDescent="0.25">
      <c r="C5394"/>
    </row>
    <row r="5395" spans="3:3" x14ac:dyDescent="0.25">
      <c r="C5395"/>
    </row>
    <row r="5396" spans="3:3" x14ac:dyDescent="0.25">
      <c r="C5396"/>
    </row>
    <row r="5397" spans="3:3" x14ac:dyDescent="0.25">
      <c r="C5397"/>
    </row>
    <row r="5398" spans="3:3" x14ac:dyDescent="0.25">
      <c r="C5398"/>
    </row>
    <row r="5399" spans="3:3" x14ac:dyDescent="0.25">
      <c r="C5399"/>
    </row>
    <row r="5400" spans="3:3" x14ac:dyDescent="0.25">
      <c r="C5400"/>
    </row>
    <row r="5401" spans="3:3" x14ac:dyDescent="0.25">
      <c r="C5401"/>
    </row>
    <row r="5402" spans="3:3" x14ac:dyDescent="0.25">
      <c r="C5402"/>
    </row>
    <row r="5403" spans="3:3" x14ac:dyDescent="0.25">
      <c r="C5403"/>
    </row>
    <row r="5404" spans="3:3" x14ac:dyDescent="0.25">
      <c r="C5404"/>
    </row>
    <row r="5405" spans="3:3" x14ac:dyDescent="0.25">
      <c r="C5405"/>
    </row>
    <row r="5406" spans="3:3" x14ac:dyDescent="0.25">
      <c r="C5406"/>
    </row>
    <row r="5407" spans="3:3" x14ac:dyDescent="0.25">
      <c r="C5407"/>
    </row>
    <row r="5408" spans="3:3" x14ac:dyDescent="0.25">
      <c r="C5408"/>
    </row>
    <row r="5409" spans="3:3" x14ac:dyDescent="0.25">
      <c r="C5409"/>
    </row>
    <row r="5410" spans="3:3" x14ac:dyDescent="0.25">
      <c r="C5410"/>
    </row>
    <row r="5411" spans="3:3" x14ac:dyDescent="0.25">
      <c r="C5411"/>
    </row>
    <row r="5412" spans="3:3" x14ac:dyDescent="0.25">
      <c r="C5412"/>
    </row>
    <row r="5413" spans="3:3" x14ac:dyDescent="0.25">
      <c r="C5413"/>
    </row>
    <row r="5414" spans="3:3" x14ac:dyDescent="0.25">
      <c r="C5414"/>
    </row>
    <row r="5415" spans="3:3" x14ac:dyDescent="0.25">
      <c r="C5415"/>
    </row>
    <row r="5416" spans="3:3" x14ac:dyDescent="0.25">
      <c r="C5416"/>
    </row>
    <row r="5417" spans="3:3" x14ac:dyDescent="0.25">
      <c r="C5417"/>
    </row>
    <row r="5418" spans="3:3" x14ac:dyDescent="0.25">
      <c r="C5418"/>
    </row>
    <row r="5419" spans="3:3" x14ac:dyDescent="0.25">
      <c r="C5419"/>
    </row>
    <row r="5420" spans="3:3" x14ac:dyDescent="0.25">
      <c r="C5420"/>
    </row>
    <row r="5421" spans="3:3" x14ac:dyDescent="0.25">
      <c r="C5421"/>
    </row>
    <row r="5422" spans="3:3" x14ac:dyDescent="0.25">
      <c r="C5422"/>
    </row>
    <row r="5423" spans="3:3" x14ac:dyDescent="0.25">
      <c r="C5423"/>
    </row>
    <row r="5424" spans="3:3" x14ac:dyDescent="0.25">
      <c r="C5424"/>
    </row>
    <row r="5425" spans="3:3" x14ac:dyDescent="0.25">
      <c r="C5425"/>
    </row>
    <row r="5426" spans="3:3" x14ac:dyDescent="0.25">
      <c r="C5426"/>
    </row>
    <row r="5427" spans="3:3" x14ac:dyDescent="0.25">
      <c r="C5427"/>
    </row>
    <row r="5428" spans="3:3" x14ac:dyDescent="0.25">
      <c r="C5428"/>
    </row>
    <row r="5429" spans="3:3" x14ac:dyDescent="0.25">
      <c r="C5429"/>
    </row>
    <row r="5430" spans="3:3" x14ac:dyDescent="0.25">
      <c r="C5430"/>
    </row>
    <row r="5431" spans="3:3" x14ac:dyDescent="0.25">
      <c r="C5431"/>
    </row>
    <row r="5432" spans="3:3" x14ac:dyDescent="0.25">
      <c r="C5432"/>
    </row>
    <row r="5433" spans="3:3" x14ac:dyDescent="0.25">
      <c r="C5433"/>
    </row>
    <row r="5434" spans="3:3" x14ac:dyDescent="0.25">
      <c r="C5434"/>
    </row>
    <row r="5435" spans="3:3" x14ac:dyDescent="0.25">
      <c r="C5435"/>
    </row>
    <row r="5436" spans="3:3" x14ac:dyDescent="0.25">
      <c r="C5436"/>
    </row>
    <row r="5437" spans="3:3" x14ac:dyDescent="0.25">
      <c r="C5437"/>
    </row>
    <row r="5438" spans="3:3" x14ac:dyDescent="0.25">
      <c r="C5438"/>
    </row>
    <row r="5439" spans="3:3" x14ac:dyDescent="0.25">
      <c r="C5439"/>
    </row>
    <row r="5440" spans="3:3" x14ac:dyDescent="0.25">
      <c r="C5440"/>
    </row>
    <row r="5441" spans="3:3" x14ac:dyDescent="0.25">
      <c r="C5441"/>
    </row>
    <row r="5442" spans="3:3" x14ac:dyDescent="0.25">
      <c r="C5442"/>
    </row>
    <row r="5443" spans="3:3" x14ac:dyDescent="0.25">
      <c r="C5443"/>
    </row>
    <row r="5444" spans="3:3" x14ac:dyDescent="0.25">
      <c r="C5444"/>
    </row>
    <row r="5445" spans="3:3" x14ac:dyDescent="0.25">
      <c r="C5445"/>
    </row>
    <row r="5446" spans="3:3" x14ac:dyDescent="0.25">
      <c r="C5446"/>
    </row>
    <row r="5447" spans="3:3" x14ac:dyDescent="0.25">
      <c r="C5447"/>
    </row>
    <row r="5448" spans="3:3" x14ac:dyDescent="0.25">
      <c r="C5448"/>
    </row>
    <row r="5449" spans="3:3" x14ac:dyDescent="0.25">
      <c r="C5449"/>
    </row>
    <row r="5450" spans="3:3" x14ac:dyDescent="0.25">
      <c r="C5450"/>
    </row>
    <row r="5451" spans="3:3" x14ac:dyDescent="0.25">
      <c r="C5451"/>
    </row>
    <row r="5452" spans="3:3" x14ac:dyDescent="0.25">
      <c r="C5452"/>
    </row>
    <row r="5453" spans="3:3" x14ac:dyDescent="0.25">
      <c r="C5453"/>
    </row>
    <row r="5454" spans="3:3" x14ac:dyDescent="0.25">
      <c r="C5454"/>
    </row>
    <row r="5455" spans="3:3" x14ac:dyDescent="0.25">
      <c r="C5455"/>
    </row>
    <row r="5456" spans="3:3" x14ac:dyDescent="0.25">
      <c r="C5456"/>
    </row>
    <row r="5457" spans="3:3" x14ac:dyDescent="0.25">
      <c r="C5457"/>
    </row>
    <row r="5458" spans="3:3" x14ac:dyDescent="0.25">
      <c r="C5458"/>
    </row>
    <row r="5459" spans="3:3" x14ac:dyDescent="0.25">
      <c r="C5459"/>
    </row>
    <row r="5460" spans="3:3" x14ac:dyDescent="0.25">
      <c r="C5460"/>
    </row>
    <row r="5461" spans="3:3" x14ac:dyDescent="0.25">
      <c r="C5461"/>
    </row>
    <row r="5462" spans="3:3" x14ac:dyDescent="0.25">
      <c r="C5462"/>
    </row>
    <row r="5463" spans="3:3" x14ac:dyDescent="0.25">
      <c r="C5463"/>
    </row>
    <row r="5464" spans="3:3" x14ac:dyDescent="0.25">
      <c r="C5464"/>
    </row>
    <row r="5465" spans="3:3" x14ac:dyDescent="0.25">
      <c r="C5465"/>
    </row>
    <row r="5466" spans="3:3" x14ac:dyDescent="0.25">
      <c r="C5466"/>
    </row>
    <row r="5467" spans="3:3" x14ac:dyDescent="0.25">
      <c r="C5467"/>
    </row>
    <row r="5468" spans="3:3" x14ac:dyDescent="0.25">
      <c r="C5468"/>
    </row>
    <row r="5469" spans="3:3" x14ac:dyDescent="0.25">
      <c r="C5469"/>
    </row>
    <row r="5470" spans="3:3" x14ac:dyDescent="0.25">
      <c r="C5470"/>
    </row>
    <row r="5471" spans="3:3" x14ac:dyDescent="0.25">
      <c r="C5471"/>
    </row>
    <row r="5472" spans="3:3" x14ac:dyDescent="0.25">
      <c r="C5472"/>
    </row>
    <row r="5473" spans="3:3" x14ac:dyDescent="0.25">
      <c r="C5473"/>
    </row>
    <row r="5474" spans="3:3" x14ac:dyDescent="0.25">
      <c r="C5474"/>
    </row>
    <row r="5475" spans="3:3" x14ac:dyDescent="0.25">
      <c r="C5475"/>
    </row>
    <row r="5476" spans="3:3" x14ac:dyDescent="0.25">
      <c r="C5476"/>
    </row>
    <row r="5477" spans="3:3" x14ac:dyDescent="0.25">
      <c r="C5477"/>
    </row>
    <row r="5478" spans="3:3" x14ac:dyDescent="0.25">
      <c r="C5478"/>
    </row>
    <row r="5479" spans="3:3" x14ac:dyDescent="0.25">
      <c r="C5479"/>
    </row>
    <row r="5480" spans="3:3" x14ac:dyDescent="0.25">
      <c r="C5480"/>
    </row>
    <row r="5481" spans="3:3" x14ac:dyDescent="0.25">
      <c r="C5481"/>
    </row>
    <row r="5482" spans="3:3" x14ac:dyDescent="0.25">
      <c r="C5482"/>
    </row>
    <row r="5483" spans="3:3" x14ac:dyDescent="0.25">
      <c r="C5483"/>
    </row>
    <row r="5484" spans="3:3" x14ac:dyDescent="0.25">
      <c r="C5484"/>
    </row>
    <row r="5485" spans="3:3" x14ac:dyDescent="0.25">
      <c r="C5485"/>
    </row>
    <row r="5486" spans="3:3" x14ac:dyDescent="0.25">
      <c r="C5486"/>
    </row>
    <row r="5487" spans="3:3" x14ac:dyDescent="0.25">
      <c r="C5487"/>
    </row>
    <row r="5488" spans="3:3" x14ac:dyDescent="0.25">
      <c r="C5488"/>
    </row>
    <row r="5489" spans="3:3" x14ac:dyDescent="0.25">
      <c r="C5489"/>
    </row>
    <row r="5490" spans="3:3" x14ac:dyDescent="0.25">
      <c r="C5490"/>
    </row>
    <row r="5491" spans="3:3" x14ac:dyDescent="0.25">
      <c r="C5491"/>
    </row>
    <row r="5492" spans="3:3" x14ac:dyDescent="0.25">
      <c r="C5492"/>
    </row>
    <row r="5493" spans="3:3" x14ac:dyDescent="0.25">
      <c r="C5493"/>
    </row>
    <row r="5494" spans="3:3" x14ac:dyDescent="0.25">
      <c r="C5494"/>
    </row>
    <row r="5495" spans="3:3" x14ac:dyDescent="0.25">
      <c r="C5495"/>
    </row>
    <row r="5496" spans="3:3" x14ac:dyDescent="0.25">
      <c r="C5496"/>
    </row>
    <row r="5497" spans="3:3" x14ac:dyDescent="0.25">
      <c r="C5497"/>
    </row>
    <row r="5498" spans="3:3" x14ac:dyDescent="0.25">
      <c r="C5498"/>
    </row>
    <row r="5499" spans="3:3" x14ac:dyDescent="0.25">
      <c r="C5499"/>
    </row>
    <row r="5500" spans="3:3" x14ac:dyDescent="0.25">
      <c r="C5500"/>
    </row>
    <row r="5501" spans="3:3" x14ac:dyDescent="0.25">
      <c r="C5501"/>
    </row>
    <row r="5502" spans="3:3" x14ac:dyDescent="0.25">
      <c r="C5502"/>
    </row>
    <row r="5503" spans="3:3" x14ac:dyDescent="0.25">
      <c r="C5503"/>
    </row>
    <row r="5504" spans="3:3" x14ac:dyDescent="0.25">
      <c r="C5504"/>
    </row>
    <row r="5505" spans="3:3" x14ac:dyDescent="0.25">
      <c r="C5505"/>
    </row>
    <row r="5506" spans="3:3" x14ac:dyDescent="0.25">
      <c r="C5506"/>
    </row>
    <row r="5507" spans="3:3" x14ac:dyDescent="0.25">
      <c r="C5507"/>
    </row>
    <row r="5508" spans="3:3" x14ac:dyDescent="0.25">
      <c r="C5508"/>
    </row>
    <row r="5509" spans="3:3" x14ac:dyDescent="0.25">
      <c r="C5509"/>
    </row>
    <row r="5510" spans="3:3" x14ac:dyDescent="0.25">
      <c r="C5510"/>
    </row>
    <row r="5511" spans="3:3" x14ac:dyDescent="0.25">
      <c r="C5511"/>
    </row>
    <row r="5512" spans="3:3" x14ac:dyDescent="0.25">
      <c r="C5512"/>
    </row>
    <row r="5513" spans="3:3" x14ac:dyDescent="0.25">
      <c r="C5513"/>
    </row>
    <row r="5514" spans="3:3" x14ac:dyDescent="0.25">
      <c r="C5514"/>
    </row>
    <row r="5515" spans="3:3" x14ac:dyDescent="0.25">
      <c r="C5515"/>
    </row>
    <row r="5516" spans="3:3" x14ac:dyDescent="0.25">
      <c r="C5516"/>
    </row>
    <row r="5517" spans="3:3" x14ac:dyDescent="0.25">
      <c r="C5517"/>
    </row>
    <row r="5518" spans="3:3" x14ac:dyDescent="0.25">
      <c r="C5518"/>
    </row>
    <row r="5519" spans="3:3" x14ac:dyDescent="0.25">
      <c r="C5519"/>
    </row>
    <row r="5520" spans="3:3" x14ac:dyDescent="0.25">
      <c r="C5520"/>
    </row>
    <row r="5521" spans="3:3" x14ac:dyDescent="0.25">
      <c r="C5521"/>
    </row>
    <row r="5522" spans="3:3" x14ac:dyDescent="0.25">
      <c r="C5522"/>
    </row>
    <row r="5523" spans="3:3" x14ac:dyDescent="0.25">
      <c r="C5523"/>
    </row>
    <row r="5524" spans="3:3" x14ac:dyDescent="0.25">
      <c r="C5524"/>
    </row>
    <row r="5525" spans="3:3" x14ac:dyDescent="0.25">
      <c r="C5525"/>
    </row>
    <row r="5526" spans="3:3" x14ac:dyDescent="0.25">
      <c r="C5526"/>
    </row>
    <row r="5527" spans="3:3" x14ac:dyDescent="0.25">
      <c r="C5527"/>
    </row>
    <row r="5528" spans="3:3" x14ac:dyDescent="0.25">
      <c r="C5528"/>
    </row>
    <row r="5529" spans="3:3" x14ac:dyDescent="0.25">
      <c r="C5529"/>
    </row>
    <row r="5530" spans="3:3" x14ac:dyDescent="0.25">
      <c r="C5530"/>
    </row>
    <row r="5531" spans="3:3" x14ac:dyDescent="0.25">
      <c r="C5531"/>
    </row>
    <row r="5532" spans="3:3" x14ac:dyDescent="0.25">
      <c r="C5532"/>
    </row>
    <row r="5533" spans="3:3" x14ac:dyDescent="0.25">
      <c r="C5533"/>
    </row>
    <row r="5534" spans="3:3" x14ac:dyDescent="0.25">
      <c r="C5534"/>
    </row>
    <row r="5535" spans="3:3" x14ac:dyDescent="0.25">
      <c r="C5535"/>
    </row>
    <row r="5536" spans="3:3" x14ac:dyDescent="0.25">
      <c r="C5536"/>
    </row>
    <row r="5537" spans="3:3" x14ac:dyDescent="0.25">
      <c r="C5537"/>
    </row>
    <row r="5538" spans="3:3" x14ac:dyDescent="0.25">
      <c r="C5538"/>
    </row>
    <row r="5539" spans="3:3" x14ac:dyDescent="0.25">
      <c r="C5539"/>
    </row>
    <row r="5540" spans="3:3" x14ac:dyDescent="0.25">
      <c r="C5540"/>
    </row>
    <row r="5541" spans="3:3" x14ac:dyDescent="0.25">
      <c r="C5541"/>
    </row>
    <row r="5542" spans="3:3" x14ac:dyDescent="0.25">
      <c r="C5542"/>
    </row>
    <row r="5543" spans="3:3" x14ac:dyDescent="0.25">
      <c r="C5543"/>
    </row>
    <row r="5544" spans="3:3" x14ac:dyDescent="0.25">
      <c r="C5544"/>
    </row>
    <row r="5545" spans="3:3" x14ac:dyDescent="0.25">
      <c r="C5545"/>
    </row>
    <row r="5546" spans="3:3" x14ac:dyDescent="0.25">
      <c r="C5546"/>
    </row>
    <row r="5547" spans="3:3" x14ac:dyDescent="0.25">
      <c r="C5547"/>
    </row>
    <row r="5548" spans="3:3" x14ac:dyDescent="0.25">
      <c r="C5548"/>
    </row>
    <row r="5549" spans="3:3" x14ac:dyDescent="0.25">
      <c r="C5549"/>
    </row>
    <row r="5550" spans="3:3" x14ac:dyDescent="0.25">
      <c r="C5550"/>
    </row>
    <row r="5551" spans="3:3" x14ac:dyDescent="0.25">
      <c r="C5551"/>
    </row>
    <row r="5552" spans="3:3" x14ac:dyDescent="0.25">
      <c r="C5552"/>
    </row>
    <row r="5553" spans="3:3" x14ac:dyDescent="0.25">
      <c r="C5553"/>
    </row>
    <row r="5554" spans="3:3" x14ac:dyDescent="0.25">
      <c r="C5554"/>
    </row>
    <row r="5555" spans="3:3" x14ac:dyDescent="0.25">
      <c r="C5555"/>
    </row>
    <row r="5556" spans="3:3" x14ac:dyDescent="0.25">
      <c r="C5556"/>
    </row>
    <row r="5557" spans="3:3" x14ac:dyDescent="0.25">
      <c r="C5557"/>
    </row>
    <row r="5558" spans="3:3" x14ac:dyDescent="0.25">
      <c r="C5558"/>
    </row>
    <row r="5559" spans="3:3" x14ac:dyDescent="0.25">
      <c r="C5559"/>
    </row>
    <row r="5560" spans="3:3" x14ac:dyDescent="0.25">
      <c r="C5560"/>
    </row>
    <row r="5561" spans="3:3" x14ac:dyDescent="0.25">
      <c r="C5561"/>
    </row>
    <row r="5562" spans="3:3" x14ac:dyDescent="0.25">
      <c r="C5562"/>
    </row>
    <row r="5563" spans="3:3" x14ac:dyDescent="0.25">
      <c r="C5563"/>
    </row>
    <row r="5564" spans="3:3" x14ac:dyDescent="0.25">
      <c r="C5564"/>
    </row>
    <row r="5565" spans="3:3" x14ac:dyDescent="0.25">
      <c r="C5565"/>
    </row>
    <row r="5566" spans="3:3" x14ac:dyDescent="0.25">
      <c r="C5566"/>
    </row>
    <row r="5567" spans="3:3" x14ac:dyDescent="0.25">
      <c r="C5567"/>
    </row>
    <row r="5568" spans="3:3" x14ac:dyDescent="0.25">
      <c r="C5568"/>
    </row>
    <row r="5569" spans="3:3" x14ac:dyDescent="0.25">
      <c r="C5569"/>
    </row>
    <row r="5570" spans="3:3" x14ac:dyDescent="0.25">
      <c r="C5570"/>
    </row>
    <row r="5571" spans="3:3" x14ac:dyDescent="0.25">
      <c r="C5571"/>
    </row>
    <row r="5572" spans="3:3" x14ac:dyDescent="0.25">
      <c r="C5572"/>
    </row>
    <row r="5573" spans="3:3" x14ac:dyDescent="0.25">
      <c r="C5573"/>
    </row>
    <row r="5574" spans="3:3" x14ac:dyDescent="0.25">
      <c r="C5574"/>
    </row>
    <row r="5575" spans="3:3" x14ac:dyDescent="0.25">
      <c r="C5575"/>
    </row>
    <row r="5576" spans="3:3" x14ac:dyDescent="0.25">
      <c r="C5576"/>
    </row>
    <row r="5577" spans="3:3" x14ac:dyDescent="0.25">
      <c r="C5577"/>
    </row>
    <row r="5578" spans="3:3" x14ac:dyDescent="0.25">
      <c r="C5578"/>
    </row>
    <row r="5579" spans="3:3" x14ac:dyDescent="0.25">
      <c r="C5579"/>
    </row>
    <row r="5580" spans="3:3" x14ac:dyDescent="0.25">
      <c r="C5580"/>
    </row>
    <row r="5581" spans="3:3" x14ac:dyDescent="0.25">
      <c r="C5581"/>
    </row>
    <row r="5582" spans="3:3" x14ac:dyDescent="0.25">
      <c r="C5582"/>
    </row>
    <row r="5583" spans="3:3" x14ac:dyDescent="0.25">
      <c r="C5583"/>
    </row>
    <row r="5584" spans="3:3" x14ac:dyDescent="0.25">
      <c r="C5584"/>
    </row>
    <row r="5585" spans="3:3" x14ac:dyDescent="0.25">
      <c r="C5585"/>
    </row>
    <row r="5586" spans="3:3" x14ac:dyDescent="0.25">
      <c r="C5586"/>
    </row>
    <row r="5587" spans="3:3" x14ac:dyDescent="0.25">
      <c r="C5587"/>
    </row>
    <row r="5588" spans="3:3" x14ac:dyDescent="0.25">
      <c r="C5588"/>
    </row>
    <row r="5589" spans="3:3" x14ac:dyDescent="0.25">
      <c r="C5589"/>
    </row>
    <row r="5590" spans="3:3" x14ac:dyDescent="0.25">
      <c r="C5590"/>
    </row>
    <row r="5591" spans="3:3" x14ac:dyDescent="0.25">
      <c r="C5591"/>
    </row>
    <row r="5592" spans="3:3" x14ac:dyDescent="0.25">
      <c r="C5592"/>
    </row>
    <row r="5593" spans="3:3" x14ac:dyDescent="0.25">
      <c r="C5593"/>
    </row>
    <row r="5594" spans="3:3" x14ac:dyDescent="0.25">
      <c r="C5594"/>
    </row>
    <row r="5595" spans="3:3" x14ac:dyDescent="0.25">
      <c r="C5595"/>
    </row>
    <row r="5596" spans="3:3" x14ac:dyDescent="0.25">
      <c r="C5596"/>
    </row>
    <row r="5597" spans="3:3" x14ac:dyDescent="0.25">
      <c r="C5597"/>
    </row>
    <row r="5598" spans="3:3" x14ac:dyDescent="0.25">
      <c r="C5598"/>
    </row>
    <row r="5599" spans="3:3" x14ac:dyDescent="0.25">
      <c r="C5599"/>
    </row>
    <row r="5600" spans="3:3" x14ac:dyDescent="0.25">
      <c r="C5600"/>
    </row>
    <row r="5601" spans="3:3" x14ac:dyDescent="0.25">
      <c r="C5601"/>
    </row>
    <row r="5602" spans="3:3" x14ac:dyDescent="0.25">
      <c r="C5602"/>
    </row>
    <row r="5603" spans="3:3" x14ac:dyDescent="0.25">
      <c r="C5603"/>
    </row>
    <row r="5604" spans="3:3" x14ac:dyDescent="0.25">
      <c r="C5604"/>
    </row>
    <row r="5605" spans="3:3" x14ac:dyDescent="0.25">
      <c r="C5605"/>
    </row>
    <row r="5606" spans="3:3" x14ac:dyDescent="0.25">
      <c r="C5606"/>
    </row>
    <row r="5607" spans="3:3" x14ac:dyDescent="0.25">
      <c r="C5607"/>
    </row>
    <row r="5608" spans="3:3" x14ac:dyDescent="0.25">
      <c r="C5608"/>
    </row>
    <row r="5609" spans="3:3" x14ac:dyDescent="0.25">
      <c r="C5609"/>
    </row>
    <row r="5610" spans="3:3" x14ac:dyDescent="0.25">
      <c r="C5610"/>
    </row>
    <row r="5611" spans="3:3" x14ac:dyDescent="0.25">
      <c r="C5611"/>
    </row>
    <row r="5612" spans="3:3" x14ac:dyDescent="0.25">
      <c r="C5612"/>
    </row>
    <row r="5613" spans="3:3" x14ac:dyDescent="0.25">
      <c r="C5613"/>
    </row>
    <row r="5614" spans="3:3" x14ac:dyDescent="0.25">
      <c r="C5614"/>
    </row>
    <row r="5615" spans="3:3" x14ac:dyDescent="0.25">
      <c r="C5615"/>
    </row>
    <row r="5616" spans="3:3" x14ac:dyDescent="0.25">
      <c r="C5616"/>
    </row>
    <row r="5617" spans="3:3" x14ac:dyDescent="0.25">
      <c r="C5617"/>
    </row>
    <row r="5618" spans="3:3" x14ac:dyDescent="0.25">
      <c r="C5618"/>
    </row>
    <row r="5619" spans="3:3" x14ac:dyDescent="0.25">
      <c r="C5619"/>
    </row>
    <row r="5620" spans="3:3" x14ac:dyDescent="0.25">
      <c r="C5620"/>
    </row>
    <row r="5621" spans="3:3" x14ac:dyDescent="0.25">
      <c r="C5621"/>
    </row>
    <row r="5622" spans="3:3" x14ac:dyDescent="0.25">
      <c r="C5622"/>
    </row>
    <row r="5623" spans="3:3" x14ac:dyDescent="0.25">
      <c r="C5623"/>
    </row>
    <row r="5624" spans="3:3" x14ac:dyDescent="0.25">
      <c r="C5624"/>
    </row>
    <row r="5625" spans="3:3" x14ac:dyDescent="0.25">
      <c r="C5625"/>
    </row>
    <row r="5626" spans="3:3" x14ac:dyDescent="0.25">
      <c r="C5626"/>
    </row>
    <row r="5627" spans="3:3" x14ac:dyDescent="0.25">
      <c r="C5627"/>
    </row>
    <row r="5628" spans="3:3" x14ac:dyDescent="0.25">
      <c r="C5628"/>
    </row>
    <row r="5629" spans="3:3" x14ac:dyDescent="0.25">
      <c r="C5629"/>
    </row>
    <row r="5630" spans="3:3" x14ac:dyDescent="0.25">
      <c r="C5630"/>
    </row>
    <row r="5631" spans="3:3" x14ac:dyDescent="0.25">
      <c r="C5631"/>
    </row>
    <row r="5632" spans="3:3" x14ac:dyDescent="0.25">
      <c r="C5632"/>
    </row>
    <row r="5633" spans="3:3" x14ac:dyDescent="0.25">
      <c r="C5633"/>
    </row>
    <row r="5634" spans="3:3" x14ac:dyDescent="0.25">
      <c r="C5634"/>
    </row>
    <row r="5635" spans="3:3" x14ac:dyDescent="0.25">
      <c r="C5635"/>
    </row>
    <row r="5636" spans="3:3" x14ac:dyDescent="0.25">
      <c r="C5636"/>
    </row>
    <row r="5637" spans="3:3" x14ac:dyDescent="0.25">
      <c r="C5637"/>
    </row>
    <row r="5638" spans="3:3" x14ac:dyDescent="0.25">
      <c r="C5638"/>
    </row>
    <row r="5639" spans="3:3" x14ac:dyDescent="0.25">
      <c r="C5639"/>
    </row>
    <row r="5640" spans="3:3" x14ac:dyDescent="0.25">
      <c r="C5640"/>
    </row>
    <row r="5641" spans="3:3" x14ac:dyDescent="0.25">
      <c r="C5641"/>
    </row>
    <row r="5642" spans="3:3" x14ac:dyDescent="0.25">
      <c r="C5642"/>
    </row>
    <row r="5643" spans="3:3" x14ac:dyDescent="0.25">
      <c r="C5643"/>
    </row>
    <row r="5644" spans="3:3" x14ac:dyDescent="0.25">
      <c r="C5644"/>
    </row>
    <row r="5645" spans="3:3" x14ac:dyDescent="0.25">
      <c r="C5645"/>
    </row>
    <row r="5646" spans="3:3" x14ac:dyDescent="0.25">
      <c r="C5646"/>
    </row>
    <row r="5647" spans="3:3" x14ac:dyDescent="0.25">
      <c r="C5647"/>
    </row>
    <row r="5648" spans="3:3" x14ac:dyDescent="0.25">
      <c r="C5648"/>
    </row>
    <row r="5649" spans="3:3" x14ac:dyDescent="0.25">
      <c r="C5649"/>
    </row>
    <row r="5650" spans="3:3" x14ac:dyDescent="0.25">
      <c r="C5650"/>
    </row>
    <row r="5651" spans="3:3" x14ac:dyDescent="0.25">
      <c r="C5651"/>
    </row>
    <row r="5652" spans="3:3" x14ac:dyDescent="0.25">
      <c r="C5652"/>
    </row>
    <row r="5653" spans="3:3" x14ac:dyDescent="0.25">
      <c r="C5653"/>
    </row>
    <row r="5654" spans="3:3" x14ac:dyDescent="0.25">
      <c r="C5654"/>
    </row>
    <row r="5655" spans="3:3" x14ac:dyDescent="0.25">
      <c r="C5655"/>
    </row>
    <row r="5656" spans="3:3" x14ac:dyDescent="0.25">
      <c r="C5656"/>
    </row>
    <row r="5657" spans="3:3" x14ac:dyDescent="0.25">
      <c r="C5657"/>
    </row>
    <row r="5658" spans="3:3" x14ac:dyDescent="0.25">
      <c r="C5658"/>
    </row>
    <row r="5659" spans="3:3" x14ac:dyDescent="0.25">
      <c r="C5659"/>
    </row>
    <row r="5660" spans="3:3" x14ac:dyDescent="0.25">
      <c r="C5660"/>
    </row>
    <row r="5661" spans="3:3" x14ac:dyDescent="0.25">
      <c r="C5661"/>
    </row>
    <row r="5662" spans="3:3" x14ac:dyDescent="0.25">
      <c r="C5662"/>
    </row>
    <row r="5663" spans="3:3" x14ac:dyDescent="0.25">
      <c r="C5663"/>
    </row>
    <row r="5664" spans="3:3" x14ac:dyDescent="0.25">
      <c r="C5664"/>
    </row>
    <row r="5665" spans="3:3" x14ac:dyDescent="0.25">
      <c r="C5665"/>
    </row>
    <row r="5666" spans="3:3" x14ac:dyDescent="0.25">
      <c r="C5666"/>
    </row>
    <row r="5667" spans="3:3" x14ac:dyDescent="0.25">
      <c r="C5667"/>
    </row>
    <row r="5668" spans="3:3" x14ac:dyDescent="0.25">
      <c r="C5668"/>
    </row>
    <row r="5669" spans="3:3" x14ac:dyDescent="0.25">
      <c r="C5669"/>
    </row>
    <row r="5670" spans="3:3" x14ac:dyDescent="0.25">
      <c r="C5670"/>
    </row>
    <row r="5671" spans="3:3" x14ac:dyDescent="0.25">
      <c r="C5671"/>
    </row>
    <row r="5672" spans="3:3" x14ac:dyDescent="0.25">
      <c r="C5672"/>
    </row>
    <row r="5673" spans="3:3" x14ac:dyDescent="0.25">
      <c r="C5673"/>
    </row>
    <row r="5674" spans="3:3" x14ac:dyDescent="0.25">
      <c r="C5674"/>
    </row>
    <row r="5675" spans="3:3" x14ac:dyDescent="0.25">
      <c r="C5675"/>
    </row>
    <row r="5676" spans="3:3" x14ac:dyDescent="0.25">
      <c r="C5676"/>
    </row>
    <row r="5677" spans="3:3" x14ac:dyDescent="0.25">
      <c r="C5677"/>
    </row>
    <row r="5678" spans="3:3" x14ac:dyDescent="0.25">
      <c r="C5678"/>
    </row>
    <row r="5679" spans="3:3" x14ac:dyDescent="0.25">
      <c r="C5679"/>
    </row>
    <row r="5680" spans="3:3" x14ac:dyDescent="0.25">
      <c r="C5680"/>
    </row>
    <row r="5681" spans="3:3" x14ac:dyDescent="0.25">
      <c r="C5681"/>
    </row>
    <row r="5682" spans="3:3" x14ac:dyDescent="0.25">
      <c r="C5682"/>
    </row>
    <row r="5683" spans="3:3" x14ac:dyDescent="0.25">
      <c r="C5683"/>
    </row>
    <row r="5684" spans="3:3" x14ac:dyDescent="0.25">
      <c r="C5684"/>
    </row>
    <row r="5685" spans="3:3" x14ac:dyDescent="0.25">
      <c r="C5685"/>
    </row>
    <row r="5686" spans="3:3" x14ac:dyDescent="0.25">
      <c r="C5686"/>
    </row>
    <row r="5687" spans="3:3" x14ac:dyDescent="0.25">
      <c r="C5687"/>
    </row>
    <row r="5688" spans="3:3" x14ac:dyDescent="0.25">
      <c r="C5688"/>
    </row>
    <row r="5689" spans="3:3" x14ac:dyDescent="0.25">
      <c r="C5689"/>
    </row>
    <row r="5690" spans="3:3" x14ac:dyDescent="0.25">
      <c r="C5690"/>
    </row>
    <row r="5691" spans="3:3" x14ac:dyDescent="0.25">
      <c r="C5691"/>
    </row>
    <row r="5692" spans="3:3" x14ac:dyDescent="0.25">
      <c r="C5692"/>
    </row>
    <row r="5693" spans="3:3" x14ac:dyDescent="0.25">
      <c r="C5693"/>
    </row>
    <row r="5694" spans="3:3" x14ac:dyDescent="0.25">
      <c r="C5694"/>
    </row>
    <row r="5695" spans="3:3" x14ac:dyDescent="0.25">
      <c r="C5695"/>
    </row>
    <row r="5696" spans="3:3" x14ac:dyDescent="0.25">
      <c r="C5696"/>
    </row>
    <row r="5697" spans="3:3" x14ac:dyDescent="0.25">
      <c r="C5697"/>
    </row>
    <row r="5698" spans="3:3" x14ac:dyDescent="0.25">
      <c r="C5698"/>
    </row>
    <row r="5699" spans="3:3" x14ac:dyDescent="0.25">
      <c r="C5699"/>
    </row>
    <row r="5700" spans="3:3" x14ac:dyDescent="0.25">
      <c r="C5700"/>
    </row>
    <row r="5701" spans="3:3" x14ac:dyDescent="0.25">
      <c r="C5701"/>
    </row>
    <row r="5702" spans="3:3" x14ac:dyDescent="0.25">
      <c r="C5702"/>
    </row>
    <row r="5703" spans="3:3" x14ac:dyDescent="0.25">
      <c r="C5703"/>
    </row>
    <row r="5704" spans="3:3" x14ac:dyDescent="0.25">
      <c r="C5704"/>
    </row>
    <row r="5705" spans="3:3" x14ac:dyDescent="0.25">
      <c r="C5705"/>
    </row>
    <row r="5706" spans="3:3" x14ac:dyDescent="0.25">
      <c r="C5706"/>
    </row>
    <row r="5707" spans="3:3" x14ac:dyDescent="0.25">
      <c r="C5707"/>
    </row>
    <row r="5708" spans="3:3" x14ac:dyDescent="0.25">
      <c r="C5708"/>
    </row>
    <row r="5709" spans="3:3" x14ac:dyDescent="0.25">
      <c r="C5709"/>
    </row>
    <row r="5710" spans="3:3" x14ac:dyDescent="0.25">
      <c r="C5710"/>
    </row>
    <row r="5711" spans="3:3" x14ac:dyDescent="0.25">
      <c r="C5711"/>
    </row>
    <row r="5712" spans="3:3" x14ac:dyDescent="0.25">
      <c r="C5712"/>
    </row>
    <row r="5713" spans="3:3" x14ac:dyDescent="0.25">
      <c r="C5713"/>
    </row>
    <row r="5714" spans="3:3" x14ac:dyDescent="0.25">
      <c r="C5714"/>
    </row>
    <row r="5715" spans="3:3" x14ac:dyDescent="0.25">
      <c r="C5715"/>
    </row>
    <row r="5716" spans="3:3" x14ac:dyDescent="0.25">
      <c r="C5716"/>
    </row>
    <row r="5717" spans="3:3" x14ac:dyDescent="0.25">
      <c r="C5717"/>
    </row>
    <row r="5718" spans="3:3" x14ac:dyDescent="0.25">
      <c r="C5718"/>
    </row>
    <row r="5719" spans="3:3" x14ac:dyDescent="0.25">
      <c r="C5719"/>
    </row>
    <row r="5720" spans="3:3" x14ac:dyDescent="0.25">
      <c r="C5720"/>
    </row>
    <row r="5721" spans="3:3" x14ac:dyDescent="0.25">
      <c r="C5721"/>
    </row>
    <row r="5722" spans="3:3" x14ac:dyDescent="0.25">
      <c r="C5722"/>
    </row>
    <row r="5723" spans="3:3" x14ac:dyDescent="0.25">
      <c r="C5723"/>
    </row>
    <row r="5724" spans="3:3" x14ac:dyDescent="0.25">
      <c r="C5724"/>
    </row>
    <row r="5725" spans="3:3" x14ac:dyDescent="0.25">
      <c r="C5725"/>
    </row>
    <row r="5726" spans="3:3" x14ac:dyDescent="0.25">
      <c r="C5726"/>
    </row>
    <row r="5727" spans="3:3" x14ac:dyDescent="0.25">
      <c r="C5727"/>
    </row>
    <row r="5728" spans="3:3" x14ac:dyDescent="0.25">
      <c r="C5728"/>
    </row>
    <row r="5729" spans="3:3" x14ac:dyDescent="0.25">
      <c r="C5729"/>
    </row>
    <row r="5730" spans="3:3" x14ac:dyDescent="0.25">
      <c r="C5730"/>
    </row>
    <row r="5731" spans="3:3" x14ac:dyDescent="0.25">
      <c r="C5731"/>
    </row>
    <row r="5732" spans="3:3" x14ac:dyDescent="0.25">
      <c r="C5732"/>
    </row>
    <row r="5733" spans="3:3" x14ac:dyDescent="0.25">
      <c r="C5733"/>
    </row>
    <row r="5734" spans="3:3" x14ac:dyDescent="0.25">
      <c r="C5734"/>
    </row>
    <row r="5735" spans="3:3" x14ac:dyDescent="0.25">
      <c r="C5735"/>
    </row>
    <row r="5736" spans="3:3" x14ac:dyDescent="0.25">
      <c r="C5736"/>
    </row>
    <row r="5737" spans="3:3" x14ac:dyDescent="0.25">
      <c r="C5737"/>
    </row>
    <row r="5738" spans="3:3" x14ac:dyDescent="0.25">
      <c r="C5738"/>
    </row>
    <row r="5739" spans="3:3" x14ac:dyDescent="0.25">
      <c r="C5739"/>
    </row>
    <row r="5740" spans="3:3" x14ac:dyDescent="0.25">
      <c r="C5740"/>
    </row>
    <row r="5741" spans="3:3" x14ac:dyDescent="0.25">
      <c r="C5741"/>
    </row>
    <row r="5742" spans="3:3" x14ac:dyDescent="0.25">
      <c r="C5742"/>
    </row>
    <row r="5743" spans="3:3" x14ac:dyDescent="0.25">
      <c r="C5743"/>
    </row>
    <row r="5744" spans="3:3" x14ac:dyDescent="0.25">
      <c r="C5744"/>
    </row>
    <row r="5745" spans="3:3" x14ac:dyDescent="0.25">
      <c r="C5745"/>
    </row>
    <row r="5746" spans="3:3" x14ac:dyDescent="0.25">
      <c r="C5746"/>
    </row>
    <row r="5747" spans="3:3" x14ac:dyDescent="0.25">
      <c r="C5747"/>
    </row>
    <row r="5748" spans="3:3" x14ac:dyDescent="0.25">
      <c r="C5748"/>
    </row>
    <row r="5749" spans="3:3" x14ac:dyDescent="0.25">
      <c r="C5749"/>
    </row>
    <row r="5750" spans="3:3" x14ac:dyDescent="0.25">
      <c r="C5750"/>
    </row>
    <row r="5751" spans="3:3" x14ac:dyDescent="0.25">
      <c r="C5751"/>
    </row>
    <row r="5752" spans="3:3" x14ac:dyDescent="0.25">
      <c r="C5752"/>
    </row>
    <row r="5753" spans="3:3" x14ac:dyDescent="0.25">
      <c r="C5753"/>
    </row>
    <row r="5754" spans="3:3" x14ac:dyDescent="0.25">
      <c r="C5754"/>
    </row>
    <row r="5755" spans="3:3" x14ac:dyDescent="0.25">
      <c r="C5755"/>
    </row>
    <row r="5756" spans="3:3" x14ac:dyDescent="0.25">
      <c r="C5756"/>
    </row>
    <row r="5757" spans="3:3" x14ac:dyDescent="0.25">
      <c r="C5757"/>
    </row>
    <row r="5758" spans="3:3" x14ac:dyDescent="0.25">
      <c r="C5758"/>
    </row>
    <row r="5759" spans="3:3" x14ac:dyDescent="0.25">
      <c r="C5759"/>
    </row>
    <row r="5760" spans="3:3" x14ac:dyDescent="0.25">
      <c r="C5760"/>
    </row>
    <row r="5761" spans="3:3" x14ac:dyDescent="0.25">
      <c r="C5761"/>
    </row>
    <row r="5762" spans="3:3" x14ac:dyDescent="0.25">
      <c r="C5762"/>
    </row>
    <row r="5763" spans="3:3" x14ac:dyDescent="0.25">
      <c r="C5763"/>
    </row>
    <row r="5764" spans="3:3" x14ac:dyDescent="0.25">
      <c r="C5764"/>
    </row>
    <row r="5765" spans="3:3" x14ac:dyDescent="0.25">
      <c r="C5765"/>
    </row>
    <row r="5766" spans="3:3" x14ac:dyDescent="0.25">
      <c r="C5766"/>
    </row>
    <row r="5767" spans="3:3" x14ac:dyDescent="0.25">
      <c r="C5767"/>
    </row>
    <row r="5768" spans="3:3" x14ac:dyDescent="0.25">
      <c r="C5768"/>
    </row>
    <row r="5769" spans="3:3" x14ac:dyDescent="0.25">
      <c r="C5769"/>
    </row>
    <row r="5770" spans="3:3" x14ac:dyDescent="0.25">
      <c r="C5770"/>
    </row>
    <row r="5771" spans="3:3" x14ac:dyDescent="0.25">
      <c r="C5771"/>
    </row>
    <row r="5772" spans="3:3" x14ac:dyDescent="0.25">
      <c r="C5772"/>
    </row>
    <row r="5773" spans="3:3" x14ac:dyDescent="0.25">
      <c r="C5773"/>
    </row>
    <row r="5774" spans="3:3" x14ac:dyDescent="0.25">
      <c r="C5774"/>
    </row>
    <row r="5775" spans="3:3" x14ac:dyDescent="0.25">
      <c r="C5775"/>
    </row>
    <row r="5776" spans="3:3" x14ac:dyDescent="0.25">
      <c r="C5776"/>
    </row>
    <row r="5777" spans="3:3" x14ac:dyDescent="0.25">
      <c r="C5777"/>
    </row>
    <row r="5778" spans="3:3" x14ac:dyDescent="0.25">
      <c r="C5778"/>
    </row>
    <row r="5779" spans="3:3" x14ac:dyDescent="0.25">
      <c r="C5779"/>
    </row>
    <row r="5780" spans="3:3" x14ac:dyDescent="0.25">
      <c r="C5780"/>
    </row>
    <row r="5781" spans="3:3" x14ac:dyDescent="0.25">
      <c r="C5781"/>
    </row>
    <row r="5782" spans="3:3" x14ac:dyDescent="0.25">
      <c r="C5782"/>
    </row>
    <row r="5783" spans="3:3" x14ac:dyDescent="0.25">
      <c r="C5783"/>
    </row>
    <row r="5784" spans="3:3" x14ac:dyDescent="0.25">
      <c r="C5784"/>
    </row>
    <row r="5785" spans="3:3" x14ac:dyDescent="0.25">
      <c r="C5785"/>
    </row>
    <row r="5786" spans="3:3" x14ac:dyDescent="0.25">
      <c r="C5786"/>
    </row>
    <row r="5787" spans="3:3" x14ac:dyDescent="0.25">
      <c r="C5787"/>
    </row>
    <row r="5788" spans="3:3" x14ac:dyDescent="0.25">
      <c r="C5788"/>
    </row>
    <row r="5789" spans="3:3" x14ac:dyDescent="0.25">
      <c r="C5789"/>
    </row>
    <row r="5790" spans="3:3" x14ac:dyDescent="0.25">
      <c r="C5790"/>
    </row>
    <row r="5791" spans="3:3" x14ac:dyDescent="0.25">
      <c r="C5791"/>
    </row>
    <row r="5792" spans="3:3" x14ac:dyDescent="0.25">
      <c r="C5792"/>
    </row>
    <row r="5793" spans="3:3" x14ac:dyDescent="0.25">
      <c r="C5793"/>
    </row>
    <row r="5794" spans="3:3" x14ac:dyDescent="0.25">
      <c r="C5794"/>
    </row>
    <row r="5795" spans="3:3" x14ac:dyDescent="0.25">
      <c r="C5795"/>
    </row>
    <row r="5796" spans="3:3" x14ac:dyDescent="0.25">
      <c r="C5796"/>
    </row>
    <row r="5797" spans="3:3" x14ac:dyDescent="0.25">
      <c r="C5797"/>
    </row>
    <row r="5798" spans="3:3" x14ac:dyDescent="0.25">
      <c r="C5798"/>
    </row>
    <row r="5799" spans="3:3" x14ac:dyDescent="0.25">
      <c r="C5799"/>
    </row>
    <row r="5800" spans="3:3" x14ac:dyDescent="0.25">
      <c r="C5800"/>
    </row>
    <row r="5801" spans="3:3" x14ac:dyDescent="0.25">
      <c r="C5801"/>
    </row>
    <row r="5802" spans="3:3" x14ac:dyDescent="0.25">
      <c r="C5802"/>
    </row>
    <row r="5803" spans="3:3" x14ac:dyDescent="0.25">
      <c r="C5803"/>
    </row>
    <row r="5804" spans="3:3" x14ac:dyDescent="0.25">
      <c r="C5804"/>
    </row>
    <row r="5805" spans="3:3" x14ac:dyDescent="0.25">
      <c r="C5805"/>
    </row>
    <row r="5806" spans="3:3" x14ac:dyDescent="0.25">
      <c r="C5806"/>
    </row>
    <row r="5807" spans="3:3" x14ac:dyDescent="0.25">
      <c r="C5807"/>
    </row>
    <row r="5808" spans="3:3" x14ac:dyDescent="0.25">
      <c r="C5808"/>
    </row>
    <row r="5809" spans="3:3" x14ac:dyDescent="0.25">
      <c r="C5809"/>
    </row>
    <row r="5810" spans="3:3" x14ac:dyDescent="0.25">
      <c r="C5810"/>
    </row>
    <row r="5811" spans="3:3" x14ac:dyDescent="0.25">
      <c r="C5811"/>
    </row>
    <row r="5812" spans="3:3" x14ac:dyDescent="0.25">
      <c r="C5812"/>
    </row>
    <row r="5813" spans="3:3" x14ac:dyDescent="0.25">
      <c r="C5813"/>
    </row>
    <row r="5814" spans="3:3" x14ac:dyDescent="0.25">
      <c r="C5814"/>
    </row>
    <row r="5815" spans="3:3" x14ac:dyDescent="0.25">
      <c r="C5815"/>
    </row>
    <row r="5816" spans="3:3" x14ac:dyDescent="0.25">
      <c r="C5816"/>
    </row>
    <row r="5817" spans="3:3" x14ac:dyDescent="0.25">
      <c r="C5817"/>
    </row>
    <row r="5818" spans="3:3" x14ac:dyDescent="0.25">
      <c r="C5818"/>
    </row>
    <row r="5819" spans="3:3" x14ac:dyDescent="0.25">
      <c r="C5819"/>
    </row>
    <row r="5820" spans="3:3" x14ac:dyDescent="0.25">
      <c r="C5820"/>
    </row>
    <row r="5821" spans="3:3" x14ac:dyDescent="0.25">
      <c r="C5821"/>
    </row>
    <row r="5822" spans="3:3" x14ac:dyDescent="0.25">
      <c r="C5822"/>
    </row>
    <row r="5823" spans="3:3" x14ac:dyDescent="0.25">
      <c r="C5823"/>
    </row>
    <row r="5824" spans="3:3" x14ac:dyDescent="0.25">
      <c r="C5824"/>
    </row>
    <row r="5825" spans="3:3" x14ac:dyDescent="0.25">
      <c r="C5825"/>
    </row>
    <row r="5826" spans="3:3" x14ac:dyDescent="0.25">
      <c r="C5826"/>
    </row>
    <row r="5827" spans="3:3" x14ac:dyDescent="0.25">
      <c r="C5827"/>
    </row>
    <row r="5828" spans="3:3" x14ac:dyDescent="0.25">
      <c r="C5828"/>
    </row>
    <row r="5829" spans="3:3" x14ac:dyDescent="0.25">
      <c r="C5829"/>
    </row>
    <row r="5830" spans="3:3" x14ac:dyDescent="0.25">
      <c r="C5830"/>
    </row>
    <row r="5831" spans="3:3" x14ac:dyDescent="0.25">
      <c r="C5831"/>
    </row>
    <row r="5832" spans="3:3" x14ac:dyDescent="0.25">
      <c r="C5832"/>
    </row>
    <row r="5833" spans="3:3" x14ac:dyDescent="0.25">
      <c r="C5833"/>
    </row>
    <row r="5834" spans="3:3" x14ac:dyDescent="0.25">
      <c r="C5834"/>
    </row>
    <row r="5835" spans="3:3" x14ac:dyDescent="0.25">
      <c r="C5835"/>
    </row>
    <row r="5836" spans="3:3" x14ac:dyDescent="0.25">
      <c r="C5836"/>
    </row>
    <row r="5837" spans="3:3" x14ac:dyDescent="0.25">
      <c r="C5837"/>
    </row>
    <row r="5838" spans="3:3" x14ac:dyDescent="0.25">
      <c r="C5838"/>
    </row>
    <row r="5839" spans="3:3" x14ac:dyDescent="0.25">
      <c r="C5839"/>
    </row>
    <row r="5840" spans="3:3" x14ac:dyDescent="0.25">
      <c r="C5840"/>
    </row>
    <row r="5841" spans="3:3" x14ac:dyDescent="0.25">
      <c r="C5841"/>
    </row>
    <row r="5842" spans="3:3" x14ac:dyDescent="0.25">
      <c r="C5842"/>
    </row>
    <row r="5843" spans="3:3" x14ac:dyDescent="0.25">
      <c r="C5843"/>
    </row>
    <row r="5844" spans="3:3" x14ac:dyDescent="0.25">
      <c r="C5844"/>
    </row>
    <row r="5845" spans="3:3" x14ac:dyDescent="0.25">
      <c r="C5845"/>
    </row>
    <row r="5846" spans="3:3" x14ac:dyDescent="0.25">
      <c r="C5846"/>
    </row>
    <row r="5847" spans="3:3" x14ac:dyDescent="0.25">
      <c r="C5847"/>
    </row>
    <row r="5848" spans="3:3" x14ac:dyDescent="0.25">
      <c r="C5848"/>
    </row>
    <row r="5849" spans="3:3" x14ac:dyDescent="0.25">
      <c r="C5849"/>
    </row>
    <row r="5850" spans="3:3" x14ac:dyDescent="0.25">
      <c r="C5850"/>
    </row>
    <row r="5851" spans="3:3" x14ac:dyDescent="0.25">
      <c r="C5851"/>
    </row>
    <row r="5852" spans="3:3" x14ac:dyDescent="0.25">
      <c r="C5852"/>
    </row>
    <row r="5853" spans="3:3" x14ac:dyDescent="0.25">
      <c r="C5853"/>
    </row>
    <row r="5854" spans="3:3" x14ac:dyDescent="0.25">
      <c r="C5854"/>
    </row>
    <row r="5855" spans="3:3" x14ac:dyDescent="0.25">
      <c r="C5855"/>
    </row>
    <row r="5856" spans="3:3" x14ac:dyDescent="0.25">
      <c r="C5856"/>
    </row>
    <row r="5857" spans="3:3" x14ac:dyDescent="0.25">
      <c r="C5857"/>
    </row>
    <row r="5858" spans="3:3" x14ac:dyDescent="0.25">
      <c r="C5858"/>
    </row>
    <row r="5859" spans="3:3" x14ac:dyDescent="0.25">
      <c r="C5859"/>
    </row>
    <row r="5860" spans="3:3" x14ac:dyDescent="0.25">
      <c r="C5860"/>
    </row>
    <row r="5861" spans="3:3" x14ac:dyDescent="0.25">
      <c r="C5861"/>
    </row>
    <row r="5862" spans="3:3" x14ac:dyDescent="0.25">
      <c r="C5862"/>
    </row>
    <row r="5863" spans="3:3" x14ac:dyDescent="0.25">
      <c r="C5863"/>
    </row>
    <row r="5864" spans="3:3" x14ac:dyDescent="0.25">
      <c r="C5864"/>
    </row>
    <row r="5865" spans="3:3" x14ac:dyDescent="0.25">
      <c r="C5865"/>
    </row>
    <row r="5866" spans="3:3" x14ac:dyDescent="0.25">
      <c r="C5866"/>
    </row>
    <row r="5867" spans="3:3" x14ac:dyDescent="0.25">
      <c r="C5867"/>
    </row>
    <row r="5868" spans="3:3" x14ac:dyDescent="0.25">
      <c r="C5868"/>
    </row>
    <row r="5869" spans="3:3" x14ac:dyDescent="0.25">
      <c r="C5869"/>
    </row>
    <row r="5870" spans="3:3" x14ac:dyDescent="0.25">
      <c r="C5870"/>
    </row>
    <row r="5871" spans="3:3" x14ac:dyDescent="0.25">
      <c r="C5871"/>
    </row>
    <row r="5872" spans="3:3" x14ac:dyDescent="0.25">
      <c r="C5872"/>
    </row>
    <row r="5873" spans="3:3" x14ac:dyDescent="0.25">
      <c r="C5873"/>
    </row>
    <row r="5874" spans="3:3" x14ac:dyDescent="0.25">
      <c r="C5874"/>
    </row>
    <row r="5875" spans="3:3" x14ac:dyDescent="0.25">
      <c r="C5875"/>
    </row>
    <row r="5876" spans="3:3" x14ac:dyDescent="0.25">
      <c r="C5876"/>
    </row>
    <row r="5877" spans="3:3" x14ac:dyDescent="0.25">
      <c r="C5877"/>
    </row>
    <row r="5878" spans="3:3" x14ac:dyDescent="0.25">
      <c r="C5878"/>
    </row>
    <row r="5879" spans="3:3" x14ac:dyDescent="0.25">
      <c r="C5879"/>
    </row>
    <row r="5880" spans="3:3" x14ac:dyDescent="0.25">
      <c r="C5880"/>
    </row>
    <row r="5881" spans="3:3" x14ac:dyDescent="0.25">
      <c r="C5881"/>
    </row>
    <row r="5882" spans="3:3" x14ac:dyDescent="0.25">
      <c r="C5882"/>
    </row>
    <row r="5883" spans="3:3" x14ac:dyDescent="0.25">
      <c r="C5883"/>
    </row>
    <row r="5884" spans="3:3" x14ac:dyDescent="0.25">
      <c r="C5884"/>
    </row>
    <row r="5885" spans="3:3" x14ac:dyDescent="0.25">
      <c r="C5885"/>
    </row>
    <row r="5886" spans="3:3" x14ac:dyDescent="0.25">
      <c r="C5886"/>
    </row>
    <row r="5887" spans="3:3" x14ac:dyDescent="0.25">
      <c r="C5887"/>
    </row>
    <row r="5888" spans="3:3" x14ac:dyDescent="0.25">
      <c r="C5888"/>
    </row>
    <row r="5889" spans="3:3" x14ac:dyDescent="0.25">
      <c r="C5889"/>
    </row>
    <row r="5890" spans="3:3" x14ac:dyDescent="0.25">
      <c r="C5890"/>
    </row>
    <row r="5891" spans="3:3" x14ac:dyDescent="0.25">
      <c r="C5891"/>
    </row>
    <row r="5892" spans="3:3" x14ac:dyDescent="0.25">
      <c r="C5892"/>
    </row>
    <row r="5893" spans="3:3" x14ac:dyDescent="0.25">
      <c r="C5893"/>
    </row>
    <row r="5894" spans="3:3" x14ac:dyDescent="0.25">
      <c r="C5894"/>
    </row>
    <row r="5895" spans="3:3" x14ac:dyDescent="0.25">
      <c r="C5895"/>
    </row>
    <row r="5896" spans="3:3" x14ac:dyDescent="0.25">
      <c r="C5896"/>
    </row>
    <row r="5897" spans="3:3" x14ac:dyDescent="0.25">
      <c r="C5897"/>
    </row>
    <row r="5898" spans="3:3" x14ac:dyDescent="0.25">
      <c r="C5898"/>
    </row>
    <row r="5899" spans="3:3" x14ac:dyDescent="0.25">
      <c r="C5899"/>
    </row>
    <row r="5900" spans="3:3" x14ac:dyDescent="0.25">
      <c r="C5900"/>
    </row>
    <row r="5901" spans="3:3" x14ac:dyDescent="0.25">
      <c r="C5901"/>
    </row>
    <row r="5902" spans="3:3" x14ac:dyDescent="0.25">
      <c r="C5902"/>
    </row>
    <row r="5903" spans="3:3" x14ac:dyDescent="0.25">
      <c r="C5903"/>
    </row>
    <row r="5904" spans="3:3" x14ac:dyDescent="0.25">
      <c r="C5904"/>
    </row>
    <row r="5905" spans="3:3" x14ac:dyDescent="0.25">
      <c r="C5905"/>
    </row>
    <row r="5906" spans="3:3" x14ac:dyDescent="0.25">
      <c r="C5906"/>
    </row>
    <row r="5907" spans="3:3" x14ac:dyDescent="0.25">
      <c r="C5907"/>
    </row>
    <row r="5908" spans="3:3" x14ac:dyDescent="0.25">
      <c r="C5908"/>
    </row>
    <row r="5909" spans="3:3" x14ac:dyDescent="0.25">
      <c r="C5909"/>
    </row>
    <row r="5910" spans="3:3" x14ac:dyDescent="0.25">
      <c r="C5910"/>
    </row>
    <row r="5911" spans="3:3" x14ac:dyDescent="0.25">
      <c r="C5911"/>
    </row>
    <row r="5912" spans="3:3" x14ac:dyDescent="0.25">
      <c r="C5912"/>
    </row>
    <row r="5913" spans="3:3" x14ac:dyDescent="0.25">
      <c r="C5913"/>
    </row>
    <row r="5914" spans="3:3" x14ac:dyDescent="0.25">
      <c r="C5914"/>
    </row>
    <row r="5915" spans="3:3" x14ac:dyDescent="0.25">
      <c r="C5915"/>
    </row>
    <row r="5916" spans="3:3" x14ac:dyDescent="0.25">
      <c r="C5916"/>
    </row>
    <row r="5917" spans="3:3" x14ac:dyDescent="0.25">
      <c r="C5917"/>
    </row>
    <row r="5918" spans="3:3" x14ac:dyDescent="0.25">
      <c r="C5918"/>
    </row>
    <row r="5919" spans="3:3" x14ac:dyDescent="0.25">
      <c r="C5919"/>
    </row>
    <row r="5920" spans="3:3" x14ac:dyDescent="0.25">
      <c r="C5920"/>
    </row>
    <row r="5921" spans="3:3" x14ac:dyDescent="0.25">
      <c r="C5921"/>
    </row>
    <row r="5922" spans="3:3" x14ac:dyDescent="0.25">
      <c r="C5922"/>
    </row>
    <row r="5923" spans="3:3" x14ac:dyDescent="0.25">
      <c r="C5923"/>
    </row>
    <row r="5924" spans="3:3" x14ac:dyDescent="0.25">
      <c r="C5924"/>
    </row>
    <row r="5925" spans="3:3" x14ac:dyDescent="0.25">
      <c r="C5925"/>
    </row>
    <row r="5926" spans="3:3" x14ac:dyDescent="0.25">
      <c r="C5926"/>
    </row>
    <row r="5927" spans="3:3" x14ac:dyDescent="0.25">
      <c r="C5927"/>
    </row>
    <row r="5928" spans="3:3" x14ac:dyDescent="0.25">
      <c r="C5928"/>
    </row>
    <row r="5929" spans="3:3" x14ac:dyDescent="0.25">
      <c r="C5929"/>
    </row>
    <row r="5930" spans="3:3" x14ac:dyDescent="0.25">
      <c r="C5930"/>
    </row>
    <row r="5931" spans="3:3" x14ac:dyDescent="0.25">
      <c r="C5931"/>
    </row>
    <row r="5932" spans="3:3" x14ac:dyDescent="0.25">
      <c r="C5932"/>
    </row>
    <row r="5933" spans="3:3" x14ac:dyDescent="0.25">
      <c r="C5933"/>
    </row>
    <row r="5934" spans="3:3" x14ac:dyDescent="0.25">
      <c r="C5934"/>
    </row>
    <row r="5935" spans="3:3" x14ac:dyDescent="0.25">
      <c r="C5935"/>
    </row>
    <row r="5936" spans="3:3" x14ac:dyDescent="0.25">
      <c r="C5936"/>
    </row>
    <row r="5937" spans="3:3" x14ac:dyDescent="0.25">
      <c r="C5937"/>
    </row>
    <row r="5938" spans="3:3" x14ac:dyDescent="0.25">
      <c r="C5938"/>
    </row>
    <row r="5939" spans="3:3" x14ac:dyDescent="0.25">
      <c r="C5939"/>
    </row>
    <row r="5940" spans="3:3" x14ac:dyDescent="0.25">
      <c r="C5940"/>
    </row>
    <row r="5941" spans="3:3" x14ac:dyDescent="0.25">
      <c r="C5941"/>
    </row>
    <row r="5942" spans="3:3" x14ac:dyDescent="0.25">
      <c r="C5942"/>
    </row>
    <row r="5943" spans="3:3" x14ac:dyDescent="0.25">
      <c r="C5943"/>
    </row>
    <row r="5944" spans="3:3" x14ac:dyDescent="0.25">
      <c r="C5944"/>
    </row>
    <row r="5945" spans="3:3" x14ac:dyDescent="0.25">
      <c r="C5945"/>
    </row>
    <row r="5946" spans="3:3" x14ac:dyDescent="0.25">
      <c r="C5946"/>
    </row>
    <row r="5947" spans="3:3" x14ac:dyDescent="0.25">
      <c r="C5947"/>
    </row>
    <row r="5948" spans="3:3" x14ac:dyDescent="0.25">
      <c r="C5948"/>
    </row>
    <row r="5949" spans="3:3" x14ac:dyDescent="0.25">
      <c r="C5949"/>
    </row>
    <row r="5950" spans="3:3" x14ac:dyDescent="0.25">
      <c r="C5950"/>
    </row>
    <row r="5951" spans="3:3" x14ac:dyDescent="0.25">
      <c r="C5951"/>
    </row>
    <row r="5952" spans="3:3" x14ac:dyDescent="0.25">
      <c r="C5952"/>
    </row>
    <row r="5953" spans="3:3" x14ac:dyDescent="0.25">
      <c r="C5953"/>
    </row>
    <row r="5954" spans="3:3" x14ac:dyDescent="0.25">
      <c r="C5954"/>
    </row>
    <row r="5955" spans="3:3" x14ac:dyDescent="0.25">
      <c r="C5955"/>
    </row>
    <row r="5956" spans="3:3" x14ac:dyDescent="0.25">
      <c r="C5956"/>
    </row>
    <row r="5957" spans="3:3" x14ac:dyDescent="0.25">
      <c r="C5957"/>
    </row>
    <row r="5958" spans="3:3" x14ac:dyDescent="0.25">
      <c r="C5958"/>
    </row>
    <row r="5959" spans="3:3" x14ac:dyDescent="0.25">
      <c r="C5959"/>
    </row>
    <row r="5960" spans="3:3" x14ac:dyDescent="0.25">
      <c r="C5960"/>
    </row>
    <row r="5961" spans="3:3" x14ac:dyDescent="0.25">
      <c r="C5961"/>
    </row>
    <row r="5962" spans="3:3" x14ac:dyDescent="0.25">
      <c r="C5962"/>
    </row>
    <row r="5963" spans="3:3" x14ac:dyDescent="0.25">
      <c r="C5963"/>
    </row>
    <row r="5964" spans="3:3" x14ac:dyDescent="0.25">
      <c r="C5964"/>
    </row>
    <row r="5965" spans="3:3" x14ac:dyDescent="0.25">
      <c r="C5965"/>
    </row>
    <row r="5966" spans="3:3" x14ac:dyDescent="0.25">
      <c r="C5966"/>
    </row>
    <row r="5967" spans="3:3" x14ac:dyDescent="0.25">
      <c r="C5967"/>
    </row>
    <row r="5968" spans="3:3" x14ac:dyDescent="0.25">
      <c r="C5968"/>
    </row>
    <row r="5969" spans="3:3" x14ac:dyDescent="0.25">
      <c r="C5969"/>
    </row>
    <row r="5970" spans="3:3" x14ac:dyDescent="0.25">
      <c r="C5970"/>
    </row>
    <row r="5971" spans="3:3" x14ac:dyDescent="0.25">
      <c r="C5971"/>
    </row>
    <row r="5972" spans="3:3" x14ac:dyDescent="0.25">
      <c r="C5972"/>
    </row>
    <row r="5973" spans="3:3" x14ac:dyDescent="0.25">
      <c r="C5973"/>
    </row>
    <row r="5974" spans="3:3" x14ac:dyDescent="0.25">
      <c r="C5974"/>
    </row>
    <row r="5975" spans="3:3" x14ac:dyDescent="0.25">
      <c r="C5975"/>
    </row>
    <row r="5976" spans="3:3" x14ac:dyDescent="0.25">
      <c r="C5976"/>
    </row>
    <row r="5977" spans="3:3" x14ac:dyDescent="0.25">
      <c r="C5977"/>
    </row>
    <row r="5978" spans="3:3" x14ac:dyDescent="0.25">
      <c r="C5978"/>
    </row>
    <row r="5979" spans="3:3" x14ac:dyDescent="0.25">
      <c r="C5979"/>
    </row>
    <row r="5980" spans="3:3" x14ac:dyDescent="0.25">
      <c r="C5980"/>
    </row>
    <row r="5981" spans="3:3" x14ac:dyDescent="0.25">
      <c r="C5981"/>
    </row>
    <row r="5982" spans="3:3" x14ac:dyDescent="0.25">
      <c r="C5982"/>
    </row>
    <row r="5983" spans="3:3" x14ac:dyDescent="0.25">
      <c r="C5983"/>
    </row>
    <row r="5984" spans="3:3" x14ac:dyDescent="0.25">
      <c r="C5984"/>
    </row>
    <row r="5985" spans="3:3" x14ac:dyDescent="0.25">
      <c r="C5985"/>
    </row>
    <row r="5986" spans="3:3" x14ac:dyDescent="0.25">
      <c r="C5986"/>
    </row>
    <row r="5987" spans="3:3" x14ac:dyDescent="0.25">
      <c r="C5987"/>
    </row>
    <row r="5988" spans="3:3" x14ac:dyDescent="0.25">
      <c r="C5988"/>
    </row>
    <row r="5989" spans="3:3" x14ac:dyDescent="0.25">
      <c r="C5989"/>
    </row>
    <row r="5990" spans="3:3" x14ac:dyDescent="0.25">
      <c r="C5990"/>
    </row>
    <row r="5991" spans="3:3" x14ac:dyDescent="0.25">
      <c r="C5991"/>
    </row>
    <row r="5992" spans="3:3" x14ac:dyDescent="0.25">
      <c r="C5992"/>
    </row>
    <row r="5993" spans="3:3" x14ac:dyDescent="0.25">
      <c r="C5993"/>
    </row>
    <row r="5994" spans="3:3" x14ac:dyDescent="0.25">
      <c r="C5994"/>
    </row>
    <row r="5995" spans="3:3" x14ac:dyDescent="0.25">
      <c r="C5995"/>
    </row>
    <row r="5996" spans="3:3" x14ac:dyDescent="0.25">
      <c r="C5996"/>
    </row>
    <row r="5997" spans="3:3" x14ac:dyDescent="0.25">
      <c r="C5997"/>
    </row>
    <row r="5998" spans="3:3" x14ac:dyDescent="0.25">
      <c r="C5998"/>
    </row>
    <row r="5999" spans="3:3" x14ac:dyDescent="0.25">
      <c r="C5999"/>
    </row>
    <row r="6000" spans="3:3" x14ac:dyDescent="0.25">
      <c r="C6000"/>
    </row>
    <row r="6001" spans="3:3" x14ac:dyDescent="0.25">
      <c r="C6001"/>
    </row>
    <row r="6002" spans="3:3" x14ac:dyDescent="0.25">
      <c r="C6002"/>
    </row>
    <row r="6003" spans="3:3" x14ac:dyDescent="0.25">
      <c r="C6003"/>
    </row>
    <row r="6004" spans="3:3" x14ac:dyDescent="0.25">
      <c r="C6004"/>
    </row>
    <row r="6005" spans="3:3" x14ac:dyDescent="0.25">
      <c r="C6005"/>
    </row>
    <row r="6006" spans="3:3" x14ac:dyDescent="0.25">
      <c r="C6006"/>
    </row>
    <row r="6007" spans="3:3" x14ac:dyDescent="0.25">
      <c r="C6007"/>
    </row>
    <row r="6008" spans="3:3" x14ac:dyDescent="0.25">
      <c r="C6008"/>
    </row>
    <row r="6009" spans="3:3" x14ac:dyDescent="0.25">
      <c r="C6009"/>
    </row>
    <row r="6010" spans="3:3" x14ac:dyDescent="0.25">
      <c r="C6010"/>
    </row>
    <row r="6011" spans="3:3" x14ac:dyDescent="0.25">
      <c r="C6011"/>
    </row>
    <row r="6012" spans="3:3" x14ac:dyDescent="0.25">
      <c r="C6012"/>
    </row>
    <row r="6013" spans="3:3" x14ac:dyDescent="0.25">
      <c r="C6013"/>
    </row>
    <row r="6014" spans="3:3" x14ac:dyDescent="0.25">
      <c r="C6014"/>
    </row>
    <row r="6015" spans="3:3" x14ac:dyDescent="0.25">
      <c r="C6015"/>
    </row>
    <row r="6016" spans="3:3" x14ac:dyDescent="0.25">
      <c r="C6016"/>
    </row>
    <row r="6017" spans="3:3" x14ac:dyDescent="0.25">
      <c r="C6017"/>
    </row>
    <row r="6018" spans="3:3" x14ac:dyDescent="0.25">
      <c r="C6018"/>
    </row>
    <row r="6019" spans="3:3" x14ac:dyDescent="0.25">
      <c r="C6019"/>
    </row>
    <row r="6020" spans="3:3" x14ac:dyDescent="0.25">
      <c r="C6020"/>
    </row>
    <row r="6021" spans="3:3" x14ac:dyDescent="0.25">
      <c r="C6021"/>
    </row>
    <row r="6022" spans="3:3" x14ac:dyDescent="0.25">
      <c r="C6022"/>
    </row>
    <row r="6023" spans="3:3" x14ac:dyDescent="0.25">
      <c r="C6023"/>
    </row>
    <row r="6024" spans="3:3" x14ac:dyDescent="0.25">
      <c r="C6024"/>
    </row>
    <row r="6025" spans="3:3" x14ac:dyDescent="0.25">
      <c r="C6025"/>
    </row>
    <row r="6026" spans="3:3" x14ac:dyDescent="0.25">
      <c r="C6026"/>
    </row>
    <row r="6027" spans="3:3" x14ac:dyDescent="0.25">
      <c r="C6027"/>
    </row>
    <row r="6028" spans="3:3" x14ac:dyDescent="0.25">
      <c r="C6028"/>
    </row>
    <row r="6029" spans="3:3" x14ac:dyDescent="0.25">
      <c r="C6029"/>
    </row>
    <row r="6030" spans="3:3" x14ac:dyDescent="0.25">
      <c r="C6030"/>
    </row>
    <row r="6031" spans="3:3" x14ac:dyDescent="0.25">
      <c r="C6031"/>
    </row>
    <row r="6032" spans="3:3" x14ac:dyDescent="0.25">
      <c r="C6032"/>
    </row>
    <row r="6033" spans="3:3" x14ac:dyDescent="0.25">
      <c r="C6033"/>
    </row>
    <row r="6034" spans="3:3" x14ac:dyDescent="0.25">
      <c r="C6034"/>
    </row>
    <row r="6035" spans="3:3" x14ac:dyDescent="0.25">
      <c r="C6035"/>
    </row>
    <row r="6036" spans="3:3" x14ac:dyDescent="0.25">
      <c r="C6036"/>
    </row>
    <row r="6037" spans="3:3" x14ac:dyDescent="0.25">
      <c r="C6037"/>
    </row>
    <row r="6038" spans="3:3" x14ac:dyDescent="0.25">
      <c r="C6038"/>
    </row>
    <row r="6039" spans="3:3" x14ac:dyDescent="0.25">
      <c r="C6039"/>
    </row>
    <row r="6040" spans="3:3" x14ac:dyDescent="0.25">
      <c r="C6040"/>
    </row>
    <row r="6041" spans="3:3" x14ac:dyDescent="0.25">
      <c r="C6041"/>
    </row>
    <row r="6042" spans="3:3" x14ac:dyDescent="0.25">
      <c r="C6042"/>
    </row>
    <row r="6043" spans="3:3" x14ac:dyDescent="0.25">
      <c r="C6043"/>
    </row>
    <row r="6044" spans="3:3" x14ac:dyDescent="0.25">
      <c r="C6044"/>
    </row>
    <row r="6045" spans="3:3" x14ac:dyDescent="0.25">
      <c r="C6045"/>
    </row>
    <row r="6046" spans="3:3" x14ac:dyDescent="0.25">
      <c r="C6046"/>
    </row>
    <row r="6047" spans="3:3" x14ac:dyDescent="0.25">
      <c r="C6047"/>
    </row>
    <row r="6048" spans="3:3" x14ac:dyDescent="0.25">
      <c r="C6048"/>
    </row>
    <row r="6049" spans="3:3" x14ac:dyDescent="0.25">
      <c r="C6049"/>
    </row>
    <row r="6050" spans="3:3" x14ac:dyDescent="0.25">
      <c r="C6050"/>
    </row>
    <row r="6051" spans="3:3" x14ac:dyDescent="0.25">
      <c r="C6051"/>
    </row>
    <row r="6052" spans="3:3" x14ac:dyDescent="0.25">
      <c r="C6052"/>
    </row>
    <row r="6053" spans="3:3" x14ac:dyDescent="0.25">
      <c r="C6053"/>
    </row>
    <row r="6054" spans="3:3" x14ac:dyDescent="0.25">
      <c r="C6054"/>
    </row>
    <row r="6055" spans="3:3" x14ac:dyDescent="0.25">
      <c r="C6055"/>
    </row>
    <row r="6056" spans="3:3" x14ac:dyDescent="0.25">
      <c r="C6056"/>
    </row>
    <row r="6057" spans="3:3" x14ac:dyDescent="0.25">
      <c r="C6057"/>
    </row>
    <row r="6058" spans="3:3" x14ac:dyDescent="0.25">
      <c r="C6058"/>
    </row>
    <row r="6059" spans="3:3" x14ac:dyDescent="0.25">
      <c r="C6059"/>
    </row>
    <row r="6060" spans="3:3" x14ac:dyDescent="0.25">
      <c r="C6060"/>
    </row>
    <row r="6061" spans="3:3" x14ac:dyDescent="0.25">
      <c r="C6061"/>
    </row>
    <row r="6062" spans="3:3" x14ac:dyDescent="0.25">
      <c r="C6062"/>
    </row>
    <row r="6063" spans="3:3" x14ac:dyDescent="0.25">
      <c r="C6063"/>
    </row>
    <row r="6064" spans="3:3" x14ac:dyDescent="0.25">
      <c r="C6064"/>
    </row>
    <row r="6065" spans="3:3" x14ac:dyDescent="0.25">
      <c r="C6065"/>
    </row>
    <row r="6066" spans="3:3" x14ac:dyDescent="0.25">
      <c r="C6066"/>
    </row>
    <row r="6067" spans="3:3" x14ac:dyDescent="0.25">
      <c r="C6067"/>
    </row>
    <row r="6068" spans="3:3" x14ac:dyDescent="0.25">
      <c r="C6068"/>
    </row>
    <row r="6069" spans="3:3" x14ac:dyDescent="0.25">
      <c r="C6069"/>
    </row>
    <row r="6070" spans="3:3" x14ac:dyDescent="0.25">
      <c r="C6070"/>
    </row>
    <row r="6071" spans="3:3" x14ac:dyDescent="0.25">
      <c r="C6071"/>
    </row>
    <row r="6072" spans="3:3" x14ac:dyDescent="0.25">
      <c r="C6072"/>
    </row>
    <row r="6073" spans="3:3" x14ac:dyDescent="0.25">
      <c r="C6073"/>
    </row>
    <row r="6074" spans="3:3" x14ac:dyDescent="0.25">
      <c r="C6074"/>
    </row>
    <row r="6075" spans="3:3" x14ac:dyDescent="0.25">
      <c r="C6075"/>
    </row>
    <row r="6076" spans="3:3" x14ac:dyDescent="0.25">
      <c r="C6076"/>
    </row>
    <row r="6077" spans="3:3" x14ac:dyDescent="0.25">
      <c r="C6077"/>
    </row>
    <row r="6078" spans="3:3" x14ac:dyDescent="0.25">
      <c r="C6078"/>
    </row>
    <row r="6079" spans="3:3" x14ac:dyDescent="0.25">
      <c r="C6079"/>
    </row>
    <row r="6080" spans="3:3" x14ac:dyDescent="0.25">
      <c r="C6080"/>
    </row>
    <row r="6081" spans="3:3" x14ac:dyDescent="0.25">
      <c r="C6081"/>
    </row>
    <row r="6082" spans="3:3" x14ac:dyDescent="0.25">
      <c r="C6082"/>
    </row>
    <row r="6083" spans="3:3" x14ac:dyDescent="0.25">
      <c r="C6083"/>
    </row>
    <row r="6084" spans="3:3" x14ac:dyDescent="0.25">
      <c r="C6084"/>
    </row>
    <row r="6085" spans="3:3" x14ac:dyDescent="0.25">
      <c r="C6085"/>
    </row>
    <row r="6086" spans="3:3" x14ac:dyDescent="0.25">
      <c r="C6086"/>
    </row>
    <row r="6087" spans="3:3" x14ac:dyDescent="0.25">
      <c r="C6087"/>
    </row>
    <row r="6088" spans="3:3" x14ac:dyDescent="0.25">
      <c r="C6088"/>
    </row>
    <row r="6089" spans="3:3" x14ac:dyDescent="0.25">
      <c r="C6089"/>
    </row>
    <row r="6090" spans="3:3" x14ac:dyDescent="0.25">
      <c r="C6090"/>
    </row>
    <row r="6091" spans="3:3" x14ac:dyDescent="0.25">
      <c r="C6091"/>
    </row>
    <row r="6092" spans="3:3" x14ac:dyDescent="0.25">
      <c r="C6092"/>
    </row>
    <row r="6093" spans="3:3" x14ac:dyDescent="0.25">
      <c r="C6093"/>
    </row>
    <row r="6094" spans="3:3" x14ac:dyDescent="0.25">
      <c r="C6094"/>
    </row>
    <row r="6095" spans="3:3" x14ac:dyDescent="0.25">
      <c r="C6095"/>
    </row>
    <row r="6096" spans="3:3" x14ac:dyDescent="0.25">
      <c r="C6096"/>
    </row>
    <row r="6097" spans="3:3" x14ac:dyDescent="0.25">
      <c r="C6097"/>
    </row>
    <row r="6098" spans="3:3" x14ac:dyDescent="0.25">
      <c r="C6098"/>
    </row>
    <row r="6099" spans="3:3" x14ac:dyDescent="0.25">
      <c r="C6099"/>
    </row>
    <row r="6100" spans="3:3" x14ac:dyDescent="0.25">
      <c r="C6100"/>
    </row>
    <row r="6101" spans="3:3" x14ac:dyDescent="0.25">
      <c r="C6101"/>
    </row>
    <row r="6102" spans="3:3" x14ac:dyDescent="0.25">
      <c r="C6102"/>
    </row>
    <row r="6103" spans="3:3" x14ac:dyDescent="0.25">
      <c r="C6103"/>
    </row>
    <row r="6104" spans="3:3" x14ac:dyDescent="0.25">
      <c r="C6104"/>
    </row>
    <row r="6105" spans="3:3" x14ac:dyDescent="0.25">
      <c r="C6105"/>
    </row>
    <row r="6106" spans="3:3" x14ac:dyDescent="0.25">
      <c r="C6106"/>
    </row>
    <row r="6107" spans="3:3" x14ac:dyDescent="0.25">
      <c r="C6107"/>
    </row>
    <row r="6108" spans="3:3" x14ac:dyDescent="0.25">
      <c r="C6108"/>
    </row>
    <row r="6109" spans="3:3" x14ac:dyDescent="0.25">
      <c r="C6109"/>
    </row>
    <row r="6110" spans="3:3" x14ac:dyDescent="0.25">
      <c r="C6110"/>
    </row>
    <row r="6111" spans="3:3" x14ac:dyDescent="0.25">
      <c r="C6111"/>
    </row>
    <row r="6112" spans="3:3" x14ac:dyDescent="0.25">
      <c r="C6112"/>
    </row>
    <row r="6113" spans="3:3" x14ac:dyDescent="0.25">
      <c r="C6113"/>
    </row>
    <row r="6114" spans="3:3" x14ac:dyDescent="0.25">
      <c r="C6114"/>
    </row>
    <row r="6115" spans="3:3" x14ac:dyDescent="0.25">
      <c r="C6115"/>
    </row>
    <row r="6116" spans="3:3" x14ac:dyDescent="0.25">
      <c r="C6116"/>
    </row>
    <row r="6117" spans="3:3" x14ac:dyDescent="0.25">
      <c r="C6117"/>
    </row>
    <row r="6118" spans="3:3" x14ac:dyDescent="0.25">
      <c r="C6118"/>
    </row>
    <row r="6119" spans="3:3" x14ac:dyDescent="0.25">
      <c r="C6119"/>
    </row>
    <row r="6120" spans="3:3" x14ac:dyDescent="0.25">
      <c r="C6120"/>
    </row>
    <row r="6121" spans="3:3" x14ac:dyDescent="0.25">
      <c r="C6121"/>
    </row>
    <row r="6122" spans="3:3" x14ac:dyDescent="0.25">
      <c r="C6122"/>
    </row>
    <row r="6123" spans="3:3" x14ac:dyDescent="0.25">
      <c r="C6123"/>
    </row>
    <row r="6124" spans="3:3" x14ac:dyDescent="0.25">
      <c r="C6124"/>
    </row>
    <row r="6125" spans="3:3" x14ac:dyDescent="0.25">
      <c r="C6125"/>
    </row>
    <row r="6126" spans="3:3" x14ac:dyDescent="0.25">
      <c r="C6126"/>
    </row>
    <row r="6127" spans="3:3" x14ac:dyDescent="0.25">
      <c r="C6127"/>
    </row>
    <row r="6128" spans="3:3" x14ac:dyDescent="0.25">
      <c r="C6128"/>
    </row>
    <row r="6129" spans="3:3" x14ac:dyDescent="0.25">
      <c r="C6129"/>
    </row>
    <row r="6130" spans="3:3" x14ac:dyDescent="0.25">
      <c r="C6130"/>
    </row>
    <row r="6131" spans="3:3" x14ac:dyDescent="0.25">
      <c r="C6131"/>
    </row>
    <row r="6132" spans="3:3" x14ac:dyDescent="0.25">
      <c r="C6132"/>
    </row>
    <row r="6133" spans="3:3" x14ac:dyDescent="0.25">
      <c r="C6133"/>
    </row>
    <row r="6134" spans="3:3" x14ac:dyDescent="0.25">
      <c r="C6134"/>
    </row>
    <row r="6135" spans="3:3" x14ac:dyDescent="0.25">
      <c r="C6135"/>
    </row>
    <row r="6136" spans="3:3" x14ac:dyDescent="0.25">
      <c r="C6136"/>
    </row>
    <row r="6137" spans="3:3" x14ac:dyDescent="0.25">
      <c r="C6137"/>
    </row>
    <row r="6138" spans="3:3" x14ac:dyDescent="0.25">
      <c r="C6138"/>
    </row>
    <row r="6139" spans="3:3" x14ac:dyDescent="0.25">
      <c r="C6139"/>
    </row>
    <row r="6140" spans="3:3" x14ac:dyDescent="0.25">
      <c r="C6140"/>
    </row>
    <row r="6141" spans="3:3" x14ac:dyDescent="0.25">
      <c r="C6141"/>
    </row>
    <row r="6142" spans="3:3" x14ac:dyDescent="0.25">
      <c r="C6142"/>
    </row>
    <row r="6143" spans="3:3" x14ac:dyDescent="0.25">
      <c r="C6143"/>
    </row>
    <row r="6144" spans="3:3" x14ac:dyDescent="0.25">
      <c r="C6144"/>
    </row>
    <row r="6145" spans="3:3" x14ac:dyDescent="0.25">
      <c r="C6145"/>
    </row>
    <row r="6146" spans="3:3" x14ac:dyDescent="0.25">
      <c r="C6146"/>
    </row>
    <row r="6147" spans="3:3" x14ac:dyDescent="0.25">
      <c r="C6147"/>
    </row>
    <row r="6148" spans="3:3" x14ac:dyDescent="0.25">
      <c r="C6148"/>
    </row>
    <row r="6149" spans="3:3" x14ac:dyDescent="0.25">
      <c r="C6149"/>
    </row>
    <row r="6150" spans="3:3" x14ac:dyDescent="0.25">
      <c r="C6150"/>
    </row>
    <row r="6151" spans="3:3" x14ac:dyDescent="0.25">
      <c r="C6151"/>
    </row>
    <row r="6152" spans="3:3" x14ac:dyDescent="0.25">
      <c r="C6152"/>
    </row>
    <row r="6153" spans="3:3" x14ac:dyDescent="0.25">
      <c r="C6153"/>
    </row>
    <row r="6154" spans="3:3" x14ac:dyDescent="0.25">
      <c r="C6154"/>
    </row>
    <row r="6155" spans="3:3" x14ac:dyDescent="0.25">
      <c r="C6155"/>
    </row>
    <row r="6156" spans="3:3" x14ac:dyDescent="0.25">
      <c r="C6156"/>
    </row>
    <row r="6157" spans="3:3" x14ac:dyDescent="0.25">
      <c r="C6157"/>
    </row>
    <row r="6158" spans="3:3" x14ac:dyDescent="0.25">
      <c r="C6158"/>
    </row>
    <row r="6159" spans="3:3" x14ac:dyDescent="0.25">
      <c r="C6159"/>
    </row>
    <row r="6160" spans="3:3" x14ac:dyDescent="0.25">
      <c r="C6160"/>
    </row>
    <row r="6161" spans="3:3" x14ac:dyDescent="0.25">
      <c r="C6161"/>
    </row>
    <row r="6162" spans="3:3" x14ac:dyDescent="0.25">
      <c r="C6162"/>
    </row>
    <row r="6163" spans="3:3" x14ac:dyDescent="0.25">
      <c r="C6163"/>
    </row>
    <row r="6164" spans="3:3" x14ac:dyDescent="0.25">
      <c r="C6164"/>
    </row>
    <row r="6165" spans="3:3" x14ac:dyDescent="0.25">
      <c r="C6165"/>
    </row>
    <row r="6166" spans="3:3" x14ac:dyDescent="0.25">
      <c r="C6166"/>
    </row>
    <row r="6167" spans="3:3" x14ac:dyDescent="0.25">
      <c r="C6167"/>
    </row>
    <row r="6168" spans="3:3" x14ac:dyDescent="0.25">
      <c r="C6168"/>
    </row>
    <row r="6169" spans="3:3" x14ac:dyDescent="0.25">
      <c r="C6169"/>
    </row>
    <row r="6170" spans="3:3" x14ac:dyDescent="0.25">
      <c r="C6170"/>
    </row>
    <row r="6171" spans="3:3" x14ac:dyDescent="0.25">
      <c r="C6171"/>
    </row>
    <row r="6172" spans="3:3" x14ac:dyDescent="0.25">
      <c r="C6172"/>
    </row>
    <row r="6173" spans="3:3" x14ac:dyDescent="0.25">
      <c r="C6173"/>
    </row>
    <row r="6174" spans="3:3" x14ac:dyDescent="0.25">
      <c r="C6174"/>
    </row>
    <row r="6175" spans="3:3" x14ac:dyDescent="0.25">
      <c r="C6175"/>
    </row>
    <row r="6176" spans="3:3" x14ac:dyDescent="0.25">
      <c r="C6176"/>
    </row>
    <row r="6177" spans="3:3" x14ac:dyDescent="0.25">
      <c r="C6177"/>
    </row>
    <row r="6178" spans="3:3" x14ac:dyDescent="0.25">
      <c r="C6178"/>
    </row>
    <row r="6179" spans="3:3" x14ac:dyDescent="0.25">
      <c r="C6179"/>
    </row>
    <row r="6180" spans="3:3" x14ac:dyDescent="0.25">
      <c r="C6180"/>
    </row>
    <row r="6181" spans="3:3" x14ac:dyDescent="0.25">
      <c r="C6181"/>
    </row>
    <row r="6182" spans="3:3" x14ac:dyDescent="0.25">
      <c r="C6182"/>
    </row>
    <row r="6183" spans="3:3" x14ac:dyDescent="0.25">
      <c r="C6183"/>
    </row>
    <row r="6184" spans="3:3" x14ac:dyDescent="0.25">
      <c r="C6184"/>
    </row>
    <row r="6185" spans="3:3" x14ac:dyDescent="0.25">
      <c r="C6185"/>
    </row>
    <row r="6186" spans="3:3" x14ac:dyDescent="0.25">
      <c r="C6186"/>
    </row>
    <row r="6187" spans="3:3" x14ac:dyDescent="0.25">
      <c r="C6187"/>
    </row>
    <row r="6188" spans="3:3" x14ac:dyDescent="0.25">
      <c r="C6188"/>
    </row>
    <row r="6189" spans="3:3" x14ac:dyDescent="0.25">
      <c r="C6189"/>
    </row>
    <row r="6190" spans="3:3" x14ac:dyDescent="0.25">
      <c r="C6190"/>
    </row>
    <row r="6191" spans="3:3" x14ac:dyDescent="0.25">
      <c r="C6191"/>
    </row>
    <row r="6192" spans="3:3" x14ac:dyDescent="0.25">
      <c r="C6192"/>
    </row>
    <row r="6193" spans="3:3" x14ac:dyDescent="0.25">
      <c r="C6193"/>
    </row>
    <row r="6194" spans="3:3" x14ac:dyDescent="0.25">
      <c r="C6194"/>
    </row>
    <row r="6195" spans="3:3" x14ac:dyDescent="0.25">
      <c r="C6195"/>
    </row>
    <row r="6196" spans="3:3" x14ac:dyDescent="0.25">
      <c r="C6196"/>
    </row>
    <row r="6197" spans="3:3" x14ac:dyDescent="0.25">
      <c r="C6197"/>
    </row>
    <row r="6198" spans="3:3" x14ac:dyDescent="0.25">
      <c r="C6198"/>
    </row>
    <row r="6199" spans="3:3" x14ac:dyDescent="0.25">
      <c r="C6199"/>
    </row>
    <row r="6200" spans="3:3" x14ac:dyDescent="0.25">
      <c r="C6200"/>
    </row>
    <row r="6201" spans="3:3" x14ac:dyDescent="0.25">
      <c r="C6201"/>
    </row>
    <row r="6202" spans="3:3" x14ac:dyDescent="0.25">
      <c r="C6202"/>
    </row>
    <row r="6203" spans="3:3" x14ac:dyDescent="0.25">
      <c r="C6203"/>
    </row>
    <row r="6204" spans="3:3" x14ac:dyDescent="0.25">
      <c r="C6204"/>
    </row>
    <row r="6205" spans="3:3" x14ac:dyDescent="0.25">
      <c r="C6205"/>
    </row>
    <row r="6206" spans="3:3" x14ac:dyDescent="0.25">
      <c r="C6206"/>
    </row>
    <row r="6207" spans="3:3" x14ac:dyDescent="0.25">
      <c r="C6207"/>
    </row>
    <row r="6208" spans="3:3" x14ac:dyDescent="0.25">
      <c r="C6208"/>
    </row>
    <row r="6209" spans="3:3" x14ac:dyDescent="0.25">
      <c r="C6209"/>
    </row>
    <row r="6210" spans="3:3" x14ac:dyDescent="0.25">
      <c r="C6210"/>
    </row>
    <row r="6211" spans="3:3" x14ac:dyDescent="0.25">
      <c r="C6211"/>
    </row>
    <row r="6212" spans="3:3" x14ac:dyDescent="0.25">
      <c r="C6212"/>
    </row>
    <row r="6213" spans="3:3" x14ac:dyDescent="0.25">
      <c r="C6213"/>
    </row>
    <row r="6214" spans="3:3" x14ac:dyDescent="0.25">
      <c r="C6214"/>
    </row>
    <row r="6215" spans="3:3" x14ac:dyDescent="0.25">
      <c r="C6215"/>
    </row>
    <row r="6216" spans="3:3" x14ac:dyDescent="0.25">
      <c r="C6216"/>
    </row>
    <row r="6217" spans="3:3" x14ac:dyDescent="0.25">
      <c r="C6217"/>
    </row>
    <row r="6218" spans="3:3" x14ac:dyDescent="0.25">
      <c r="C6218"/>
    </row>
    <row r="6219" spans="3:3" x14ac:dyDescent="0.25">
      <c r="C6219"/>
    </row>
    <row r="6220" spans="3:3" x14ac:dyDescent="0.25">
      <c r="C6220"/>
    </row>
    <row r="6221" spans="3:3" x14ac:dyDescent="0.25">
      <c r="C6221"/>
    </row>
    <row r="6222" spans="3:3" x14ac:dyDescent="0.25">
      <c r="C6222"/>
    </row>
    <row r="6223" spans="3:3" x14ac:dyDescent="0.25">
      <c r="C6223"/>
    </row>
    <row r="6224" spans="3:3" x14ac:dyDescent="0.25">
      <c r="C6224"/>
    </row>
    <row r="6225" spans="3:3" x14ac:dyDescent="0.25">
      <c r="C6225"/>
    </row>
    <row r="6226" spans="3:3" x14ac:dyDescent="0.25">
      <c r="C6226"/>
    </row>
    <row r="6227" spans="3:3" x14ac:dyDescent="0.25">
      <c r="C6227"/>
    </row>
    <row r="6228" spans="3:3" x14ac:dyDescent="0.25">
      <c r="C6228"/>
    </row>
    <row r="6229" spans="3:3" x14ac:dyDescent="0.25">
      <c r="C6229"/>
    </row>
    <row r="6230" spans="3:3" x14ac:dyDescent="0.25">
      <c r="C6230"/>
    </row>
    <row r="6231" spans="3:3" x14ac:dyDescent="0.25">
      <c r="C6231"/>
    </row>
    <row r="6232" spans="3:3" x14ac:dyDescent="0.25">
      <c r="C6232"/>
    </row>
    <row r="6233" spans="3:3" x14ac:dyDescent="0.25">
      <c r="C6233"/>
    </row>
    <row r="6234" spans="3:3" x14ac:dyDescent="0.25">
      <c r="C6234"/>
    </row>
    <row r="6235" spans="3:3" x14ac:dyDescent="0.25">
      <c r="C6235"/>
    </row>
    <row r="6236" spans="3:3" x14ac:dyDescent="0.25">
      <c r="C6236"/>
    </row>
    <row r="6237" spans="3:3" x14ac:dyDescent="0.25">
      <c r="C6237"/>
    </row>
    <row r="6238" spans="3:3" x14ac:dyDescent="0.25">
      <c r="C6238"/>
    </row>
    <row r="6239" spans="3:3" x14ac:dyDescent="0.25">
      <c r="C6239"/>
    </row>
    <row r="6240" spans="3:3" x14ac:dyDescent="0.25">
      <c r="C6240"/>
    </row>
    <row r="6241" spans="3:3" x14ac:dyDescent="0.25">
      <c r="C6241"/>
    </row>
    <row r="6242" spans="3:3" x14ac:dyDescent="0.25">
      <c r="C6242"/>
    </row>
    <row r="6243" spans="3:3" x14ac:dyDescent="0.25">
      <c r="C6243"/>
    </row>
    <row r="6244" spans="3:3" x14ac:dyDescent="0.25">
      <c r="C6244"/>
    </row>
    <row r="6245" spans="3:3" x14ac:dyDescent="0.25">
      <c r="C6245"/>
    </row>
    <row r="6246" spans="3:3" x14ac:dyDescent="0.25">
      <c r="C6246"/>
    </row>
    <row r="6247" spans="3:3" x14ac:dyDescent="0.25">
      <c r="C6247"/>
    </row>
    <row r="6248" spans="3:3" x14ac:dyDescent="0.25">
      <c r="C6248"/>
    </row>
    <row r="6249" spans="3:3" x14ac:dyDescent="0.25">
      <c r="C6249"/>
    </row>
    <row r="6250" spans="3:3" x14ac:dyDescent="0.25">
      <c r="C6250"/>
    </row>
    <row r="6251" spans="3:3" x14ac:dyDescent="0.25">
      <c r="C6251"/>
    </row>
    <row r="6252" spans="3:3" x14ac:dyDescent="0.25">
      <c r="C6252"/>
    </row>
    <row r="6253" spans="3:3" x14ac:dyDescent="0.25">
      <c r="C6253"/>
    </row>
    <row r="6254" spans="3:3" x14ac:dyDescent="0.25">
      <c r="C6254"/>
    </row>
    <row r="6255" spans="3:3" x14ac:dyDescent="0.25">
      <c r="C6255"/>
    </row>
    <row r="6256" spans="3:3" x14ac:dyDescent="0.25">
      <c r="C6256"/>
    </row>
    <row r="6257" spans="3:3" x14ac:dyDescent="0.25">
      <c r="C6257"/>
    </row>
    <row r="6258" spans="3:3" x14ac:dyDescent="0.25">
      <c r="C6258"/>
    </row>
    <row r="6259" spans="3:3" x14ac:dyDescent="0.25">
      <c r="C6259"/>
    </row>
    <row r="6260" spans="3:3" x14ac:dyDescent="0.25">
      <c r="C6260"/>
    </row>
    <row r="6261" spans="3:3" x14ac:dyDescent="0.25">
      <c r="C6261"/>
    </row>
    <row r="6262" spans="3:3" x14ac:dyDescent="0.25">
      <c r="C6262"/>
    </row>
    <row r="6263" spans="3:3" x14ac:dyDescent="0.25">
      <c r="C6263"/>
    </row>
    <row r="6264" spans="3:3" x14ac:dyDescent="0.25">
      <c r="C6264"/>
    </row>
    <row r="6265" spans="3:3" x14ac:dyDescent="0.25">
      <c r="C6265"/>
    </row>
    <row r="6266" spans="3:3" x14ac:dyDescent="0.25">
      <c r="C6266"/>
    </row>
    <row r="6267" spans="3:3" x14ac:dyDescent="0.25">
      <c r="C6267"/>
    </row>
    <row r="6268" spans="3:3" x14ac:dyDescent="0.25">
      <c r="C6268"/>
    </row>
    <row r="6269" spans="3:3" x14ac:dyDescent="0.25">
      <c r="C6269"/>
    </row>
    <row r="6270" spans="3:3" x14ac:dyDescent="0.25">
      <c r="C6270"/>
    </row>
    <row r="6271" spans="3:3" x14ac:dyDescent="0.25">
      <c r="C6271"/>
    </row>
    <row r="6272" spans="3:3" x14ac:dyDescent="0.25">
      <c r="C6272"/>
    </row>
    <row r="6273" spans="3:3" x14ac:dyDescent="0.25">
      <c r="C6273"/>
    </row>
    <row r="6274" spans="3:3" x14ac:dyDescent="0.25">
      <c r="C6274"/>
    </row>
    <row r="6275" spans="3:3" x14ac:dyDescent="0.25">
      <c r="C6275"/>
    </row>
    <row r="6276" spans="3:3" x14ac:dyDescent="0.25">
      <c r="C6276"/>
    </row>
    <row r="6277" spans="3:3" x14ac:dyDescent="0.25">
      <c r="C6277"/>
    </row>
    <row r="6278" spans="3:3" x14ac:dyDescent="0.25">
      <c r="C6278"/>
    </row>
    <row r="6279" spans="3:3" x14ac:dyDescent="0.25">
      <c r="C6279"/>
    </row>
    <row r="6280" spans="3:3" x14ac:dyDescent="0.25">
      <c r="C6280"/>
    </row>
    <row r="6281" spans="3:3" x14ac:dyDescent="0.25">
      <c r="C6281"/>
    </row>
    <row r="6282" spans="3:3" x14ac:dyDescent="0.25">
      <c r="C6282"/>
    </row>
    <row r="6283" spans="3:3" x14ac:dyDescent="0.25">
      <c r="C6283"/>
    </row>
    <row r="6284" spans="3:3" x14ac:dyDescent="0.25">
      <c r="C6284"/>
    </row>
    <row r="6285" spans="3:3" x14ac:dyDescent="0.25">
      <c r="C6285"/>
    </row>
    <row r="6286" spans="3:3" x14ac:dyDescent="0.25">
      <c r="C6286"/>
    </row>
    <row r="6287" spans="3:3" x14ac:dyDescent="0.25">
      <c r="C6287"/>
    </row>
    <row r="6288" spans="3:3" x14ac:dyDescent="0.25">
      <c r="C6288"/>
    </row>
    <row r="6289" spans="3:3" x14ac:dyDescent="0.25">
      <c r="C6289"/>
    </row>
    <row r="6290" spans="3:3" x14ac:dyDescent="0.25">
      <c r="C6290"/>
    </row>
    <row r="6291" spans="3:3" x14ac:dyDescent="0.25">
      <c r="C6291"/>
    </row>
    <row r="6292" spans="3:3" x14ac:dyDescent="0.25">
      <c r="C6292"/>
    </row>
    <row r="6293" spans="3:3" x14ac:dyDescent="0.25">
      <c r="C6293"/>
    </row>
    <row r="6294" spans="3:3" x14ac:dyDescent="0.25">
      <c r="C6294"/>
    </row>
    <row r="6295" spans="3:3" x14ac:dyDescent="0.25">
      <c r="C6295"/>
    </row>
    <row r="6296" spans="3:3" x14ac:dyDescent="0.25">
      <c r="C6296"/>
    </row>
    <row r="6297" spans="3:3" x14ac:dyDescent="0.25">
      <c r="C6297"/>
    </row>
    <row r="6298" spans="3:3" x14ac:dyDescent="0.25">
      <c r="C6298"/>
    </row>
    <row r="6299" spans="3:3" x14ac:dyDescent="0.25">
      <c r="C6299"/>
    </row>
    <row r="6300" spans="3:3" x14ac:dyDescent="0.25">
      <c r="C6300"/>
    </row>
    <row r="6301" spans="3:3" x14ac:dyDescent="0.25">
      <c r="C6301"/>
    </row>
    <row r="6302" spans="3:3" x14ac:dyDescent="0.25">
      <c r="C6302"/>
    </row>
    <row r="6303" spans="3:3" x14ac:dyDescent="0.25">
      <c r="C6303"/>
    </row>
    <row r="6304" spans="3:3" x14ac:dyDescent="0.25">
      <c r="C6304"/>
    </row>
    <row r="6305" spans="3:3" x14ac:dyDescent="0.25">
      <c r="C6305"/>
    </row>
    <row r="6306" spans="3:3" x14ac:dyDescent="0.25">
      <c r="C6306"/>
    </row>
    <row r="6307" spans="3:3" x14ac:dyDescent="0.25">
      <c r="C6307"/>
    </row>
    <row r="6308" spans="3:3" x14ac:dyDescent="0.25">
      <c r="C6308"/>
    </row>
    <row r="6309" spans="3:3" x14ac:dyDescent="0.25">
      <c r="C6309"/>
    </row>
    <row r="6310" spans="3:3" x14ac:dyDescent="0.25">
      <c r="C6310"/>
    </row>
    <row r="6311" spans="3:3" x14ac:dyDescent="0.25">
      <c r="C6311"/>
    </row>
    <row r="6312" spans="3:3" x14ac:dyDescent="0.25">
      <c r="C6312"/>
    </row>
    <row r="6313" spans="3:3" x14ac:dyDescent="0.25">
      <c r="C6313"/>
    </row>
    <row r="6314" spans="3:3" x14ac:dyDescent="0.25">
      <c r="C6314"/>
    </row>
    <row r="6315" spans="3:3" x14ac:dyDescent="0.25">
      <c r="C6315"/>
    </row>
    <row r="6316" spans="3:3" x14ac:dyDescent="0.25">
      <c r="C6316"/>
    </row>
    <row r="6317" spans="3:3" x14ac:dyDescent="0.25">
      <c r="C6317"/>
    </row>
    <row r="6318" spans="3:3" x14ac:dyDescent="0.25">
      <c r="C6318"/>
    </row>
    <row r="6319" spans="3:3" x14ac:dyDescent="0.25">
      <c r="C6319"/>
    </row>
    <row r="6320" spans="3:3" x14ac:dyDescent="0.25">
      <c r="C6320"/>
    </row>
    <row r="6321" spans="3:3" x14ac:dyDescent="0.25">
      <c r="C6321"/>
    </row>
    <row r="6322" spans="3:3" x14ac:dyDescent="0.25">
      <c r="C6322"/>
    </row>
    <row r="6323" spans="3:3" x14ac:dyDescent="0.25">
      <c r="C6323"/>
    </row>
    <row r="6324" spans="3:3" x14ac:dyDescent="0.25">
      <c r="C6324"/>
    </row>
    <row r="6325" spans="3:3" x14ac:dyDescent="0.25">
      <c r="C6325"/>
    </row>
    <row r="6326" spans="3:3" x14ac:dyDescent="0.25">
      <c r="C6326"/>
    </row>
    <row r="6327" spans="3:3" x14ac:dyDescent="0.25">
      <c r="C6327"/>
    </row>
    <row r="6328" spans="3:3" x14ac:dyDescent="0.25">
      <c r="C6328"/>
    </row>
    <row r="6329" spans="3:3" x14ac:dyDescent="0.25">
      <c r="C6329"/>
    </row>
    <row r="6330" spans="3:3" x14ac:dyDescent="0.25">
      <c r="C6330"/>
    </row>
    <row r="6331" spans="3:3" x14ac:dyDescent="0.25">
      <c r="C6331"/>
    </row>
    <row r="6332" spans="3:3" x14ac:dyDescent="0.25">
      <c r="C6332"/>
    </row>
    <row r="6333" spans="3:3" x14ac:dyDescent="0.25">
      <c r="C6333"/>
    </row>
    <row r="6334" spans="3:3" x14ac:dyDescent="0.25">
      <c r="C6334"/>
    </row>
    <row r="6335" spans="3:3" x14ac:dyDescent="0.25">
      <c r="C6335"/>
    </row>
    <row r="6336" spans="3:3" x14ac:dyDescent="0.25">
      <c r="C6336"/>
    </row>
    <row r="6337" spans="3:3" x14ac:dyDescent="0.25">
      <c r="C6337"/>
    </row>
    <row r="6338" spans="3:3" x14ac:dyDescent="0.25">
      <c r="C6338"/>
    </row>
    <row r="6339" spans="3:3" x14ac:dyDescent="0.25">
      <c r="C6339"/>
    </row>
    <row r="6340" spans="3:3" x14ac:dyDescent="0.25">
      <c r="C6340"/>
    </row>
    <row r="6341" spans="3:3" x14ac:dyDescent="0.25">
      <c r="C6341"/>
    </row>
    <row r="6342" spans="3:3" x14ac:dyDescent="0.25">
      <c r="C6342"/>
    </row>
    <row r="6343" spans="3:3" x14ac:dyDescent="0.25">
      <c r="C6343"/>
    </row>
    <row r="6344" spans="3:3" x14ac:dyDescent="0.25">
      <c r="C6344"/>
    </row>
    <row r="6345" spans="3:3" x14ac:dyDescent="0.25">
      <c r="C6345"/>
    </row>
    <row r="6346" spans="3:3" x14ac:dyDescent="0.25">
      <c r="C6346"/>
    </row>
    <row r="6347" spans="3:3" x14ac:dyDescent="0.25">
      <c r="C6347"/>
    </row>
    <row r="6348" spans="3:3" x14ac:dyDescent="0.25">
      <c r="C6348"/>
    </row>
    <row r="6349" spans="3:3" x14ac:dyDescent="0.25">
      <c r="C6349"/>
    </row>
    <row r="6350" spans="3:3" x14ac:dyDescent="0.25">
      <c r="C6350"/>
    </row>
    <row r="6351" spans="3:3" x14ac:dyDescent="0.25">
      <c r="C6351"/>
    </row>
    <row r="6352" spans="3:3" x14ac:dyDescent="0.25">
      <c r="C6352"/>
    </row>
    <row r="6353" spans="3:3" x14ac:dyDescent="0.25">
      <c r="C6353"/>
    </row>
    <row r="6354" spans="3:3" x14ac:dyDescent="0.25">
      <c r="C6354"/>
    </row>
    <row r="6355" spans="3:3" x14ac:dyDescent="0.25">
      <c r="C6355"/>
    </row>
    <row r="6356" spans="3:3" x14ac:dyDescent="0.25">
      <c r="C6356"/>
    </row>
    <row r="6357" spans="3:3" x14ac:dyDescent="0.25">
      <c r="C6357"/>
    </row>
    <row r="6358" spans="3:3" x14ac:dyDescent="0.25">
      <c r="C6358"/>
    </row>
    <row r="6359" spans="3:3" x14ac:dyDescent="0.25">
      <c r="C6359"/>
    </row>
    <row r="6360" spans="3:3" x14ac:dyDescent="0.25">
      <c r="C6360"/>
    </row>
    <row r="6361" spans="3:3" x14ac:dyDescent="0.25">
      <c r="C6361"/>
    </row>
    <row r="6362" spans="3:3" x14ac:dyDescent="0.25">
      <c r="C6362"/>
    </row>
    <row r="6363" spans="3:3" x14ac:dyDescent="0.25">
      <c r="C6363"/>
    </row>
    <row r="6364" spans="3:3" x14ac:dyDescent="0.25">
      <c r="C6364"/>
    </row>
    <row r="6365" spans="3:3" x14ac:dyDescent="0.25">
      <c r="C6365"/>
    </row>
    <row r="6366" spans="3:3" x14ac:dyDescent="0.25">
      <c r="C6366"/>
    </row>
    <row r="6367" spans="3:3" x14ac:dyDescent="0.25">
      <c r="C6367"/>
    </row>
    <row r="6368" spans="3:3" x14ac:dyDescent="0.25">
      <c r="C6368"/>
    </row>
    <row r="6369" spans="3:3" x14ac:dyDescent="0.25">
      <c r="C6369"/>
    </row>
    <row r="6370" spans="3:3" x14ac:dyDescent="0.25">
      <c r="C6370"/>
    </row>
    <row r="6371" spans="3:3" x14ac:dyDescent="0.25">
      <c r="C6371"/>
    </row>
    <row r="6372" spans="3:3" x14ac:dyDescent="0.25">
      <c r="C6372"/>
    </row>
    <row r="6373" spans="3:3" x14ac:dyDescent="0.25">
      <c r="C6373"/>
    </row>
    <row r="6374" spans="3:3" x14ac:dyDescent="0.25">
      <c r="C6374"/>
    </row>
    <row r="6375" spans="3:3" x14ac:dyDescent="0.25">
      <c r="C6375"/>
    </row>
    <row r="6376" spans="3:3" x14ac:dyDescent="0.25">
      <c r="C6376"/>
    </row>
    <row r="6377" spans="3:3" x14ac:dyDescent="0.25">
      <c r="C6377"/>
    </row>
    <row r="6378" spans="3:3" x14ac:dyDescent="0.25">
      <c r="C6378"/>
    </row>
    <row r="6379" spans="3:3" x14ac:dyDescent="0.25">
      <c r="C6379"/>
    </row>
    <row r="6380" spans="3:3" x14ac:dyDescent="0.25">
      <c r="C6380"/>
    </row>
    <row r="6381" spans="3:3" x14ac:dyDescent="0.25">
      <c r="C6381"/>
    </row>
    <row r="6382" spans="3:3" x14ac:dyDescent="0.25">
      <c r="C6382"/>
    </row>
    <row r="6383" spans="3:3" x14ac:dyDescent="0.25">
      <c r="C6383"/>
    </row>
    <row r="6384" spans="3:3" x14ac:dyDescent="0.25">
      <c r="C6384"/>
    </row>
    <row r="6385" spans="3:3" x14ac:dyDescent="0.25">
      <c r="C6385"/>
    </row>
    <row r="6386" spans="3:3" x14ac:dyDescent="0.25">
      <c r="C6386"/>
    </row>
    <row r="6387" spans="3:3" x14ac:dyDescent="0.25">
      <c r="C6387"/>
    </row>
    <row r="6388" spans="3:3" x14ac:dyDescent="0.25">
      <c r="C6388"/>
    </row>
    <row r="6389" spans="3:3" x14ac:dyDescent="0.25">
      <c r="C6389"/>
    </row>
    <row r="6390" spans="3:3" x14ac:dyDescent="0.25">
      <c r="C6390"/>
    </row>
    <row r="6391" spans="3:3" x14ac:dyDescent="0.25">
      <c r="C6391"/>
    </row>
    <row r="6392" spans="3:3" x14ac:dyDescent="0.25">
      <c r="C6392"/>
    </row>
    <row r="6393" spans="3:3" x14ac:dyDescent="0.25">
      <c r="C6393"/>
    </row>
    <row r="6394" spans="3:3" x14ac:dyDescent="0.25">
      <c r="C6394"/>
    </row>
    <row r="6395" spans="3:3" x14ac:dyDescent="0.25">
      <c r="C6395"/>
    </row>
    <row r="6396" spans="3:3" x14ac:dyDescent="0.25">
      <c r="C6396"/>
    </row>
    <row r="6397" spans="3:3" x14ac:dyDescent="0.25">
      <c r="C6397"/>
    </row>
    <row r="6398" spans="3:3" x14ac:dyDescent="0.25">
      <c r="C6398"/>
    </row>
    <row r="6399" spans="3:3" x14ac:dyDescent="0.25">
      <c r="C6399"/>
    </row>
    <row r="6400" spans="3:3" x14ac:dyDescent="0.25">
      <c r="C6400"/>
    </row>
    <row r="6401" spans="3:3" x14ac:dyDescent="0.25">
      <c r="C6401"/>
    </row>
    <row r="6402" spans="3:3" x14ac:dyDescent="0.25">
      <c r="C6402"/>
    </row>
    <row r="6403" spans="3:3" x14ac:dyDescent="0.25">
      <c r="C6403"/>
    </row>
    <row r="6404" spans="3:3" x14ac:dyDescent="0.25">
      <c r="C6404"/>
    </row>
    <row r="6405" spans="3:3" x14ac:dyDescent="0.25">
      <c r="C6405"/>
    </row>
    <row r="6406" spans="3:3" x14ac:dyDescent="0.25">
      <c r="C6406"/>
    </row>
    <row r="6407" spans="3:3" x14ac:dyDescent="0.25">
      <c r="C6407"/>
    </row>
    <row r="6408" spans="3:3" x14ac:dyDescent="0.25">
      <c r="C6408"/>
    </row>
    <row r="6409" spans="3:3" x14ac:dyDescent="0.25">
      <c r="C6409"/>
    </row>
    <row r="6410" spans="3:3" x14ac:dyDescent="0.25">
      <c r="C6410"/>
    </row>
    <row r="6411" spans="3:3" x14ac:dyDescent="0.25">
      <c r="C6411"/>
    </row>
    <row r="6412" spans="3:3" x14ac:dyDescent="0.25">
      <c r="C6412"/>
    </row>
    <row r="6413" spans="3:3" x14ac:dyDescent="0.25">
      <c r="C6413"/>
    </row>
    <row r="6414" spans="3:3" x14ac:dyDescent="0.25">
      <c r="C6414"/>
    </row>
    <row r="6415" spans="3:3" x14ac:dyDescent="0.25">
      <c r="C6415"/>
    </row>
    <row r="6416" spans="3:3" x14ac:dyDescent="0.25">
      <c r="C6416"/>
    </row>
    <row r="6417" spans="3:3" x14ac:dyDescent="0.25">
      <c r="C6417"/>
    </row>
    <row r="6418" spans="3:3" x14ac:dyDescent="0.25">
      <c r="C6418"/>
    </row>
    <row r="6419" spans="3:3" x14ac:dyDescent="0.25">
      <c r="C6419"/>
    </row>
    <row r="6420" spans="3:3" x14ac:dyDescent="0.25">
      <c r="C6420"/>
    </row>
    <row r="6421" spans="3:3" x14ac:dyDescent="0.25">
      <c r="C6421"/>
    </row>
    <row r="6422" spans="3:3" x14ac:dyDescent="0.25">
      <c r="C6422"/>
    </row>
    <row r="6423" spans="3:3" x14ac:dyDescent="0.25">
      <c r="C6423"/>
    </row>
    <row r="6424" spans="3:3" x14ac:dyDescent="0.25">
      <c r="C6424"/>
    </row>
    <row r="6425" spans="3:3" x14ac:dyDescent="0.25">
      <c r="C6425"/>
    </row>
    <row r="6426" spans="3:3" x14ac:dyDescent="0.25">
      <c r="C6426"/>
    </row>
    <row r="6427" spans="3:3" x14ac:dyDescent="0.25">
      <c r="C6427"/>
    </row>
    <row r="6428" spans="3:3" x14ac:dyDescent="0.25">
      <c r="C6428"/>
    </row>
    <row r="6429" spans="3:3" x14ac:dyDescent="0.25">
      <c r="C6429"/>
    </row>
    <row r="6430" spans="3:3" x14ac:dyDescent="0.25">
      <c r="C6430"/>
    </row>
    <row r="6431" spans="3:3" x14ac:dyDescent="0.25">
      <c r="C6431"/>
    </row>
    <row r="6432" spans="3:3" x14ac:dyDescent="0.25">
      <c r="C6432"/>
    </row>
    <row r="6433" spans="3:3" x14ac:dyDescent="0.25">
      <c r="C6433"/>
    </row>
    <row r="6434" spans="3:3" x14ac:dyDescent="0.25">
      <c r="C6434"/>
    </row>
    <row r="6435" spans="3:3" x14ac:dyDescent="0.25">
      <c r="C6435"/>
    </row>
    <row r="6436" spans="3:3" x14ac:dyDescent="0.25">
      <c r="C6436"/>
    </row>
    <row r="6437" spans="3:3" x14ac:dyDescent="0.25">
      <c r="C6437"/>
    </row>
    <row r="6438" spans="3:3" x14ac:dyDescent="0.25">
      <c r="C6438"/>
    </row>
    <row r="6439" spans="3:3" x14ac:dyDescent="0.25">
      <c r="C6439"/>
    </row>
    <row r="6440" spans="3:3" x14ac:dyDescent="0.25">
      <c r="C6440"/>
    </row>
    <row r="6441" spans="3:3" x14ac:dyDescent="0.25">
      <c r="C6441"/>
    </row>
    <row r="6442" spans="3:3" x14ac:dyDescent="0.25">
      <c r="C6442"/>
    </row>
    <row r="6443" spans="3:3" x14ac:dyDescent="0.25">
      <c r="C6443"/>
    </row>
    <row r="6444" spans="3:3" x14ac:dyDescent="0.25">
      <c r="C6444"/>
    </row>
    <row r="6445" spans="3:3" x14ac:dyDescent="0.25">
      <c r="C6445"/>
    </row>
    <row r="6446" spans="3:3" x14ac:dyDescent="0.25">
      <c r="C6446"/>
    </row>
    <row r="6447" spans="3:3" x14ac:dyDescent="0.25">
      <c r="C6447"/>
    </row>
    <row r="6448" spans="3:3" x14ac:dyDescent="0.25">
      <c r="C6448"/>
    </row>
    <row r="6449" spans="3:3" x14ac:dyDescent="0.25">
      <c r="C6449"/>
    </row>
    <row r="6450" spans="3:3" x14ac:dyDescent="0.25">
      <c r="C6450"/>
    </row>
    <row r="6451" spans="3:3" x14ac:dyDescent="0.25">
      <c r="C6451"/>
    </row>
    <row r="6452" spans="3:3" x14ac:dyDescent="0.25">
      <c r="C6452"/>
    </row>
    <row r="6453" spans="3:3" x14ac:dyDescent="0.25">
      <c r="C6453"/>
    </row>
    <row r="6454" spans="3:3" x14ac:dyDescent="0.25">
      <c r="C6454"/>
    </row>
    <row r="6455" spans="3:3" x14ac:dyDescent="0.25">
      <c r="C6455"/>
    </row>
    <row r="6456" spans="3:3" x14ac:dyDescent="0.25">
      <c r="C6456"/>
    </row>
    <row r="6457" spans="3:3" x14ac:dyDescent="0.25">
      <c r="C6457"/>
    </row>
    <row r="6458" spans="3:3" x14ac:dyDescent="0.25">
      <c r="C6458"/>
    </row>
    <row r="6459" spans="3:3" x14ac:dyDescent="0.25">
      <c r="C6459"/>
    </row>
    <row r="6460" spans="3:3" x14ac:dyDescent="0.25">
      <c r="C6460"/>
    </row>
    <row r="6461" spans="3:3" x14ac:dyDescent="0.25">
      <c r="C6461"/>
    </row>
    <row r="6462" spans="3:3" x14ac:dyDescent="0.25">
      <c r="C6462"/>
    </row>
    <row r="6463" spans="3:3" x14ac:dyDescent="0.25">
      <c r="C6463"/>
    </row>
    <row r="6464" spans="3:3" x14ac:dyDescent="0.25">
      <c r="C6464"/>
    </row>
    <row r="6465" spans="3:3" x14ac:dyDescent="0.25">
      <c r="C6465"/>
    </row>
    <row r="6466" spans="3:3" x14ac:dyDescent="0.25">
      <c r="C6466"/>
    </row>
    <row r="6467" spans="3:3" x14ac:dyDescent="0.25">
      <c r="C6467"/>
    </row>
    <row r="6468" spans="3:3" x14ac:dyDescent="0.25">
      <c r="C6468"/>
    </row>
    <row r="6469" spans="3:3" x14ac:dyDescent="0.25">
      <c r="C6469"/>
    </row>
    <row r="6470" spans="3:3" x14ac:dyDescent="0.25">
      <c r="C6470"/>
    </row>
    <row r="6471" spans="3:3" x14ac:dyDescent="0.25">
      <c r="C6471"/>
    </row>
    <row r="6472" spans="3:3" x14ac:dyDescent="0.25">
      <c r="C6472"/>
    </row>
    <row r="6473" spans="3:3" x14ac:dyDescent="0.25">
      <c r="C6473"/>
    </row>
    <row r="6474" spans="3:3" x14ac:dyDescent="0.25">
      <c r="C6474"/>
    </row>
    <row r="6475" spans="3:3" x14ac:dyDescent="0.25">
      <c r="C6475"/>
    </row>
    <row r="6476" spans="3:3" x14ac:dyDescent="0.25">
      <c r="C6476"/>
    </row>
    <row r="6477" spans="3:3" x14ac:dyDescent="0.25">
      <c r="C6477"/>
    </row>
    <row r="6478" spans="3:3" x14ac:dyDescent="0.25">
      <c r="C6478"/>
    </row>
    <row r="6479" spans="3:3" x14ac:dyDescent="0.25">
      <c r="C6479"/>
    </row>
    <row r="6480" spans="3:3" x14ac:dyDescent="0.25">
      <c r="C6480"/>
    </row>
    <row r="6481" spans="3:3" x14ac:dyDescent="0.25">
      <c r="C6481"/>
    </row>
    <row r="6482" spans="3:3" x14ac:dyDescent="0.25">
      <c r="C6482"/>
    </row>
    <row r="6483" spans="3:3" x14ac:dyDescent="0.25">
      <c r="C6483"/>
    </row>
    <row r="6484" spans="3:3" x14ac:dyDescent="0.25">
      <c r="C6484"/>
    </row>
    <row r="6485" spans="3:3" x14ac:dyDescent="0.25">
      <c r="C6485"/>
    </row>
    <row r="6486" spans="3:3" x14ac:dyDescent="0.25">
      <c r="C6486"/>
    </row>
    <row r="6487" spans="3:3" x14ac:dyDescent="0.25">
      <c r="C6487"/>
    </row>
    <row r="6488" spans="3:3" x14ac:dyDescent="0.25">
      <c r="C6488"/>
    </row>
    <row r="6489" spans="3:3" x14ac:dyDescent="0.25">
      <c r="C6489"/>
    </row>
    <row r="6490" spans="3:3" x14ac:dyDescent="0.25">
      <c r="C6490"/>
    </row>
    <row r="6491" spans="3:3" x14ac:dyDescent="0.25">
      <c r="C6491"/>
    </row>
    <row r="6492" spans="3:3" x14ac:dyDescent="0.25">
      <c r="C6492"/>
    </row>
    <row r="6493" spans="3:3" x14ac:dyDescent="0.25">
      <c r="C6493"/>
    </row>
    <row r="6494" spans="3:3" x14ac:dyDescent="0.25">
      <c r="C6494"/>
    </row>
    <row r="6495" spans="3:3" x14ac:dyDescent="0.25">
      <c r="C6495"/>
    </row>
    <row r="6496" spans="3:3" x14ac:dyDescent="0.25">
      <c r="C6496"/>
    </row>
    <row r="6497" spans="3:3" x14ac:dyDescent="0.25">
      <c r="C6497"/>
    </row>
    <row r="6498" spans="3:3" x14ac:dyDescent="0.25">
      <c r="C6498"/>
    </row>
    <row r="6499" spans="3:3" x14ac:dyDescent="0.25">
      <c r="C6499"/>
    </row>
    <row r="6500" spans="3:3" x14ac:dyDescent="0.25">
      <c r="C6500"/>
    </row>
    <row r="6501" spans="3:3" x14ac:dyDescent="0.25">
      <c r="C6501"/>
    </row>
    <row r="6502" spans="3:3" x14ac:dyDescent="0.25">
      <c r="C6502"/>
    </row>
    <row r="6503" spans="3:3" x14ac:dyDescent="0.25">
      <c r="C6503"/>
    </row>
    <row r="6504" spans="3:3" x14ac:dyDescent="0.25">
      <c r="C6504"/>
    </row>
    <row r="6505" spans="3:3" x14ac:dyDescent="0.25">
      <c r="C6505"/>
    </row>
    <row r="6506" spans="3:3" x14ac:dyDescent="0.25">
      <c r="C6506"/>
    </row>
    <row r="6507" spans="3:3" x14ac:dyDescent="0.25">
      <c r="C6507"/>
    </row>
    <row r="6508" spans="3:3" x14ac:dyDescent="0.25">
      <c r="C6508"/>
    </row>
    <row r="6509" spans="3:3" x14ac:dyDescent="0.25">
      <c r="C6509"/>
    </row>
    <row r="6510" spans="3:3" x14ac:dyDescent="0.25">
      <c r="C6510"/>
    </row>
    <row r="6511" spans="3:3" x14ac:dyDescent="0.25">
      <c r="C6511"/>
    </row>
    <row r="6512" spans="3:3" x14ac:dyDescent="0.25">
      <c r="C6512"/>
    </row>
    <row r="6513" spans="3:3" x14ac:dyDescent="0.25">
      <c r="C6513"/>
    </row>
    <row r="6514" spans="3:3" x14ac:dyDescent="0.25">
      <c r="C6514"/>
    </row>
    <row r="6515" spans="3:3" x14ac:dyDescent="0.25">
      <c r="C6515"/>
    </row>
    <row r="6516" spans="3:3" x14ac:dyDescent="0.25">
      <c r="C6516"/>
    </row>
    <row r="6517" spans="3:3" x14ac:dyDescent="0.25">
      <c r="C6517"/>
    </row>
    <row r="6518" spans="3:3" x14ac:dyDescent="0.25">
      <c r="C6518"/>
    </row>
    <row r="6519" spans="3:3" x14ac:dyDescent="0.25">
      <c r="C6519"/>
    </row>
    <row r="6520" spans="3:3" x14ac:dyDescent="0.25">
      <c r="C6520"/>
    </row>
    <row r="6521" spans="3:3" x14ac:dyDescent="0.25">
      <c r="C6521"/>
    </row>
    <row r="6522" spans="3:3" x14ac:dyDescent="0.25">
      <c r="C6522"/>
    </row>
    <row r="6523" spans="3:3" x14ac:dyDescent="0.25">
      <c r="C6523"/>
    </row>
    <row r="6524" spans="3:3" x14ac:dyDescent="0.25">
      <c r="C6524"/>
    </row>
    <row r="6525" spans="3:3" x14ac:dyDescent="0.25">
      <c r="C6525"/>
    </row>
    <row r="6526" spans="3:3" x14ac:dyDescent="0.25">
      <c r="C6526"/>
    </row>
    <row r="6527" spans="3:3" x14ac:dyDescent="0.25">
      <c r="C6527"/>
    </row>
    <row r="6528" spans="3:3" x14ac:dyDescent="0.25">
      <c r="C6528"/>
    </row>
    <row r="6529" spans="3:3" x14ac:dyDescent="0.25">
      <c r="C6529"/>
    </row>
    <row r="6530" spans="3:3" x14ac:dyDescent="0.25">
      <c r="C6530"/>
    </row>
    <row r="6531" spans="3:3" x14ac:dyDescent="0.25">
      <c r="C6531"/>
    </row>
    <row r="6532" spans="3:3" x14ac:dyDescent="0.25">
      <c r="C6532"/>
    </row>
    <row r="6533" spans="3:3" x14ac:dyDescent="0.25">
      <c r="C6533"/>
    </row>
    <row r="6534" spans="3:3" x14ac:dyDescent="0.25">
      <c r="C6534"/>
    </row>
    <row r="6535" spans="3:3" x14ac:dyDescent="0.25">
      <c r="C6535"/>
    </row>
    <row r="6536" spans="3:3" x14ac:dyDescent="0.25">
      <c r="C6536"/>
    </row>
    <row r="6537" spans="3:3" x14ac:dyDescent="0.25">
      <c r="C6537"/>
    </row>
    <row r="6538" spans="3:3" x14ac:dyDescent="0.25">
      <c r="C6538"/>
    </row>
    <row r="6539" spans="3:3" x14ac:dyDescent="0.25">
      <c r="C6539"/>
    </row>
    <row r="6540" spans="3:3" x14ac:dyDescent="0.25">
      <c r="C6540"/>
    </row>
    <row r="6541" spans="3:3" x14ac:dyDescent="0.25">
      <c r="C6541"/>
    </row>
    <row r="6542" spans="3:3" x14ac:dyDescent="0.25">
      <c r="C6542"/>
    </row>
    <row r="6543" spans="3:3" x14ac:dyDescent="0.25">
      <c r="C6543"/>
    </row>
    <row r="6544" spans="3:3" x14ac:dyDescent="0.25">
      <c r="C6544"/>
    </row>
    <row r="6545" spans="3:3" x14ac:dyDescent="0.25">
      <c r="C6545"/>
    </row>
    <row r="6546" spans="3:3" x14ac:dyDescent="0.25">
      <c r="C6546"/>
    </row>
    <row r="6547" spans="3:3" x14ac:dyDescent="0.25">
      <c r="C6547"/>
    </row>
    <row r="6548" spans="3:3" x14ac:dyDescent="0.25">
      <c r="C6548"/>
    </row>
    <row r="6549" spans="3:3" x14ac:dyDescent="0.25">
      <c r="C6549"/>
    </row>
    <row r="6550" spans="3:3" x14ac:dyDescent="0.25">
      <c r="C6550"/>
    </row>
    <row r="6551" spans="3:3" x14ac:dyDescent="0.25">
      <c r="C6551"/>
    </row>
    <row r="6552" spans="3:3" x14ac:dyDescent="0.25">
      <c r="C6552"/>
    </row>
    <row r="6553" spans="3:3" x14ac:dyDescent="0.25">
      <c r="C6553"/>
    </row>
    <row r="6554" spans="3:3" x14ac:dyDescent="0.25">
      <c r="C6554"/>
    </row>
    <row r="6555" spans="3:3" x14ac:dyDescent="0.25">
      <c r="C6555"/>
    </row>
    <row r="6556" spans="3:3" x14ac:dyDescent="0.25">
      <c r="C6556"/>
    </row>
    <row r="6557" spans="3:3" x14ac:dyDescent="0.25">
      <c r="C6557"/>
    </row>
    <row r="6558" spans="3:3" x14ac:dyDescent="0.25">
      <c r="C6558"/>
    </row>
    <row r="6559" spans="3:3" x14ac:dyDescent="0.25">
      <c r="C6559"/>
    </row>
    <row r="6560" spans="3:3" x14ac:dyDescent="0.25">
      <c r="C6560"/>
    </row>
    <row r="6561" spans="3:3" x14ac:dyDescent="0.25">
      <c r="C6561"/>
    </row>
    <row r="6562" spans="3:3" x14ac:dyDescent="0.25">
      <c r="C6562"/>
    </row>
    <row r="6563" spans="3:3" x14ac:dyDescent="0.25">
      <c r="C6563"/>
    </row>
    <row r="6564" spans="3:3" x14ac:dyDescent="0.25">
      <c r="C6564"/>
    </row>
    <row r="6565" spans="3:3" x14ac:dyDescent="0.25">
      <c r="C6565"/>
    </row>
    <row r="6566" spans="3:3" x14ac:dyDescent="0.25">
      <c r="C6566"/>
    </row>
    <row r="6567" spans="3:3" x14ac:dyDescent="0.25">
      <c r="C6567"/>
    </row>
    <row r="6568" spans="3:3" x14ac:dyDescent="0.25">
      <c r="C6568"/>
    </row>
    <row r="6569" spans="3:3" x14ac:dyDescent="0.25">
      <c r="C6569"/>
    </row>
    <row r="6570" spans="3:3" x14ac:dyDescent="0.25">
      <c r="C6570"/>
    </row>
    <row r="6571" spans="3:3" x14ac:dyDescent="0.25">
      <c r="C6571"/>
    </row>
    <row r="6572" spans="3:3" x14ac:dyDescent="0.25">
      <c r="C6572"/>
    </row>
    <row r="6573" spans="3:3" x14ac:dyDescent="0.25">
      <c r="C6573"/>
    </row>
    <row r="6574" spans="3:3" x14ac:dyDescent="0.25">
      <c r="C6574"/>
    </row>
    <row r="6575" spans="3:3" x14ac:dyDescent="0.25">
      <c r="C6575"/>
    </row>
    <row r="6576" spans="3:3" x14ac:dyDescent="0.25">
      <c r="C6576"/>
    </row>
    <row r="6577" spans="3:3" x14ac:dyDescent="0.25">
      <c r="C6577"/>
    </row>
    <row r="6578" spans="3:3" x14ac:dyDescent="0.25">
      <c r="C6578"/>
    </row>
    <row r="6579" spans="3:3" x14ac:dyDescent="0.25">
      <c r="C6579"/>
    </row>
    <row r="6580" spans="3:3" x14ac:dyDescent="0.25">
      <c r="C6580"/>
    </row>
    <row r="6581" spans="3:3" x14ac:dyDescent="0.25">
      <c r="C6581"/>
    </row>
    <row r="6582" spans="3:3" x14ac:dyDescent="0.25">
      <c r="C6582"/>
    </row>
    <row r="6583" spans="3:3" x14ac:dyDescent="0.25">
      <c r="C6583"/>
    </row>
    <row r="6584" spans="3:3" x14ac:dyDescent="0.25">
      <c r="C6584"/>
    </row>
    <row r="6585" spans="3:3" x14ac:dyDescent="0.25">
      <c r="C6585"/>
    </row>
    <row r="6586" spans="3:3" x14ac:dyDescent="0.25">
      <c r="C6586"/>
    </row>
    <row r="6587" spans="3:3" x14ac:dyDescent="0.25">
      <c r="C6587"/>
    </row>
    <row r="6588" spans="3:3" x14ac:dyDescent="0.25">
      <c r="C6588"/>
    </row>
    <row r="6589" spans="3:3" x14ac:dyDescent="0.25">
      <c r="C6589"/>
    </row>
    <row r="6590" spans="3:3" x14ac:dyDescent="0.25">
      <c r="C6590"/>
    </row>
    <row r="6591" spans="3:3" x14ac:dyDescent="0.25">
      <c r="C6591"/>
    </row>
    <row r="6592" spans="3:3" x14ac:dyDescent="0.25">
      <c r="C6592"/>
    </row>
    <row r="6593" spans="3:3" x14ac:dyDescent="0.25">
      <c r="C6593"/>
    </row>
    <row r="6594" spans="3:3" x14ac:dyDescent="0.25">
      <c r="C6594"/>
    </row>
    <row r="6595" spans="3:3" x14ac:dyDescent="0.25">
      <c r="C6595"/>
    </row>
    <row r="6596" spans="3:3" x14ac:dyDescent="0.25">
      <c r="C6596"/>
    </row>
    <row r="6597" spans="3:3" x14ac:dyDescent="0.25">
      <c r="C6597"/>
    </row>
    <row r="6598" spans="3:3" x14ac:dyDescent="0.25">
      <c r="C6598"/>
    </row>
    <row r="6599" spans="3:3" x14ac:dyDescent="0.25">
      <c r="C6599"/>
    </row>
    <row r="6600" spans="3:3" x14ac:dyDescent="0.25">
      <c r="C6600"/>
    </row>
    <row r="6601" spans="3:3" x14ac:dyDescent="0.25">
      <c r="C6601"/>
    </row>
    <row r="6602" spans="3:3" x14ac:dyDescent="0.25">
      <c r="C6602"/>
    </row>
    <row r="6603" spans="3:3" x14ac:dyDescent="0.25">
      <c r="C6603"/>
    </row>
    <row r="6604" spans="3:3" x14ac:dyDescent="0.25">
      <c r="C6604"/>
    </row>
    <row r="6605" spans="3:3" x14ac:dyDescent="0.25">
      <c r="C6605"/>
    </row>
    <row r="6606" spans="3:3" x14ac:dyDescent="0.25">
      <c r="C6606"/>
    </row>
    <row r="6607" spans="3:3" x14ac:dyDescent="0.25">
      <c r="C6607"/>
    </row>
    <row r="6608" spans="3:3" x14ac:dyDescent="0.25">
      <c r="C6608"/>
    </row>
    <row r="6609" spans="3:3" x14ac:dyDescent="0.25">
      <c r="C6609"/>
    </row>
    <row r="6610" spans="3:3" x14ac:dyDescent="0.25">
      <c r="C6610"/>
    </row>
    <row r="6611" spans="3:3" x14ac:dyDescent="0.25">
      <c r="C6611"/>
    </row>
    <row r="6612" spans="3:3" x14ac:dyDescent="0.25">
      <c r="C6612"/>
    </row>
    <row r="6613" spans="3:3" x14ac:dyDescent="0.25">
      <c r="C6613"/>
    </row>
    <row r="6614" spans="3:3" x14ac:dyDescent="0.25">
      <c r="C6614"/>
    </row>
    <row r="6615" spans="3:3" x14ac:dyDescent="0.25">
      <c r="C6615"/>
    </row>
    <row r="6616" spans="3:3" x14ac:dyDescent="0.25">
      <c r="C6616"/>
    </row>
    <row r="6617" spans="3:3" x14ac:dyDescent="0.25">
      <c r="C6617"/>
    </row>
    <row r="6618" spans="3:3" x14ac:dyDescent="0.25">
      <c r="C6618"/>
    </row>
    <row r="6619" spans="3:3" x14ac:dyDescent="0.25">
      <c r="C6619"/>
    </row>
    <row r="6620" spans="3:3" x14ac:dyDescent="0.25">
      <c r="C6620"/>
    </row>
    <row r="6621" spans="3:3" x14ac:dyDescent="0.25">
      <c r="C6621"/>
    </row>
    <row r="6622" spans="3:3" x14ac:dyDescent="0.25">
      <c r="C6622"/>
    </row>
    <row r="6623" spans="3:3" x14ac:dyDescent="0.25">
      <c r="C6623"/>
    </row>
    <row r="6624" spans="3:3" x14ac:dyDescent="0.25">
      <c r="C6624"/>
    </row>
    <row r="6625" spans="3:3" x14ac:dyDescent="0.25">
      <c r="C6625"/>
    </row>
    <row r="6626" spans="3:3" x14ac:dyDescent="0.25">
      <c r="C6626"/>
    </row>
    <row r="6627" spans="3:3" x14ac:dyDescent="0.25">
      <c r="C6627"/>
    </row>
    <row r="6628" spans="3:3" x14ac:dyDescent="0.25">
      <c r="C6628"/>
    </row>
    <row r="6629" spans="3:3" x14ac:dyDescent="0.25">
      <c r="C6629"/>
    </row>
    <row r="6630" spans="3:3" x14ac:dyDescent="0.25">
      <c r="C6630"/>
    </row>
    <row r="6631" spans="3:3" x14ac:dyDescent="0.25">
      <c r="C6631"/>
    </row>
    <row r="6632" spans="3:3" x14ac:dyDescent="0.25">
      <c r="C6632"/>
    </row>
    <row r="6633" spans="3:3" x14ac:dyDescent="0.25">
      <c r="C6633"/>
    </row>
    <row r="6634" spans="3:3" x14ac:dyDescent="0.25">
      <c r="C6634"/>
    </row>
    <row r="6635" spans="3:3" x14ac:dyDescent="0.25">
      <c r="C6635"/>
    </row>
    <row r="6636" spans="3:3" x14ac:dyDescent="0.25">
      <c r="C6636"/>
    </row>
    <row r="6637" spans="3:3" x14ac:dyDescent="0.25">
      <c r="C6637"/>
    </row>
    <row r="6638" spans="3:3" x14ac:dyDescent="0.25">
      <c r="C6638"/>
    </row>
    <row r="6639" spans="3:3" x14ac:dyDescent="0.25">
      <c r="C6639"/>
    </row>
    <row r="6640" spans="3:3" x14ac:dyDescent="0.25">
      <c r="C6640"/>
    </row>
    <row r="6641" spans="3:3" x14ac:dyDescent="0.25">
      <c r="C6641"/>
    </row>
    <row r="6642" spans="3:3" x14ac:dyDescent="0.25">
      <c r="C6642"/>
    </row>
    <row r="6643" spans="3:3" x14ac:dyDescent="0.25">
      <c r="C6643"/>
    </row>
    <row r="6644" spans="3:3" x14ac:dyDescent="0.25">
      <c r="C6644"/>
    </row>
    <row r="6645" spans="3:3" x14ac:dyDescent="0.25">
      <c r="C6645"/>
    </row>
    <row r="6646" spans="3:3" x14ac:dyDescent="0.25">
      <c r="C6646"/>
    </row>
    <row r="6647" spans="3:3" x14ac:dyDescent="0.25">
      <c r="C6647"/>
    </row>
    <row r="6648" spans="3:3" x14ac:dyDescent="0.25">
      <c r="C6648"/>
    </row>
    <row r="6649" spans="3:3" x14ac:dyDescent="0.25">
      <c r="C6649"/>
    </row>
    <row r="6650" spans="3:3" x14ac:dyDescent="0.25">
      <c r="C6650"/>
    </row>
    <row r="6651" spans="3:3" x14ac:dyDescent="0.25">
      <c r="C6651"/>
    </row>
    <row r="6652" spans="3:3" x14ac:dyDescent="0.25">
      <c r="C6652"/>
    </row>
    <row r="6653" spans="3:3" x14ac:dyDescent="0.25">
      <c r="C6653"/>
    </row>
    <row r="6654" spans="3:3" x14ac:dyDescent="0.25">
      <c r="C6654"/>
    </row>
    <row r="6655" spans="3:3" x14ac:dyDescent="0.25">
      <c r="C6655"/>
    </row>
    <row r="6656" spans="3:3" x14ac:dyDescent="0.25">
      <c r="C6656"/>
    </row>
    <row r="6657" spans="3:3" x14ac:dyDescent="0.25">
      <c r="C6657"/>
    </row>
    <row r="6658" spans="3:3" x14ac:dyDescent="0.25">
      <c r="C6658"/>
    </row>
    <row r="6659" spans="3:3" x14ac:dyDescent="0.25">
      <c r="C6659"/>
    </row>
    <row r="6660" spans="3:3" x14ac:dyDescent="0.25">
      <c r="C6660"/>
    </row>
    <row r="6661" spans="3:3" x14ac:dyDescent="0.25">
      <c r="C6661"/>
    </row>
    <row r="6662" spans="3:3" x14ac:dyDescent="0.25">
      <c r="C6662"/>
    </row>
    <row r="6663" spans="3:3" x14ac:dyDescent="0.25">
      <c r="C6663"/>
    </row>
    <row r="6664" spans="3:3" x14ac:dyDescent="0.25">
      <c r="C6664"/>
    </row>
    <row r="6665" spans="3:3" x14ac:dyDescent="0.25">
      <c r="C6665"/>
    </row>
    <row r="6666" spans="3:3" x14ac:dyDescent="0.25">
      <c r="C6666"/>
    </row>
    <row r="6667" spans="3:3" x14ac:dyDescent="0.25">
      <c r="C6667"/>
    </row>
    <row r="6668" spans="3:3" x14ac:dyDescent="0.25">
      <c r="C6668"/>
    </row>
    <row r="6669" spans="3:3" x14ac:dyDescent="0.25">
      <c r="C6669"/>
    </row>
    <row r="6670" spans="3:3" x14ac:dyDescent="0.25">
      <c r="C6670"/>
    </row>
    <row r="6671" spans="3:3" x14ac:dyDescent="0.25">
      <c r="C6671"/>
    </row>
    <row r="6672" spans="3:3" x14ac:dyDescent="0.25">
      <c r="C6672"/>
    </row>
    <row r="6673" spans="3:3" x14ac:dyDescent="0.25">
      <c r="C6673"/>
    </row>
    <row r="6674" spans="3:3" x14ac:dyDescent="0.25">
      <c r="C6674"/>
    </row>
    <row r="6675" spans="3:3" x14ac:dyDescent="0.25">
      <c r="C6675"/>
    </row>
    <row r="6676" spans="3:3" x14ac:dyDescent="0.25">
      <c r="C6676"/>
    </row>
    <row r="6677" spans="3:3" x14ac:dyDescent="0.25">
      <c r="C6677"/>
    </row>
    <row r="6678" spans="3:3" x14ac:dyDescent="0.25">
      <c r="C6678"/>
    </row>
    <row r="6679" spans="3:3" x14ac:dyDescent="0.25">
      <c r="C6679"/>
    </row>
    <row r="6680" spans="3:3" x14ac:dyDescent="0.25">
      <c r="C6680"/>
    </row>
    <row r="6681" spans="3:3" x14ac:dyDescent="0.25">
      <c r="C6681"/>
    </row>
    <row r="6682" spans="3:3" x14ac:dyDescent="0.25">
      <c r="C6682"/>
    </row>
    <row r="6683" spans="3:3" x14ac:dyDescent="0.25">
      <c r="C6683"/>
    </row>
    <row r="6684" spans="3:3" x14ac:dyDescent="0.25">
      <c r="C6684"/>
    </row>
    <row r="6685" spans="3:3" x14ac:dyDescent="0.25">
      <c r="C6685"/>
    </row>
    <row r="6686" spans="3:3" x14ac:dyDescent="0.25">
      <c r="C6686"/>
    </row>
    <row r="6687" spans="3:3" x14ac:dyDescent="0.25">
      <c r="C6687"/>
    </row>
    <row r="6688" spans="3:3" x14ac:dyDescent="0.25">
      <c r="C6688"/>
    </row>
    <row r="6689" spans="3:3" x14ac:dyDescent="0.25">
      <c r="C6689"/>
    </row>
    <row r="6690" spans="3:3" x14ac:dyDescent="0.25">
      <c r="C6690"/>
    </row>
    <row r="6691" spans="3:3" x14ac:dyDescent="0.25">
      <c r="C6691"/>
    </row>
    <row r="6692" spans="3:3" x14ac:dyDescent="0.25">
      <c r="C6692"/>
    </row>
    <row r="6693" spans="3:3" x14ac:dyDescent="0.25">
      <c r="C6693"/>
    </row>
    <row r="6694" spans="3:3" x14ac:dyDescent="0.25">
      <c r="C6694"/>
    </row>
    <row r="6695" spans="3:3" x14ac:dyDescent="0.25">
      <c r="C6695"/>
    </row>
    <row r="6696" spans="3:3" x14ac:dyDescent="0.25">
      <c r="C6696"/>
    </row>
    <row r="6697" spans="3:3" x14ac:dyDescent="0.25">
      <c r="C6697"/>
    </row>
    <row r="6698" spans="3:3" x14ac:dyDescent="0.25">
      <c r="C6698"/>
    </row>
    <row r="6699" spans="3:3" x14ac:dyDescent="0.25">
      <c r="C6699"/>
    </row>
    <row r="6700" spans="3:3" x14ac:dyDescent="0.25">
      <c r="C6700"/>
    </row>
    <row r="6701" spans="3:3" x14ac:dyDescent="0.25">
      <c r="C6701"/>
    </row>
    <row r="6702" spans="3:3" x14ac:dyDescent="0.25">
      <c r="C6702"/>
    </row>
    <row r="6703" spans="3:3" x14ac:dyDescent="0.25">
      <c r="C6703"/>
    </row>
    <row r="6704" spans="3:3" x14ac:dyDescent="0.25">
      <c r="C6704"/>
    </row>
    <row r="6705" spans="3:3" x14ac:dyDescent="0.25">
      <c r="C6705"/>
    </row>
    <row r="6706" spans="3:3" x14ac:dyDescent="0.25">
      <c r="C6706"/>
    </row>
    <row r="6707" spans="3:3" x14ac:dyDescent="0.25">
      <c r="C6707"/>
    </row>
    <row r="6708" spans="3:3" x14ac:dyDescent="0.25">
      <c r="C6708"/>
    </row>
    <row r="6709" spans="3:3" x14ac:dyDescent="0.25">
      <c r="C6709"/>
    </row>
    <row r="6710" spans="3:3" x14ac:dyDescent="0.25">
      <c r="C6710"/>
    </row>
    <row r="6711" spans="3:3" x14ac:dyDescent="0.25">
      <c r="C6711"/>
    </row>
    <row r="6712" spans="3:3" x14ac:dyDescent="0.25">
      <c r="C6712"/>
    </row>
    <row r="6713" spans="3:3" x14ac:dyDescent="0.25">
      <c r="C6713"/>
    </row>
    <row r="6714" spans="3:3" x14ac:dyDescent="0.25">
      <c r="C6714"/>
    </row>
    <row r="6715" spans="3:3" x14ac:dyDescent="0.25">
      <c r="C6715"/>
    </row>
    <row r="6716" spans="3:3" x14ac:dyDescent="0.25">
      <c r="C6716"/>
    </row>
    <row r="6717" spans="3:3" x14ac:dyDescent="0.25">
      <c r="C6717"/>
    </row>
    <row r="6718" spans="3:3" x14ac:dyDescent="0.25">
      <c r="C6718"/>
    </row>
    <row r="6719" spans="3:3" x14ac:dyDescent="0.25">
      <c r="C6719"/>
    </row>
    <row r="6720" spans="3:3" x14ac:dyDescent="0.25">
      <c r="C6720"/>
    </row>
    <row r="6721" spans="3:3" x14ac:dyDescent="0.25">
      <c r="C6721"/>
    </row>
    <row r="6722" spans="3:3" x14ac:dyDescent="0.25">
      <c r="C6722"/>
    </row>
    <row r="6723" spans="3:3" x14ac:dyDescent="0.25">
      <c r="C6723"/>
    </row>
    <row r="6724" spans="3:3" x14ac:dyDescent="0.25">
      <c r="C6724"/>
    </row>
    <row r="6725" spans="3:3" x14ac:dyDescent="0.25">
      <c r="C6725"/>
    </row>
    <row r="6726" spans="3:3" x14ac:dyDescent="0.25">
      <c r="C6726"/>
    </row>
    <row r="6727" spans="3:3" x14ac:dyDescent="0.25">
      <c r="C6727"/>
    </row>
    <row r="6728" spans="3:3" x14ac:dyDescent="0.25">
      <c r="C6728"/>
    </row>
    <row r="6729" spans="3:3" x14ac:dyDescent="0.25">
      <c r="C6729"/>
    </row>
    <row r="6730" spans="3:3" x14ac:dyDescent="0.25">
      <c r="C6730"/>
    </row>
    <row r="6731" spans="3:3" x14ac:dyDescent="0.25">
      <c r="C6731"/>
    </row>
    <row r="6732" spans="3:3" x14ac:dyDescent="0.25">
      <c r="C6732"/>
    </row>
    <row r="6733" spans="3:3" x14ac:dyDescent="0.25">
      <c r="C6733"/>
    </row>
    <row r="6734" spans="3:3" x14ac:dyDescent="0.25">
      <c r="C6734"/>
    </row>
    <row r="6735" spans="3:3" x14ac:dyDescent="0.25">
      <c r="C6735"/>
    </row>
    <row r="6736" spans="3:3" x14ac:dyDescent="0.25">
      <c r="C6736"/>
    </row>
    <row r="6737" spans="3:3" x14ac:dyDescent="0.25">
      <c r="C6737"/>
    </row>
    <row r="6738" spans="3:3" x14ac:dyDescent="0.25">
      <c r="C6738"/>
    </row>
    <row r="6739" spans="3:3" x14ac:dyDescent="0.25">
      <c r="C6739"/>
    </row>
    <row r="6740" spans="3:3" x14ac:dyDescent="0.25">
      <c r="C6740"/>
    </row>
    <row r="6741" spans="3:3" x14ac:dyDescent="0.25">
      <c r="C6741"/>
    </row>
    <row r="6742" spans="3:3" x14ac:dyDescent="0.25">
      <c r="C6742"/>
    </row>
    <row r="6743" spans="3:3" x14ac:dyDescent="0.25">
      <c r="C6743"/>
    </row>
    <row r="6744" spans="3:3" x14ac:dyDescent="0.25">
      <c r="C6744"/>
    </row>
    <row r="6745" spans="3:3" x14ac:dyDescent="0.25">
      <c r="C6745"/>
    </row>
    <row r="6746" spans="3:3" x14ac:dyDescent="0.25">
      <c r="C6746"/>
    </row>
    <row r="6747" spans="3:3" x14ac:dyDescent="0.25">
      <c r="C6747"/>
    </row>
    <row r="6748" spans="3:3" x14ac:dyDescent="0.25">
      <c r="C6748"/>
    </row>
    <row r="6749" spans="3:3" x14ac:dyDescent="0.25">
      <c r="C6749"/>
    </row>
    <row r="6750" spans="3:3" x14ac:dyDescent="0.25">
      <c r="C6750"/>
    </row>
    <row r="6751" spans="3:3" x14ac:dyDescent="0.25">
      <c r="C6751"/>
    </row>
    <row r="6752" spans="3:3" x14ac:dyDescent="0.25">
      <c r="C6752"/>
    </row>
    <row r="6753" spans="3:3" x14ac:dyDescent="0.25">
      <c r="C6753"/>
    </row>
    <row r="6754" spans="3:3" x14ac:dyDescent="0.25">
      <c r="C6754"/>
    </row>
    <row r="6755" spans="3:3" x14ac:dyDescent="0.25">
      <c r="C6755"/>
    </row>
    <row r="6756" spans="3:3" x14ac:dyDescent="0.25">
      <c r="C6756"/>
    </row>
    <row r="6757" spans="3:3" x14ac:dyDescent="0.25">
      <c r="C6757"/>
    </row>
    <row r="6758" spans="3:3" x14ac:dyDescent="0.25">
      <c r="C6758"/>
    </row>
    <row r="6759" spans="3:3" x14ac:dyDescent="0.25">
      <c r="C6759"/>
    </row>
    <row r="6760" spans="3:3" x14ac:dyDescent="0.25">
      <c r="C6760"/>
    </row>
    <row r="6761" spans="3:3" x14ac:dyDescent="0.25">
      <c r="C6761"/>
    </row>
    <row r="6762" spans="3:3" x14ac:dyDescent="0.25">
      <c r="C6762"/>
    </row>
    <row r="6763" spans="3:3" x14ac:dyDescent="0.25">
      <c r="C6763"/>
    </row>
    <row r="6764" spans="3:3" x14ac:dyDescent="0.25">
      <c r="C6764"/>
    </row>
    <row r="6765" spans="3:3" x14ac:dyDescent="0.25">
      <c r="C6765"/>
    </row>
    <row r="6766" spans="3:3" x14ac:dyDescent="0.25">
      <c r="C6766"/>
    </row>
    <row r="6767" spans="3:3" x14ac:dyDescent="0.25">
      <c r="C6767"/>
    </row>
    <row r="6768" spans="3:3" x14ac:dyDescent="0.25">
      <c r="C6768"/>
    </row>
    <row r="6769" spans="3:3" x14ac:dyDescent="0.25">
      <c r="C6769"/>
    </row>
    <row r="6770" spans="3:3" x14ac:dyDescent="0.25">
      <c r="C6770"/>
    </row>
    <row r="6771" spans="3:3" x14ac:dyDescent="0.25">
      <c r="C6771"/>
    </row>
    <row r="6772" spans="3:3" x14ac:dyDescent="0.25">
      <c r="C6772"/>
    </row>
    <row r="6773" spans="3:3" x14ac:dyDescent="0.25">
      <c r="C6773"/>
    </row>
    <row r="6774" spans="3:3" x14ac:dyDescent="0.25">
      <c r="C6774"/>
    </row>
    <row r="6775" spans="3:3" x14ac:dyDescent="0.25">
      <c r="C6775"/>
    </row>
    <row r="6776" spans="3:3" x14ac:dyDescent="0.25">
      <c r="C6776"/>
    </row>
    <row r="6777" spans="3:3" x14ac:dyDescent="0.25">
      <c r="C6777"/>
    </row>
    <row r="6778" spans="3:3" x14ac:dyDescent="0.25">
      <c r="C6778"/>
    </row>
    <row r="6779" spans="3:3" x14ac:dyDescent="0.25">
      <c r="C6779"/>
    </row>
    <row r="6780" spans="3:3" x14ac:dyDescent="0.25">
      <c r="C6780"/>
    </row>
    <row r="6781" spans="3:3" x14ac:dyDescent="0.25">
      <c r="C6781"/>
    </row>
    <row r="6782" spans="3:3" x14ac:dyDescent="0.25">
      <c r="C6782"/>
    </row>
    <row r="6783" spans="3:3" x14ac:dyDescent="0.25">
      <c r="C6783"/>
    </row>
    <row r="6784" spans="3:3" x14ac:dyDescent="0.25">
      <c r="C6784"/>
    </row>
    <row r="6785" spans="3:3" x14ac:dyDescent="0.25">
      <c r="C6785"/>
    </row>
    <row r="6786" spans="3:3" x14ac:dyDescent="0.25">
      <c r="C6786"/>
    </row>
    <row r="6787" spans="3:3" x14ac:dyDescent="0.25">
      <c r="C6787"/>
    </row>
    <row r="6788" spans="3:3" x14ac:dyDescent="0.25">
      <c r="C6788"/>
    </row>
    <row r="6789" spans="3:3" x14ac:dyDescent="0.25">
      <c r="C6789"/>
    </row>
    <row r="6790" spans="3:3" x14ac:dyDescent="0.25">
      <c r="C6790"/>
    </row>
    <row r="6791" spans="3:3" x14ac:dyDescent="0.25">
      <c r="C6791"/>
    </row>
    <row r="6792" spans="3:3" x14ac:dyDescent="0.25">
      <c r="C6792"/>
    </row>
    <row r="6793" spans="3:3" x14ac:dyDescent="0.25">
      <c r="C6793"/>
    </row>
    <row r="6794" spans="3:3" x14ac:dyDescent="0.25">
      <c r="C6794"/>
    </row>
    <row r="6795" spans="3:3" x14ac:dyDescent="0.25">
      <c r="C6795"/>
    </row>
    <row r="6796" spans="3:3" x14ac:dyDescent="0.25">
      <c r="C6796"/>
    </row>
    <row r="6797" spans="3:3" x14ac:dyDescent="0.25">
      <c r="C6797"/>
    </row>
    <row r="6798" spans="3:3" x14ac:dyDescent="0.25">
      <c r="C6798"/>
    </row>
    <row r="6799" spans="3:3" x14ac:dyDescent="0.25">
      <c r="C6799"/>
    </row>
    <row r="6800" spans="3:3" x14ac:dyDescent="0.25">
      <c r="C6800"/>
    </row>
    <row r="6801" spans="3:3" x14ac:dyDescent="0.25">
      <c r="C6801"/>
    </row>
    <row r="6802" spans="3:3" x14ac:dyDescent="0.25">
      <c r="C6802"/>
    </row>
    <row r="6803" spans="3:3" x14ac:dyDescent="0.25">
      <c r="C6803"/>
    </row>
    <row r="6804" spans="3:3" x14ac:dyDescent="0.25">
      <c r="C6804"/>
    </row>
    <row r="6805" spans="3:3" x14ac:dyDescent="0.25">
      <c r="C6805"/>
    </row>
    <row r="6806" spans="3:3" x14ac:dyDescent="0.25">
      <c r="C6806"/>
    </row>
    <row r="6807" spans="3:3" x14ac:dyDescent="0.25">
      <c r="C6807"/>
    </row>
    <row r="6808" spans="3:3" x14ac:dyDescent="0.25">
      <c r="C6808"/>
    </row>
    <row r="6809" spans="3:3" x14ac:dyDescent="0.25">
      <c r="C6809"/>
    </row>
    <row r="6810" spans="3:3" x14ac:dyDescent="0.25">
      <c r="C6810"/>
    </row>
    <row r="6811" spans="3:3" x14ac:dyDescent="0.25">
      <c r="C6811"/>
    </row>
    <row r="6812" spans="3:3" x14ac:dyDescent="0.25">
      <c r="C6812"/>
    </row>
    <row r="6813" spans="3:3" x14ac:dyDescent="0.25">
      <c r="C6813"/>
    </row>
    <row r="6814" spans="3:3" x14ac:dyDescent="0.25">
      <c r="C6814"/>
    </row>
    <row r="6815" spans="3:3" x14ac:dyDescent="0.25">
      <c r="C6815"/>
    </row>
    <row r="6816" spans="3:3" x14ac:dyDescent="0.25">
      <c r="C6816"/>
    </row>
    <row r="6817" spans="3:3" x14ac:dyDescent="0.25">
      <c r="C6817"/>
    </row>
    <row r="6818" spans="3:3" x14ac:dyDescent="0.25">
      <c r="C6818"/>
    </row>
    <row r="6819" spans="3:3" x14ac:dyDescent="0.25">
      <c r="C6819"/>
    </row>
    <row r="6820" spans="3:3" x14ac:dyDescent="0.25">
      <c r="C6820"/>
    </row>
    <row r="6821" spans="3:3" x14ac:dyDescent="0.25">
      <c r="C6821"/>
    </row>
    <row r="6822" spans="3:3" x14ac:dyDescent="0.25">
      <c r="C6822"/>
    </row>
    <row r="6823" spans="3:3" x14ac:dyDescent="0.25">
      <c r="C6823"/>
    </row>
    <row r="6824" spans="3:3" x14ac:dyDescent="0.25">
      <c r="C6824"/>
    </row>
    <row r="6825" spans="3:3" x14ac:dyDescent="0.25">
      <c r="C6825"/>
    </row>
    <row r="6826" spans="3:3" x14ac:dyDescent="0.25">
      <c r="C6826"/>
    </row>
    <row r="6827" spans="3:3" x14ac:dyDescent="0.25">
      <c r="C6827"/>
    </row>
    <row r="6828" spans="3:3" x14ac:dyDescent="0.25">
      <c r="C6828"/>
    </row>
    <row r="6829" spans="3:3" x14ac:dyDescent="0.25">
      <c r="C6829"/>
    </row>
    <row r="6830" spans="3:3" x14ac:dyDescent="0.25">
      <c r="C6830"/>
    </row>
    <row r="6831" spans="3:3" x14ac:dyDescent="0.25">
      <c r="C6831"/>
    </row>
    <row r="6832" spans="3:3" x14ac:dyDescent="0.25">
      <c r="C6832"/>
    </row>
    <row r="6833" spans="3:3" x14ac:dyDescent="0.25">
      <c r="C6833"/>
    </row>
    <row r="6834" spans="3:3" x14ac:dyDescent="0.25">
      <c r="C6834"/>
    </row>
    <row r="6835" spans="3:3" x14ac:dyDescent="0.25">
      <c r="C6835"/>
    </row>
    <row r="6836" spans="3:3" x14ac:dyDescent="0.25">
      <c r="C6836"/>
    </row>
    <row r="6837" spans="3:3" x14ac:dyDescent="0.25">
      <c r="C6837"/>
    </row>
    <row r="6838" spans="3:3" x14ac:dyDescent="0.25">
      <c r="C6838"/>
    </row>
    <row r="6839" spans="3:3" x14ac:dyDescent="0.25">
      <c r="C6839"/>
    </row>
    <row r="6840" spans="3:3" x14ac:dyDescent="0.25">
      <c r="C6840"/>
    </row>
    <row r="6841" spans="3:3" x14ac:dyDescent="0.25">
      <c r="C6841"/>
    </row>
    <row r="6842" spans="3:3" x14ac:dyDescent="0.25">
      <c r="C6842"/>
    </row>
    <row r="6843" spans="3:3" x14ac:dyDescent="0.25">
      <c r="C6843"/>
    </row>
    <row r="6844" spans="3:3" x14ac:dyDescent="0.25">
      <c r="C6844"/>
    </row>
    <row r="6845" spans="3:3" x14ac:dyDescent="0.25">
      <c r="C6845"/>
    </row>
    <row r="6846" spans="3:3" x14ac:dyDescent="0.25">
      <c r="C6846"/>
    </row>
    <row r="6847" spans="3:3" x14ac:dyDescent="0.25">
      <c r="C6847"/>
    </row>
    <row r="6848" spans="3:3" x14ac:dyDescent="0.25">
      <c r="C6848"/>
    </row>
    <row r="6849" spans="3:3" x14ac:dyDescent="0.25">
      <c r="C6849"/>
    </row>
    <row r="6850" spans="3:3" x14ac:dyDescent="0.25">
      <c r="C6850"/>
    </row>
    <row r="6851" spans="3:3" x14ac:dyDescent="0.25">
      <c r="C6851"/>
    </row>
    <row r="6852" spans="3:3" x14ac:dyDescent="0.25">
      <c r="C6852"/>
    </row>
    <row r="6853" spans="3:3" x14ac:dyDescent="0.25">
      <c r="C6853"/>
    </row>
    <row r="6854" spans="3:3" x14ac:dyDescent="0.25">
      <c r="C6854"/>
    </row>
    <row r="6855" spans="3:3" x14ac:dyDescent="0.25">
      <c r="C6855"/>
    </row>
    <row r="6856" spans="3:3" x14ac:dyDescent="0.25">
      <c r="C6856"/>
    </row>
    <row r="6857" spans="3:3" x14ac:dyDescent="0.25">
      <c r="C6857"/>
    </row>
    <row r="6858" spans="3:3" x14ac:dyDescent="0.25">
      <c r="C6858"/>
    </row>
    <row r="6859" spans="3:3" x14ac:dyDescent="0.25">
      <c r="C6859"/>
    </row>
    <row r="6860" spans="3:3" x14ac:dyDescent="0.25">
      <c r="C6860"/>
    </row>
    <row r="6861" spans="3:3" x14ac:dyDescent="0.25">
      <c r="C6861"/>
    </row>
    <row r="6862" spans="3:3" x14ac:dyDescent="0.25">
      <c r="C6862"/>
    </row>
    <row r="6863" spans="3:3" x14ac:dyDescent="0.25">
      <c r="C6863"/>
    </row>
    <row r="6864" spans="3:3" x14ac:dyDescent="0.25">
      <c r="C6864"/>
    </row>
    <row r="6865" spans="3:3" x14ac:dyDescent="0.25">
      <c r="C6865"/>
    </row>
    <row r="6866" spans="3:3" x14ac:dyDescent="0.25">
      <c r="C6866"/>
    </row>
    <row r="6867" spans="3:3" x14ac:dyDescent="0.25">
      <c r="C6867"/>
    </row>
    <row r="6868" spans="3:3" x14ac:dyDescent="0.25">
      <c r="C6868"/>
    </row>
    <row r="6869" spans="3:3" x14ac:dyDescent="0.25">
      <c r="C6869"/>
    </row>
    <row r="6870" spans="3:3" x14ac:dyDescent="0.25">
      <c r="C6870"/>
    </row>
    <row r="6871" spans="3:3" x14ac:dyDescent="0.25">
      <c r="C6871"/>
    </row>
    <row r="6872" spans="3:3" x14ac:dyDescent="0.25">
      <c r="C6872"/>
    </row>
    <row r="6873" spans="3:3" x14ac:dyDescent="0.25">
      <c r="C6873"/>
    </row>
    <row r="6874" spans="3:3" x14ac:dyDescent="0.25">
      <c r="C6874"/>
    </row>
    <row r="6875" spans="3:3" x14ac:dyDescent="0.25">
      <c r="C6875"/>
    </row>
    <row r="6876" spans="3:3" x14ac:dyDescent="0.25">
      <c r="C6876"/>
    </row>
    <row r="6877" spans="3:3" x14ac:dyDescent="0.25">
      <c r="C6877"/>
    </row>
    <row r="6878" spans="3:3" x14ac:dyDescent="0.25">
      <c r="C6878"/>
    </row>
    <row r="6879" spans="3:3" x14ac:dyDescent="0.25">
      <c r="C6879"/>
    </row>
    <row r="6880" spans="3:3" x14ac:dyDescent="0.25">
      <c r="C6880"/>
    </row>
    <row r="6881" spans="3:3" x14ac:dyDescent="0.25">
      <c r="C6881"/>
    </row>
    <row r="6882" spans="3:3" x14ac:dyDescent="0.25">
      <c r="C6882"/>
    </row>
    <row r="6883" spans="3:3" x14ac:dyDescent="0.25">
      <c r="C6883"/>
    </row>
    <row r="6884" spans="3:3" x14ac:dyDescent="0.25">
      <c r="C6884"/>
    </row>
    <row r="6885" spans="3:3" x14ac:dyDescent="0.25">
      <c r="C6885"/>
    </row>
    <row r="6886" spans="3:3" x14ac:dyDescent="0.25">
      <c r="C6886"/>
    </row>
    <row r="6887" spans="3:3" x14ac:dyDescent="0.25">
      <c r="C6887"/>
    </row>
    <row r="6888" spans="3:3" x14ac:dyDescent="0.25">
      <c r="C6888"/>
    </row>
    <row r="6889" spans="3:3" x14ac:dyDescent="0.25">
      <c r="C6889"/>
    </row>
    <row r="6890" spans="3:3" x14ac:dyDescent="0.25">
      <c r="C6890"/>
    </row>
    <row r="6891" spans="3:3" x14ac:dyDescent="0.25">
      <c r="C6891"/>
    </row>
    <row r="6892" spans="3:3" x14ac:dyDescent="0.25">
      <c r="C6892"/>
    </row>
    <row r="6893" spans="3:3" x14ac:dyDescent="0.25">
      <c r="C6893"/>
    </row>
    <row r="6894" spans="3:3" x14ac:dyDescent="0.25">
      <c r="C6894"/>
    </row>
    <row r="6895" spans="3:3" x14ac:dyDescent="0.25">
      <c r="C6895"/>
    </row>
    <row r="6896" spans="3:3" x14ac:dyDescent="0.25">
      <c r="C6896"/>
    </row>
    <row r="6897" spans="3:3" x14ac:dyDescent="0.25">
      <c r="C6897"/>
    </row>
    <row r="6898" spans="3:3" x14ac:dyDescent="0.25">
      <c r="C6898"/>
    </row>
    <row r="6899" spans="3:3" x14ac:dyDescent="0.25">
      <c r="C6899"/>
    </row>
    <row r="6900" spans="3:3" x14ac:dyDescent="0.25">
      <c r="C6900"/>
    </row>
    <row r="6901" spans="3:3" x14ac:dyDescent="0.25">
      <c r="C6901"/>
    </row>
    <row r="6902" spans="3:3" x14ac:dyDescent="0.25">
      <c r="C6902"/>
    </row>
    <row r="6903" spans="3:3" x14ac:dyDescent="0.25">
      <c r="C6903"/>
    </row>
    <row r="6904" spans="3:3" x14ac:dyDescent="0.25">
      <c r="C6904"/>
    </row>
    <row r="6905" spans="3:3" x14ac:dyDescent="0.25">
      <c r="C6905"/>
    </row>
    <row r="6906" spans="3:3" x14ac:dyDescent="0.25">
      <c r="C6906"/>
    </row>
    <row r="6907" spans="3:3" x14ac:dyDescent="0.25">
      <c r="C6907"/>
    </row>
    <row r="6908" spans="3:3" x14ac:dyDescent="0.25">
      <c r="C6908"/>
    </row>
    <row r="6909" spans="3:3" x14ac:dyDescent="0.25">
      <c r="C6909"/>
    </row>
    <row r="6910" spans="3:3" x14ac:dyDescent="0.25">
      <c r="C6910"/>
    </row>
    <row r="6911" spans="3:3" x14ac:dyDescent="0.25">
      <c r="C6911"/>
    </row>
    <row r="6912" spans="3:3" x14ac:dyDescent="0.25">
      <c r="C6912"/>
    </row>
    <row r="6913" spans="3:3" x14ac:dyDescent="0.25">
      <c r="C6913"/>
    </row>
    <row r="6914" spans="3:3" x14ac:dyDescent="0.25">
      <c r="C6914"/>
    </row>
    <row r="6915" spans="3:3" x14ac:dyDescent="0.25">
      <c r="C6915"/>
    </row>
    <row r="6916" spans="3:3" x14ac:dyDescent="0.25">
      <c r="C6916"/>
    </row>
    <row r="6917" spans="3:3" x14ac:dyDescent="0.25">
      <c r="C6917"/>
    </row>
    <row r="6918" spans="3:3" x14ac:dyDescent="0.25">
      <c r="C6918"/>
    </row>
    <row r="6919" spans="3:3" x14ac:dyDescent="0.25">
      <c r="C6919"/>
    </row>
    <row r="6920" spans="3:3" x14ac:dyDescent="0.25">
      <c r="C6920"/>
    </row>
    <row r="6921" spans="3:3" x14ac:dyDescent="0.25">
      <c r="C6921"/>
    </row>
    <row r="6922" spans="3:3" x14ac:dyDescent="0.25">
      <c r="C6922"/>
    </row>
    <row r="6923" spans="3:3" x14ac:dyDescent="0.25">
      <c r="C6923"/>
    </row>
    <row r="6924" spans="3:3" x14ac:dyDescent="0.25">
      <c r="C6924"/>
    </row>
    <row r="6925" spans="3:3" x14ac:dyDescent="0.25">
      <c r="C6925"/>
    </row>
    <row r="6926" spans="3:3" x14ac:dyDescent="0.25">
      <c r="C6926"/>
    </row>
    <row r="6927" spans="3:3" x14ac:dyDescent="0.25">
      <c r="C6927"/>
    </row>
    <row r="6928" spans="3:3" x14ac:dyDescent="0.25">
      <c r="C6928"/>
    </row>
    <row r="6929" spans="3:3" x14ac:dyDescent="0.25">
      <c r="C6929"/>
    </row>
    <row r="6930" spans="3:3" x14ac:dyDescent="0.25">
      <c r="C6930"/>
    </row>
    <row r="6931" spans="3:3" x14ac:dyDescent="0.25">
      <c r="C6931"/>
    </row>
    <row r="6932" spans="3:3" x14ac:dyDescent="0.25">
      <c r="C6932"/>
    </row>
    <row r="6933" spans="3:3" x14ac:dyDescent="0.25">
      <c r="C6933"/>
    </row>
    <row r="6934" spans="3:3" x14ac:dyDescent="0.25">
      <c r="C6934"/>
    </row>
    <row r="6935" spans="3:3" x14ac:dyDescent="0.25">
      <c r="C6935"/>
    </row>
    <row r="6936" spans="3:3" x14ac:dyDescent="0.25">
      <c r="C6936"/>
    </row>
    <row r="6937" spans="3:3" x14ac:dyDescent="0.25">
      <c r="C6937"/>
    </row>
    <row r="6938" spans="3:3" x14ac:dyDescent="0.25">
      <c r="C6938"/>
    </row>
    <row r="6939" spans="3:3" x14ac:dyDescent="0.25">
      <c r="C6939"/>
    </row>
    <row r="6940" spans="3:3" x14ac:dyDescent="0.25">
      <c r="C6940"/>
    </row>
    <row r="6941" spans="3:3" x14ac:dyDescent="0.25">
      <c r="C6941"/>
    </row>
    <row r="6942" spans="3:3" x14ac:dyDescent="0.25">
      <c r="C6942"/>
    </row>
    <row r="6943" spans="3:3" x14ac:dyDescent="0.25">
      <c r="C6943"/>
    </row>
    <row r="6944" spans="3:3" x14ac:dyDescent="0.25">
      <c r="C6944"/>
    </row>
    <row r="6945" spans="3:3" x14ac:dyDescent="0.25">
      <c r="C6945"/>
    </row>
    <row r="6946" spans="3:3" x14ac:dyDescent="0.25">
      <c r="C6946"/>
    </row>
    <row r="6947" spans="3:3" x14ac:dyDescent="0.25">
      <c r="C6947"/>
    </row>
    <row r="6948" spans="3:3" x14ac:dyDescent="0.25">
      <c r="C6948"/>
    </row>
    <row r="6949" spans="3:3" x14ac:dyDescent="0.25">
      <c r="C6949"/>
    </row>
    <row r="6950" spans="3:3" x14ac:dyDescent="0.25">
      <c r="C6950"/>
    </row>
    <row r="6951" spans="3:3" x14ac:dyDescent="0.25">
      <c r="C6951"/>
    </row>
    <row r="6952" spans="3:3" x14ac:dyDescent="0.25">
      <c r="C6952"/>
    </row>
    <row r="6953" spans="3:3" x14ac:dyDescent="0.25">
      <c r="C6953"/>
    </row>
    <row r="6954" spans="3:3" x14ac:dyDescent="0.25">
      <c r="C6954"/>
    </row>
    <row r="6955" spans="3:3" x14ac:dyDescent="0.25">
      <c r="C6955"/>
    </row>
    <row r="6956" spans="3:3" x14ac:dyDescent="0.25">
      <c r="C6956"/>
    </row>
    <row r="6957" spans="3:3" x14ac:dyDescent="0.25">
      <c r="C6957"/>
    </row>
    <row r="6958" spans="3:3" x14ac:dyDescent="0.25">
      <c r="C6958"/>
    </row>
    <row r="6959" spans="3:3" x14ac:dyDescent="0.25">
      <c r="C6959"/>
    </row>
    <row r="6960" spans="3:3" x14ac:dyDescent="0.25">
      <c r="C6960"/>
    </row>
    <row r="6961" spans="3:3" x14ac:dyDescent="0.25">
      <c r="C6961"/>
    </row>
    <row r="6962" spans="3:3" x14ac:dyDescent="0.25">
      <c r="C6962"/>
    </row>
    <row r="6963" spans="3:3" x14ac:dyDescent="0.25">
      <c r="C6963"/>
    </row>
    <row r="6964" spans="3:3" x14ac:dyDescent="0.25">
      <c r="C6964"/>
    </row>
    <row r="6965" spans="3:3" x14ac:dyDescent="0.25">
      <c r="C6965"/>
    </row>
    <row r="6966" spans="3:3" x14ac:dyDescent="0.25">
      <c r="C6966"/>
    </row>
    <row r="6967" spans="3:3" x14ac:dyDescent="0.25">
      <c r="C6967"/>
    </row>
    <row r="6968" spans="3:3" x14ac:dyDescent="0.25">
      <c r="C6968"/>
    </row>
    <row r="6969" spans="3:3" x14ac:dyDescent="0.25">
      <c r="C6969"/>
    </row>
    <row r="6970" spans="3:3" x14ac:dyDescent="0.25">
      <c r="C6970"/>
    </row>
    <row r="6971" spans="3:3" x14ac:dyDescent="0.25">
      <c r="C6971"/>
    </row>
    <row r="6972" spans="3:3" x14ac:dyDescent="0.25">
      <c r="C6972"/>
    </row>
    <row r="6973" spans="3:3" x14ac:dyDescent="0.25">
      <c r="C6973"/>
    </row>
    <row r="6974" spans="3:3" x14ac:dyDescent="0.25">
      <c r="C6974"/>
    </row>
    <row r="6975" spans="3:3" x14ac:dyDescent="0.25">
      <c r="C6975"/>
    </row>
    <row r="6976" spans="3:3" x14ac:dyDescent="0.25">
      <c r="C6976"/>
    </row>
    <row r="6977" spans="3:3" x14ac:dyDescent="0.25">
      <c r="C6977"/>
    </row>
    <row r="6978" spans="3:3" x14ac:dyDescent="0.25">
      <c r="C6978"/>
    </row>
    <row r="6979" spans="3:3" x14ac:dyDescent="0.25">
      <c r="C6979"/>
    </row>
    <row r="6980" spans="3:3" x14ac:dyDescent="0.25">
      <c r="C6980"/>
    </row>
    <row r="6981" spans="3:3" x14ac:dyDescent="0.25">
      <c r="C6981"/>
    </row>
    <row r="6982" spans="3:3" x14ac:dyDescent="0.25">
      <c r="C6982"/>
    </row>
    <row r="6983" spans="3:3" x14ac:dyDescent="0.25">
      <c r="C6983"/>
    </row>
    <row r="6984" spans="3:3" x14ac:dyDescent="0.25">
      <c r="C6984"/>
    </row>
    <row r="6985" spans="3:3" x14ac:dyDescent="0.25">
      <c r="C6985"/>
    </row>
    <row r="6986" spans="3:3" x14ac:dyDescent="0.25">
      <c r="C6986"/>
    </row>
    <row r="6987" spans="3:3" x14ac:dyDescent="0.25">
      <c r="C6987"/>
    </row>
    <row r="6988" spans="3:3" x14ac:dyDescent="0.25">
      <c r="C6988"/>
    </row>
    <row r="6989" spans="3:3" x14ac:dyDescent="0.25">
      <c r="C6989"/>
    </row>
    <row r="6990" spans="3:3" x14ac:dyDescent="0.25">
      <c r="C6990"/>
    </row>
    <row r="6991" spans="3:3" x14ac:dyDescent="0.25">
      <c r="C6991"/>
    </row>
    <row r="6992" spans="3:3" x14ac:dyDescent="0.25">
      <c r="C6992"/>
    </row>
    <row r="6993" spans="3:3" x14ac:dyDescent="0.25">
      <c r="C6993"/>
    </row>
    <row r="6994" spans="3:3" x14ac:dyDescent="0.25">
      <c r="C6994"/>
    </row>
    <row r="6995" spans="3:3" x14ac:dyDescent="0.25">
      <c r="C6995"/>
    </row>
    <row r="6996" spans="3:3" x14ac:dyDescent="0.25">
      <c r="C6996"/>
    </row>
    <row r="6997" spans="3:3" x14ac:dyDescent="0.25">
      <c r="C6997"/>
    </row>
    <row r="6998" spans="3:3" x14ac:dyDescent="0.25">
      <c r="C6998"/>
    </row>
    <row r="6999" spans="3:3" x14ac:dyDescent="0.25">
      <c r="C6999"/>
    </row>
    <row r="7000" spans="3:3" x14ac:dyDescent="0.25">
      <c r="C7000"/>
    </row>
    <row r="7001" spans="3:3" x14ac:dyDescent="0.25">
      <c r="C7001"/>
    </row>
    <row r="7002" spans="3:3" x14ac:dyDescent="0.25">
      <c r="C7002"/>
    </row>
    <row r="7003" spans="3:3" x14ac:dyDescent="0.25">
      <c r="C7003"/>
    </row>
    <row r="7004" spans="3:3" x14ac:dyDescent="0.25">
      <c r="C7004"/>
    </row>
    <row r="7005" spans="3:3" x14ac:dyDescent="0.25">
      <c r="C7005"/>
    </row>
    <row r="7006" spans="3:3" x14ac:dyDescent="0.25">
      <c r="C7006"/>
    </row>
    <row r="7007" spans="3:3" x14ac:dyDescent="0.25">
      <c r="C7007"/>
    </row>
    <row r="7008" spans="3:3" x14ac:dyDescent="0.25">
      <c r="C7008"/>
    </row>
    <row r="7009" spans="3:3" x14ac:dyDescent="0.25">
      <c r="C7009"/>
    </row>
    <row r="7010" spans="3:3" x14ac:dyDescent="0.25">
      <c r="C7010"/>
    </row>
    <row r="7011" spans="3:3" x14ac:dyDescent="0.25">
      <c r="C7011"/>
    </row>
    <row r="7012" spans="3:3" x14ac:dyDescent="0.25">
      <c r="C7012"/>
    </row>
    <row r="7013" spans="3:3" x14ac:dyDescent="0.25">
      <c r="C7013"/>
    </row>
    <row r="7014" spans="3:3" x14ac:dyDescent="0.25">
      <c r="C7014"/>
    </row>
    <row r="7015" spans="3:3" x14ac:dyDescent="0.25">
      <c r="C7015"/>
    </row>
    <row r="7016" spans="3:3" x14ac:dyDescent="0.25">
      <c r="C7016"/>
    </row>
    <row r="7017" spans="3:3" x14ac:dyDescent="0.25">
      <c r="C7017"/>
    </row>
    <row r="7018" spans="3:3" x14ac:dyDescent="0.25">
      <c r="C7018"/>
    </row>
    <row r="7019" spans="3:3" x14ac:dyDescent="0.25">
      <c r="C7019"/>
    </row>
    <row r="7020" spans="3:3" x14ac:dyDescent="0.25">
      <c r="C7020"/>
    </row>
    <row r="7021" spans="3:3" x14ac:dyDescent="0.25">
      <c r="C7021"/>
    </row>
    <row r="7022" spans="3:3" x14ac:dyDescent="0.25">
      <c r="C7022"/>
    </row>
  </sheetData>
  <printOptions horizontalCentered="1"/>
  <pageMargins left="0.11811023622047245" right="0.11811023622047245" top="0.15748031496062992" bottom="0.15748031496062992" header="0.11811023622047245" footer="0.11811023622047245"/>
  <pageSetup scale="70" orientation="portrait" r:id="rId2"/>
  <rowBreaks count="1" manualBreakCount="1">
    <brk id="71" max="2" man="1"/>
  </rowBreaks>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K564"/>
  <sheetViews>
    <sheetView topLeftCell="A536" zoomScale="95" zoomScaleNormal="95" workbookViewId="0">
      <selection activeCell="E565" sqref="E565"/>
    </sheetView>
  </sheetViews>
  <sheetFormatPr defaultRowHeight="15" x14ac:dyDescent="0.25"/>
  <cols>
    <col min="1" max="1" width="29.7109375" style="6" bestFit="1" customWidth="1"/>
    <col min="2" max="2" width="15.7109375" customWidth="1"/>
    <col min="3" max="3" width="22.7109375" customWidth="1"/>
    <col min="4" max="4" width="10.5703125" customWidth="1"/>
    <col min="5" max="5" width="8" customWidth="1"/>
  </cols>
  <sheetData>
    <row r="1" spans="1:6" x14ac:dyDescent="0.25">
      <c r="A1" s="93" t="s">
        <v>103</v>
      </c>
      <c r="B1" s="93" t="s">
        <v>279</v>
      </c>
      <c r="C1" s="94" t="s">
        <v>104</v>
      </c>
      <c r="D1" s="94" t="s">
        <v>83</v>
      </c>
      <c r="E1" s="94" t="s">
        <v>281</v>
      </c>
      <c r="F1" s="94" t="s">
        <v>726</v>
      </c>
    </row>
    <row r="2" spans="1:6" x14ac:dyDescent="0.25">
      <c r="A2">
        <v>1400</v>
      </c>
      <c r="B2">
        <f>(29.27*2)+10.61</f>
        <v>69.150000000000006</v>
      </c>
      <c r="C2" t="s">
        <v>591</v>
      </c>
      <c r="D2">
        <v>1400</v>
      </c>
      <c r="E2" t="s">
        <v>108</v>
      </c>
    </row>
    <row r="3" spans="1:6" x14ac:dyDescent="0.25">
      <c r="A3">
        <v>19810</v>
      </c>
      <c r="B3">
        <f>77.67+29.27</f>
        <v>106.94</v>
      </c>
      <c r="C3" t="s">
        <v>569</v>
      </c>
      <c r="D3">
        <v>650</v>
      </c>
      <c r="E3" t="s">
        <v>84</v>
      </c>
    </row>
    <row r="4" spans="1:6" x14ac:dyDescent="0.25">
      <c r="A4">
        <v>46810</v>
      </c>
      <c r="B4">
        <f>77.67+29.27</f>
        <v>106.94</v>
      </c>
      <c r="C4" t="s">
        <v>147</v>
      </c>
      <c r="D4">
        <v>6000</v>
      </c>
      <c r="E4" t="s">
        <v>108</v>
      </c>
    </row>
    <row r="5" spans="1:6" x14ac:dyDescent="0.25">
      <c r="A5">
        <v>61273</v>
      </c>
      <c r="B5">
        <f>77.67+57.41</f>
        <v>135.07999999999998</v>
      </c>
      <c r="C5" t="s">
        <v>136</v>
      </c>
      <c r="D5">
        <v>300</v>
      </c>
      <c r="E5" t="s">
        <v>108</v>
      </c>
    </row>
    <row r="6" spans="1:6" x14ac:dyDescent="0.25">
      <c r="A6">
        <v>61525</v>
      </c>
      <c r="B6">
        <f>(106.94*2)+10.61</f>
        <v>224.49</v>
      </c>
      <c r="C6" t="s">
        <v>722</v>
      </c>
      <c r="D6">
        <v>3000</v>
      </c>
      <c r="E6" t="s">
        <v>108</v>
      </c>
    </row>
    <row r="7" spans="1:6" x14ac:dyDescent="0.25">
      <c r="A7">
        <v>82218</v>
      </c>
      <c r="B7">
        <f>(77.67+57.41)*2 +10.61</f>
        <v>280.77</v>
      </c>
      <c r="C7" t="s">
        <v>723</v>
      </c>
      <c r="D7">
        <v>1000</v>
      </c>
      <c r="E7" t="s">
        <v>108</v>
      </c>
    </row>
    <row r="8" spans="1:6" x14ac:dyDescent="0.25">
      <c r="A8">
        <v>82222</v>
      </c>
      <c r="B8">
        <f>77.67+29.27</f>
        <v>106.94</v>
      </c>
      <c r="C8" t="s">
        <v>569</v>
      </c>
      <c r="D8">
        <v>175</v>
      </c>
      <c r="E8" t="s">
        <v>108</v>
      </c>
    </row>
    <row r="9" spans="1:6" x14ac:dyDescent="0.25">
      <c r="A9">
        <v>82244</v>
      </c>
      <c r="B9">
        <f>77.67+29.27</f>
        <v>106.94</v>
      </c>
      <c r="C9" t="s">
        <v>569</v>
      </c>
      <c r="D9">
        <v>600</v>
      </c>
      <c r="E9" t="s">
        <v>108</v>
      </c>
    </row>
    <row r="10" spans="1:6" x14ac:dyDescent="0.25">
      <c r="A10">
        <v>82246</v>
      </c>
      <c r="B10">
        <f>(77.67+57.41)*2+10</f>
        <v>280.15999999999997</v>
      </c>
      <c r="C10" t="s">
        <v>154</v>
      </c>
      <c r="D10">
        <v>250</v>
      </c>
      <c r="E10" t="s">
        <v>148</v>
      </c>
    </row>
    <row r="11" spans="1:6" x14ac:dyDescent="0.25">
      <c r="A11">
        <v>82247</v>
      </c>
      <c r="B11">
        <f>77.67+29.27</f>
        <v>106.94</v>
      </c>
      <c r="C11" t="s">
        <v>569</v>
      </c>
      <c r="D11">
        <v>220</v>
      </c>
      <c r="E11" t="s">
        <v>108</v>
      </c>
    </row>
    <row r="12" spans="1:6" x14ac:dyDescent="0.25">
      <c r="A12">
        <v>82248</v>
      </c>
      <c r="B12">
        <f>77.67+29.27</f>
        <v>106.94</v>
      </c>
      <c r="C12" t="s">
        <v>569</v>
      </c>
      <c r="D12">
        <v>1050</v>
      </c>
      <c r="E12" t="s">
        <v>84</v>
      </c>
    </row>
    <row r="13" spans="1:6" x14ac:dyDescent="0.25">
      <c r="A13">
        <v>82253</v>
      </c>
      <c r="B13">
        <f>77.67+29.27</f>
        <v>106.94</v>
      </c>
      <c r="C13" t="s">
        <v>570</v>
      </c>
      <c r="D13">
        <v>1350</v>
      </c>
      <c r="E13" t="s">
        <v>108</v>
      </c>
    </row>
    <row r="14" spans="1:6" x14ac:dyDescent="0.25">
      <c r="A14">
        <v>82254</v>
      </c>
      <c r="B14">
        <f>77.67+29.27</f>
        <v>106.94</v>
      </c>
      <c r="C14" t="s">
        <v>570</v>
      </c>
      <c r="D14">
        <v>1875</v>
      </c>
      <c r="E14" t="s">
        <v>108</v>
      </c>
    </row>
    <row r="15" spans="1:6" x14ac:dyDescent="0.25">
      <c r="A15">
        <v>83106</v>
      </c>
      <c r="B15">
        <f>77.67+29.27</f>
        <v>106.94</v>
      </c>
      <c r="C15" t="s">
        <v>311</v>
      </c>
      <c r="D15">
        <v>4500</v>
      </c>
      <c r="E15" t="s">
        <v>108</v>
      </c>
    </row>
    <row r="16" spans="1:6" x14ac:dyDescent="0.25">
      <c r="A16">
        <v>85158</v>
      </c>
      <c r="B16">
        <f>77.67+57.41</f>
        <v>135.07999999999998</v>
      </c>
      <c r="C16" t="s">
        <v>725</v>
      </c>
      <c r="D16">
        <v>600</v>
      </c>
      <c r="E16" t="s">
        <v>84</v>
      </c>
    </row>
    <row r="17" spans="1:5" x14ac:dyDescent="0.25">
      <c r="A17">
        <v>91058</v>
      </c>
      <c r="B17">
        <f>77.67+29.27</f>
        <v>106.94</v>
      </c>
      <c r="D17">
        <v>1200</v>
      </c>
      <c r="E17" t="s">
        <v>108</v>
      </c>
    </row>
    <row r="18" spans="1:5" x14ac:dyDescent="0.25">
      <c r="A18">
        <v>91868</v>
      </c>
      <c r="B18">
        <f>77.67+57.41</f>
        <v>135.07999999999998</v>
      </c>
      <c r="C18" t="s">
        <v>724</v>
      </c>
      <c r="D18">
        <v>1250</v>
      </c>
      <c r="E18" t="s">
        <v>84</v>
      </c>
    </row>
    <row r="19" spans="1:5" x14ac:dyDescent="0.25">
      <c r="A19">
        <v>92468</v>
      </c>
      <c r="B19">
        <f>77.67+57.41</f>
        <v>135.07999999999998</v>
      </c>
      <c r="C19" t="s">
        <v>147</v>
      </c>
      <c r="D19">
        <v>1000</v>
      </c>
      <c r="E19" t="s">
        <v>148</v>
      </c>
    </row>
    <row r="20" spans="1:5" x14ac:dyDescent="0.25">
      <c r="A20">
        <v>115463</v>
      </c>
      <c r="B20">
        <f>77.67+29.27</f>
        <v>106.94</v>
      </c>
      <c r="C20" t="s">
        <v>134</v>
      </c>
      <c r="E20" t="s">
        <v>108</v>
      </c>
    </row>
    <row r="21" spans="1:5" x14ac:dyDescent="0.25">
      <c r="A21" t="s">
        <v>862</v>
      </c>
      <c r="B21">
        <v>106.94</v>
      </c>
      <c r="D21">
        <v>4500</v>
      </c>
      <c r="E21" t="s">
        <v>108</v>
      </c>
    </row>
    <row r="22" spans="1:5" x14ac:dyDescent="0.25">
      <c r="A22">
        <v>901248</v>
      </c>
      <c r="B22">
        <f>77.67+29.27</f>
        <v>106.94</v>
      </c>
      <c r="C22" t="s">
        <v>569</v>
      </c>
      <c r="E22" t="s">
        <v>108</v>
      </c>
    </row>
    <row r="23" spans="1:5" x14ac:dyDescent="0.25">
      <c r="A23">
        <v>40036961</v>
      </c>
      <c r="B23">
        <v>106.94</v>
      </c>
      <c r="C23" t="s">
        <v>569</v>
      </c>
      <c r="D23">
        <v>3750</v>
      </c>
      <c r="E23" t="s">
        <v>108</v>
      </c>
    </row>
    <row r="24" spans="1:5" x14ac:dyDescent="0.25">
      <c r="A24">
        <v>1022068</v>
      </c>
      <c r="B24">
        <f>77.67+29.27</f>
        <v>106.94</v>
      </c>
      <c r="C24" t="s">
        <v>569</v>
      </c>
      <c r="D24">
        <v>450</v>
      </c>
      <c r="E24" t="s">
        <v>108</v>
      </c>
    </row>
    <row r="25" spans="1:5" x14ac:dyDescent="0.25">
      <c r="A25">
        <v>1022168</v>
      </c>
      <c r="B25">
        <f>77.67+46.15</f>
        <v>123.82</v>
      </c>
      <c r="C25" t="s">
        <v>632</v>
      </c>
      <c r="D25">
        <v>1100</v>
      </c>
      <c r="E25" t="s">
        <v>108</v>
      </c>
    </row>
    <row r="26" spans="1:5" x14ac:dyDescent="0.25">
      <c r="A26">
        <v>1022268</v>
      </c>
      <c r="B26">
        <f t="shared" ref="B26:B32" si="0">77.67+29.27</f>
        <v>106.94</v>
      </c>
      <c r="D26">
        <v>900</v>
      </c>
      <c r="E26" t="s">
        <v>108</v>
      </c>
    </row>
    <row r="27" spans="1:5" x14ac:dyDescent="0.25">
      <c r="A27">
        <v>1080957</v>
      </c>
      <c r="B27">
        <f t="shared" si="0"/>
        <v>106.94</v>
      </c>
      <c r="C27" t="s">
        <v>569</v>
      </c>
      <c r="D27">
        <v>4700</v>
      </c>
      <c r="E27" t="s">
        <v>84</v>
      </c>
    </row>
    <row r="28" spans="1:5" x14ac:dyDescent="0.25">
      <c r="A28">
        <v>1080975</v>
      </c>
      <c r="B28">
        <f t="shared" si="0"/>
        <v>106.94</v>
      </c>
      <c r="C28" t="s">
        <v>569</v>
      </c>
      <c r="D28">
        <v>2000</v>
      </c>
      <c r="E28" t="s">
        <v>84</v>
      </c>
    </row>
    <row r="29" spans="1:5" x14ac:dyDescent="0.25">
      <c r="A29">
        <v>1454548</v>
      </c>
      <c r="B29">
        <f t="shared" si="0"/>
        <v>106.94</v>
      </c>
      <c r="C29" t="s">
        <v>570</v>
      </c>
      <c r="D29">
        <v>850</v>
      </c>
      <c r="E29" t="s">
        <v>108</v>
      </c>
    </row>
    <row r="30" spans="1:5" x14ac:dyDescent="0.25">
      <c r="A30">
        <v>1568517</v>
      </c>
      <c r="B30">
        <f t="shared" si="0"/>
        <v>106.94</v>
      </c>
      <c r="D30">
        <v>2700</v>
      </c>
      <c r="E30" t="s">
        <v>108</v>
      </c>
    </row>
    <row r="31" spans="1:5" x14ac:dyDescent="0.25">
      <c r="A31">
        <v>1569605</v>
      </c>
      <c r="B31">
        <f t="shared" si="0"/>
        <v>106.94</v>
      </c>
      <c r="C31" t="s">
        <v>147</v>
      </c>
      <c r="E31" t="s">
        <v>148</v>
      </c>
    </row>
    <row r="32" spans="1:5" x14ac:dyDescent="0.25">
      <c r="A32">
        <v>1585170</v>
      </c>
      <c r="B32">
        <f t="shared" si="0"/>
        <v>106.94</v>
      </c>
      <c r="C32" t="s">
        <v>319</v>
      </c>
      <c r="D32">
        <v>2700</v>
      </c>
      <c r="E32" t="s">
        <v>84</v>
      </c>
    </row>
    <row r="33" spans="1:5" x14ac:dyDescent="0.25">
      <c r="A33">
        <v>3009307</v>
      </c>
      <c r="B33">
        <v>29.27</v>
      </c>
      <c r="C33" t="s">
        <v>567</v>
      </c>
      <c r="D33">
        <v>2200</v>
      </c>
      <c r="E33" t="s">
        <v>84</v>
      </c>
    </row>
    <row r="34" spans="1:5" x14ac:dyDescent="0.25">
      <c r="A34">
        <v>3866766</v>
      </c>
      <c r="B34">
        <f>77.67+29.27</f>
        <v>106.94</v>
      </c>
      <c r="C34" t="s">
        <v>147</v>
      </c>
      <c r="D34">
        <v>2100</v>
      </c>
      <c r="E34" t="s">
        <v>148</v>
      </c>
    </row>
    <row r="35" spans="1:5" x14ac:dyDescent="0.25">
      <c r="A35">
        <v>7320491</v>
      </c>
      <c r="B35">
        <f>77.67+29.27</f>
        <v>106.94</v>
      </c>
      <c r="C35" t="s">
        <v>570</v>
      </c>
      <c r="D35">
        <v>1900</v>
      </c>
      <c r="E35" t="s">
        <v>108</v>
      </c>
    </row>
    <row r="36" spans="1:5" x14ac:dyDescent="0.25">
      <c r="A36">
        <v>9132268</v>
      </c>
      <c r="B36">
        <f>77.67+29.27</f>
        <v>106.94</v>
      </c>
      <c r="D36">
        <v>2400</v>
      </c>
      <c r="E36" t="s">
        <v>108</v>
      </c>
    </row>
    <row r="37" spans="1:5" x14ac:dyDescent="0.25">
      <c r="A37">
        <v>10083390</v>
      </c>
      <c r="B37">
        <f>77.67+29.27</f>
        <v>106.94</v>
      </c>
      <c r="D37">
        <v>875</v>
      </c>
      <c r="E37" t="s">
        <v>108</v>
      </c>
    </row>
    <row r="38" spans="1:5" x14ac:dyDescent="0.25">
      <c r="A38">
        <v>11502717</v>
      </c>
      <c r="B38">
        <v>51.78</v>
      </c>
      <c r="C38" t="s">
        <v>284</v>
      </c>
      <c r="D38">
        <v>1300</v>
      </c>
      <c r="E38" t="s">
        <v>108</v>
      </c>
    </row>
    <row r="39" spans="1:5" x14ac:dyDescent="0.25">
      <c r="A39">
        <v>11514517</v>
      </c>
      <c r="B39">
        <f t="shared" ref="B39:B74" si="1">77.67+29.27</f>
        <v>106.94</v>
      </c>
      <c r="C39" t="s">
        <v>147</v>
      </c>
      <c r="D39">
        <v>2200</v>
      </c>
      <c r="E39" t="s">
        <v>148</v>
      </c>
    </row>
    <row r="40" spans="1:5" x14ac:dyDescent="0.25">
      <c r="A40" t="s">
        <v>802</v>
      </c>
      <c r="B40">
        <f t="shared" si="1"/>
        <v>106.94</v>
      </c>
      <c r="C40" t="s">
        <v>147</v>
      </c>
      <c r="D40">
        <v>2500</v>
      </c>
      <c r="E40" t="s">
        <v>108</v>
      </c>
    </row>
    <row r="41" spans="1:5" x14ac:dyDescent="0.25">
      <c r="A41">
        <v>11514597</v>
      </c>
      <c r="B41">
        <f t="shared" si="1"/>
        <v>106.94</v>
      </c>
      <c r="C41" t="s">
        <v>147</v>
      </c>
      <c r="D41">
        <v>1300</v>
      </c>
      <c r="E41" t="s">
        <v>108</v>
      </c>
    </row>
    <row r="42" spans="1:5" x14ac:dyDescent="0.25">
      <c r="A42">
        <v>11514598</v>
      </c>
      <c r="B42">
        <f t="shared" si="1"/>
        <v>106.94</v>
      </c>
      <c r="C42" t="s">
        <v>147</v>
      </c>
      <c r="D42">
        <v>700</v>
      </c>
      <c r="E42" t="s">
        <v>108</v>
      </c>
    </row>
    <row r="43" spans="1:5" x14ac:dyDescent="0.25">
      <c r="A43">
        <v>11515744</v>
      </c>
      <c r="B43">
        <f t="shared" si="1"/>
        <v>106.94</v>
      </c>
      <c r="C43" t="s">
        <v>147</v>
      </c>
      <c r="D43">
        <v>800</v>
      </c>
      <c r="E43" t="s">
        <v>148</v>
      </c>
    </row>
    <row r="44" spans="1:5" x14ac:dyDescent="0.25">
      <c r="A44">
        <v>11516073</v>
      </c>
      <c r="B44">
        <f t="shared" si="1"/>
        <v>106.94</v>
      </c>
      <c r="C44" t="s">
        <v>147</v>
      </c>
      <c r="D44">
        <v>1200</v>
      </c>
      <c r="E44" t="s">
        <v>84</v>
      </c>
    </row>
    <row r="45" spans="1:5" x14ac:dyDescent="0.25">
      <c r="A45">
        <v>11516074</v>
      </c>
      <c r="B45">
        <f t="shared" si="1"/>
        <v>106.94</v>
      </c>
      <c r="C45" t="s">
        <v>147</v>
      </c>
      <c r="D45">
        <v>700</v>
      </c>
      <c r="E45" t="s">
        <v>108</v>
      </c>
    </row>
    <row r="46" spans="1:5" x14ac:dyDescent="0.25">
      <c r="A46">
        <v>11516076</v>
      </c>
      <c r="B46">
        <f t="shared" si="1"/>
        <v>106.94</v>
      </c>
      <c r="C46" t="s">
        <v>147</v>
      </c>
      <c r="D46">
        <v>2200</v>
      </c>
      <c r="E46" t="s">
        <v>148</v>
      </c>
    </row>
    <row r="47" spans="1:5" x14ac:dyDescent="0.25">
      <c r="A47" t="s">
        <v>743</v>
      </c>
      <c r="B47">
        <f t="shared" si="1"/>
        <v>106.94</v>
      </c>
      <c r="C47" t="s">
        <v>147</v>
      </c>
      <c r="D47">
        <v>1200</v>
      </c>
      <c r="E47" t="s">
        <v>108</v>
      </c>
    </row>
    <row r="48" spans="1:5" x14ac:dyDescent="0.25">
      <c r="A48">
        <v>11516078</v>
      </c>
      <c r="B48">
        <f t="shared" si="1"/>
        <v>106.94</v>
      </c>
      <c r="C48" t="s">
        <v>109</v>
      </c>
      <c r="D48">
        <v>700</v>
      </c>
      <c r="E48" t="s">
        <v>108</v>
      </c>
    </row>
    <row r="49" spans="1:5" x14ac:dyDescent="0.25">
      <c r="A49" t="s">
        <v>815</v>
      </c>
      <c r="B49">
        <v>106.94</v>
      </c>
      <c r="C49" t="s">
        <v>147</v>
      </c>
      <c r="D49">
        <v>700</v>
      </c>
      <c r="E49" t="s">
        <v>108</v>
      </c>
    </row>
    <row r="50" spans="1:5" x14ac:dyDescent="0.25">
      <c r="A50">
        <v>11516133</v>
      </c>
      <c r="B50">
        <f t="shared" si="1"/>
        <v>106.94</v>
      </c>
      <c r="C50" t="s">
        <v>147</v>
      </c>
      <c r="D50">
        <v>500</v>
      </c>
      <c r="E50" t="s">
        <v>148</v>
      </c>
    </row>
    <row r="51" spans="1:5" x14ac:dyDescent="0.25">
      <c r="A51">
        <v>11516382</v>
      </c>
      <c r="B51">
        <f t="shared" si="1"/>
        <v>106.94</v>
      </c>
      <c r="C51" t="s">
        <v>147</v>
      </c>
      <c r="D51">
        <v>450</v>
      </c>
      <c r="E51" t="s">
        <v>148</v>
      </c>
    </row>
    <row r="52" spans="1:5" x14ac:dyDescent="0.25">
      <c r="A52" t="s">
        <v>825</v>
      </c>
      <c r="B52">
        <v>106.94</v>
      </c>
      <c r="C52" t="s">
        <v>147</v>
      </c>
      <c r="D52">
        <v>450</v>
      </c>
      <c r="E52" t="s">
        <v>148</v>
      </c>
    </row>
    <row r="53" spans="1:5" x14ac:dyDescent="0.25">
      <c r="A53">
        <v>11516383</v>
      </c>
      <c r="B53">
        <f t="shared" si="1"/>
        <v>106.94</v>
      </c>
      <c r="C53" t="s">
        <v>147</v>
      </c>
      <c r="D53">
        <v>300</v>
      </c>
      <c r="E53" t="s">
        <v>108</v>
      </c>
    </row>
    <row r="54" spans="1:5" x14ac:dyDescent="0.25">
      <c r="A54">
        <v>11516754</v>
      </c>
      <c r="B54">
        <f t="shared" si="1"/>
        <v>106.94</v>
      </c>
      <c r="C54" t="s">
        <v>147</v>
      </c>
      <c r="E54" t="s">
        <v>148</v>
      </c>
    </row>
    <row r="55" spans="1:5" x14ac:dyDescent="0.25">
      <c r="A55">
        <v>11516755</v>
      </c>
      <c r="B55">
        <f t="shared" si="1"/>
        <v>106.94</v>
      </c>
      <c r="C55" t="s">
        <v>147</v>
      </c>
      <c r="D55">
        <v>500</v>
      </c>
      <c r="E55" t="s">
        <v>108</v>
      </c>
    </row>
    <row r="56" spans="1:5" x14ac:dyDescent="0.25">
      <c r="A56">
        <v>11516782</v>
      </c>
      <c r="B56">
        <f t="shared" si="1"/>
        <v>106.94</v>
      </c>
      <c r="C56" t="s">
        <v>147</v>
      </c>
      <c r="D56">
        <v>500</v>
      </c>
      <c r="E56" t="s">
        <v>108</v>
      </c>
    </row>
    <row r="57" spans="1:5" x14ac:dyDescent="0.25">
      <c r="A57">
        <v>11516783</v>
      </c>
      <c r="B57">
        <f t="shared" si="1"/>
        <v>106.94</v>
      </c>
      <c r="C57" t="s">
        <v>147</v>
      </c>
      <c r="D57">
        <v>350</v>
      </c>
      <c r="E57" t="s">
        <v>148</v>
      </c>
    </row>
    <row r="58" spans="1:5" x14ac:dyDescent="0.25">
      <c r="A58">
        <v>11517068</v>
      </c>
      <c r="B58">
        <f t="shared" si="1"/>
        <v>106.94</v>
      </c>
      <c r="C58" t="s">
        <v>132</v>
      </c>
      <c r="D58">
        <v>5000</v>
      </c>
      <c r="E58" t="s">
        <v>108</v>
      </c>
    </row>
    <row r="59" spans="1:5" x14ac:dyDescent="0.25">
      <c r="A59">
        <v>11517665</v>
      </c>
      <c r="B59">
        <f t="shared" si="1"/>
        <v>106.94</v>
      </c>
      <c r="C59" t="s">
        <v>147</v>
      </c>
      <c r="D59">
        <v>3000</v>
      </c>
      <c r="E59" t="s">
        <v>148</v>
      </c>
    </row>
    <row r="60" spans="1:5" x14ac:dyDescent="0.25">
      <c r="A60">
        <v>11517996</v>
      </c>
      <c r="B60">
        <f t="shared" si="1"/>
        <v>106.94</v>
      </c>
      <c r="C60" t="s">
        <v>147</v>
      </c>
      <c r="D60">
        <v>1200</v>
      </c>
      <c r="E60" t="s">
        <v>108</v>
      </c>
    </row>
    <row r="61" spans="1:5" x14ac:dyDescent="0.25">
      <c r="A61">
        <v>11518428</v>
      </c>
      <c r="B61">
        <f t="shared" si="1"/>
        <v>106.94</v>
      </c>
      <c r="C61" t="s">
        <v>110</v>
      </c>
      <c r="D61">
        <v>1200</v>
      </c>
      <c r="E61" t="s">
        <v>108</v>
      </c>
    </row>
    <row r="62" spans="1:5" x14ac:dyDescent="0.25">
      <c r="A62">
        <v>11518532</v>
      </c>
      <c r="B62">
        <f t="shared" si="1"/>
        <v>106.94</v>
      </c>
      <c r="C62" t="s">
        <v>569</v>
      </c>
      <c r="D62">
        <v>1400</v>
      </c>
      <c r="E62" t="s">
        <v>84</v>
      </c>
    </row>
    <row r="63" spans="1:5" x14ac:dyDescent="0.25">
      <c r="A63">
        <v>11519114</v>
      </c>
      <c r="B63">
        <f t="shared" si="1"/>
        <v>106.94</v>
      </c>
      <c r="C63" t="s">
        <v>569</v>
      </c>
      <c r="D63">
        <v>600</v>
      </c>
      <c r="E63" t="s">
        <v>84</v>
      </c>
    </row>
    <row r="64" spans="1:5" x14ac:dyDescent="0.25">
      <c r="A64">
        <v>11546076</v>
      </c>
      <c r="B64">
        <f t="shared" si="1"/>
        <v>106.94</v>
      </c>
      <c r="C64" t="s">
        <v>569</v>
      </c>
      <c r="D64">
        <v>2200</v>
      </c>
      <c r="E64" t="s">
        <v>84</v>
      </c>
    </row>
    <row r="65" spans="1:5" x14ac:dyDescent="0.25">
      <c r="A65">
        <v>11546077</v>
      </c>
      <c r="B65">
        <f t="shared" si="1"/>
        <v>106.94</v>
      </c>
      <c r="C65" t="s">
        <v>147</v>
      </c>
      <c r="D65">
        <v>1200</v>
      </c>
      <c r="E65" t="s">
        <v>108</v>
      </c>
    </row>
    <row r="66" spans="1:5" x14ac:dyDescent="0.25">
      <c r="A66">
        <v>11546333</v>
      </c>
      <c r="B66">
        <f t="shared" si="1"/>
        <v>106.94</v>
      </c>
      <c r="C66" t="s">
        <v>569</v>
      </c>
      <c r="D66">
        <v>800</v>
      </c>
      <c r="E66" t="s">
        <v>84</v>
      </c>
    </row>
    <row r="67" spans="1:5" x14ac:dyDescent="0.25">
      <c r="A67">
        <v>11546364</v>
      </c>
      <c r="B67">
        <f t="shared" si="1"/>
        <v>106.94</v>
      </c>
      <c r="C67" t="s">
        <v>133</v>
      </c>
      <c r="D67">
        <v>3500</v>
      </c>
      <c r="E67" t="s">
        <v>108</v>
      </c>
    </row>
    <row r="68" spans="1:5" x14ac:dyDescent="0.25">
      <c r="A68">
        <v>11546365</v>
      </c>
      <c r="B68">
        <f t="shared" si="1"/>
        <v>106.94</v>
      </c>
      <c r="C68" t="s">
        <v>147</v>
      </c>
      <c r="D68">
        <v>1900</v>
      </c>
      <c r="E68" t="s">
        <v>108</v>
      </c>
    </row>
    <row r="69" spans="1:5" x14ac:dyDescent="0.25">
      <c r="A69">
        <v>11546366</v>
      </c>
      <c r="B69">
        <f t="shared" si="1"/>
        <v>106.94</v>
      </c>
      <c r="C69" t="s">
        <v>111</v>
      </c>
      <c r="D69">
        <v>1000</v>
      </c>
      <c r="E69" t="s">
        <v>108</v>
      </c>
    </row>
    <row r="70" spans="1:5" x14ac:dyDescent="0.25">
      <c r="A70">
        <v>11546367</v>
      </c>
      <c r="B70">
        <f t="shared" si="1"/>
        <v>106.94</v>
      </c>
      <c r="C70" t="s">
        <v>112</v>
      </c>
      <c r="D70">
        <v>700</v>
      </c>
      <c r="E70" t="s">
        <v>108</v>
      </c>
    </row>
    <row r="71" spans="1:5" x14ac:dyDescent="0.25">
      <c r="A71">
        <v>11546368</v>
      </c>
      <c r="B71">
        <f t="shared" si="1"/>
        <v>106.94</v>
      </c>
      <c r="C71" t="s">
        <v>147</v>
      </c>
      <c r="D71">
        <v>450</v>
      </c>
      <c r="E71" t="s">
        <v>148</v>
      </c>
    </row>
    <row r="72" spans="1:5" x14ac:dyDescent="0.25">
      <c r="A72" t="s">
        <v>809</v>
      </c>
      <c r="B72">
        <f t="shared" si="1"/>
        <v>106.94</v>
      </c>
      <c r="C72" t="s">
        <v>147</v>
      </c>
      <c r="D72">
        <v>450</v>
      </c>
      <c r="E72" t="s">
        <v>108</v>
      </c>
    </row>
    <row r="73" spans="1:5" x14ac:dyDescent="0.25">
      <c r="A73">
        <v>11546369</v>
      </c>
      <c r="B73">
        <f t="shared" si="1"/>
        <v>106.94</v>
      </c>
      <c r="C73" t="s">
        <v>319</v>
      </c>
      <c r="D73">
        <v>300</v>
      </c>
      <c r="E73" t="s">
        <v>108</v>
      </c>
    </row>
    <row r="74" spans="1:5" x14ac:dyDescent="0.25">
      <c r="A74" t="s">
        <v>850</v>
      </c>
      <c r="B74">
        <f t="shared" si="1"/>
        <v>106.94</v>
      </c>
      <c r="D74">
        <v>300</v>
      </c>
      <c r="E74" t="s">
        <v>108</v>
      </c>
    </row>
    <row r="75" spans="1:5" x14ac:dyDescent="0.25">
      <c r="A75">
        <v>11546370</v>
      </c>
      <c r="B75">
        <f t="shared" ref="B75:B96" si="2">77.67+29.27</f>
        <v>106.94</v>
      </c>
      <c r="C75" t="s">
        <v>147</v>
      </c>
      <c r="D75">
        <v>220</v>
      </c>
      <c r="E75" t="s">
        <v>108</v>
      </c>
    </row>
    <row r="76" spans="1:5" x14ac:dyDescent="0.25">
      <c r="A76">
        <v>11546377</v>
      </c>
      <c r="B76">
        <f t="shared" si="2"/>
        <v>106.94</v>
      </c>
      <c r="C76" t="s">
        <v>147</v>
      </c>
      <c r="D76">
        <v>2150</v>
      </c>
      <c r="E76" t="s">
        <v>148</v>
      </c>
    </row>
    <row r="77" spans="1:5" x14ac:dyDescent="0.25">
      <c r="A77">
        <v>11546378</v>
      </c>
      <c r="B77">
        <f t="shared" si="2"/>
        <v>106.94</v>
      </c>
      <c r="C77" t="s">
        <v>147</v>
      </c>
      <c r="D77">
        <v>1250</v>
      </c>
      <c r="E77" t="s">
        <v>148</v>
      </c>
    </row>
    <row r="78" spans="1:5" x14ac:dyDescent="0.25">
      <c r="A78">
        <v>11546379</v>
      </c>
      <c r="B78">
        <f t="shared" si="2"/>
        <v>106.94</v>
      </c>
      <c r="C78" t="s">
        <v>569</v>
      </c>
      <c r="D78">
        <v>650</v>
      </c>
      <c r="E78" t="s">
        <v>84</v>
      </c>
    </row>
    <row r="79" spans="1:5" x14ac:dyDescent="0.25">
      <c r="A79" t="s">
        <v>842</v>
      </c>
      <c r="B79">
        <f t="shared" si="2"/>
        <v>106.94</v>
      </c>
      <c r="C79" t="s">
        <v>569</v>
      </c>
      <c r="D79">
        <v>700</v>
      </c>
      <c r="E79" t="s">
        <v>84</v>
      </c>
    </row>
    <row r="80" spans="1:5" x14ac:dyDescent="0.25">
      <c r="A80">
        <v>11546388</v>
      </c>
      <c r="B80">
        <f t="shared" si="2"/>
        <v>106.94</v>
      </c>
      <c r="C80" t="s">
        <v>147</v>
      </c>
      <c r="D80">
        <v>6750</v>
      </c>
      <c r="E80" t="s">
        <v>108</v>
      </c>
    </row>
    <row r="81" spans="1:5" x14ac:dyDescent="0.25">
      <c r="A81">
        <v>11546389</v>
      </c>
      <c r="B81">
        <f t="shared" si="2"/>
        <v>106.94</v>
      </c>
      <c r="C81" t="s">
        <v>147</v>
      </c>
      <c r="D81">
        <v>4500</v>
      </c>
      <c r="E81" t="s">
        <v>148</v>
      </c>
    </row>
    <row r="82" spans="1:5" x14ac:dyDescent="0.25">
      <c r="A82">
        <v>11546391</v>
      </c>
      <c r="B82">
        <f t="shared" si="2"/>
        <v>106.94</v>
      </c>
      <c r="C82" t="s">
        <v>147</v>
      </c>
      <c r="D82">
        <v>4500</v>
      </c>
      <c r="E82" t="s">
        <v>108</v>
      </c>
    </row>
    <row r="83" spans="1:5" x14ac:dyDescent="0.25">
      <c r="A83">
        <v>11546437</v>
      </c>
      <c r="B83">
        <f t="shared" si="2"/>
        <v>106.94</v>
      </c>
      <c r="C83" t="s">
        <v>147</v>
      </c>
      <c r="D83">
        <v>1500</v>
      </c>
      <c r="E83" t="s">
        <v>108</v>
      </c>
    </row>
    <row r="84" spans="1:5" x14ac:dyDescent="0.25">
      <c r="A84" t="s">
        <v>728</v>
      </c>
      <c r="B84">
        <v>106.94</v>
      </c>
      <c r="C84" t="s">
        <v>147</v>
      </c>
      <c r="D84">
        <v>1500</v>
      </c>
      <c r="E84" t="s">
        <v>108</v>
      </c>
    </row>
    <row r="85" spans="1:5" x14ac:dyDescent="0.25">
      <c r="A85">
        <v>11546438</v>
      </c>
      <c r="B85">
        <f t="shared" si="2"/>
        <v>106.94</v>
      </c>
      <c r="C85" t="s">
        <v>147</v>
      </c>
      <c r="D85">
        <v>1200</v>
      </c>
      <c r="E85" t="s">
        <v>108</v>
      </c>
    </row>
    <row r="86" spans="1:5" x14ac:dyDescent="0.25">
      <c r="A86">
        <v>11546439</v>
      </c>
      <c r="B86">
        <f t="shared" si="2"/>
        <v>106.94</v>
      </c>
      <c r="C86" t="s">
        <v>569</v>
      </c>
      <c r="D86">
        <v>2500</v>
      </c>
      <c r="E86" t="s">
        <v>84</v>
      </c>
    </row>
    <row r="87" spans="1:5" x14ac:dyDescent="0.25">
      <c r="A87">
        <v>11546440</v>
      </c>
      <c r="B87">
        <f t="shared" si="2"/>
        <v>106.94</v>
      </c>
      <c r="C87" t="s">
        <v>570</v>
      </c>
      <c r="E87" t="s">
        <v>84</v>
      </c>
    </row>
    <row r="88" spans="1:5" x14ac:dyDescent="0.25">
      <c r="A88">
        <v>11546448</v>
      </c>
      <c r="B88">
        <f t="shared" si="2"/>
        <v>106.94</v>
      </c>
      <c r="C88" t="s">
        <v>319</v>
      </c>
      <c r="E88" t="s">
        <v>84</v>
      </c>
    </row>
    <row r="89" spans="1:5" x14ac:dyDescent="0.25">
      <c r="A89">
        <v>11546449</v>
      </c>
      <c r="B89">
        <f t="shared" si="2"/>
        <v>106.94</v>
      </c>
      <c r="C89" t="s">
        <v>147</v>
      </c>
      <c r="D89">
        <v>2500</v>
      </c>
      <c r="E89" t="s">
        <v>148</v>
      </c>
    </row>
    <row r="90" spans="1:5" x14ac:dyDescent="0.25">
      <c r="A90">
        <v>11546456</v>
      </c>
      <c r="B90">
        <f t="shared" si="2"/>
        <v>106.94</v>
      </c>
      <c r="C90" t="s">
        <v>147</v>
      </c>
      <c r="D90">
        <v>2700</v>
      </c>
      <c r="E90" t="s">
        <v>148</v>
      </c>
    </row>
    <row r="91" spans="1:5" x14ac:dyDescent="0.25">
      <c r="A91">
        <v>11546462</v>
      </c>
      <c r="B91">
        <f t="shared" si="2"/>
        <v>106.94</v>
      </c>
      <c r="C91" t="s">
        <v>147</v>
      </c>
      <c r="D91">
        <v>650</v>
      </c>
      <c r="E91" t="s">
        <v>148</v>
      </c>
    </row>
    <row r="92" spans="1:5" x14ac:dyDescent="0.25">
      <c r="A92">
        <v>11546463</v>
      </c>
      <c r="B92">
        <f t="shared" si="2"/>
        <v>106.94</v>
      </c>
      <c r="C92" t="s">
        <v>319</v>
      </c>
      <c r="D92">
        <v>450</v>
      </c>
      <c r="E92" t="s">
        <v>108</v>
      </c>
    </row>
    <row r="93" spans="1:5" x14ac:dyDescent="0.25">
      <c r="A93">
        <v>11546465</v>
      </c>
      <c r="B93">
        <f t="shared" si="2"/>
        <v>106.94</v>
      </c>
      <c r="C93" t="s">
        <v>131</v>
      </c>
      <c r="D93">
        <v>1100</v>
      </c>
      <c r="E93" t="s">
        <v>108</v>
      </c>
    </row>
    <row r="94" spans="1:5" x14ac:dyDescent="0.25">
      <c r="A94">
        <v>11546543</v>
      </c>
      <c r="B94">
        <f t="shared" si="2"/>
        <v>106.94</v>
      </c>
      <c r="C94" t="s">
        <v>134</v>
      </c>
      <c r="E94" t="s">
        <v>108</v>
      </c>
    </row>
    <row r="95" spans="1:5" x14ac:dyDescent="0.25">
      <c r="A95">
        <v>11546545</v>
      </c>
      <c r="B95">
        <f t="shared" si="2"/>
        <v>106.94</v>
      </c>
      <c r="C95" t="s">
        <v>113</v>
      </c>
      <c r="D95">
        <v>2500</v>
      </c>
      <c r="E95" t="s">
        <v>108</v>
      </c>
    </row>
    <row r="96" spans="1:5" x14ac:dyDescent="0.25">
      <c r="A96">
        <v>11546546</v>
      </c>
      <c r="B96">
        <f t="shared" si="2"/>
        <v>106.94</v>
      </c>
      <c r="C96" t="s">
        <v>147</v>
      </c>
      <c r="D96">
        <v>1600</v>
      </c>
      <c r="E96" t="s">
        <v>148</v>
      </c>
    </row>
    <row r="97" spans="1:5" x14ac:dyDescent="0.25">
      <c r="A97">
        <v>11546566</v>
      </c>
      <c r="B97">
        <f>77.67+57.41</f>
        <v>135.07999999999998</v>
      </c>
      <c r="C97" t="s">
        <v>727</v>
      </c>
      <c r="D97">
        <v>1800</v>
      </c>
      <c r="E97" t="s">
        <v>108</v>
      </c>
    </row>
    <row r="98" spans="1:5" x14ac:dyDescent="0.25">
      <c r="A98">
        <v>11546571</v>
      </c>
      <c r="B98">
        <f>77.67+57.41</f>
        <v>135.07999999999998</v>
      </c>
      <c r="C98" t="s">
        <v>114</v>
      </c>
      <c r="D98">
        <v>1550</v>
      </c>
      <c r="E98" t="s">
        <v>108</v>
      </c>
    </row>
    <row r="99" spans="1:5" x14ac:dyDescent="0.25">
      <c r="A99">
        <v>11546593</v>
      </c>
      <c r="B99">
        <f>77.67+29.27</f>
        <v>106.94</v>
      </c>
      <c r="C99" t="s">
        <v>115</v>
      </c>
      <c r="D99">
        <v>700</v>
      </c>
      <c r="E99" t="s">
        <v>108</v>
      </c>
    </row>
    <row r="100" spans="1:5" x14ac:dyDescent="0.25">
      <c r="A100">
        <v>11546656</v>
      </c>
      <c r="B100">
        <f>77.67+29.27</f>
        <v>106.94</v>
      </c>
      <c r="C100" t="s">
        <v>569</v>
      </c>
      <c r="D100">
        <v>1500</v>
      </c>
      <c r="E100" t="s">
        <v>108</v>
      </c>
    </row>
    <row r="101" spans="1:5" x14ac:dyDescent="0.25">
      <c r="A101">
        <v>11546703</v>
      </c>
      <c r="B101">
        <f>77.67+57.41</f>
        <v>135.07999999999998</v>
      </c>
      <c r="C101" t="s">
        <v>116</v>
      </c>
      <c r="D101">
        <v>4000</v>
      </c>
      <c r="E101" t="s">
        <v>108</v>
      </c>
    </row>
    <row r="102" spans="1:5" x14ac:dyDescent="0.25">
      <c r="A102">
        <v>11546751</v>
      </c>
      <c r="B102">
        <f>77.67+57.41</f>
        <v>135.07999999999998</v>
      </c>
      <c r="C102" t="s">
        <v>727</v>
      </c>
      <c r="E102" t="s">
        <v>108</v>
      </c>
    </row>
    <row r="103" spans="1:5" x14ac:dyDescent="0.25">
      <c r="A103">
        <v>11546774</v>
      </c>
      <c r="B103">
        <f>77.67+29.27</f>
        <v>106.94</v>
      </c>
      <c r="C103" t="s">
        <v>569</v>
      </c>
      <c r="D103">
        <v>450</v>
      </c>
      <c r="E103" t="s">
        <v>108</v>
      </c>
    </row>
    <row r="104" spans="1:5" x14ac:dyDescent="0.25">
      <c r="A104">
        <v>11546860</v>
      </c>
      <c r="B104">
        <f>77.67+29.27</f>
        <v>106.94</v>
      </c>
      <c r="C104" t="s">
        <v>569</v>
      </c>
      <c r="D104">
        <v>3000</v>
      </c>
      <c r="E104" t="s">
        <v>108</v>
      </c>
    </row>
    <row r="105" spans="1:5" x14ac:dyDescent="0.25">
      <c r="A105">
        <v>11547059</v>
      </c>
      <c r="B105">
        <f>77.67+57.41</f>
        <v>135.07999999999998</v>
      </c>
      <c r="C105" t="s">
        <v>727</v>
      </c>
      <c r="E105" t="s">
        <v>108</v>
      </c>
    </row>
    <row r="106" spans="1:5" x14ac:dyDescent="0.25">
      <c r="A106">
        <v>11547090</v>
      </c>
      <c r="B106">
        <f>77.67+29.27</f>
        <v>106.94</v>
      </c>
      <c r="C106" t="s">
        <v>319</v>
      </c>
      <c r="D106">
        <v>830</v>
      </c>
      <c r="E106" t="s">
        <v>84</v>
      </c>
    </row>
    <row r="107" spans="1:5" x14ac:dyDescent="0.25">
      <c r="A107">
        <v>11547103</v>
      </c>
      <c r="B107">
        <f>77.67+29.27</f>
        <v>106.94</v>
      </c>
      <c r="C107" t="s">
        <v>147</v>
      </c>
      <c r="D107">
        <v>275</v>
      </c>
      <c r="E107" t="s">
        <v>108</v>
      </c>
    </row>
    <row r="108" spans="1:5" x14ac:dyDescent="0.25">
      <c r="A108">
        <v>11547139</v>
      </c>
      <c r="B108">
        <f>77.67+29.27</f>
        <v>106.94</v>
      </c>
      <c r="C108" t="s">
        <v>569</v>
      </c>
      <c r="D108">
        <v>700</v>
      </c>
      <c r="E108" t="s">
        <v>108</v>
      </c>
    </row>
    <row r="109" spans="1:5" x14ac:dyDescent="0.25">
      <c r="A109">
        <v>11547176</v>
      </c>
      <c r="B109">
        <f>(77.67+57.41)*2+10</f>
        <v>280.15999999999997</v>
      </c>
      <c r="C109" t="s">
        <v>153</v>
      </c>
      <c r="D109">
        <v>850</v>
      </c>
      <c r="E109" t="s">
        <v>148</v>
      </c>
    </row>
    <row r="110" spans="1:5" x14ac:dyDescent="0.25">
      <c r="A110">
        <v>11547205</v>
      </c>
      <c r="B110">
        <f>77.67+57.41</f>
        <v>135.07999999999998</v>
      </c>
      <c r="C110" t="s">
        <v>117</v>
      </c>
      <c r="D110">
        <v>700</v>
      </c>
      <c r="E110" t="s">
        <v>108</v>
      </c>
    </row>
    <row r="111" spans="1:5" x14ac:dyDescent="0.25">
      <c r="A111">
        <v>11547274</v>
      </c>
      <c r="B111">
        <f>77.67+29.27</f>
        <v>106.94</v>
      </c>
      <c r="C111" t="s">
        <v>147</v>
      </c>
      <c r="D111">
        <v>4000</v>
      </c>
      <c r="E111" t="s">
        <v>108</v>
      </c>
    </row>
    <row r="112" spans="1:5" x14ac:dyDescent="0.25">
      <c r="A112">
        <v>11547349</v>
      </c>
      <c r="B112">
        <f>77.67+29.27</f>
        <v>106.94</v>
      </c>
      <c r="C112" t="s">
        <v>147</v>
      </c>
      <c r="D112">
        <v>350</v>
      </c>
      <c r="E112" t="s">
        <v>108</v>
      </c>
    </row>
    <row r="113" spans="1:5" x14ac:dyDescent="0.25">
      <c r="A113">
        <v>11547369</v>
      </c>
      <c r="B113">
        <f>77.67+29.27</f>
        <v>106.94</v>
      </c>
      <c r="C113" t="s">
        <v>147</v>
      </c>
      <c r="D113">
        <v>250</v>
      </c>
      <c r="E113" t="s">
        <v>84</v>
      </c>
    </row>
    <row r="114" spans="1:5" x14ac:dyDescent="0.25">
      <c r="A114">
        <v>11547417</v>
      </c>
      <c r="B114">
        <f>77.67+29.27</f>
        <v>106.94</v>
      </c>
      <c r="C114" t="s">
        <v>147</v>
      </c>
      <c r="D114">
        <v>2500</v>
      </c>
      <c r="E114" t="s">
        <v>108</v>
      </c>
    </row>
    <row r="115" spans="1:5" x14ac:dyDescent="0.25">
      <c r="A115">
        <v>11547423</v>
      </c>
      <c r="B115">
        <f>77.67+57.41</f>
        <v>135.07999999999998</v>
      </c>
      <c r="C115" t="s">
        <v>569</v>
      </c>
      <c r="D115">
        <v>875</v>
      </c>
      <c r="E115" t="s">
        <v>84</v>
      </c>
    </row>
    <row r="116" spans="1:5" x14ac:dyDescent="0.25">
      <c r="A116">
        <v>11547685</v>
      </c>
      <c r="B116">
        <f>77.67+29.27</f>
        <v>106.94</v>
      </c>
      <c r="C116" t="s">
        <v>569</v>
      </c>
      <c r="E116" t="s">
        <v>84</v>
      </c>
    </row>
    <row r="117" spans="1:5" x14ac:dyDescent="0.25">
      <c r="A117" s="6">
        <v>11547763</v>
      </c>
      <c r="B117">
        <f>77.67+29.27</f>
        <v>106.94</v>
      </c>
      <c r="C117" t="s">
        <v>569</v>
      </c>
      <c r="D117">
        <v>1800</v>
      </c>
      <c r="E117" t="s">
        <v>108</v>
      </c>
    </row>
    <row r="118" spans="1:5" x14ac:dyDescent="0.25">
      <c r="A118">
        <v>11547830</v>
      </c>
      <c r="B118">
        <f>77.67+57.41</f>
        <v>135.07999999999998</v>
      </c>
      <c r="C118" t="s">
        <v>285</v>
      </c>
      <c r="E118" t="s">
        <v>148</v>
      </c>
    </row>
    <row r="119" spans="1:5" x14ac:dyDescent="0.25">
      <c r="A119">
        <v>11548144</v>
      </c>
      <c r="B119">
        <f>77.67+29.27</f>
        <v>106.94</v>
      </c>
      <c r="C119" t="s">
        <v>319</v>
      </c>
      <c r="D119">
        <v>650</v>
      </c>
      <c r="E119" t="s">
        <v>84</v>
      </c>
    </row>
    <row r="120" spans="1:5" x14ac:dyDescent="0.25">
      <c r="A120">
        <v>11548147</v>
      </c>
      <c r="B120">
        <f>(77.67+57.41)*2+10</f>
        <v>280.15999999999997</v>
      </c>
      <c r="C120" t="s">
        <v>761</v>
      </c>
      <c r="D120">
        <v>250</v>
      </c>
      <c r="E120" t="s">
        <v>108</v>
      </c>
    </row>
    <row r="121" spans="1:5" x14ac:dyDescent="0.25">
      <c r="A121" s="6">
        <v>11548357</v>
      </c>
      <c r="B121">
        <f>77.67+29.27</f>
        <v>106.94</v>
      </c>
      <c r="C121" t="s">
        <v>569</v>
      </c>
      <c r="D121">
        <v>800</v>
      </c>
      <c r="E121" t="s">
        <v>108</v>
      </c>
    </row>
    <row r="122" spans="1:5" x14ac:dyDescent="0.25">
      <c r="A122">
        <v>11548360</v>
      </c>
      <c r="B122">
        <f>77.67+29.27</f>
        <v>106.94</v>
      </c>
      <c r="C122" t="s">
        <v>569</v>
      </c>
      <c r="D122">
        <v>800</v>
      </c>
      <c r="E122" t="s">
        <v>84</v>
      </c>
    </row>
    <row r="123" spans="1:5" x14ac:dyDescent="0.25">
      <c r="A123">
        <v>11548414</v>
      </c>
      <c r="B123">
        <f>77.67+29.27</f>
        <v>106.94</v>
      </c>
      <c r="C123" t="s">
        <v>147</v>
      </c>
      <c r="D123">
        <v>485</v>
      </c>
      <c r="E123" t="s">
        <v>148</v>
      </c>
    </row>
    <row r="124" spans="1:5" x14ac:dyDescent="0.25">
      <c r="A124" t="s">
        <v>857</v>
      </c>
      <c r="B124">
        <v>106.94</v>
      </c>
      <c r="C124" t="s">
        <v>147</v>
      </c>
      <c r="D124">
        <v>485</v>
      </c>
      <c r="E124" t="s">
        <v>108</v>
      </c>
    </row>
    <row r="125" spans="1:5" x14ac:dyDescent="0.25">
      <c r="A125">
        <v>11548453</v>
      </c>
      <c r="B125">
        <f>77.67+57.41</f>
        <v>135.07999999999998</v>
      </c>
      <c r="C125" t="s">
        <v>285</v>
      </c>
      <c r="E125" t="s">
        <v>84</v>
      </c>
    </row>
    <row r="126" spans="1:5" x14ac:dyDescent="0.25">
      <c r="A126">
        <v>11548535</v>
      </c>
      <c r="B126">
        <f>77.67+29.27</f>
        <v>106.94</v>
      </c>
      <c r="C126" t="s">
        <v>147</v>
      </c>
      <c r="D126">
        <v>150</v>
      </c>
      <c r="E126" t="s">
        <v>108</v>
      </c>
    </row>
    <row r="127" spans="1:5" x14ac:dyDescent="0.25">
      <c r="A127">
        <v>11548630</v>
      </c>
      <c r="B127">
        <f>77.67+29.27</f>
        <v>106.94</v>
      </c>
      <c r="C127" t="s">
        <v>569</v>
      </c>
      <c r="D127">
        <v>1000</v>
      </c>
      <c r="E127" t="s">
        <v>84</v>
      </c>
    </row>
    <row r="128" spans="1:5" x14ac:dyDescent="0.25">
      <c r="A128">
        <v>11548875</v>
      </c>
      <c r="B128">
        <f>77.67+57.41</f>
        <v>135.07999999999998</v>
      </c>
      <c r="C128" t="s">
        <v>285</v>
      </c>
      <c r="E128" t="s">
        <v>84</v>
      </c>
    </row>
    <row r="129" spans="1:5" x14ac:dyDescent="0.25">
      <c r="A129">
        <v>11549058</v>
      </c>
      <c r="B129">
        <f t="shared" ref="B129:B139" si="3">77.67+29.27</f>
        <v>106.94</v>
      </c>
      <c r="C129" t="s">
        <v>569</v>
      </c>
      <c r="D129">
        <v>2450</v>
      </c>
      <c r="E129" t="s">
        <v>84</v>
      </c>
    </row>
    <row r="130" spans="1:5" x14ac:dyDescent="0.25">
      <c r="A130">
        <v>11549168</v>
      </c>
      <c r="B130">
        <f t="shared" si="3"/>
        <v>106.94</v>
      </c>
      <c r="C130" t="s">
        <v>147</v>
      </c>
      <c r="D130">
        <v>1000</v>
      </c>
      <c r="E130" t="s">
        <v>148</v>
      </c>
    </row>
    <row r="131" spans="1:5" x14ac:dyDescent="0.25">
      <c r="A131">
        <v>11549169</v>
      </c>
      <c r="B131">
        <f t="shared" si="3"/>
        <v>106.94</v>
      </c>
      <c r="C131" t="s">
        <v>147</v>
      </c>
      <c r="D131">
        <v>660</v>
      </c>
      <c r="E131" t="s">
        <v>148</v>
      </c>
    </row>
    <row r="132" spans="1:5" x14ac:dyDescent="0.25">
      <c r="A132" t="s">
        <v>810</v>
      </c>
      <c r="B132">
        <v>106.94</v>
      </c>
      <c r="C132" t="s">
        <v>147</v>
      </c>
      <c r="D132">
        <v>660</v>
      </c>
      <c r="E132" t="s">
        <v>148</v>
      </c>
    </row>
    <row r="133" spans="1:5" x14ac:dyDescent="0.25">
      <c r="A133">
        <v>11549170</v>
      </c>
      <c r="B133">
        <f t="shared" si="3"/>
        <v>106.94</v>
      </c>
      <c r="C133" t="s">
        <v>147</v>
      </c>
      <c r="D133">
        <v>400</v>
      </c>
      <c r="E133" t="s">
        <v>148</v>
      </c>
    </row>
    <row r="134" spans="1:5" x14ac:dyDescent="0.25">
      <c r="A134">
        <v>11549171</v>
      </c>
      <c r="B134">
        <f t="shared" si="3"/>
        <v>106.94</v>
      </c>
      <c r="C134" t="s">
        <v>147</v>
      </c>
      <c r="D134">
        <v>280</v>
      </c>
      <c r="E134" t="s">
        <v>108</v>
      </c>
    </row>
    <row r="135" spans="1:5" x14ac:dyDescent="0.25">
      <c r="A135">
        <v>11549204</v>
      </c>
      <c r="B135">
        <f t="shared" si="3"/>
        <v>106.94</v>
      </c>
      <c r="C135" t="s">
        <v>147</v>
      </c>
      <c r="D135">
        <v>210</v>
      </c>
      <c r="E135" t="s">
        <v>148</v>
      </c>
    </row>
    <row r="136" spans="1:5" x14ac:dyDescent="0.25">
      <c r="A136" t="s">
        <v>831</v>
      </c>
      <c r="B136">
        <v>106.94</v>
      </c>
      <c r="C136" t="s">
        <v>147</v>
      </c>
      <c r="D136">
        <v>210</v>
      </c>
      <c r="E136" t="s">
        <v>108</v>
      </c>
    </row>
    <row r="137" spans="1:5" x14ac:dyDescent="0.25">
      <c r="A137">
        <v>11561114</v>
      </c>
      <c r="B137">
        <f t="shared" si="3"/>
        <v>106.94</v>
      </c>
      <c r="C137" t="s">
        <v>147</v>
      </c>
      <c r="D137">
        <v>400</v>
      </c>
      <c r="E137" t="s">
        <v>108</v>
      </c>
    </row>
    <row r="138" spans="1:5" x14ac:dyDescent="0.25">
      <c r="A138">
        <v>11561395</v>
      </c>
      <c r="B138">
        <f t="shared" si="3"/>
        <v>106.94</v>
      </c>
      <c r="C138" t="s">
        <v>149</v>
      </c>
      <c r="D138">
        <v>2500</v>
      </c>
      <c r="E138" t="s">
        <v>148</v>
      </c>
    </row>
    <row r="139" spans="1:5" x14ac:dyDescent="0.25">
      <c r="A139">
        <v>11561645</v>
      </c>
      <c r="B139">
        <f t="shared" si="3"/>
        <v>106.94</v>
      </c>
      <c r="C139" t="s">
        <v>118</v>
      </c>
      <c r="D139">
        <v>4000</v>
      </c>
      <c r="E139" t="s">
        <v>108</v>
      </c>
    </row>
    <row r="140" spans="1:5" x14ac:dyDescent="0.25">
      <c r="A140" s="6">
        <v>11561662</v>
      </c>
      <c r="B140">
        <f>77.67+57.41</f>
        <v>135.07999999999998</v>
      </c>
      <c r="C140" t="s">
        <v>569</v>
      </c>
      <c r="D140">
        <v>1100</v>
      </c>
      <c r="E140" t="s">
        <v>108</v>
      </c>
    </row>
    <row r="141" spans="1:5" x14ac:dyDescent="0.25">
      <c r="A141">
        <v>11562515</v>
      </c>
      <c r="B141">
        <f>77.67+57.41</f>
        <v>135.07999999999998</v>
      </c>
      <c r="C141" t="s">
        <v>285</v>
      </c>
      <c r="E141" t="s">
        <v>148</v>
      </c>
    </row>
    <row r="142" spans="1:5" x14ac:dyDescent="0.25">
      <c r="A142">
        <v>11569605</v>
      </c>
      <c r="B142">
        <f t="shared" ref="B142:B147" si="4">77.67+29.27</f>
        <v>106.94</v>
      </c>
      <c r="C142" t="s">
        <v>147</v>
      </c>
      <c r="D142">
        <v>1500</v>
      </c>
      <c r="E142" t="s">
        <v>148</v>
      </c>
    </row>
    <row r="143" spans="1:5" x14ac:dyDescent="0.25">
      <c r="A143">
        <v>11569637</v>
      </c>
      <c r="B143">
        <f t="shared" si="4"/>
        <v>106.94</v>
      </c>
      <c r="C143" t="s">
        <v>147</v>
      </c>
      <c r="D143">
        <v>900</v>
      </c>
      <c r="E143" t="s">
        <v>108</v>
      </c>
    </row>
    <row r="144" spans="1:5" x14ac:dyDescent="0.25">
      <c r="A144">
        <v>11569638</v>
      </c>
      <c r="B144">
        <f t="shared" si="4"/>
        <v>106.94</v>
      </c>
      <c r="C144" t="s">
        <v>147</v>
      </c>
      <c r="D144">
        <v>800</v>
      </c>
      <c r="E144" t="s">
        <v>148</v>
      </c>
    </row>
    <row r="145" spans="1:5" x14ac:dyDescent="0.25">
      <c r="A145">
        <v>11569655</v>
      </c>
      <c r="B145">
        <f t="shared" si="4"/>
        <v>106.94</v>
      </c>
      <c r="C145" t="s">
        <v>147</v>
      </c>
      <c r="D145">
        <v>250</v>
      </c>
      <c r="E145" t="s">
        <v>108</v>
      </c>
    </row>
    <row r="146" spans="1:5" x14ac:dyDescent="0.25">
      <c r="A146">
        <v>11588293</v>
      </c>
      <c r="B146">
        <f>(77.67+29.27)*2+10</f>
        <v>223.88</v>
      </c>
      <c r="C146" t="s">
        <v>147</v>
      </c>
      <c r="D146">
        <v>1400</v>
      </c>
      <c r="E146" t="s">
        <v>108</v>
      </c>
    </row>
    <row r="147" spans="1:5" x14ac:dyDescent="0.25">
      <c r="A147">
        <v>11588325</v>
      </c>
      <c r="B147">
        <f t="shared" si="4"/>
        <v>106.94</v>
      </c>
      <c r="C147" t="s">
        <v>147</v>
      </c>
      <c r="D147">
        <v>500</v>
      </c>
      <c r="E147" t="s">
        <v>108</v>
      </c>
    </row>
    <row r="148" spans="1:5" x14ac:dyDescent="0.25">
      <c r="A148">
        <v>11588709</v>
      </c>
      <c r="B148">
        <f>77.67+57.41</f>
        <v>135.07999999999998</v>
      </c>
      <c r="C148" t="s">
        <v>285</v>
      </c>
      <c r="E148" t="s">
        <v>108</v>
      </c>
    </row>
    <row r="149" spans="1:5" x14ac:dyDescent="0.25">
      <c r="A149">
        <v>11588714</v>
      </c>
      <c r="B149">
        <f>(77.67+57.41)*2+10</f>
        <v>280.15999999999997</v>
      </c>
      <c r="C149" t="s">
        <v>154</v>
      </c>
      <c r="D149">
        <v>1400</v>
      </c>
      <c r="E149" t="s">
        <v>148</v>
      </c>
    </row>
    <row r="150" spans="1:5" x14ac:dyDescent="0.25">
      <c r="A150">
        <v>11601733</v>
      </c>
      <c r="B150">
        <f>77.67+57.41</f>
        <v>135.07999999999998</v>
      </c>
      <c r="C150" t="s">
        <v>285</v>
      </c>
      <c r="E150" t="s">
        <v>108</v>
      </c>
    </row>
    <row r="151" spans="1:5" x14ac:dyDescent="0.25">
      <c r="A151">
        <v>11601873</v>
      </c>
      <c r="B151">
        <f>77.67+29.27</f>
        <v>106.94</v>
      </c>
      <c r="C151" t="s">
        <v>147</v>
      </c>
      <c r="D151">
        <v>550</v>
      </c>
      <c r="E151" t="s">
        <v>148</v>
      </c>
    </row>
    <row r="152" spans="1:5" x14ac:dyDescent="0.25">
      <c r="A152">
        <v>11602023</v>
      </c>
      <c r="B152">
        <f>77.67+57.41</f>
        <v>135.07999999999998</v>
      </c>
      <c r="C152" t="s">
        <v>285</v>
      </c>
      <c r="E152" t="s">
        <v>148</v>
      </c>
    </row>
    <row r="153" spans="1:5" x14ac:dyDescent="0.25">
      <c r="A153">
        <v>11602031</v>
      </c>
      <c r="B153">
        <f>77.67+57.41</f>
        <v>135.07999999999998</v>
      </c>
      <c r="C153" t="s">
        <v>285</v>
      </c>
      <c r="D153">
        <v>145</v>
      </c>
      <c r="E153" t="s">
        <v>148</v>
      </c>
    </row>
    <row r="154" spans="1:5" x14ac:dyDescent="0.25">
      <c r="A154">
        <v>11602292</v>
      </c>
      <c r="B154">
        <f>77.67+57.41</f>
        <v>135.07999999999998</v>
      </c>
      <c r="C154" t="s">
        <v>285</v>
      </c>
      <c r="D154">
        <v>1000</v>
      </c>
      <c r="E154" t="s">
        <v>148</v>
      </c>
    </row>
    <row r="155" spans="1:5" x14ac:dyDescent="0.25">
      <c r="A155">
        <v>11602326</v>
      </c>
      <c r="B155">
        <f>77.67+29.27</f>
        <v>106.94</v>
      </c>
      <c r="C155" t="s">
        <v>147</v>
      </c>
      <c r="D155">
        <v>120</v>
      </c>
      <c r="E155" t="s">
        <v>148</v>
      </c>
    </row>
    <row r="156" spans="1:5" x14ac:dyDescent="0.25">
      <c r="A156">
        <v>11602659</v>
      </c>
      <c r="B156">
        <f>77.67+57.41</f>
        <v>135.07999999999998</v>
      </c>
      <c r="C156" t="s">
        <v>285</v>
      </c>
      <c r="D156">
        <v>550</v>
      </c>
      <c r="E156" t="s">
        <v>108</v>
      </c>
    </row>
    <row r="157" spans="1:5" x14ac:dyDescent="0.25">
      <c r="A157">
        <v>11602718</v>
      </c>
      <c r="B157">
        <f>77.67+57.41</f>
        <v>135.07999999999998</v>
      </c>
      <c r="C157" t="s">
        <v>285</v>
      </c>
      <c r="D157">
        <v>8000</v>
      </c>
      <c r="E157" t="s">
        <v>148</v>
      </c>
    </row>
    <row r="158" spans="1:5" x14ac:dyDescent="0.25">
      <c r="A158">
        <v>11602888</v>
      </c>
      <c r="B158">
        <f t="shared" ref="B158:B163" si="5">77.67+29.27</f>
        <v>106.94</v>
      </c>
      <c r="C158" t="s">
        <v>335</v>
      </c>
      <c r="D158">
        <v>425</v>
      </c>
      <c r="E158" t="s">
        <v>108</v>
      </c>
    </row>
    <row r="159" spans="1:5" x14ac:dyDescent="0.25">
      <c r="A159">
        <v>11602904</v>
      </c>
      <c r="B159">
        <f t="shared" si="5"/>
        <v>106.94</v>
      </c>
      <c r="C159" t="s">
        <v>319</v>
      </c>
      <c r="D159">
        <v>1200</v>
      </c>
      <c r="E159" t="s">
        <v>84</v>
      </c>
    </row>
    <row r="160" spans="1:5" x14ac:dyDescent="0.25">
      <c r="A160">
        <v>11603225</v>
      </c>
      <c r="B160">
        <f t="shared" si="5"/>
        <v>106.94</v>
      </c>
      <c r="C160" t="s">
        <v>569</v>
      </c>
      <c r="D160">
        <v>2000</v>
      </c>
      <c r="E160" t="s">
        <v>84</v>
      </c>
    </row>
    <row r="161" spans="1:11" x14ac:dyDescent="0.25">
      <c r="A161">
        <v>11603389</v>
      </c>
      <c r="B161">
        <f t="shared" si="5"/>
        <v>106.94</v>
      </c>
      <c r="C161" t="s">
        <v>147</v>
      </c>
      <c r="D161">
        <v>700</v>
      </c>
      <c r="E161" t="s">
        <v>108</v>
      </c>
    </row>
    <row r="162" spans="1:11" x14ac:dyDescent="0.25">
      <c r="A162" t="s">
        <v>798</v>
      </c>
      <c r="B162">
        <f t="shared" si="5"/>
        <v>106.94</v>
      </c>
      <c r="C162" t="s">
        <v>147</v>
      </c>
      <c r="D162">
        <v>700</v>
      </c>
      <c r="E162" t="s">
        <v>108</v>
      </c>
    </row>
    <row r="163" spans="1:11" x14ac:dyDescent="0.25">
      <c r="A163">
        <v>11603904</v>
      </c>
      <c r="B163">
        <f t="shared" si="5"/>
        <v>106.94</v>
      </c>
      <c r="C163" t="s">
        <v>319</v>
      </c>
      <c r="D163">
        <v>600</v>
      </c>
      <c r="E163" t="s">
        <v>84</v>
      </c>
    </row>
    <row r="164" spans="1:11" x14ac:dyDescent="0.25">
      <c r="A164">
        <v>11603941</v>
      </c>
      <c r="B164">
        <v>29.27</v>
      </c>
      <c r="C164" t="s">
        <v>681</v>
      </c>
      <c r="D164">
        <v>440</v>
      </c>
      <c r="E164" t="s">
        <v>84</v>
      </c>
    </row>
    <row r="165" spans="1:11" x14ac:dyDescent="0.25">
      <c r="A165" s="6">
        <v>11604439</v>
      </c>
      <c r="B165">
        <f>77.67+29.27</f>
        <v>106.94</v>
      </c>
      <c r="C165" t="s">
        <v>569</v>
      </c>
      <c r="D165">
        <v>700</v>
      </c>
      <c r="E165" t="s">
        <v>108</v>
      </c>
    </row>
    <row r="166" spans="1:11" x14ac:dyDescent="0.25">
      <c r="A166">
        <v>11609279</v>
      </c>
      <c r="B166">
        <f>77.67+29.27</f>
        <v>106.94</v>
      </c>
      <c r="C166" t="s">
        <v>569</v>
      </c>
      <c r="D166">
        <v>4000</v>
      </c>
      <c r="E166" t="s">
        <v>84</v>
      </c>
    </row>
    <row r="167" spans="1:11" x14ac:dyDescent="0.25">
      <c r="A167">
        <v>11609280</v>
      </c>
      <c r="B167">
        <f>77.67+29.27</f>
        <v>106.94</v>
      </c>
      <c r="C167" t="s">
        <v>569</v>
      </c>
      <c r="D167">
        <v>2000</v>
      </c>
      <c r="E167" t="s">
        <v>108</v>
      </c>
    </row>
    <row r="168" spans="1:11" x14ac:dyDescent="0.25">
      <c r="A168">
        <v>11609411</v>
      </c>
      <c r="B168">
        <f>77.67+29.27</f>
        <v>106.94</v>
      </c>
      <c r="C168" t="s">
        <v>119</v>
      </c>
      <c r="D168">
        <v>3000</v>
      </c>
      <c r="E168" t="s">
        <v>108</v>
      </c>
    </row>
    <row r="169" spans="1:11" x14ac:dyDescent="0.25">
      <c r="A169">
        <v>11609486</v>
      </c>
      <c r="B169">
        <f>77.67+57.41</f>
        <v>135.07999999999998</v>
      </c>
      <c r="C169" t="s">
        <v>285</v>
      </c>
      <c r="E169" t="s">
        <v>148</v>
      </c>
    </row>
    <row r="170" spans="1:11" x14ac:dyDescent="0.25">
      <c r="A170">
        <v>11609618</v>
      </c>
      <c r="B170">
        <f t="shared" ref="B170:B176" si="6">77.67+29.27</f>
        <v>106.94</v>
      </c>
      <c r="C170" t="s">
        <v>569</v>
      </c>
      <c r="D170">
        <v>800</v>
      </c>
      <c r="E170" t="s">
        <v>108</v>
      </c>
    </row>
    <row r="171" spans="1:11" x14ac:dyDescent="0.25">
      <c r="A171">
        <v>11609746</v>
      </c>
      <c r="B171">
        <f t="shared" si="6"/>
        <v>106.94</v>
      </c>
      <c r="C171" t="s">
        <v>147</v>
      </c>
      <c r="D171">
        <v>2200</v>
      </c>
      <c r="E171" t="s">
        <v>108</v>
      </c>
      <c r="K171">
        <f>77.67+46.15</f>
        <v>123.82</v>
      </c>
    </row>
    <row r="172" spans="1:11" x14ac:dyDescent="0.25">
      <c r="A172" t="s">
        <v>841</v>
      </c>
      <c r="B172">
        <v>106.94</v>
      </c>
      <c r="C172" t="s">
        <v>147</v>
      </c>
      <c r="D172">
        <v>2200</v>
      </c>
      <c r="E172" t="s">
        <v>108</v>
      </c>
    </row>
    <row r="173" spans="1:11" x14ac:dyDescent="0.25">
      <c r="A173">
        <v>11609789</v>
      </c>
      <c r="B173">
        <f t="shared" si="6"/>
        <v>106.94</v>
      </c>
      <c r="C173" t="s">
        <v>120</v>
      </c>
      <c r="D173">
        <v>3600</v>
      </c>
      <c r="E173" t="s">
        <v>108</v>
      </c>
      <c r="K173">
        <v>10.61</v>
      </c>
    </row>
    <row r="174" spans="1:11" x14ac:dyDescent="0.25">
      <c r="A174">
        <v>11609826</v>
      </c>
      <c r="B174">
        <f t="shared" si="6"/>
        <v>106.94</v>
      </c>
      <c r="C174" t="s">
        <v>569</v>
      </c>
      <c r="D174">
        <v>175</v>
      </c>
      <c r="E174" t="s">
        <v>108</v>
      </c>
      <c r="K174">
        <f>K171+K173</f>
        <v>134.43</v>
      </c>
    </row>
    <row r="175" spans="1:11" x14ac:dyDescent="0.25">
      <c r="A175">
        <v>11610091</v>
      </c>
      <c r="B175">
        <f t="shared" si="6"/>
        <v>106.94</v>
      </c>
      <c r="C175" t="s">
        <v>121</v>
      </c>
      <c r="D175">
        <v>2500</v>
      </c>
      <c r="E175" t="s">
        <v>108</v>
      </c>
      <c r="K175">
        <f>K174*2</f>
        <v>268.86</v>
      </c>
    </row>
    <row r="176" spans="1:11" x14ac:dyDescent="0.25">
      <c r="A176" t="s">
        <v>829</v>
      </c>
      <c r="B176">
        <f t="shared" si="6"/>
        <v>106.94</v>
      </c>
      <c r="D176">
        <v>2500</v>
      </c>
      <c r="E176" t="s">
        <v>84</v>
      </c>
    </row>
    <row r="177" spans="1:11" x14ac:dyDescent="0.25">
      <c r="A177" t="s">
        <v>814</v>
      </c>
      <c r="B177">
        <v>106.94</v>
      </c>
      <c r="D177">
        <v>2500</v>
      </c>
      <c r="E177" t="s">
        <v>84</v>
      </c>
    </row>
    <row r="178" spans="1:11" x14ac:dyDescent="0.25">
      <c r="A178">
        <v>11610122</v>
      </c>
      <c r="B178">
        <f>77.67+57.41</f>
        <v>135.07999999999998</v>
      </c>
      <c r="C178" t="s">
        <v>285</v>
      </c>
      <c r="E178" t="s">
        <v>108</v>
      </c>
    </row>
    <row r="179" spans="1:11" x14ac:dyDescent="0.25">
      <c r="A179">
        <v>11610126</v>
      </c>
      <c r="B179">
        <f>77.67+29.27</f>
        <v>106.94</v>
      </c>
      <c r="C179" t="s">
        <v>569</v>
      </c>
      <c r="D179">
        <v>1200</v>
      </c>
      <c r="E179" t="s">
        <v>108</v>
      </c>
    </row>
    <row r="180" spans="1:11" x14ac:dyDescent="0.25">
      <c r="A180">
        <v>11610128</v>
      </c>
      <c r="B180">
        <f>77.67+57.41</f>
        <v>135.07999999999998</v>
      </c>
      <c r="C180" t="s">
        <v>285</v>
      </c>
      <c r="D180">
        <v>1125</v>
      </c>
      <c r="E180" t="s">
        <v>148</v>
      </c>
    </row>
    <row r="181" spans="1:11" x14ac:dyDescent="0.25">
      <c r="A181">
        <v>11610376</v>
      </c>
      <c r="B181">
        <f>77.67+29.27</f>
        <v>106.94</v>
      </c>
      <c r="C181" t="s">
        <v>569</v>
      </c>
      <c r="D181">
        <v>900</v>
      </c>
      <c r="E181" t="s">
        <v>108</v>
      </c>
    </row>
    <row r="182" spans="1:11" x14ac:dyDescent="0.25">
      <c r="A182">
        <v>11610535</v>
      </c>
      <c r="B182">
        <f>77.67+29.27</f>
        <v>106.94</v>
      </c>
      <c r="C182" t="s">
        <v>569</v>
      </c>
      <c r="D182">
        <v>800</v>
      </c>
      <c r="E182" t="s">
        <v>108</v>
      </c>
    </row>
    <row r="183" spans="1:11" x14ac:dyDescent="0.25">
      <c r="A183">
        <v>11611121</v>
      </c>
      <c r="B183">
        <f>77.67+57.41</f>
        <v>135.07999999999998</v>
      </c>
      <c r="C183" t="s">
        <v>285</v>
      </c>
      <c r="D183">
        <v>1300</v>
      </c>
      <c r="E183" t="s">
        <v>148</v>
      </c>
      <c r="K183">
        <f>(77.67+46.15)*2</f>
        <v>247.64</v>
      </c>
    </row>
    <row r="184" spans="1:11" x14ac:dyDescent="0.25">
      <c r="A184">
        <v>11611122</v>
      </c>
      <c r="B184">
        <f>77.67+57.41</f>
        <v>135.07999999999998</v>
      </c>
      <c r="C184" t="s">
        <v>285</v>
      </c>
      <c r="D184">
        <v>2500</v>
      </c>
      <c r="E184" t="s">
        <v>148</v>
      </c>
    </row>
    <row r="185" spans="1:11" x14ac:dyDescent="0.25">
      <c r="A185">
        <v>11611431</v>
      </c>
      <c r="B185">
        <f>77.67+29.27</f>
        <v>106.94</v>
      </c>
      <c r="C185" t="s">
        <v>569</v>
      </c>
      <c r="D185">
        <v>475</v>
      </c>
      <c r="E185" t="s">
        <v>108</v>
      </c>
    </row>
    <row r="186" spans="1:11" x14ac:dyDescent="0.25">
      <c r="A186">
        <v>11611548</v>
      </c>
      <c r="B186">
        <f>(77.67+57.41)*2+10</f>
        <v>280.15999999999997</v>
      </c>
      <c r="C186" t="s">
        <v>285</v>
      </c>
      <c r="D186">
        <v>100</v>
      </c>
      <c r="E186" t="s">
        <v>108</v>
      </c>
    </row>
    <row r="187" spans="1:11" x14ac:dyDescent="0.25">
      <c r="A187">
        <v>11611653</v>
      </c>
      <c r="B187">
        <f>77.67+29.27</f>
        <v>106.94</v>
      </c>
      <c r="C187" t="s">
        <v>569</v>
      </c>
      <c r="D187">
        <v>800</v>
      </c>
      <c r="E187" t="s">
        <v>108</v>
      </c>
    </row>
    <row r="188" spans="1:11" x14ac:dyDescent="0.25">
      <c r="A188">
        <v>11611883</v>
      </c>
      <c r="B188">
        <f>77.67+57.41</f>
        <v>135.07999999999998</v>
      </c>
      <c r="C188" t="s">
        <v>122</v>
      </c>
      <c r="D188">
        <v>5500</v>
      </c>
      <c r="E188" t="s">
        <v>108</v>
      </c>
    </row>
    <row r="189" spans="1:11" x14ac:dyDescent="0.25">
      <c r="A189">
        <v>11611887</v>
      </c>
      <c r="B189">
        <f>77.67+57.41</f>
        <v>135.07999999999998</v>
      </c>
      <c r="C189" t="s">
        <v>285</v>
      </c>
      <c r="E189" t="s">
        <v>108</v>
      </c>
    </row>
    <row r="190" spans="1:11" x14ac:dyDescent="0.25">
      <c r="A190">
        <v>11611960</v>
      </c>
      <c r="B190">
        <f>77.67+57.41</f>
        <v>135.07999999999998</v>
      </c>
      <c r="C190" t="s">
        <v>285</v>
      </c>
      <c r="D190">
        <v>8000</v>
      </c>
      <c r="E190" t="s">
        <v>108</v>
      </c>
    </row>
    <row r="191" spans="1:11" x14ac:dyDescent="0.25">
      <c r="A191">
        <v>11611990</v>
      </c>
      <c r="B191">
        <f>77.67+29.27</f>
        <v>106.94</v>
      </c>
      <c r="C191" t="s">
        <v>147</v>
      </c>
      <c r="D191">
        <v>800</v>
      </c>
      <c r="E191" t="s">
        <v>148</v>
      </c>
    </row>
    <row r="192" spans="1:11" x14ac:dyDescent="0.25">
      <c r="A192">
        <v>11612025</v>
      </c>
      <c r="B192">
        <f>77.67+29.27</f>
        <v>106.94</v>
      </c>
      <c r="C192" t="s">
        <v>569</v>
      </c>
      <c r="D192">
        <v>2500</v>
      </c>
      <c r="E192" t="s">
        <v>84</v>
      </c>
    </row>
    <row r="193" spans="1:5" x14ac:dyDescent="0.25">
      <c r="A193">
        <v>11612078</v>
      </c>
      <c r="B193">
        <f>(77.67+46.15)*2</f>
        <v>247.64</v>
      </c>
      <c r="C193" t="s">
        <v>123</v>
      </c>
      <c r="D193">
        <v>1850</v>
      </c>
      <c r="E193" t="s">
        <v>108</v>
      </c>
    </row>
    <row r="194" spans="1:5" x14ac:dyDescent="0.25">
      <c r="A194" t="s">
        <v>805</v>
      </c>
      <c r="B194">
        <v>77.67</v>
      </c>
      <c r="C194" t="s">
        <v>858</v>
      </c>
      <c r="E194" t="s">
        <v>108</v>
      </c>
    </row>
    <row r="195" spans="1:5" x14ac:dyDescent="0.25">
      <c r="A195">
        <v>11612234</v>
      </c>
      <c r="B195">
        <f t="shared" ref="B195:B206" si="7">77.67+29.27</f>
        <v>106.94</v>
      </c>
      <c r="C195" t="s">
        <v>155</v>
      </c>
      <c r="D195">
        <v>1100</v>
      </c>
      <c r="E195" t="s">
        <v>148</v>
      </c>
    </row>
    <row r="196" spans="1:5" x14ac:dyDescent="0.25">
      <c r="A196">
        <v>11612261</v>
      </c>
      <c r="B196">
        <f t="shared" si="7"/>
        <v>106.94</v>
      </c>
      <c r="C196" t="s">
        <v>147</v>
      </c>
      <c r="D196">
        <v>300</v>
      </c>
      <c r="E196" t="s">
        <v>148</v>
      </c>
    </row>
    <row r="197" spans="1:5" x14ac:dyDescent="0.25">
      <c r="A197">
        <v>11739913</v>
      </c>
      <c r="B197">
        <f t="shared" si="7"/>
        <v>106.94</v>
      </c>
      <c r="C197" t="s">
        <v>569</v>
      </c>
      <c r="D197">
        <v>1200</v>
      </c>
      <c r="E197" t="s">
        <v>84</v>
      </c>
    </row>
    <row r="198" spans="1:5" x14ac:dyDescent="0.25">
      <c r="A198">
        <v>11800396</v>
      </c>
      <c r="B198">
        <f t="shared" si="7"/>
        <v>106.94</v>
      </c>
      <c r="C198" t="s">
        <v>147</v>
      </c>
      <c r="D198">
        <v>1000</v>
      </c>
      <c r="E198" t="s">
        <v>334</v>
      </c>
    </row>
    <row r="199" spans="1:5" x14ac:dyDescent="0.25">
      <c r="A199">
        <v>15017238</v>
      </c>
      <c r="B199">
        <f t="shared" si="7"/>
        <v>106.94</v>
      </c>
      <c r="C199" t="s">
        <v>147</v>
      </c>
      <c r="D199">
        <v>400</v>
      </c>
      <c r="E199" t="s">
        <v>148</v>
      </c>
    </row>
    <row r="200" spans="1:5" x14ac:dyDescent="0.25">
      <c r="A200">
        <v>15046285</v>
      </c>
      <c r="B200">
        <f t="shared" si="7"/>
        <v>106.94</v>
      </c>
      <c r="C200" t="s">
        <v>569</v>
      </c>
      <c r="D200">
        <v>250</v>
      </c>
      <c r="E200" t="s">
        <v>84</v>
      </c>
    </row>
    <row r="201" spans="1:5" x14ac:dyDescent="0.25">
      <c r="A201">
        <v>15047163</v>
      </c>
      <c r="B201">
        <f t="shared" si="7"/>
        <v>106.94</v>
      </c>
      <c r="C201" t="s">
        <v>569</v>
      </c>
      <c r="D201">
        <v>2000</v>
      </c>
      <c r="E201" t="s">
        <v>108</v>
      </c>
    </row>
    <row r="202" spans="1:5" x14ac:dyDescent="0.25">
      <c r="A202" t="s">
        <v>837</v>
      </c>
      <c r="B202">
        <v>106.94</v>
      </c>
      <c r="C202" t="s">
        <v>569</v>
      </c>
      <c r="D202">
        <v>2000</v>
      </c>
      <c r="E202" t="s">
        <v>108</v>
      </c>
    </row>
    <row r="203" spans="1:5" x14ac:dyDescent="0.25">
      <c r="A203">
        <v>15685170</v>
      </c>
      <c r="B203">
        <f t="shared" si="7"/>
        <v>106.94</v>
      </c>
      <c r="C203" t="s">
        <v>147</v>
      </c>
      <c r="D203">
        <v>2700</v>
      </c>
      <c r="E203" t="s">
        <v>148</v>
      </c>
    </row>
    <row r="204" spans="1:5" x14ac:dyDescent="0.25">
      <c r="A204">
        <v>22764042</v>
      </c>
      <c r="B204">
        <f t="shared" si="7"/>
        <v>106.94</v>
      </c>
      <c r="C204" t="s">
        <v>286</v>
      </c>
      <c r="D204">
        <v>250</v>
      </c>
      <c r="E204" t="s">
        <v>148</v>
      </c>
    </row>
    <row r="205" spans="1:5" x14ac:dyDescent="0.25">
      <c r="A205">
        <v>22766442</v>
      </c>
      <c r="B205">
        <f t="shared" si="7"/>
        <v>106.94</v>
      </c>
      <c r="C205" t="s">
        <v>147</v>
      </c>
      <c r="D205">
        <v>250</v>
      </c>
      <c r="E205" t="s">
        <v>108</v>
      </c>
    </row>
    <row r="206" spans="1:5" x14ac:dyDescent="0.25">
      <c r="A206">
        <v>22800396</v>
      </c>
      <c r="B206">
        <f t="shared" si="7"/>
        <v>106.94</v>
      </c>
      <c r="C206" t="s">
        <v>569</v>
      </c>
      <c r="D206">
        <v>1300</v>
      </c>
      <c r="E206" t="s">
        <v>108</v>
      </c>
    </row>
    <row r="207" spans="1:5" x14ac:dyDescent="0.25">
      <c r="A207">
        <v>40037574</v>
      </c>
      <c r="B207">
        <f>77.67+46.15</f>
        <v>123.82</v>
      </c>
      <c r="C207" t="s">
        <v>287</v>
      </c>
      <c r="D207">
        <v>150</v>
      </c>
      <c r="E207" t="s">
        <v>108</v>
      </c>
    </row>
    <row r="208" spans="1:5" x14ac:dyDescent="0.25">
      <c r="A208">
        <v>40050697</v>
      </c>
      <c r="B208">
        <f t="shared" ref="B208:B226" si="8">77.67+29.27</f>
        <v>106.94</v>
      </c>
      <c r="C208" t="s">
        <v>147</v>
      </c>
      <c r="D208">
        <v>160</v>
      </c>
      <c r="E208" t="s">
        <v>148</v>
      </c>
    </row>
    <row r="209" spans="1:5" x14ac:dyDescent="0.25">
      <c r="A209">
        <v>40073474</v>
      </c>
      <c r="B209">
        <f t="shared" si="8"/>
        <v>106.94</v>
      </c>
      <c r="C209" t="s">
        <v>147</v>
      </c>
      <c r="D209">
        <v>150</v>
      </c>
      <c r="E209" t="s">
        <v>108</v>
      </c>
    </row>
    <row r="210" spans="1:5" x14ac:dyDescent="0.25">
      <c r="A210">
        <v>40109770</v>
      </c>
      <c r="B210">
        <f t="shared" si="8"/>
        <v>106.94</v>
      </c>
      <c r="C210" t="s">
        <v>147</v>
      </c>
      <c r="D210">
        <v>250</v>
      </c>
      <c r="E210" t="s">
        <v>108</v>
      </c>
    </row>
    <row r="211" spans="1:5" x14ac:dyDescent="0.25">
      <c r="A211">
        <v>40110160</v>
      </c>
      <c r="B211">
        <f t="shared" si="8"/>
        <v>106.94</v>
      </c>
      <c r="C211" t="s">
        <v>147</v>
      </c>
      <c r="D211">
        <v>200</v>
      </c>
      <c r="E211" t="s">
        <v>148</v>
      </c>
    </row>
    <row r="212" spans="1:5" x14ac:dyDescent="0.25">
      <c r="A212">
        <v>40161567</v>
      </c>
      <c r="B212">
        <f t="shared" si="8"/>
        <v>106.94</v>
      </c>
      <c r="C212" t="s">
        <v>147</v>
      </c>
      <c r="D212">
        <v>175</v>
      </c>
      <c r="E212" t="s">
        <v>148</v>
      </c>
    </row>
    <row r="213" spans="1:5" x14ac:dyDescent="0.25">
      <c r="A213">
        <v>40173371</v>
      </c>
      <c r="B213">
        <f t="shared" si="8"/>
        <v>106.94</v>
      </c>
      <c r="C213" t="s">
        <v>147</v>
      </c>
      <c r="D213">
        <v>1750</v>
      </c>
      <c r="E213" t="s">
        <v>148</v>
      </c>
    </row>
    <row r="214" spans="1:5" x14ac:dyDescent="0.25">
      <c r="A214">
        <v>40179994</v>
      </c>
      <c r="B214">
        <f t="shared" si="8"/>
        <v>106.94</v>
      </c>
      <c r="C214" t="s">
        <v>569</v>
      </c>
      <c r="D214">
        <v>170</v>
      </c>
      <c r="E214" t="s">
        <v>84</v>
      </c>
    </row>
    <row r="215" spans="1:5" x14ac:dyDescent="0.25">
      <c r="A215">
        <v>40179995</v>
      </c>
      <c r="B215">
        <f t="shared" si="8"/>
        <v>106.94</v>
      </c>
      <c r="C215" t="s">
        <v>319</v>
      </c>
      <c r="D215">
        <v>270</v>
      </c>
      <c r="E215" t="s">
        <v>84</v>
      </c>
    </row>
    <row r="216" spans="1:5" x14ac:dyDescent="0.25">
      <c r="A216">
        <v>40204491</v>
      </c>
      <c r="B216">
        <f t="shared" si="8"/>
        <v>106.94</v>
      </c>
      <c r="C216" t="s">
        <v>569</v>
      </c>
      <c r="D216">
        <v>700</v>
      </c>
      <c r="E216" t="s">
        <v>84</v>
      </c>
    </row>
    <row r="217" spans="1:5" x14ac:dyDescent="0.25">
      <c r="A217" s="6">
        <v>40204491</v>
      </c>
      <c r="B217">
        <f t="shared" si="8"/>
        <v>106.94</v>
      </c>
      <c r="C217" t="s">
        <v>569</v>
      </c>
      <c r="D217">
        <v>625</v>
      </c>
      <c r="E217" t="s">
        <v>108</v>
      </c>
    </row>
    <row r="218" spans="1:5" x14ac:dyDescent="0.25">
      <c r="A218">
        <v>40239029</v>
      </c>
      <c r="B218">
        <f t="shared" si="8"/>
        <v>106.94</v>
      </c>
      <c r="C218" t="s">
        <v>569</v>
      </c>
      <c r="D218">
        <v>1200</v>
      </c>
      <c r="E218" t="s">
        <v>84</v>
      </c>
    </row>
    <row r="219" spans="1:5" x14ac:dyDescent="0.25">
      <c r="A219">
        <v>52056965</v>
      </c>
      <c r="B219">
        <f t="shared" si="8"/>
        <v>106.94</v>
      </c>
      <c r="C219" t="s">
        <v>147</v>
      </c>
      <c r="E219" t="s">
        <v>148</v>
      </c>
    </row>
    <row r="220" spans="1:5" x14ac:dyDescent="0.25">
      <c r="A220">
        <v>54043001</v>
      </c>
      <c r="B220">
        <f t="shared" si="8"/>
        <v>106.94</v>
      </c>
      <c r="C220" t="s">
        <v>569</v>
      </c>
      <c r="D220">
        <v>425</v>
      </c>
      <c r="E220" t="s">
        <v>84</v>
      </c>
    </row>
    <row r="221" spans="1:5" x14ac:dyDescent="0.25">
      <c r="A221" s="6">
        <v>54049001</v>
      </c>
      <c r="B221">
        <f t="shared" si="8"/>
        <v>106.94</v>
      </c>
      <c r="C221" t="s">
        <v>569</v>
      </c>
      <c r="D221">
        <v>425</v>
      </c>
      <c r="E221" t="s">
        <v>108</v>
      </c>
    </row>
    <row r="222" spans="1:5" x14ac:dyDescent="0.25">
      <c r="A222">
        <v>71511293</v>
      </c>
      <c r="B222">
        <f t="shared" si="8"/>
        <v>106.94</v>
      </c>
      <c r="C222" t="s">
        <v>569</v>
      </c>
      <c r="D222">
        <v>3300</v>
      </c>
      <c r="E222" t="s">
        <v>84</v>
      </c>
    </row>
    <row r="223" spans="1:5" x14ac:dyDescent="0.25">
      <c r="A223">
        <v>90280051</v>
      </c>
      <c r="B223">
        <f t="shared" si="8"/>
        <v>106.94</v>
      </c>
      <c r="C223" t="s">
        <v>569</v>
      </c>
      <c r="D223">
        <v>4000</v>
      </c>
      <c r="E223" t="s">
        <v>108</v>
      </c>
    </row>
    <row r="224" spans="1:5" x14ac:dyDescent="0.25">
      <c r="A224">
        <v>94012015</v>
      </c>
      <c r="B224">
        <f t="shared" si="8"/>
        <v>106.94</v>
      </c>
      <c r="C224" t="s">
        <v>147</v>
      </c>
      <c r="D224">
        <v>100</v>
      </c>
      <c r="E224" t="s">
        <v>84</v>
      </c>
    </row>
    <row r="225" spans="1:5" x14ac:dyDescent="0.25">
      <c r="A225">
        <v>94012038</v>
      </c>
      <c r="B225">
        <f t="shared" si="8"/>
        <v>106.94</v>
      </c>
      <c r="C225" t="s">
        <v>147</v>
      </c>
      <c r="D225">
        <v>4500</v>
      </c>
      <c r="E225" t="s">
        <v>84</v>
      </c>
    </row>
    <row r="226" spans="1:5" x14ac:dyDescent="0.25">
      <c r="A226">
        <v>94012039</v>
      </c>
      <c r="B226">
        <f t="shared" si="8"/>
        <v>106.94</v>
      </c>
      <c r="C226" t="s">
        <v>569</v>
      </c>
      <c r="D226">
        <v>2500</v>
      </c>
      <c r="E226" t="s">
        <v>108</v>
      </c>
    </row>
    <row r="227" spans="1:5" x14ac:dyDescent="0.25">
      <c r="A227">
        <v>94012078</v>
      </c>
      <c r="B227">
        <v>55.73</v>
      </c>
      <c r="C227" t="s">
        <v>285</v>
      </c>
      <c r="D227">
        <v>100</v>
      </c>
      <c r="E227" t="s">
        <v>108</v>
      </c>
    </row>
    <row r="228" spans="1:5" x14ac:dyDescent="0.25">
      <c r="A228" s="6">
        <v>94012150</v>
      </c>
      <c r="B228">
        <v>57.41</v>
      </c>
      <c r="C228" t="s">
        <v>677</v>
      </c>
      <c r="D228">
        <v>275</v>
      </c>
      <c r="E228" t="s">
        <v>108</v>
      </c>
    </row>
    <row r="229" spans="1:5" x14ac:dyDescent="0.25">
      <c r="A229">
        <v>94728804</v>
      </c>
      <c r="B229">
        <v>57.41</v>
      </c>
      <c r="C229" t="s">
        <v>608</v>
      </c>
      <c r="D229">
        <v>1100</v>
      </c>
      <c r="E229" t="s">
        <v>108</v>
      </c>
    </row>
    <row r="230" spans="1:5" x14ac:dyDescent="0.25">
      <c r="A230">
        <v>98055704</v>
      </c>
      <c r="B230">
        <f>77.67+29.27</f>
        <v>106.94</v>
      </c>
      <c r="C230" t="s">
        <v>147</v>
      </c>
      <c r="D230">
        <v>4000</v>
      </c>
      <c r="E230" t="s">
        <v>84</v>
      </c>
    </row>
    <row r="231" spans="1:5" x14ac:dyDescent="0.25">
      <c r="A231">
        <v>200393508</v>
      </c>
      <c r="B231">
        <f>77.67+29.27</f>
        <v>106.94</v>
      </c>
      <c r="C231" t="s">
        <v>147</v>
      </c>
      <c r="D231">
        <v>1200</v>
      </c>
      <c r="E231" t="s">
        <v>148</v>
      </c>
    </row>
    <row r="232" spans="1:5" x14ac:dyDescent="0.25">
      <c r="A232">
        <v>500009196</v>
      </c>
      <c r="B232">
        <v>29.27</v>
      </c>
      <c r="C232" t="s">
        <v>681</v>
      </c>
      <c r="D232">
        <v>1200</v>
      </c>
      <c r="E232" t="s">
        <v>108</v>
      </c>
    </row>
    <row r="233" spans="1:5" x14ac:dyDescent="0.25">
      <c r="A233">
        <v>500009297</v>
      </c>
      <c r="B233">
        <f>77.67+29.27</f>
        <v>106.94</v>
      </c>
      <c r="C233" t="s">
        <v>124</v>
      </c>
      <c r="D233">
        <v>1200</v>
      </c>
      <c r="E233" t="s">
        <v>108</v>
      </c>
    </row>
    <row r="234" spans="1:5" x14ac:dyDescent="0.25">
      <c r="A234">
        <v>742000047</v>
      </c>
      <c r="B234">
        <f>77.67+29.27</f>
        <v>106.94</v>
      </c>
      <c r="C234" t="s">
        <v>147</v>
      </c>
      <c r="D234">
        <v>700</v>
      </c>
      <c r="E234" t="s">
        <v>108</v>
      </c>
    </row>
    <row r="235" spans="1:5" x14ac:dyDescent="0.25">
      <c r="A235">
        <v>742000064</v>
      </c>
      <c r="B235">
        <f>77.67+29.27</f>
        <v>106.94</v>
      </c>
      <c r="C235" t="s">
        <v>152</v>
      </c>
      <c r="D235">
        <v>700</v>
      </c>
      <c r="E235" t="s">
        <v>148</v>
      </c>
    </row>
    <row r="236" spans="1:5" x14ac:dyDescent="0.25">
      <c r="A236">
        <v>1154546368</v>
      </c>
      <c r="B236">
        <f>77.67+29.27</f>
        <v>106.94</v>
      </c>
      <c r="C236" t="s">
        <v>147</v>
      </c>
      <c r="E236" t="s">
        <v>148</v>
      </c>
    </row>
    <row r="237" spans="1:5" x14ac:dyDescent="0.25">
      <c r="A237">
        <v>1402503001</v>
      </c>
      <c r="B237">
        <v>57.41</v>
      </c>
      <c r="C237" t="s">
        <v>591</v>
      </c>
      <c r="D237">
        <v>1500</v>
      </c>
      <c r="E237" t="s">
        <v>84</v>
      </c>
    </row>
    <row r="238" spans="1:5" x14ac:dyDescent="0.25">
      <c r="A238">
        <v>1420503001</v>
      </c>
      <c r="B238">
        <f>+(57.41*2)+10</f>
        <v>124.82</v>
      </c>
      <c r="C238" t="s">
        <v>288</v>
      </c>
      <c r="D238">
        <v>1500</v>
      </c>
      <c r="E238" t="s">
        <v>148</v>
      </c>
    </row>
    <row r="239" spans="1:5" x14ac:dyDescent="0.25">
      <c r="A239" s="6" t="s">
        <v>671</v>
      </c>
      <c r="B239">
        <f>77.67+29.27</f>
        <v>106.94</v>
      </c>
      <c r="C239" t="s">
        <v>569</v>
      </c>
      <c r="D239">
        <v>1500</v>
      </c>
      <c r="E239" t="s">
        <v>108</v>
      </c>
    </row>
    <row r="240" spans="1:5" x14ac:dyDescent="0.25">
      <c r="A240" s="6" t="s">
        <v>648</v>
      </c>
      <c r="B240">
        <f>77.67+29.27</f>
        <v>106.94</v>
      </c>
      <c r="C240" t="s">
        <v>569</v>
      </c>
      <c r="D240">
        <v>3000</v>
      </c>
      <c r="E240" t="s">
        <v>108</v>
      </c>
    </row>
    <row r="241" spans="1:5" x14ac:dyDescent="0.25">
      <c r="A241" s="6" t="s">
        <v>645</v>
      </c>
      <c r="B241">
        <f>77.67+29.27</f>
        <v>106.94</v>
      </c>
      <c r="C241" t="s">
        <v>569</v>
      </c>
      <c r="D241">
        <v>1000</v>
      </c>
      <c r="E241" t="s">
        <v>108</v>
      </c>
    </row>
    <row r="242" spans="1:5" x14ac:dyDescent="0.25">
      <c r="A242" s="6" t="s">
        <v>645</v>
      </c>
      <c r="B242">
        <f>77.67+29.27</f>
        <v>106.94</v>
      </c>
      <c r="C242" t="s">
        <v>569</v>
      </c>
      <c r="D242">
        <v>1000</v>
      </c>
      <c r="E242" t="s">
        <v>108</v>
      </c>
    </row>
    <row r="243" spans="1:5" x14ac:dyDescent="0.25">
      <c r="A243" s="6" t="s">
        <v>644</v>
      </c>
      <c r="B243">
        <f>77.67+29.27</f>
        <v>106.94</v>
      </c>
      <c r="C243" t="s">
        <v>569</v>
      </c>
      <c r="D243">
        <v>2200</v>
      </c>
      <c r="E243" t="s">
        <v>108</v>
      </c>
    </row>
    <row r="244" spans="1:5" x14ac:dyDescent="0.25">
      <c r="A244" s="6" t="s">
        <v>674</v>
      </c>
      <c r="B244">
        <f>77.67+57.41</f>
        <v>135.07999999999998</v>
      </c>
      <c r="C244" t="s">
        <v>678</v>
      </c>
      <c r="D244">
        <v>750</v>
      </c>
      <c r="E244" t="s">
        <v>108</v>
      </c>
    </row>
    <row r="245" spans="1:5" x14ac:dyDescent="0.25">
      <c r="A245" s="6" t="s">
        <v>642</v>
      </c>
      <c r="B245">
        <f>77.67+29.27</f>
        <v>106.94</v>
      </c>
      <c r="C245" t="s">
        <v>569</v>
      </c>
      <c r="D245">
        <v>2800</v>
      </c>
      <c r="E245" t="s">
        <v>108</v>
      </c>
    </row>
    <row r="246" spans="1:5" x14ac:dyDescent="0.25">
      <c r="A246" s="6" t="s">
        <v>651</v>
      </c>
      <c r="B246">
        <f>(77.67+57.41)*2+10</f>
        <v>280.15999999999997</v>
      </c>
      <c r="C246" t="s">
        <v>678</v>
      </c>
      <c r="D246">
        <v>800</v>
      </c>
      <c r="E246" t="s">
        <v>108</v>
      </c>
    </row>
    <row r="247" spans="1:5" x14ac:dyDescent="0.25">
      <c r="A247" s="6" t="s">
        <v>679</v>
      </c>
      <c r="B247">
        <f>77.67+57.41</f>
        <v>135.07999999999998</v>
      </c>
      <c r="C247" t="s">
        <v>678</v>
      </c>
      <c r="D247">
        <v>620</v>
      </c>
      <c r="E247" t="s">
        <v>108</v>
      </c>
    </row>
    <row r="248" spans="1:5" x14ac:dyDescent="0.25">
      <c r="A248" s="6" t="s">
        <v>647</v>
      </c>
      <c r="B248">
        <f>77.67+29.27</f>
        <v>106.94</v>
      </c>
      <c r="C248" t="s">
        <v>569</v>
      </c>
      <c r="D248">
        <v>750</v>
      </c>
      <c r="E248" t="s">
        <v>108</v>
      </c>
    </row>
    <row r="249" spans="1:5" x14ac:dyDescent="0.25">
      <c r="A249" s="6" t="s">
        <v>669</v>
      </c>
      <c r="B249">
        <f>77.67+29.27+120</f>
        <v>226.94</v>
      </c>
      <c r="C249" t="s">
        <v>569</v>
      </c>
      <c r="D249">
        <v>1500</v>
      </c>
      <c r="E249" t="s">
        <v>108</v>
      </c>
    </row>
    <row r="250" spans="1:5" x14ac:dyDescent="0.25">
      <c r="A250" s="6" t="s">
        <v>641</v>
      </c>
      <c r="B250">
        <f>77.67+57.41</f>
        <v>135.07999999999998</v>
      </c>
      <c r="C250" t="s">
        <v>569</v>
      </c>
      <c r="D250">
        <v>1250</v>
      </c>
      <c r="E250" t="s">
        <v>108</v>
      </c>
    </row>
    <row r="251" spans="1:5" x14ac:dyDescent="0.25">
      <c r="A251" s="6" t="s">
        <v>675</v>
      </c>
      <c r="B251">
        <f>77.67+57.41</f>
        <v>135.07999999999998</v>
      </c>
      <c r="C251" t="s">
        <v>678</v>
      </c>
      <c r="D251">
        <v>575</v>
      </c>
      <c r="E251" t="s">
        <v>108</v>
      </c>
    </row>
    <row r="252" spans="1:5" x14ac:dyDescent="0.25">
      <c r="A252" t="s">
        <v>10</v>
      </c>
      <c r="B252">
        <f>77.67+29.27</f>
        <v>106.94</v>
      </c>
      <c r="C252" t="s">
        <v>147</v>
      </c>
      <c r="D252">
        <v>2100</v>
      </c>
      <c r="E252" t="s">
        <v>148</v>
      </c>
    </row>
    <row r="253" spans="1:5" x14ac:dyDescent="0.25">
      <c r="A253" t="s">
        <v>11</v>
      </c>
      <c r="B253">
        <f>77.67+29.27</f>
        <v>106.94</v>
      </c>
      <c r="C253" t="s">
        <v>147</v>
      </c>
      <c r="E253" t="s">
        <v>148</v>
      </c>
    </row>
    <row r="254" spans="1:5" x14ac:dyDescent="0.25">
      <c r="A254" t="s">
        <v>12</v>
      </c>
      <c r="B254">
        <f>77.67+57.41</f>
        <v>135.07999999999998</v>
      </c>
      <c r="C254" t="s">
        <v>285</v>
      </c>
      <c r="D254">
        <v>170</v>
      </c>
      <c r="E254" t="s">
        <v>108</v>
      </c>
    </row>
    <row r="255" spans="1:5" x14ac:dyDescent="0.25">
      <c r="A255" t="s">
        <v>13</v>
      </c>
      <c r="B255">
        <f>77.67+29.27</f>
        <v>106.94</v>
      </c>
      <c r="C255" t="s">
        <v>147</v>
      </c>
      <c r="D255">
        <v>1900</v>
      </c>
      <c r="E255" t="s">
        <v>148</v>
      </c>
    </row>
    <row r="256" spans="1:5" x14ac:dyDescent="0.25">
      <c r="A256" t="s">
        <v>14</v>
      </c>
      <c r="B256">
        <f>77.67+57.41</f>
        <v>135.07999999999998</v>
      </c>
      <c r="C256" t="s">
        <v>285</v>
      </c>
      <c r="D256">
        <v>75</v>
      </c>
      <c r="E256" t="s">
        <v>148</v>
      </c>
    </row>
    <row r="257" spans="1:5" x14ac:dyDescent="0.25">
      <c r="A257" t="s">
        <v>15</v>
      </c>
      <c r="B257">
        <f>77.67+29.27</f>
        <v>106.94</v>
      </c>
      <c r="C257" t="s">
        <v>147</v>
      </c>
      <c r="D257">
        <v>1200</v>
      </c>
      <c r="E257" t="s">
        <v>108</v>
      </c>
    </row>
    <row r="258" spans="1:5" x14ac:dyDescent="0.25">
      <c r="A258" t="s">
        <v>16</v>
      </c>
      <c r="B258">
        <f>77.67+29.27</f>
        <v>106.94</v>
      </c>
      <c r="C258" t="s">
        <v>147</v>
      </c>
      <c r="D258">
        <v>1400</v>
      </c>
      <c r="E258" t="s">
        <v>108</v>
      </c>
    </row>
    <row r="259" spans="1:5" x14ac:dyDescent="0.25">
      <c r="A259" s="6" t="s">
        <v>713</v>
      </c>
      <c r="B259">
        <f>(217.66*3%)+217.66</f>
        <v>224.18979999999999</v>
      </c>
      <c r="C259" t="s">
        <v>569</v>
      </c>
      <c r="D259">
        <v>500</v>
      </c>
      <c r="E259" t="s">
        <v>108</v>
      </c>
    </row>
    <row r="260" spans="1:5" x14ac:dyDescent="0.25">
      <c r="A260" t="s">
        <v>577</v>
      </c>
      <c r="B260">
        <f>77.67+29.27</f>
        <v>106.94</v>
      </c>
      <c r="C260" t="s">
        <v>569</v>
      </c>
      <c r="D260">
        <v>300</v>
      </c>
      <c r="E260" t="s">
        <v>84</v>
      </c>
    </row>
    <row r="261" spans="1:5" x14ac:dyDescent="0.25">
      <c r="A261" t="s">
        <v>571</v>
      </c>
      <c r="B261">
        <f>77.67+29.27</f>
        <v>106.94</v>
      </c>
      <c r="C261" t="s">
        <v>319</v>
      </c>
      <c r="D261">
        <v>2300</v>
      </c>
      <c r="E261" t="s">
        <v>84</v>
      </c>
    </row>
    <row r="262" spans="1:5" x14ac:dyDescent="0.25">
      <c r="A262" s="6" t="s">
        <v>665</v>
      </c>
      <c r="B262">
        <f>77.67+57.41</f>
        <v>135.07999999999998</v>
      </c>
      <c r="C262" t="s">
        <v>678</v>
      </c>
      <c r="D262">
        <v>410</v>
      </c>
      <c r="E262" t="s">
        <v>108</v>
      </c>
    </row>
    <row r="263" spans="1:5" x14ac:dyDescent="0.25">
      <c r="A263" t="s">
        <v>17</v>
      </c>
      <c r="B263">
        <f>77.67+57.41</f>
        <v>135.07999999999998</v>
      </c>
      <c r="C263" t="s">
        <v>125</v>
      </c>
      <c r="D263">
        <v>100</v>
      </c>
      <c r="E263" t="s">
        <v>108</v>
      </c>
    </row>
    <row r="264" spans="1:5" x14ac:dyDescent="0.25">
      <c r="A264" t="s">
        <v>312</v>
      </c>
      <c r="B264">
        <v>106.94</v>
      </c>
      <c r="C264" t="s">
        <v>335</v>
      </c>
      <c r="D264">
        <v>750</v>
      </c>
      <c r="E264" t="s">
        <v>108</v>
      </c>
    </row>
    <row r="265" spans="1:5" x14ac:dyDescent="0.25">
      <c r="A265" t="s">
        <v>315</v>
      </c>
      <c r="B265">
        <f>77.67+29.27</f>
        <v>106.94</v>
      </c>
      <c r="C265" t="s">
        <v>316</v>
      </c>
      <c r="D265">
        <v>750</v>
      </c>
      <c r="E265" t="s">
        <v>108</v>
      </c>
    </row>
    <row r="266" spans="1:5" x14ac:dyDescent="0.25">
      <c r="A266" t="s">
        <v>18</v>
      </c>
      <c r="B266">
        <f>77.67+57.41</f>
        <v>135.07999999999998</v>
      </c>
      <c r="C266" t="s">
        <v>285</v>
      </c>
      <c r="D266">
        <v>200</v>
      </c>
      <c r="E266" t="s">
        <v>108</v>
      </c>
    </row>
    <row r="267" spans="1:5" x14ac:dyDescent="0.25">
      <c r="A267" t="s">
        <v>19</v>
      </c>
      <c r="B267">
        <f>(77.67+29.27)*2+10</f>
        <v>223.88</v>
      </c>
      <c r="C267" t="s">
        <v>147</v>
      </c>
      <c r="D267">
        <v>1300</v>
      </c>
      <c r="E267" t="s">
        <v>108</v>
      </c>
    </row>
    <row r="268" spans="1:5" x14ac:dyDescent="0.25">
      <c r="A268" t="s">
        <v>579</v>
      </c>
      <c r="B268">
        <f>77.67+29.27</f>
        <v>106.94</v>
      </c>
      <c r="C268" t="s">
        <v>569</v>
      </c>
      <c r="D268">
        <v>1950</v>
      </c>
      <c r="E268" t="s">
        <v>84</v>
      </c>
    </row>
    <row r="269" spans="1:5" x14ac:dyDescent="0.25">
      <c r="A269" t="s">
        <v>20</v>
      </c>
      <c r="B269">
        <f>77.67+29.27</f>
        <v>106.94</v>
      </c>
      <c r="C269" t="s">
        <v>147</v>
      </c>
      <c r="D269">
        <v>3500</v>
      </c>
      <c r="E269" t="s">
        <v>108</v>
      </c>
    </row>
    <row r="270" spans="1:5" x14ac:dyDescent="0.25">
      <c r="A270" t="s">
        <v>146</v>
      </c>
      <c r="B270">
        <f>77.67+29.27</f>
        <v>106.94</v>
      </c>
      <c r="C270" t="s">
        <v>136</v>
      </c>
      <c r="E270" t="s">
        <v>108</v>
      </c>
    </row>
    <row r="271" spans="1:5" x14ac:dyDescent="0.25">
      <c r="A271" s="6" t="s">
        <v>701</v>
      </c>
      <c r="B271">
        <f>77.67+57.41</f>
        <v>135.07999999999998</v>
      </c>
      <c r="C271" t="s">
        <v>569</v>
      </c>
      <c r="D271">
        <v>400</v>
      </c>
      <c r="E271" t="s">
        <v>108</v>
      </c>
    </row>
    <row r="272" spans="1:5" x14ac:dyDescent="0.25">
      <c r="A272" t="s">
        <v>21</v>
      </c>
      <c r="B272">
        <f>77.67+29.27</f>
        <v>106.94</v>
      </c>
      <c r="C272" t="s">
        <v>147</v>
      </c>
      <c r="D272">
        <v>750</v>
      </c>
      <c r="E272" t="s">
        <v>108</v>
      </c>
    </row>
    <row r="273" spans="1:5" x14ac:dyDescent="0.25">
      <c r="A273" s="6" t="s">
        <v>646</v>
      </c>
      <c r="B273">
        <f>77.67+29.27</f>
        <v>106.94</v>
      </c>
      <c r="E273" t="s">
        <v>108</v>
      </c>
    </row>
    <row r="274" spans="1:5" x14ac:dyDescent="0.25">
      <c r="A274" t="s">
        <v>22</v>
      </c>
      <c r="B274">
        <f>77.67+29.27</f>
        <v>106.94</v>
      </c>
      <c r="C274" t="s">
        <v>126</v>
      </c>
      <c r="D274">
        <v>1050</v>
      </c>
      <c r="E274" t="s">
        <v>108</v>
      </c>
    </row>
    <row r="275" spans="1:5" x14ac:dyDescent="0.25">
      <c r="A275" s="6" t="s">
        <v>658</v>
      </c>
      <c r="B275">
        <f>77.67+29.27</f>
        <v>106.94</v>
      </c>
      <c r="C275" t="s">
        <v>569</v>
      </c>
      <c r="D275">
        <v>2050</v>
      </c>
      <c r="E275" t="s">
        <v>108</v>
      </c>
    </row>
    <row r="276" spans="1:5" x14ac:dyDescent="0.25">
      <c r="A276" s="6" t="s">
        <v>650</v>
      </c>
      <c r="B276">
        <f>77.67+57.41</f>
        <v>135.07999999999998</v>
      </c>
      <c r="C276" t="s">
        <v>678</v>
      </c>
      <c r="D276">
        <v>380</v>
      </c>
      <c r="E276" t="s">
        <v>108</v>
      </c>
    </row>
    <row r="277" spans="1:5" x14ac:dyDescent="0.25">
      <c r="A277" s="6" t="s">
        <v>673</v>
      </c>
      <c r="B277">
        <f>77.67+29.27</f>
        <v>106.94</v>
      </c>
      <c r="C277" t="s">
        <v>569</v>
      </c>
      <c r="D277">
        <v>440</v>
      </c>
      <c r="E277" t="s">
        <v>108</v>
      </c>
    </row>
    <row r="278" spans="1:5" x14ac:dyDescent="0.25">
      <c r="A278" s="6" t="s">
        <v>704</v>
      </c>
      <c r="B278">
        <f>77.67+29.27</f>
        <v>106.94</v>
      </c>
      <c r="C278" t="s">
        <v>569</v>
      </c>
      <c r="D278">
        <v>150</v>
      </c>
      <c r="E278" t="s">
        <v>108</v>
      </c>
    </row>
    <row r="279" spans="1:5" x14ac:dyDescent="0.25">
      <c r="A279" s="6" t="s">
        <v>649</v>
      </c>
      <c r="B279">
        <f>77.67+57.41</f>
        <v>135.07999999999998</v>
      </c>
      <c r="C279" t="s">
        <v>727</v>
      </c>
      <c r="D279">
        <v>1250</v>
      </c>
      <c r="E279" t="s">
        <v>108</v>
      </c>
    </row>
    <row r="280" spans="1:5" x14ac:dyDescent="0.25">
      <c r="A280" t="s">
        <v>309</v>
      </c>
      <c r="B280">
        <f>77.67+29.27</f>
        <v>106.94</v>
      </c>
      <c r="C280" t="s">
        <v>311</v>
      </c>
      <c r="D280">
        <v>1350</v>
      </c>
      <c r="E280" t="s">
        <v>108</v>
      </c>
    </row>
    <row r="281" spans="1:5" x14ac:dyDescent="0.25">
      <c r="A281" t="s">
        <v>865</v>
      </c>
      <c r="B281">
        <v>106.94</v>
      </c>
      <c r="C281" t="s">
        <v>569</v>
      </c>
      <c r="D281">
        <v>1200</v>
      </c>
      <c r="E281" t="s">
        <v>108</v>
      </c>
    </row>
    <row r="282" spans="1:5" x14ac:dyDescent="0.25">
      <c r="A282" t="s">
        <v>830</v>
      </c>
      <c r="B282">
        <v>106.94</v>
      </c>
      <c r="C282" t="s">
        <v>569</v>
      </c>
      <c r="D282">
        <v>1150</v>
      </c>
      <c r="E282" t="s">
        <v>108</v>
      </c>
    </row>
    <row r="283" spans="1:5" x14ac:dyDescent="0.25">
      <c r="A283" t="s">
        <v>144</v>
      </c>
      <c r="B283">
        <f>77.67+29.27</f>
        <v>106.94</v>
      </c>
      <c r="C283" t="s">
        <v>136</v>
      </c>
      <c r="E283" t="s">
        <v>108</v>
      </c>
    </row>
    <row r="284" spans="1:5" x14ac:dyDescent="0.25">
      <c r="A284" s="6" t="s">
        <v>733</v>
      </c>
      <c r="B284">
        <f>106.94*2</f>
        <v>213.88</v>
      </c>
      <c r="C284" t="s">
        <v>734</v>
      </c>
      <c r="D284">
        <v>2500</v>
      </c>
      <c r="E284" t="s">
        <v>108</v>
      </c>
    </row>
    <row r="285" spans="1:5" x14ac:dyDescent="0.25">
      <c r="A285" s="6" t="s">
        <v>741</v>
      </c>
      <c r="B285">
        <f t="shared" ref="B285:B293" si="9">77.67+29.27</f>
        <v>106.94</v>
      </c>
      <c r="C285" t="s">
        <v>569</v>
      </c>
      <c r="D285">
        <v>1200</v>
      </c>
      <c r="E285" t="s">
        <v>108</v>
      </c>
    </row>
    <row r="286" spans="1:5" x14ac:dyDescent="0.25">
      <c r="A286" s="6" t="s">
        <v>838</v>
      </c>
      <c r="B286">
        <f t="shared" si="9"/>
        <v>106.94</v>
      </c>
      <c r="C286" t="s">
        <v>569</v>
      </c>
      <c r="D286">
        <v>1200</v>
      </c>
      <c r="E286" t="s">
        <v>108</v>
      </c>
    </row>
    <row r="287" spans="1:5" x14ac:dyDescent="0.25">
      <c r="A287" s="6" t="s">
        <v>740</v>
      </c>
      <c r="B287">
        <f t="shared" si="9"/>
        <v>106.94</v>
      </c>
      <c r="C287" t="s">
        <v>569</v>
      </c>
      <c r="D287">
        <v>700</v>
      </c>
      <c r="E287" t="s">
        <v>108</v>
      </c>
    </row>
    <row r="288" spans="1:5" x14ac:dyDescent="0.25">
      <c r="A288" t="s">
        <v>135</v>
      </c>
      <c r="B288">
        <f t="shared" si="9"/>
        <v>106.94</v>
      </c>
      <c r="C288" t="s">
        <v>136</v>
      </c>
      <c r="E288" t="s">
        <v>108</v>
      </c>
    </row>
    <row r="289" spans="1:5" x14ac:dyDescent="0.25">
      <c r="A289" s="6" t="s">
        <v>710</v>
      </c>
      <c r="B289">
        <f t="shared" si="9"/>
        <v>106.94</v>
      </c>
      <c r="C289" t="s">
        <v>737</v>
      </c>
      <c r="D289">
        <v>3500</v>
      </c>
      <c r="E289" t="s">
        <v>108</v>
      </c>
    </row>
    <row r="290" spans="1:5" x14ac:dyDescent="0.25">
      <c r="A290" s="6" t="s">
        <v>706</v>
      </c>
      <c r="B290">
        <f t="shared" si="9"/>
        <v>106.94</v>
      </c>
      <c r="C290" t="s">
        <v>569</v>
      </c>
      <c r="D290">
        <v>1900</v>
      </c>
      <c r="E290" t="s">
        <v>108</v>
      </c>
    </row>
    <row r="291" spans="1:5" x14ac:dyDescent="0.25">
      <c r="A291" s="6" t="s">
        <v>706</v>
      </c>
      <c r="B291">
        <f t="shared" si="9"/>
        <v>106.94</v>
      </c>
      <c r="C291" t="s">
        <v>737</v>
      </c>
      <c r="D291">
        <v>1900</v>
      </c>
      <c r="E291" t="s">
        <v>108</v>
      </c>
    </row>
    <row r="292" spans="1:5" x14ac:dyDescent="0.25">
      <c r="A292" s="6" t="s">
        <v>700</v>
      </c>
      <c r="B292">
        <f t="shared" si="9"/>
        <v>106.94</v>
      </c>
      <c r="C292" t="s">
        <v>569</v>
      </c>
      <c r="D292">
        <v>1000</v>
      </c>
      <c r="E292" t="s">
        <v>108</v>
      </c>
    </row>
    <row r="293" spans="1:5" x14ac:dyDescent="0.25">
      <c r="A293" s="6" t="s">
        <v>700</v>
      </c>
      <c r="B293">
        <f t="shared" si="9"/>
        <v>106.94</v>
      </c>
      <c r="C293" t="s">
        <v>737</v>
      </c>
      <c r="D293">
        <v>1000</v>
      </c>
      <c r="E293" t="s">
        <v>108</v>
      </c>
    </row>
    <row r="294" spans="1:5" x14ac:dyDescent="0.25">
      <c r="A294" s="6" t="s">
        <v>660</v>
      </c>
      <c r="B294">
        <f>106.94*2</f>
        <v>213.88</v>
      </c>
      <c r="C294" t="s">
        <v>661</v>
      </c>
      <c r="D294">
        <v>700</v>
      </c>
      <c r="E294" t="s">
        <v>108</v>
      </c>
    </row>
    <row r="295" spans="1:5" x14ac:dyDescent="0.25">
      <c r="A295" s="6" t="s">
        <v>703</v>
      </c>
      <c r="B295">
        <f>77.67+29.27</f>
        <v>106.94</v>
      </c>
      <c r="C295" t="s">
        <v>569</v>
      </c>
      <c r="D295">
        <v>700</v>
      </c>
      <c r="E295" t="s">
        <v>108</v>
      </c>
    </row>
    <row r="296" spans="1:5" x14ac:dyDescent="0.25">
      <c r="A296" s="6" t="s">
        <v>705</v>
      </c>
      <c r="B296">
        <f>77.67+29.27</f>
        <v>106.94</v>
      </c>
      <c r="C296" t="s">
        <v>569</v>
      </c>
      <c r="D296">
        <v>450</v>
      </c>
      <c r="E296" t="s">
        <v>108</v>
      </c>
    </row>
    <row r="297" spans="1:5" x14ac:dyDescent="0.25">
      <c r="A297" s="6" t="s">
        <v>735</v>
      </c>
      <c r="B297">
        <f>77.67+29.27</f>
        <v>106.94</v>
      </c>
      <c r="C297" t="s">
        <v>737</v>
      </c>
      <c r="D297">
        <v>4500</v>
      </c>
      <c r="E297" t="s">
        <v>108</v>
      </c>
    </row>
    <row r="298" spans="1:5" x14ac:dyDescent="0.25">
      <c r="A298" s="6" t="s">
        <v>859</v>
      </c>
      <c r="B298">
        <v>106.94</v>
      </c>
      <c r="C298" t="s">
        <v>569</v>
      </c>
      <c r="D298">
        <v>3900</v>
      </c>
      <c r="E298" t="s">
        <v>148</v>
      </c>
    </row>
    <row r="299" spans="1:5" x14ac:dyDescent="0.25">
      <c r="A299" s="6" t="s">
        <v>736</v>
      </c>
      <c r="B299">
        <f>77.67+29.27</f>
        <v>106.94</v>
      </c>
      <c r="C299" t="s">
        <v>737</v>
      </c>
      <c r="D299">
        <v>2500</v>
      </c>
      <c r="E299" t="s">
        <v>108</v>
      </c>
    </row>
    <row r="300" spans="1:5" x14ac:dyDescent="0.25">
      <c r="A300" t="s">
        <v>24</v>
      </c>
      <c r="B300">
        <f>77.67+29.27</f>
        <v>106.94</v>
      </c>
      <c r="C300" t="s">
        <v>127</v>
      </c>
      <c r="D300">
        <v>2000</v>
      </c>
      <c r="E300" t="s">
        <v>108</v>
      </c>
    </row>
    <row r="301" spans="1:5" x14ac:dyDescent="0.25">
      <c r="A301" s="6" t="s">
        <v>702</v>
      </c>
      <c r="B301">
        <f>106.94*2</f>
        <v>213.88</v>
      </c>
      <c r="C301" t="s">
        <v>731</v>
      </c>
      <c r="D301">
        <v>1000</v>
      </c>
      <c r="E301" t="s">
        <v>108</v>
      </c>
    </row>
    <row r="302" spans="1:5" x14ac:dyDescent="0.25">
      <c r="A302" s="6" t="s">
        <v>845</v>
      </c>
      <c r="B302">
        <v>106.94</v>
      </c>
      <c r="C302" t="s">
        <v>569</v>
      </c>
      <c r="D302">
        <v>1000</v>
      </c>
      <c r="E302" t="s">
        <v>108</v>
      </c>
    </row>
    <row r="303" spans="1:5" x14ac:dyDescent="0.25">
      <c r="A303" s="6" t="s">
        <v>732</v>
      </c>
      <c r="B303">
        <f>106.94*2</f>
        <v>213.88</v>
      </c>
      <c r="C303" t="s">
        <v>731</v>
      </c>
      <c r="D303">
        <v>1000</v>
      </c>
      <c r="E303" t="s">
        <v>108</v>
      </c>
    </row>
    <row r="304" spans="1:5" x14ac:dyDescent="0.25">
      <c r="A304" s="6" t="s">
        <v>687</v>
      </c>
      <c r="B304">
        <f>77.67+29.27</f>
        <v>106.94</v>
      </c>
      <c r="C304" t="s">
        <v>737</v>
      </c>
      <c r="D304">
        <v>280</v>
      </c>
      <c r="E304" t="s">
        <v>108</v>
      </c>
    </row>
    <row r="305" spans="1:5" x14ac:dyDescent="0.25">
      <c r="A305" t="s">
        <v>318</v>
      </c>
      <c r="B305">
        <f>77.67+29.27</f>
        <v>106.94</v>
      </c>
      <c r="C305" t="s">
        <v>319</v>
      </c>
      <c r="D305">
        <v>2000</v>
      </c>
      <c r="E305" t="s">
        <v>108</v>
      </c>
    </row>
    <row r="306" spans="1:5" x14ac:dyDescent="0.25">
      <c r="A306" t="s">
        <v>137</v>
      </c>
      <c r="B306">
        <f>77.67+29.27</f>
        <v>106.94</v>
      </c>
      <c r="C306" t="s">
        <v>136</v>
      </c>
      <c r="E306" t="s">
        <v>108</v>
      </c>
    </row>
    <row r="307" spans="1:5" x14ac:dyDescent="0.25">
      <c r="A307" s="6" t="s">
        <v>672</v>
      </c>
      <c r="B307">
        <f>77.67+57.41</f>
        <v>135.07999999999998</v>
      </c>
      <c r="C307" t="s">
        <v>569</v>
      </c>
      <c r="D307">
        <v>5500</v>
      </c>
      <c r="E307" t="s">
        <v>108</v>
      </c>
    </row>
    <row r="308" spans="1:5" x14ac:dyDescent="0.25">
      <c r="A308" t="s">
        <v>629</v>
      </c>
      <c r="B308">
        <f>77.67+29.27</f>
        <v>106.94</v>
      </c>
      <c r="C308" t="s">
        <v>570</v>
      </c>
      <c r="D308">
        <v>850</v>
      </c>
      <c r="E308" t="s">
        <v>108</v>
      </c>
    </row>
    <row r="309" spans="1:5" x14ac:dyDescent="0.25">
      <c r="A309" t="s">
        <v>308</v>
      </c>
      <c r="B309">
        <f>77.67+29.27</f>
        <v>106.94</v>
      </c>
      <c r="C309" t="s">
        <v>147</v>
      </c>
      <c r="D309">
        <v>2000</v>
      </c>
      <c r="E309" t="s">
        <v>108</v>
      </c>
    </row>
    <row r="310" spans="1:5" x14ac:dyDescent="0.25">
      <c r="A310" t="s">
        <v>27</v>
      </c>
      <c r="B310">
        <v>0.04</v>
      </c>
      <c r="C310" t="s">
        <v>105</v>
      </c>
      <c r="E310" t="s">
        <v>145</v>
      </c>
    </row>
    <row r="311" spans="1:5" x14ac:dyDescent="0.25">
      <c r="A311" t="s">
        <v>411</v>
      </c>
      <c r="B311">
        <v>0.04</v>
      </c>
      <c r="C311" t="s">
        <v>419</v>
      </c>
      <c r="D311">
        <v>50</v>
      </c>
      <c r="E311" t="s">
        <v>420</v>
      </c>
    </row>
    <row r="312" spans="1:5" x14ac:dyDescent="0.25">
      <c r="A312" t="s">
        <v>413</v>
      </c>
      <c r="B312">
        <v>0.04</v>
      </c>
      <c r="C312" t="s">
        <v>419</v>
      </c>
      <c r="D312">
        <v>50</v>
      </c>
      <c r="E312" t="s">
        <v>420</v>
      </c>
    </row>
    <row r="313" spans="1:5" x14ac:dyDescent="0.25">
      <c r="A313" t="s">
        <v>417</v>
      </c>
      <c r="B313">
        <v>0.04</v>
      </c>
      <c r="C313" t="s">
        <v>419</v>
      </c>
      <c r="D313">
        <v>50</v>
      </c>
      <c r="E313" t="s">
        <v>420</v>
      </c>
    </row>
    <row r="314" spans="1:5" x14ac:dyDescent="0.25">
      <c r="A314" t="s">
        <v>416</v>
      </c>
      <c r="B314">
        <v>0.04</v>
      </c>
      <c r="C314" t="s">
        <v>419</v>
      </c>
      <c r="D314">
        <v>50</v>
      </c>
      <c r="E314" t="s">
        <v>420</v>
      </c>
    </row>
    <row r="315" spans="1:5" x14ac:dyDescent="0.25">
      <c r="A315" t="s">
        <v>408</v>
      </c>
      <c r="B315">
        <v>0.04</v>
      </c>
      <c r="C315" t="s">
        <v>418</v>
      </c>
      <c r="E315" t="s">
        <v>420</v>
      </c>
    </row>
    <row r="316" spans="1:5" x14ac:dyDescent="0.25">
      <c r="A316" t="s">
        <v>407</v>
      </c>
      <c r="B316">
        <v>0.04</v>
      </c>
      <c r="C316" t="s">
        <v>418</v>
      </c>
      <c r="E316" t="s">
        <v>420</v>
      </c>
    </row>
    <row r="317" spans="1:5" x14ac:dyDescent="0.25">
      <c r="A317" t="s">
        <v>406</v>
      </c>
      <c r="B317">
        <v>0.04</v>
      </c>
      <c r="C317" t="s">
        <v>418</v>
      </c>
      <c r="E317" t="s">
        <v>420</v>
      </c>
    </row>
    <row r="318" spans="1:5" x14ac:dyDescent="0.25">
      <c r="A318" t="s">
        <v>410</v>
      </c>
      <c r="B318">
        <v>0.04</v>
      </c>
      <c r="C318" t="s">
        <v>418</v>
      </c>
      <c r="E318" t="s">
        <v>420</v>
      </c>
    </row>
    <row r="319" spans="1:5" x14ac:dyDescent="0.25">
      <c r="A319" t="s">
        <v>409</v>
      </c>
      <c r="B319">
        <v>0.04</v>
      </c>
      <c r="C319" t="s">
        <v>418</v>
      </c>
      <c r="E319" t="s">
        <v>420</v>
      </c>
    </row>
    <row r="320" spans="1:5" x14ac:dyDescent="0.25">
      <c r="A320" t="s">
        <v>32</v>
      </c>
      <c r="B320">
        <f>77.67+29.27</f>
        <v>106.94</v>
      </c>
      <c r="C320" t="s">
        <v>147</v>
      </c>
      <c r="D320">
        <v>4500</v>
      </c>
      <c r="E320" t="s">
        <v>148</v>
      </c>
    </row>
    <row r="321" spans="1:5" x14ac:dyDescent="0.25">
      <c r="A321" t="s">
        <v>289</v>
      </c>
      <c r="B321">
        <v>29.27</v>
      </c>
      <c r="C321" t="s">
        <v>290</v>
      </c>
      <c r="E321" t="s">
        <v>108</v>
      </c>
    </row>
    <row r="322" spans="1:5" x14ac:dyDescent="0.25">
      <c r="A322" t="s">
        <v>405</v>
      </c>
      <c r="B322">
        <f t="shared" ref="B322:B328" si="10">77.67+29.27</f>
        <v>106.94</v>
      </c>
      <c r="C322" t="s">
        <v>147</v>
      </c>
      <c r="D322">
        <v>1000</v>
      </c>
      <c r="E322" t="s">
        <v>108</v>
      </c>
    </row>
    <row r="323" spans="1:5" x14ac:dyDescent="0.25">
      <c r="A323" t="s">
        <v>35</v>
      </c>
      <c r="B323">
        <f t="shared" si="10"/>
        <v>106.94</v>
      </c>
      <c r="C323" t="s">
        <v>147</v>
      </c>
      <c r="E323" t="s">
        <v>108</v>
      </c>
    </row>
    <row r="324" spans="1:5" x14ac:dyDescent="0.25">
      <c r="A324" t="s">
        <v>37</v>
      </c>
      <c r="B324">
        <f t="shared" si="10"/>
        <v>106.94</v>
      </c>
      <c r="C324" t="s">
        <v>147</v>
      </c>
      <c r="D324">
        <v>1100</v>
      </c>
      <c r="E324" t="s">
        <v>148</v>
      </c>
    </row>
    <row r="325" spans="1:5" x14ac:dyDescent="0.25">
      <c r="A325" s="6" t="s">
        <v>697</v>
      </c>
      <c r="B325">
        <f t="shared" si="10"/>
        <v>106.94</v>
      </c>
      <c r="C325" t="s">
        <v>569</v>
      </c>
      <c r="D325">
        <v>660</v>
      </c>
      <c r="E325" t="s">
        <v>108</v>
      </c>
    </row>
    <row r="326" spans="1:5" x14ac:dyDescent="0.25">
      <c r="A326" t="s">
        <v>38</v>
      </c>
      <c r="B326">
        <f t="shared" si="10"/>
        <v>106.94</v>
      </c>
      <c r="C326" t="s">
        <v>147</v>
      </c>
      <c r="D326">
        <v>1100</v>
      </c>
      <c r="E326" t="s">
        <v>108</v>
      </c>
    </row>
    <row r="327" spans="1:5" x14ac:dyDescent="0.25">
      <c r="A327" t="s">
        <v>141</v>
      </c>
      <c r="B327">
        <f t="shared" si="10"/>
        <v>106.94</v>
      </c>
      <c r="C327" t="s">
        <v>136</v>
      </c>
      <c r="D327">
        <v>1100</v>
      </c>
      <c r="E327" t="s">
        <v>108</v>
      </c>
    </row>
    <row r="328" spans="1:5" x14ac:dyDescent="0.25">
      <c r="A328" t="s">
        <v>39</v>
      </c>
      <c r="B328">
        <f t="shared" si="10"/>
        <v>106.94</v>
      </c>
      <c r="C328" t="s">
        <v>106</v>
      </c>
      <c r="D328">
        <v>3000</v>
      </c>
      <c r="E328" t="s">
        <v>84</v>
      </c>
    </row>
    <row r="329" spans="1:5" x14ac:dyDescent="0.25">
      <c r="A329" s="6" t="s">
        <v>670</v>
      </c>
      <c r="B329">
        <f>77.67+57.41</f>
        <v>135.07999999999998</v>
      </c>
      <c r="C329" t="s">
        <v>678</v>
      </c>
      <c r="D329">
        <v>520</v>
      </c>
      <c r="E329" t="s">
        <v>108</v>
      </c>
    </row>
    <row r="330" spans="1:5" x14ac:dyDescent="0.25">
      <c r="A330" t="s">
        <v>42</v>
      </c>
      <c r="B330">
        <f>77.67+29.27</f>
        <v>106.94</v>
      </c>
      <c r="C330" t="s">
        <v>106</v>
      </c>
      <c r="E330" t="s">
        <v>84</v>
      </c>
    </row>
    <row r="331" spans="1:5" x14ac:dyDescent="0.25">
      <c r="A331" t="s">
        <v>43</v>
      </c>
      <c r="B331">
        <f>77.67+29.27</f>
        <v>106.94</v>
      </c>
      <c r="C331" t="s">
        <v>147</v>
      </c>
      <c r="D331">
        <v>650</v>
      </c>
      <c r="E331" t="s">
        <v>148</v>
      </c>
    </row>
    <row r="332" spans="1:5" x14ac:dyDescent="0.25">
      <c r="A332" t="s">
        <v>291</v>
      </c>
      <c r="B332">
        <f>77.67+57.41</f>
        <v>135.07999999999998</v>
      </c>
      <c r="C332" t="s">
        <v>285</v>
      </c>
      <c r="E332" t="s">
        <v>108</v>
      </c>
    </row>
    <row r="333" spans="1:5" x14ac:dyDescent="0.25">
      <c r="A333" t="s">
        <v>292</v>
      </c>
      <c r="B333">
        <f>77.67+57.41</f>
        <v>135.07999999999998</v>
      </c>
      <c r="C333" t="s">
        <v>285</v>
      </c>
      <c r="E333" t="s">
        <v>108</v>
      </c>
    </row>
    <row r="334" spans="1:5" x14ac:dyDescent="0.25">
      <c r="A334" t="s">
        <v>293</v>
      </c>
      <c r="B334">
        <f>77.67+57.41</f>
        <v>135.07999999999998</v>
      </c>
      <c r="C334" t="s">
        <v>285</v>
      </c>
      <c r="E334" t="s">
        <v>108</v>
      </c>
    </row>
    <row r="335" spans="1:5" x14ac:dyDescent="0.25">
      <c r="A335" s="6" t="s">
        <v>685</v>
      </c>
      <c r="B335">
        <f t="shared" ref="B335:B342" si="11">77.67+29.27</f>
        <v>106.94</v>
      </c>
      <c r="C335" t="s">
        <v>569</v>
      </c>
      <c r="D335">
        <v>2500</v>
      </c>
      <c r="E335" t="s">
        <v>108</v>
      </c>
    </row>
    <row r="336" spans="1:5" x14ac:dyDescent="0.25">
      <c r="A336" t="s">
        <v>327</v>
      </c>
      <c r="B336">
        <f t="shared" si="11"/>
        <v>106.94</v>
      </c>
      <c r="C336" t="s">
        <v>147</v>
      </c>
      <c r="D336">
        <v>1050</v>
      </c>
      <c r="E336" t="s">
        <v>108</v>
      </c>
    </row>
    <row r="337" spans="1:5" x14ac:dyDescent="0.25">
      <c r="A337" t="s">
        <v>138</v>
      </c>
      <c r="B337">
        <f t="shared" si="11"/>
        <v>106.94</v>
      </c>
      <c r="C337" t="s">
        <v>136</v>
      </c>
      <c r="E337" t="s">
        <v>108</v>
      </c>
    </row>
    <row r="338" spans="1:5" x14ac:dyDescent="0.25">
      <c r="A338" t="s">
        <v>140</v>
      </c>
      <c r="B338">
        <f t="shared" si="11"/>
        <v>106.94</v>
      </c>
      <c r="C338" t="s">
        <v>136</v>
      </c>
      <c r="E338" t="s">
        <v>108</v>
      </c>
    </row>
    <row r="339" spans="1:5" x14ac:dyDescent="0.25">
      <c r="A339" t="s">
        <v>142</v>
      </c>
      <c r="B339">
        <f t="shared" si="11"/>
        <v>106.94</v>
      </c>
      <c r="C339" t="s">
        <v>136</v>
      </c>
      <c r="E339" t="s">
        <v>108</v>
      </c>
    </row>
    <row r="340" spans="1:5" x14ac:dyDescent="0.25">
      <c r="A340" t="s">
        <v>49</v>
      </c>
      <c r="B340">
        <f t="shared" si="11"/>
        <v>106.94</v>
      </c>
      <c r="C340" t="s">
        <v>147</v>
      </c>
      <c r="E340" t="s">
        <v>84</v>
      </c>
    </row>
    <row r="341" spans="1:5" x14ac:dyDescent="0.25">
      <c r="A341" t="s">
        <v>606</v>
      </c>
      <c r="B341">
        <f t="shared" si="11"/>
        <v>106.94</v>
      </c>
      <c r="C341" t="s">
        <v>569</v>
      </c>
      <c r="D341">
        <v>650</v>
      </c>
      <c r="E341" t="s">
        <v>84</v>
      </c>
    </row>
    <row r="342" spans="1:5" x14ac:dyDescent="0.25">
      <c r="A342" t="s">
        <v>602</v>
      </c>
      <c r="B342">
        <f t="shared" si="11"/>
        <v>106.94</v>
      </c>
      <c r="C342" t="s">
        <v>569</v>
      </c>
      <c r="D342">
        <v>3000</v>
      </c>
      <c r="E342" t="s">
        <v>84</v>
      </c>
    </row>
    <row r="343" spans="1:5" x14ac:dyDescent="0.25">
      <c r="A343" t="s">
        <v>578</v>
      </c>
      <c r="B343">
        <v>29.27</v>
      </c>
      <c r="C343" t="s">
        <v>288</v>
      </c>
      <c r="D343">
        <v>225</v>
      </c>
      <c r="E343" t="s">
        <v>84</v>
      </c>
    </row>
    <row r="344" spans="1:5" x14ac:dyDescent="0.25">
      <c r="A344" t="s">
        <v>574</v>
      </c>
      <c r="B344">
        <v>125.68</v>
      </c>
      <c r="C344" t="s">
        <v>575</v>
      </c>
      <c r="D344">
        <v>8500</v>
      </c>
      <c r="E344" t="s">
        <v>84</v>
      </c>
    </row>
    <row r="345" spans="1:5" x14ac:dyDescent="0.25">
      <c r="A345" t="s">
        <v>612</v>
      </c>
      <c r="B345">
        <v>29.27</v>
      </c>
      <c r="C345" t="s">
        <v>613</v>
      </c>
      <c r="D345">
        <v>1800</v>
      </c>
      <c r="E345" t="s">
        <v>108</v>
      </c>
    </row>
    <row r="346" spans="1:5" x14ac:dyDescent="0.25">
      <c r="A346" t="s">
        <v>607</v>
      </c>
      <c r="B346">
        <f t="shared" ref="B346:B351" si="12">77.67+29.27</f>
        <v>106.94</v>
      </c>
      <c r="C346" t="s">
        <v>569</v>
      </c>
      <c r="D346">
        <v>1200</v>
      </c>
      <c r="E346" t="s">
        <v>84</v>
      </c>
    </row>
    <row r="347" spans="1:5" x14ac:dyDescent="0.25">
      <c r="A347" t="s">
        <v>51</v>
      </c>
      <c r="B347">
        <f t="shared" si="12"/>
        <v>106.94</v>
      </c>
      <c r="C347" t="s">
        <v>147</v>
      </c>
      <c r="D347">
        <v>1100</v>
      </c>
      <c r="E347" t="s">
        <v>148</v>
      </c>
    </row>
    <row r="348" spans="1:5" x14ac:dyDescent="0.25">
      <c r="A348" t="s">
        <v>605</v>
      </c>
      <c r="B348">
        <f t="shared" si="12"/>
        <v>106.94</v>
      </c>
      <c r="C348" t="s">
        <v>569</v>
      </c>
      <c r="D348">
        <v>2150</v>
      </c>
      <c r="E348" t="s">
        <v>84</v>
      </c>
    </row>
    <row r="349" spans="1:5" x14ac:dyDescent="0.25">
      <c r="A349" t="s">
        <v>581</v>
      </c>
      <c r="B349">
        <f t="shared" si="12"/>
        <v>106.94</v>
      </c>
      <c r="C349" t="s">
        <v>319</v>
      </c>
      <c r="D349">
        <v>1700</v>
      </c>
      <c r="E349" t="s">
        <v>84</v>
      </c>
    </row>
    <row r="350" spans="1:5" x14ac:dyDescent="0.25">
      <c r="A350" t="s">
        <v>52</v>
      </c>
      <c r="B350">
        <f t="shared" si="12"/>
        <v>106.94</v>
      </c>
      <c r="D350">
        <v>525</v>
      </c>
      <c r="E350" t="s">
        <v>108</v>
      </c>
    </row>
    <row r="351" spans="1:5" x14ac:dyDescent="0.25">
      <c r="A351" t="s">
        <v>565</v>
      </c>
      <c r="B351">
        <f t="shared" si="12"/>
        <v>106.94</v>
      </c>
      <c r="C351" t="s">
        <v>288</v>
      </c>
      <c r="D351">
        <v>525</v>
      </c>
      <c r="E351" t="s">
        <v>84</v>
      </c>
    </row>
    <row r="352" spans="1:5" x14ac:dyDescent="0.25">
      <c r="A352" s="6" t="s">
        <v>643</v>
      </c>
      <c r="B352">
        <f>77.67+57.41</f>
        <v>135.07999999999998</v>
      </c>
      <c r="C352" t="s">
        <v>569</v>
      </c>
      <c r="D352">
        <v>700</v>
      </c>
      <c r="E352" t="s">
        <v>108</v>
      </c>
    </row>
    <row r="353" spans="1:5" x14ac:dyDescent="0.25">
      <c r="A353" t="s">
        <v>54</v>
      </c>
      <c r="B353">
        <f>77.67+29.27</f>
        <v>106.94</v>
      </c>
      <c r="D353">
        <v>1400</v>
      </c>
      <c r="E353" t="s">
        <v>108</v>
      </c>
    </row>
    <row r="354" spans="1:5" x14ac:dyDescent="0.25">
      <c r="A354" t="s">
        <v>55</v>
      </c>
      <c r="B354">
        <f>77.67+29.27</f>
        <v>106.94</v>
      </c>
      <c r="C354" t="s">
        <v>147</v>
      </c>
      <c r="E354" t="s">
        <v>148</v>
      </c>
    </row>
    <row r="355" spans="1:5" x14ac:dyDescent="0.25">
      <c r="A355" t="s">
        <v>819</v>
      </c>
      <c r="B355">
        <v>106.94</v>
      </c>
      <c r="C355" t="s">
        <v>147</v>
      </c>
      <c r="D355">
        <v>800</v>
      </c>
      <c r="E355" t="s">
        <v>148</v>
      </c>
    </row>
    <row r="356" spans="1:5" x14ac:dyDescent="0.25">
      <c r="A356" t="s">
        <v>294</v>
      </c>
      <c r="B356">
        <f>77.67+57.41</f>
        <v>135.07999999999998</v>
      </c>
      <c r="C356" t="s">
        <v>285</v>
      </c>
      <c r="E356" t="s">
        <v>108</v>
      </c>
    </row>
    <row r="357" spans="1:5" x14ac:dyDescent="0.25">
      <c r="A357" t="s">
        <v>584</v>
      </c>
      <c r="B357">
        <f>77.67+29.27</f>
        <v>106.94</v>
      </c>
      <c r="C357" t="s">
        <v>569</v>
      </c>
      <c r="D357">
        <v>1050</v>
      </c>
      <c r="E357" t="s">
        <v>84</v>
      </c>
    </row>
    <row r="358" spans="1:5" x14ac:dyDescent="0.25">
      <c r="A358" t="s">
        <v>56</v>
      </c>
      <c r="B358">
        <f>77.67+29.27</f>
        <v>106.94</v>
      </c>
      <c r="C358" t="s">
        <v>147</v>
      </c>
      <c r="D358">
        <v>800</v>
      </c>
      <c r="E358" t="s">
        <v>148</v>
      </c>
    </row>
    <row r="359" spans="1:5" x14ac:dyDescent="0.25">
      <c r="A359" t="s">
        <v>57</v>
      </c>
      <c r="B359">
        <f>77.67+29.27</f>
        <v>106.94</v>
      </c>
      <c r="C359" t="s">
        <v>150</v>
      </c>
      <c r="D359">
        <v>1200</v>
      </c>
      <c r="E359" t="s">
        <v>148</v>
      </c>
    </row>
    <row r="360" spans="1:5" x14ac:dyDescent="0.25">
      <c r="A360" t="s">
        <v>328</v>
      </c>
      <c r="B360">
        <f>77.67+29.27</f>
        <v>106.94</v>
      </c>
      <c r="C360" t="s">
        <v>147</v>
      </c>
      <c r="D360">
        <v>1000</v>
      </c>
      <c r="E360" t="s">
        <v>84</v>
      </c>
    </row>
    <row r="361" spans="1:5" x14ac:dyDescent="0.25">
      <c r="A361" t="s">
        <v>59</v>
      </c>
      <c r="B361">
        <f>(250.44*3/100)+250.44</f>
        <v>257.95319999999998</v>
      </c>
      <c r="C361" t="s">
        <v>295</v>
      </c>
      <c r="D361">
        <v>1600</v>
      </c>
      <c r="E361" t="s">
        <v>108</v>
      </c>
    </row>
    <row r="362" spans="1:5" x14ac:dyDescent="0.25">
      <c r="A362" t="s">
        <v>582</v>
      </c>
      <c r="B362">
        <f>(217.66*3%)+217.66</f>
        <v>224.18979999999999</v>
      </c>
      <c r="C362" t="s">
        <v>569</v>
      </c>
      <c r="D362">
        <v>1100</v>
      </c>
      <c r="E362" t="s">
        <v>84</v>
      </c>
    </row>
    <row r="363" spans="1:5" x14ac:dyDescent="0.25">
      <c r="A363" t="s">
        <v>296</v>
      </c>
      <c r="B363">
        <f>(77.67+57.41)*2+10</f>
        <v>280.15999999999997</v>
      </c>
      <c r="C363" t="s">
        <v>285</v>
      </c>
      <c r="E363" t="s">
        <v>108</v>
      </c>
    </row>
    <row r="364" spans="1:5" x14ac:dyDescent="0.25">
      <c r="A364" t="s">
        <v>329</v>
      </c>
      <c r="B364">
        <f>(77.67+57.41)*2+10</f>
        <v>280.15999999999997</v>
      </c>
      <c r="C364" t="s">
        <v>147</v>
      </c>
      <c r="D364">
        <v>1000</v>
      </c>
      <c r="E364" t="s">
        <v>108</v>
      </c>
    </row>
    <row r="365" spans="1:5" x14ac:dyDescent="0.25">
      <c r="A365" t="s">
        <v>412</v>
      </c>
      <c r="B365">
        <v>0.04</v>
      </c>
      <c r="C365" t="s">
        <v>419</v>
      </c>
      <c r="D365">
        <v>50</v>
      </c>
      <c r="E365" t="s">
        <v>420</v>
      </c>
    </row>
    <row r="366" spans="1:5" x14ac:dyDescent="0.25">
      <c r="A366" t="s">
        <v>61</v>
      </c>
      <c r="B366">
        <f>77.67+29.27</f>
        <v>106.94</v>
      </c>
      <c r="D366">
        <v>200</v>
      </c>
      <c r="E366" t="s">
        <v>108</v>
      </c>
    </row>
    <row r="367" spans="1:5" x14ac:dyDescent="0.25">
      <c r="A367" t="s">
        <v>415</v>
      </c>
      <c r="B367">
        <v>0.04</v>
      </c>
      <c r="C367" t="s">
        <v>419</v>
      </c>
      <c r="D367">
        <v>50</v>
      </c>
      <c r="E367" t="s">
        <v>420</v>
      </c>
    </row>
    <row r="368" spans="1:5" x14ac:dyDescent="0.25">
      <c r="A368" t="s">
        <v>414</v>
      </c>
      <c r="B368">
        <v>0.04</v>
      </c>
      <c r="C368" t="s">
        <v>419</v>
      </c>
      <c r="D368">
        <v>50</v>
      </c>
      <c r="E368" t="s">
        <v>420</v>
      </c>
    </row>
    <row r="369" spans="1:5" x14ac:dyDescent="0.25">
      <c r="A369" t="s">
        <v>310</v>
      </c>
      <c r="B369">
        <f t="shared" ref="B369:B375" si="13">77.67+29.27</f>
        <v>106.94</v>
      </c>
      <c r="C369" t="s">
        <v>147</v>
      </c>
      <c r="D369">
        <v>800</v>
      </c>
      <c r="E369" t="s">
        <v>108</v>
      </c>
    </row>
    <row r="370" spans="1:5" x14ac:dyDescent="0.25">
      <c r="A370" t="s">
        <v>62</v>
      </c>
      <c r="B370">
        <f t="shared" si="13"/>
        <v>106.94</v>
      </c>
      <c r="D370">
        <v>1200</v>
      </c>
      <c r="E370" t="s">
        <v>108</v>
      </c>
    </row>
    <row r="371" spans="1:5" x14ac:dyDescent="0.25">
      <c r="A371" t="s">
        <v>601</v>
      </c>
      <c r="B371">
        <f t="shared" si="13"/>
        <v>106.94</v>
      </c>
      <c r="C371" t="s">
        <v>569</v>
      </c>
      <c r="D371">
        <v>6400</v>
      </c>
      <c r="E371" t="s">
        <v>84</v>
      </c>
    </row>
    <row r="372" spans="1:5" x14ac:dyDescent="0.25">
      <c r="A372" t="s">
        <v>562</v>
      </c>
      <c r="B372">
        <f t="shared" si="13"/>
        <v>106.94</v>
      </c>
      <c r="C372" t="s">
        <v>319</v>
      </c>
      <c r="D372">
        <v>6900</v>
      </c>
      <c r="E372" t="s">
        <v>84</v>
      </c>
    </row>
    <row r="373" spans="1:5" x14ac:dyDescent="0.25">
      <c r="A373" t="s">
        <v>63</v>
      </c>
      <c r="B373">
        <f t="shared" si="13"/>
        <v>106.94</v>
      </c>
      <c r="C373" t="s">
        <v>107</v>
      </c>
      <c r="E373" t="s">
        <v>84</v>
      </c>
    </row>
    <row r="374" spans="1:5" x14ac:dyDescent="0.25">
      <c r="A374" t="s">
        <v>64</v>
      </c>
      <c r="B374">
        <f t="shared" si="13"/>
        <v>106.94</v>
      </c>
      <c r="E374" t="s">
        <v>108</v>
      </c>
    </row>
    <row r="375" spans="1:5" x14ac:dyDescent="0.25">
      <c r="A375" t="s">
        <v>139</v>
      </c>
      <c r="B375">
        <f t="shared" si="13"/>
        <v>106.94</v>
      </c>
      <c r="C375" t="s">
        <v>136</v>
      </c>
      <c r="E375" t="s">
        <v>108</v>
      </c>
    </row>
    <row r="376" spans="1:5" x14ac:dyDescent="0.25">
      <c r="A376" t="s">
        <v>627</v>
      </c>
      <c r="B376">
        <f>77.67+57.41</f>
        <v>135.07999999999998</v>
      </c>
      <c r="C376" t="s">
        <v>628</v>
      </c>
      <c r="D376">
        <v>1800</v>
      </c>
      <c r="E376" t="s">
        <v>108</v>
      </c>
    </row>
    <row r="377" spans="1:5" x14ac:dyDescent="0.25">
      <c r="A377" t="s">
        <v>594</v>
      </c>
      <c r="B377">
        <f>77.67+29.27</f>
        <v>106.94</v>
      </c>
      <c r="C377" t="s">
        <v>569</v>
      </c>
      <c r="D377">
        <v>450</v>
      </c>
      <c r="E377" t="s">
        <v>84</v>
      </c>
    </row>
    <row r="378" spans="1:5" x14ac:dyDescent="0.25">
      <c r="A378" t="s">
        <v>313</v>
      </c>
      <c r="B378">
        <f>77.67+51.78</f>
        <v>129.44999999999999</v>
      </c>
      <c r="C378" t="s">
        <v>314</v>
      </c>
      <c r="D378">
        <v>500</v>
      </c>
      <c r="E378" t="s">
        <v>108</v>
      </c>
    </row>
    <row r="379" spans="1:5" x14ac:dyDescent="0.25">
      <c r="A379" t="s">
        <v>322</v>
      </c>
      <c r="B379">
        <f>77.67+51.78</f>
        <v>129.44999999999999</v>
      </c>
      <c r="C379" t="s">
        <v>330</v>
      </c>
      <c r="D379">
        <v>10000</v>
      </c>
      <c r="E379" t="s">
        <v>108</v>
      </c>
    </row>
    <row r="380" spans="1:5" x14ac:dyDescent="0.25">
      <c r="A380" t="s">
        <v>853</v>
      </c>
      <c r="B380">
        <f>77.67+51.78</f>
        <v>129.44999999999999</v>
      </c>
      <c r="C380" t="s">
        <v>569</v>
      </c>
      <c r="D380">
        <v>18000</v>
      </c>
      <c r="E380" t="s">
        <v>84</v>
      </c>
    </row>
    <row r="381" spans="1:5" x14ac:dyDescent="0.25">
      <c r="A381" t="s">
        <v>297</v>
      </c>
      <c r="B381">
        <v>51.78</v>
      </c>
      <c r="C381" t="s">
        <v>298</v>
      </c>
      <c r="D381">
        <v>800</v>
      </c>
      <c r="E381" t="s">
        <v>108</v>
      </c>
    </row>
    <row r="382" spans="1:5" x14ac:dyDescent="0.25">
      <c r="A382" t="s">
        <v>66</v>
      </c>
      <c r="B382">
        <v>51.78</v>
      </c>
      <c r="C382" t="s">
        <v>129</v>
      </c>
      <c r="D382">
        <v>74000</v>
      </c>
      <c r="E382" t="s">
        <v>108</v>
      </c>
    </row>
    <row r="383" spans="1:5" x14ac:dyDescent="0.25">
      <c r="A383" t="s">
        <v>299</v>
      </c>
      <c r="B383">
        <v>51.78</v>
      </c>
      <c r="C383" t="s">
        <v>298</v>
      </c>
      <c r="D383">
        <v>20000</v>
      </c>
      <c r="E383" t="s">
        <v>108</v>
      </c>
    </row>
    <row r="384" spans="1:5" x14ac:dyDescent="0.25">
      <c r="A384" t="s">
        <v>307</v>
      </c>
      <c r="B384">
        <f t="shared" ref="B384:B395" si="14">77.67+51.78</f>
        <v>129.44999999999999</v>
      </c>
      <c r="C384" t="s">
        <v>128</v>
      </c>
      <c r="D384">
        <v>65000</v>
      </c>
      <c r="E384" t="s">
        <v>108</v>
      </c>
    </row>
    <row r="385" spans="1:5" x14ac:dyDescent="0.25">
      <c r="A385" t="s">
        <v>568</v>
      </c>
      <c r="B385">
        <f t="shared" si="14"/>
        <v>129.44999999999999</v>
      </c>
      <c r="C385" t="s">
        <v>569</v>
      </c>
      <c r="E385" t="s">
        <v>84</v>
      </c>
    </row>
    <row r="386" spans="1:5" x14ac:dyDescent="0.25">
      <c r="A386" s="6" t="s">
        <v>657</v>
      </c>
      <c r="B386">
        <f t="shared" si="14"/>
        <v>129.44999999999999</v>
      </c>
      <c r="C386" t="s">
        <v>569</v>
      </c>
      <c r="E386" t="s">
        <v>108</v>
      </c>
    </row>
    <row r="387" spans="1:5" x14ac:dyDescent="0.25">
      <c r="A387" t="s">
        <v>306</v>
      </c>
      <c r="B387">
        <f t="shared" si="14"/>
        <v>129.44999999999999</v>
      </c>
      <c r="C387" t="s">
        <v>147</v>
      </c>
      <c r="D387">
        <v>35000</v>
      </c>
      <c r="E387" t="s">
        <v>148</v>
      </c>
    </row>
    <row r="388" spans="1:5" x14ac:dyDescent="0.25">
      <c r="A388" t="s">
        <v>354</v>
      </c>
      <c r="B388">
        <f t="shared" si="14"/>
        <v>129.44999999999999</v>
      </c>
      <c r="C388" t="s">
        <v>330</v>
      </c>
      <c r="D388">
        <v>35000</v>
      </c>
      <c r="E388" t="s">
        <v>108</v>
      </c>
    </row>
    <row r="389" spans="1:5" x14ac:dyDescent="0.25">
      <c r="A389" t="s">
        <v>305</v>
      </c>
      <c r="B389">
        <f t="shared" si="14"/>
        <v>129.44999999999999</v>
      </c>
      <c r="C389" t="s">
        <v>156</v>
      </c>
      <c r="D389">
        <v>2000</v>
      </c>
      <c r="E389" t="s">
        <v>148</v>
      </c>
    </row>
    <row r="390" spans="1:5" x14ac:dyDescent="0.25">
      <c r="A390" t="s">
        <v>563</v>
      </c>
      <c r="B390">
        <f t="shared" si="14"/>
        <v>129.44999999999999</v>
      </c>
      <c r="C390" t="s">
        <v>319</v>
      </c>
      <c r="D390">
        <v>4500</v>
      </c>
      <c r="E390" t="s">
        <v>148</v>
      </c>
    </row>
    <row r="391" spans="1:5" x14ac:dyDescent="0.25">
      <c r="A391" t="s">
        <v>332</v>
      </c>
      <c r="B391">
        <f t="shared" si="14"/>
        <v>129.44999999999999</v>
      </c>
      <c r="C391" t="s">
        <v>330</v>
      </c>
      <c r="D391">
        <v>10000</v>
      </c>
      <c r="E391" t="s">
        <v>108</v>
      </c>
    </row>
    <row r="392" spans="1:5" x14ac:dyDescent="0.25">
      <c r="A392" t="s">
        <v>588</v>
      </c>
      <c r="B392">
        <f t="shared" si="14"/>
        <v>129.44999999999999</v>
      </c>
      <c r="C392" t="s">
        <v>569</v>
      </c>
      <c r="E392" t="s">
        <v>84</v>
      </c>
    </row>
    <row r="393" spans="1:5" x14ac:dyDescent="0.25">
      <c r="A393" t="s">
        <v>861</v>
      </c>
      <c r="B393">
        <f t="shared" si="14"/>
        <v>129.44999999999999</v>
      </c>
      <c r="C393" t="s">
        <v>569</v>
      </c>
      <c r="E393" t="s">
        <v>84</v>
      </c>
    </row>
    <row r="394" spans="1:5" x14ac:dyDescent="0.25">
      <c r="A394" t="s">
        <v>590</v>
      </c>
      <c r="B394">
        <f t="shared" si="14"/>
        <v>129.44999999999999</v>
      </c>
      <c r="C394" t="s">
        <v>569</v>
      </c>
      <c r="E394" t="s">
        <v>84</v>
      </c>
    </row>
    <row r="395" spans="1:5" x14ac:dyDescent="0.25">
      <c r="A395" t="s">
        <v>586</v>
      </c>
      <c r="B395">
        <f t="shared" si="14"/>
        <v>129.44999999999999</v>
      </c>
      <c r="C395" t="s">
        <v>569</v>
      </c>
      <c r="E395" t="s">
        <v>84</v>
      </c>
    </row>
    <row r="396" spans="1:5" x14ac:dyDescent="0.25">
      <c r="A396" s="6" t="s">
        <v>680</v>
      </c>
      <c r="B396">
        <f>+(50.27*2)+10</f>
        <v>110.54</v>
      </c>
      <c r="C396" t="s">
        <v>681</v>
      </c>
      <c r="D396">
        <v>40000</v>
      </c>
      <c r="E396" t="s">
        <v>108</v>
      </c>
    </row>
    <row r="397" spans="1:5" x14ac:dyDescent="0.25">
      <c r="A397" t="s">
        <v>303</v>
      </c>
      <c r="B397">
        <v>129.44999999999999</v>
      </c>
      <c r="C397" t="s">
        <v>147</v>
      </c>
      <c r="D397">
        <v>65000</v>
      </c>
      <c r="E397" t="s">
        <v>148</v>
      </c>
    </row>
    <row r="398" spans="1:5" x14ac:dyDescent="0.25">
      <c r="A398" t="s">
        <v>304</v>
      </c>
      <c r="B398">
        <f>77.67+51.78</f>
        <v>129.44999999999999</v>
      </c>
      <c r="C398" t="s">
        <v>129</v>
      </c>
      <c r="D398">
        <v>35000</v>
      </c>
      <c r="E398" t="s">
        <v>108</v>
      </c>
    </row>
    <row r="399" spans="1:5" x14ac:dyDescent="0.25">
      <c r="A399" t="s">
        <v>583</v>
      </c>
      <c r="B399">
        <f>77.67+51.78</f>
        <v>129.44999999999999</v>
      </c>
      <c r="C399" t="s">
        <v>569</v>
      </c>
      <c r="D399">
        <v>33000</v>
      </c>
      <c r="E399" t="s">
        <v>84</v>
      </c>
    </row>
    <row r="400" spans="1:5" x14ac:dyDescent="0.25">
      <c r="A400" t="s">
        <v>580</v>
      </c>
      <c r="B400">
        <f>77.67+51.78</f>
        <v>129.44999999999999</v>
      </c>
      <c r="C400" t="s">
        <v>319</v>
      </c>
      <c r="D400">
        <v>400</v>
      </c>
      <c r="E400" t="s">
        <v>84</v>
      </c>
    </row>
    <row r="401" spans="1:5" x14ac:dyDescent="0.25">
      <c r="A401" t="s">
        <v>609</v>
      </c>
      <c r="B401">
        <f t="shared" ref="B401:B407" si="15">77.67+29.27</f>
        <v>106.94</v>
      </c>
      <c r="C401" t="s">
        <v>569</v>
      </c>
      <c r="D401">
        <v>1600</v>
      </c>
      <c r="E401" t="s">
        <v>84</v>
      </c>
    </row>
    <row r="402" spans="1:5" x14ac:dyDescent="0.25">
      <c r="A402" t="s">
        <v>585</v>
      </c>
      <c r="B402">
        <f t="shared" si="15"/>
        <v>106.94</v>
      </c>
      <c r="C402" t="s">
        <v>569</v>
      </c>
      <c r="D402">
        <v>400</v>
      </c>
      <c r="E402" t="s">
        <v>84</v>
      </c>
    </row>
    <row r="403" spans="1:5" x14ac:dyDescent="0.25">
      <c r="A403" t="s">
        <v>321</v>
      </c>
      <c r="B403">
        <f t="shared" si="15"/>
        <v>106.94</v>
      </c>
      <c r="C403" t="s">
        <v>147</v>
      </c>
      <c r="D403">
        <v>95</v>
      </c>
      <c r="E403" t="s">
        <v>108</v>
      </c>
    </row>
    <row r="404" spans="1:5" x14ac:dyDescent="0.25">
      <c r="A404" t="s">
        <v>300</v>
      </c>
      <c r="B404">
        <f t="shared" si="15"/>
        <v>106.94</v>
      </c>
      <c r="C404" t="s">
        <v>301</v>
      </c>
      <c r="D404">
        <v>2100</v>
      </c>
      <c r="E404" t="s">
        <v>108</v>
      </c>
    </row>
    <row r="405" spans="1:5" x14ac:dyDescent="0.25">
      <c r="A405" t="s">
        <v>325</v>
      </c>
      <c r="B405">
        <f t="shared" si="15"/>
        <v>106.94</v>
      </c>
      <c r="C405" t="s">
        <v>147</v>
      </c>
      <c r="D405">
        <v>1900</v>
      </c>
      <c r="E405" t="s">
        <v>108</v>
      </c>
    </row>
    <row r="406" spans="1:5" x14ac:dyDescent="0.25">
      <c r="A406" t="s">
        <v>68</v>
      </c>
      <c r="B406">
        <f t="shared" si="15"/>
        <v>106.94</v>
      </c>
      <c r="E406" t="s">
        <v>108</v>
      </c>
    </row>
    <row r="407" spans="1:5" x14ac:dyDescent="0.25">
      <c r="A407" t="s">
        <v>326</v>
      </c>
      <c r="B407">
        <f t="shared" si="15"/>
        <v>106.94</v>
      </c>
      <c r="C407" t="s">
        <v>147</v>
      </c>
      <c r="D407">
        <v>1200</v>
      </c>
      <c r="E407" t="s">
        <v>84</v>
      </c>
    </row>
    <row r="408" spans="1:5" x14ac:dyDescent="0.25">
      <c r="A408" t="s">
        <v>69</v>
      </c>
      <c r="B408">
        <f>77.67+57.41</f>
        <v>135.07999999999998</v>
      </c>
      <c r="C408" t="s">
        <v>285</v>
      </c>
      <c r="D408">
        <v>600</v>
      </c>
      <c r="E408" t="s">
        <v>148</v>
      </c>
    </row>
    <row r="409" spans="1:5" x14ac:dyDescent="0.25">
      <c r="A409" t="s">
        <v>596</v>
      </c>
      <c r="B409">
        <f>77.67+29.27</f>
        <v>106.94</v>
      </c>
      <c r="C409" t="s">
        <v>569</v>
      </c>
      <c r="D409">
        <v>700</v>
      </c>
      <c r="E409" t="s">
        <v>84</v>
      </c>
    </row>
    <row r="410" spans="1:5" x14ac:dyDescent="0.25">
      <c r="A410" t="s">
        <v>604</v>
      </c>
      <c r="B410">
        <f>77.67+29.27</f>
        <v>106.94</v>
      </c>
      <c r="C410" t="s">
        <v>569</v>
      </c>
      <c r="D410">
        <v>11900</v>
      </c>
      <c r="E410" t="s">
        <v>84</v>
      </c>
    </row>
    <row r="411" spans="1:5" x14ac:dyDescent="0.25">
      <c r="A411" t="s">
        <v>70</v>
      </c>
      <c r="B411">
        <f>77.67+29.27</f>
        <v>106.94</v>
      </c>
      <c r="C411" t="s">
        <v>151</v>
      </c>
      <c r="D411">
        <v>4000</v>
      </c>
      <c r="E411" t="s">
        <v>148</v>
      </c>
    </row>
    <row r="412" spans="1:5" x14ac:dyDescent="0.25">
      <c r="A412" t="s">
        <v>302</v>
      </c>
      <c r="B412">
        <f>77.67+57.41</f>
        <v>135.07999999999998</v>
      </c>
      <c r="C412" t="s">
        <v>285</v>
      </c>
      <c r="D412">
        <v>180</v>
      </c>
      <c r="E412" t="s">
        <v>108</v>
      </c>
    </row>
    <row r="413" spans="1:5" x14ac:dyDescent="0.25">
      <c r="A413" t="s">
        <v>576</v>
      </c>
      <c r="B413">
        <f t="shared" ref="B413:B418" si="16">77.67+29.27</f>
        <v>106.94</v>
      </c>
      <c r="C413" t="s">
        <v>319</v>
      </c>
      <c r="D413">
        <v>1900</v>
      </c>
      <c r="E413" t="s">
        <v>84</v>
      </c>
    </row>
    <row r="414" spans="1:5" x14ac:dyDescent="0.25">
      <c r="A414" t="s">
        <v>600</v>
      </c>
      <c r="B414">
        <f t="shared" si="16"/>
        <v>106.94</v>
      </c>
      <c r="C414" t="s">
        <v>569</v>
      </c>
      <c r="D414">
        <v>180</v>
      </c>
      <c r="E414" t="s">
        <v>84</v>
      </c>
    </row>
    <row r="415" spans="1:5" x14ac:dyDescent="0.25">
      <c r="A415" t="s">
        <v>71</v>
      </c>
      <c r="B415">
        <f t="shared" si="16"/>
        <v>106.94</v>
      </c>
      <c r="C415" t="s">
        <v>147</v>
      </c>
      <c r="E415" t="s">
        <v>148</v>
      </c>
    </row>
    <row r="416" spans="1:5" x14ac:dyDescent="0.25">
      <c r="A416" t="s">
        <v>72</v>
      </c>
      <c r="B416">
        <f t="shared" si="16"/>
        <v>106.94</v>
      </c>
      <c r="C416" t="s">
        <v>130</v>
      </c>
      <c r="D416">
        <v>450</v>
      </c>
      <c r="E416" t="s">
        <v>108</v>
      </c>
    </row>
    <row r="417" spans="1:5" x14ac:dyDescent="0.25">
      <c r="A417" t="s">
        <v>72</v>
      </c>
      <c r="B417">
        <f t="shared" si="16"/>
        <v>106.94</v>
      </c>
      <c r="D417">
        <v>450</v>
      </c>
      <c r="E417" t="s">
        <v>108</v>
      </c>
    </row>
    <row r="418" spans="1:5" x14ac:dyDescent="0.25">
      <c r="A418" t="s">
        <v>603</v>
      </c>
      <c r="B418">
        <f t="shared" si="16"/>
        <v>106.94</v>
      </c>
      <c r="C418" t="s">
        <v>319</v>
      </c>
      <c r="D418">
        <v>1100</v>
      </c>
      <c r="E418" t="s">
        <v>84</v>
      </c>
    </row>
    <row r="419" spans="1:5" x14ac:dyDescent="0.25">
      <c r="A419" t="s">
        <v>592</v>
      </c>
      <c r="B419">
        <f>77.67+57.41</f>
        <v>135.07999999999998</v>
      </c>
      <c r="C419" t="s">
        <v>611</v>
      </c>
      <c r="E419" t="s">
        <v>84</v>
      </c>
    </row>
    <row r="420" spans="1:5" x14ac:dyDescent="0.25">
      <c r="A420" t="s">
        <v>595</v>
      </c>
      <c r="B420">
        <f>77.67+57.41</f>
        <v>135.07999999999998</v>
      </c>
      <c r="C420" t="s">
        <v>569</v>
      </c>
      <c r="D420">
        <v>2700</v>
      </c>
      <c r="E420" t="s">
        <v>84</v>
      </c>
    </row>
    <row r="421" spans="1:5" x14ac:dyDescent="0.25">
      <c r="A421" s="6" t="s">
        <v>739</v>
      </c>
      <c r="B421">
        <f>77.67+29.27</f>
        <v>106.94</v>
      </c>
      <c r="C421" t="s">
        <v>569</v>
      </c>
      <c r="D421">
        <v>85</v>
      </c>
      <c r="E421" t="s">
        <v>108</v>
      </c>
    </row>
    <row r="422" spans="1:5" x14ac:dyDescent="0.25">
      <c r="A422" t="s">
        <v>350</v>
      </c>
      <c r="B422">
        <v>129.44999999999999</v>
      </c>
      <c r="C422" t="s">
        <v>147</v>
      </c>
      <c r="D422">
        <v>1000</v>
      </c>
      <c r="E422" t="s">
        <v>84</v>
      </c>
    </row>
    <row r="423" spans="1:5" x14ac:dyDescent="0.25">
      <c r="A423" t="s">
        <v>74</v>
      </c>
      <c r="B423">
        <f>+(29.27*2)+10</f>
        <v>68.539999999999992</v>
      </c>
      <c r="C423" t="s">
        <v>801</v>
      </c>
      <c r="D423">
        <v>1500</v>
      </c>
      <c r="E423" t="s">
        <v>108</v>
      </c>
    </row>
    <row r="424" spans="1:5" x14ac:dyDescent="0.25">
      <c r="A424" t="s">
        <v>143</v>
      </c>
      <c r="B424">
        <f t="shared" ref="B424:B430" si="17">77.67+29.27</f>
        <v>106.94</v>
      </c>
      <c r="C424" t="s">
        <v>136</v>
      </c>
      <c r="E424" t="s">
        <v>108</v>
      </c>
    </row>
    <row r="425" spans="1:5" x14ac:dyDescent="0.25">
      <c r="A425" s="6" t="s">
        <v>659</v>
      </c>
      <c r="B425">
        <f t="shared" si="17"/>
        <v>106.94</v>
      </c>
      <c r="C425" t="s">
        <v>569</v>
      </c>
      <c r="D425">
        <v>3000</v>
      </c>
      <c r="E425" t="s">
        <v>108</v>
      </c>
    </row>
    <row r="426" spans="1:5" x14ac:dyDescent="0.25">
      <c r="A426" s="6" t="s">
        <v>828</v>
      </c>
      <c r="B426">
        <f t="shared" si="17"/>
        <v>106.94</v>
      </c>
      <c r="C426" t="s">
        <v>569</v>
      </c>
      <c r="D426">
        <v>3000</v>
      </c>
      <c r="E426" t="s">
        <v>108</v>
      </c>
    </row>
    <row r="427" spans="1:5" x14ac:dyDescent="0.25">
      <c r="A427" s="6" t="s">
        <v>664</v>
      </c>
      <c r="B427">
        <f t="shared" si="17"/>
        <v>106.94</v>
      </c>
      <c r="C427" t="s">
        <v>569</v>
      </c>
      <c r="D427">
        <v>1050</v>
      </c>
      <c r="E427" t="s">
        <v>108</v>
      </c>
    </row>
    <row r="428" spans="1:5" x14ac:dyDescent="0.25">
      <c r="A428" t="s">
        <v>589</v>
      </c>
      <c r="B428">
        <f t="shared" si="17"/>
        <v>106.94</v>
      </c>
      <c r="C428" t="s">
        <v>569</v>
      </c>
      <c r="E428" t="s">
        <v>84</v>
      </c>
    </row>
    <row r="429" spans="1:5" x14ac:dyDescent="0.25">
      <c r="A429" s="6" t="s">
        <v>668</v>
      </c>
      <c r="B429">
        <f t="shared" si="17"/>
        <v>106.94</v>
      </c>
      <c r="C429" t="s">
        <v>569</v>
      </c>
      <c r="D429">
        <v>3800</v>
      </c>
      <c r="E429" t="s">
        <v>108</v>
      </c>
    </row>
    <row r="430" spans="1:5" x14ac:dyDescent="0.25">
      <c r="A430" t="s">
        <v>333</v>
      </c>
      <c r="B430">
        <f t="shared" si="17"/>
        <v>106.94</v>
      </c>
      <c r="C430" t="s">
        <v>147</v>
      </c>
      <c r="D430">
        <v>575</v>
      </c>
      <c r="E430" t="s">
        <v>334</v>
      </c>
    </row>
    <row r="431" spans="1:5" x14ac:dyDescent="0.25">
      <c r="A431" s="6" t="s">
        <v>662</v>
      </c>
      <c r="B431">
        <f>(77.67+57.41)*2+10</f>
        <v>280.15999999999997</v>
      </c>
      <c r="C431" t="s">
        <v>676</v>
      </c>
      <c r="D431">
        <v>580</v>
      </c>
      <c r="E431" t="s">
        <v>108</v>
      </c>
    </row>
    <row r="432" spans="1:5" x14ac:dyDescent="0.25">
      <c r="A432" t="s">
        <v>566</v>
      </c>
      <c r="B432">
        <f>77.67+29.27</f>
        <v>106.94</v>
      </c>
      <c r="C432" t="s">
        <v>567</v>
      </c>
      <c r="D432">
        <v>90</v>
      </c>
      <c r="E432" t="s">
        <v>84</v>
      </c>
    </row>
    <row r="433" spans="1:5" x14ac:dyDescent="0.25">
      <c r="A433" s="6" t="s">
        <v>667</v>
      </c>
      <c r="B433">
        <f>77.67+29.27</f>
        <v>106.94</v>
      </c>
      <c r="C433" t="s">
        <v>569</v>
      </c>
      <c r="D433">
        <v>1600</v>
      </c>
      <c r="E433" t="s">
        <v>108</v>
      </c>
    </row>
    <row r="434" spans="1:5" x14ac:dyDescent="0.25">
      <c r="A434" s="6" t="s">
        <v>652</v>
      </c>
      <c r="B434">
        <f>77.67+29.27</f>
        <v>106.94</v>
      </c>
      <c r="C434" t="s">
        <v>569</v>
      </c>
      <c r="D434">
        <v>1750</v>
      </c>
      <c r="E434" t="s">
        <v>108</v>
      </c>
    </row>
    <row r="435" spans="1:5" x14ac:dyDescent="0.25">
      <c r="A435" t="s">
        <v>349</v>
      </c>
      <c r="B435">
        <f>77.67+29.27</f>
        <v>106.94</v>
      </c>
      <c r="C435" t="s">
        <v>569</v>
      </c>
      <c r="D435">
        <v>1900</v>
      </c>
      <c r="E435" t="s">
        <v>108</v>
      </c>
    </row>
    <row r="436" spans="1:5" x14ac:dyDescent="0.25">
      <c r="A436" t="s">
        <v>77</v>
      </c>
      <c r="B436">
        <v>129.44999999999999</v>
      </c>
      <c r="D436">
        <f>29400/28</f>
        <v>1050</v>
      </c>
      <c r="E436" t="s">
        <v>108</v>
      </c>
    </row>
    <row r="437" spans="1:5" x14ac:dyDescent="0.25">
      <c r="A437" t="s">
        <v>564</v>
      </c>
      <c r="B437">
        <f>77.67+29.27</f>
        <v>106.94</v>
      </c>
      <c r="C437" t="s">
        <v>569</v>
      </c>
      <c r="D437">
        <v>700</v>
      </c>
      <c r="E437" t="s">
        <v>84</v>
      </c>
    </row>
    <row r="438" spans="1:5" x14ac:dyDescent="0.25">
      <c r="A438" t="s">
        <v>320</v>
      </c>
      <c r="B438">
        <f>77.67+29.27</f>
        <v>106.94</v>
      </c>
      <c r="C438" t="s">
        <v>569</v>
      </c>
      <c r="D438">
        <v>2000</v>
      </c>
      <c r="E438" t="s">
        <v>108</v>
      </c>
    </row>
    <row r="439" spans="1:5" x14ac:dyDescent="0.25">
      <c r="A439" s="6" t="s">
        <v>666</v>
      </c>
      <c r="B439">
        <f>77.67+29.27</f>
        <v>106.94</v>
      </c>
      <c r="C439" t="s">
        <v>569</v>
      </c>
      <c r="D439">
        <v>2000</v>
      </c>
      <c r="E439" t="s">
        <v>108</v>
      </c>
    </row>
    <row r="440" spans="1:5" x14ac:dyDescent="0.25">
      <c r="A440" s="6" t="s">
        <v>840</v>
      </c>
      <c r="B440">
        <v>106.94</v>
      </c>
      <c r="C440" t="s">
        <v>569</v>
      </c>
      <c r="D440">
        <v>2150</v>
      </c>
      <c r="E440" t="s">
        <v>148</v>
      </c>
    </row>
    <row r="441" spans="1:5" x14ac:dyDescent="0.25">
      <c r="A441" s="6" t="s">
        <v>826</v>
      </c>
      <c r="B441">
        <v>106.94</v>
      </c>
      <c r="C441" t="s">
        <v>569</v>
      </c>
      <c r="D441">
        <v>2000</v>
      </c>
      <c r="E441" t="s">
        <v>108</v>
      </c>
    </row>
    <row r="442" spans="1:5" x14ac:dyDescent="0.25">
      <c r="A442" s="6" t="s">
        <v>654</v>
      </c>
      <c r="B442">
        <v>280.16000000000003</v>
      </c>
      <c r="C442" t="s">
        <v>676</v>
      </c>
      <c r="D442">
        <v>670</v>
      </c>
      <c r="E442" t="s">
        <v>108</v>
      </c>
    </row>
    <row r="443" spans="1:5" x14ac:dyDescent="0.25">
      <c r="A443" s="6" t="s">
        <v>720</v>
      </c>
      <c r="B443">
        <f>77.67+51.78</f>
        <v>129.44999999999999</v>
      </c>
      <c r="C443" t="s">
        <v>569</v>
      </c>
      <c r="D443">
        <v>200</v>
      </c>
      <c r="E443" t="s">
        <v>108</v>
      </c>
    </row>
    <row r="444" spans="1:5" x14ac:dyDescent="0.25">
      <c r="A444" s="6" t="s">
        <v>693</v>
      </c>
      <c r="B444">
        <v>106.94</v>
      </c>
      <c r="C444" t="s">
        <v>569</v>
      </c>
      <c r="D444">
        <v>1900</v>
      </c>
      <c r="E444" t="s">
        <v>108</v>
      </c>
    </row>
    <row r="445" spans="1:5" x14ac:dyDescent="0.25">
      <c r="A445" s="6" t="s">
        <v>699</v>
      </c>
      <c r="B445">
        <v>135.08000000000001</v>
      </c>
      <c r="C445" t="s">
        <v>611</v>
      </c>
      <c r="D445">
        <v>300</v>
      </c>
      <c r="E445" t="s">
        <v>108</v>
      </c>
    </row>
    <row r="446" spans="1:5" x14ac:dyDescent="0.25">
      <c r="A446" s="6">
        <v>16101831</v>
      </c>
      <c r="B446">
        <v>135.08000000000001</v>
      </c>
      <c r="C446" t="s">
        <v>611</v>
      </c>
      <c r="D446">
        <v>1000</v>
      </c>
      <c r="E446" t="s">
        <v>108</v>
      </c>
    </row>
    <row r="447" spans="1:5" x14ac:dyDescent="0.25">
      <c r="A447" s="6" t="s">
        <v>821</v>
      </c>
      <c r="B447">
        <v>106.94</v>
      </c>
      <c r="C447" t="s">
        <v>569</v>
      </c>
      <c r="D447">
        <v>215</v>
      </c>
      <c r="E447" t="s">
        <v>84</v>
      </c>
    </row>
    <row r="448" spans="1:5" x14ac:dyDescent="0.25">
      <c r="A448" s="6" t="s">
        <v>742</v>
      </c>
      <c r="B448">
        <v>106.94</v>
      </c>
      <c r="C448" t="s">
        <v>569</v>
      </c>
      <c r="D448">
        <v>940</v>
      </c>
      <c r="E448" t="s">
        <v>108</v>
      </c>
    </row>
    <row r="449" spans="1:5" x14ac:dyDescent="0.25">
      <c r="A449" s="6" t="s">
        <v>744</v>
      </c>
      <c r="B449">
        <f>106.94*2</f>
        <v>213.88</v>
      </c>
      <c r="C449" t="s">
        <v>569</v>
      </c>
      <c r="D449">
        <v>940</v>
      </c>
      <c r="E449" t="s">
        <v>108</v>
      </c>
    </row>
    <row r="450" spans="1:5" x14ac:dyDescent="0.25">
      <c r="A450" s="6">
        <v>11604000</v>
      </c>
      <c r="B450">
        <f>+(106.94*2)+10</f>
        <v>223.88</v>
      </c>
      <c r="C450" t="s">
        <v>745</v>
      </c>
      <c r="D450">
        <v>585</v>
      </c>
      <c r="E450" t="s">
        <v>108</v>
      </c>
    </row>
    <row r="451" spans="1:5" x14ac:dyDescent="0.25">
      <c r="A451" s="6" t="s">
        <v>729</v>
      </c>
      <c r="B451">
        <v>106.94</v>
      </c>
      <c r="C451" t="s">
        <v>569</v>
      </c>
      <c r="D451">
        <v>1120</v>
      </c>
      <c r="E451" t="s">
        <v>108</v>
      </c>
    </row>
    <row r="452" spans="1:5" x14ac:dyDescent="0.25">
      <c r="A452" s="6" t="s">
        <v>653</v>
      </c>
      <c r="B452">
        <v>106.94</v>
      </c>
      <c r="C452" t="s">
        <v>569</v>
      </c>
      <c r="D452">
        <v>3500</v>
      </c>
      <c r="E452" t="s">
        <v>108</v>
      </c>
    </row>
    <row r="453" spans="1:5" x14ac:dyDescent="0.25">
      <c r="A453" s="6" t="s">
        <v>746</v>
      </c>
      <c r="B453">
        <v>106.94</v>
      </c>
      <c r="C453" t="s">
        <v>569</v>
      </c>
      <c r="D453">
        <v>1125</v>
      </c>
      <c r="E453" t="s">
        <v>108</v>
      </c>
    </row>
    <row r="454" spans="1:5" x14ac:dyDescent="0.25">
      <c r="A454" s="6" t="s">
        <v>733</v>
      </c>
      <c r="B454">
        <f>106.94*2</f>
        <v>213.88</v>
      </c>
      <c r="C454" t="s">
        <v>569</v>
      </c>
      <c r="D454">
        <v>2500</v>
      </c>
      <c r="E454" t="s">
        <v>108</v>
      </c>
    </row>
    <row r="455" spans="1:5" x14ac:dyDescent="0.25">
      <c r="A455" s="6" t="s">
        <v>684</v>
      </c>
      <c r="B455">
        <v>135.08000000000001</v>
      </c>
      <c r="C455" t="s">
        <v>569</v>
      </c>
      <c r="D455">
        <v>660</v>
      </c>
      <c r="E455" t="s">
        <v>108</v>
      </c>
    </row>
    <row r="456" spans="1:5" x14ac:dyDescent="0.25">
      <c r="A456" s="6" t="s">
        <v>714</v>
      </c>
      <c r="B456">
        <v>213.88</v>
      </c>
      <c r="C456" t="s">
        <v>569</v>
      </c>
      <c r="D456">
        <v>700</v>
      </c>
      <c r="E456" t="s">
        <v>108</v>
      </c>
    </row>
    <row r="457" spans="1:5" x14ac:dyDescent="0.25">
      <c r="A457" s="6" t="s">
        <v>715</v>
      </c>
      <c r="B457">
        <v>106.94</v>
      </c>
      <c r="C457" t="s">
        <v>569</v>
      </c>
      <c r="D457">
        <v>1050</v>
      </c>
      <c r="E457" t="s">
        <v>108</v>
      </c>
    </row>
    <row r="458" spans="1:5" x14ac:dyDescent="0.25">
      <c r="A458" s="6" t="s">
        <v>708</v>
      </c>
      <c r="B458">
        <v>106.94</v>
      </c>
      <c r="C458" t="s">
        <v>569</v>
      </c>
      <c r="D458">
        <v>700</v>
      </c>
      <c r="E458" t="s">
        <v>108</v>
      </c>
    </row>
    <row r="459" spans="1:5" x14ac:dyDescent="0.25">
      <c r="A459" s="6" t="s">
        <v>690</v>
      </c>
      <c r="B459">
        <v>135.08000000000001</v>
      </c>
      <c r="C459" t="s">
        <v>727</v>
      </c>
      <c r="D459">
        <v>750</v>
      </c>
      <c r="E459" t="s">
        <v>108</v>
      </c>
    </row>
    <row r="460" spans="1:5" x14ac:dyDescent="0.25">
      <c r="A460" s="6" t="s">
        <v>663</v>
      </c>
      <c r="B460">
        <v>106.94</v>
      </c>
      <c r="C460" t="s">
        <v>569</v>
      </c>
      <c r="D460">
        <v>3000</v>
      </c>
      <c r="E460" t="s">
        <v>108</v>
      </c>
    </row>
    <row r="461" spans="1:5" x14ac:dyDescent="0.25">
      <c r="A461" s="6" t="s">
        <v>698</v>
      </c>
      <c r="B461">
        <v>106.94</v>
      </c>
      <c r="C461" t="s">
        <v>569</v>
      </c>
      <c r="D461">
        <v>3000</v>
      </c>
      <c r="E461" t="s">
        <v>108</v>
      </c>
    </row>
    <row r="462" spans="1:5" x14ac:dyDescent="0.25">
      <c r="A462" s="6" t="s">
        <v>750</v>
      </c>
      <c r="B462">
        <f>51.78+77.67</f>
        <v>129.44999999999999</v>
      </c>
      <c r="C462" t="s">
        <v>751</v>
      </c>
      <c r="D462">
        <v>1300</v>
      </c>
      <c r="E462" t="s">
        <v>108</v>
      </c>
    </row>
    <row r="463" spans="1:5" x14ac:dyDescent="0.25">
      <c r="A463" s="6" t="s">
        <v>752</v>
      </c>
      <c r="B463">
        <v>106.94</v>
      </c>
      <c r="C463" t="s">
        <v>569</v>
      </c>
      <c r="D463">
        <v>950</v>
      </c>
      <c r="E463" t="s">
        <v>108</v>
      </c>
    </row>
    <row r="464" spans="1:5" x14ac:dyDescent="0.25">
      <c r="A464" s="6" t="s">
        <v>851</v>
      </c>
      <c r="B464">
        <v>135.08000000000001</v>
      </c>
      <c r="C464" t="s">
        <v>611</v>
      </c>
      <c r="D464">
        <v>750</v>
      </c>
      <c r="E464" t="s">
        <v>108</v>
      </c>
    </row>
    <row r="465" spans="1:5" x14ac:dyDescent="0.25">
      <c r="A465" s="6" t="s">
        <v>749</v>
      </c>
      <c r="B465">
        <v>106.94</v>
      </c>
      <c r="C465" t="s">
        <v>569</v>
      </c>
      <c r="D465">
        <v>430</v>
      </c>
      <c r="E465" t="s">
        <v>108</v>
      </c>
    </row>
    <row r="466" spans="1:5" x14ac:dyDescent="0.25">
      <c r="A466" s="6" t="s">
        <v>804</v>
      </c>
      <c r="B466">
        <v>106.94</v>
      </c>
      <c r="C466" t="s">
        <v>569</v>
      </c>
      <c r="D466">
        <v>1450</v>
      </c>
      <c r="E466" t="s">
        <v>108</v>
      </c>
    </row>
    <row r="467" spans="1:5" x14ac:dyDescent="0.25">
      <c r="A467" s="6" t="s">
        <v>748</v>
      </c>
      <c r="B467">
        <v>106.94</v>
      </c>
      <c r="C467" t="s">
        <v>569</v>
      </c>
      <c r="D467">
        <v>1125</v>
      </c>
      <c r="E467" t="s">
        <v>108</v>
      </c>
    </row>
    <row r="468" spans="1:5" x14ac:dyDescent="0.25">
      <c r="A468" s="6" t="s">
        <v>688</v>
      </c>
      <c r="B468">
        <v>106.94</v>
      </c>
      <c r="C468" t="s">
        <v>569</v>
      </c>
      <c r="D468">
        <v>1125</v>
      </c>
      <c r="E468" t="s">
        <v>108</v>
      </c>
    </row>
    <row r="469" spans="1:5" x14ac:dyDescent="0.25">
      <c r="A469" s="6" t="s">
        <v>753</v>
      </c>
      <c r="B469">
        <f>106.94*2</f>
        <v>213.88</v>
      </c>
      <c r="C469" t="s">
        <v>754</v>
      </c>
      <c r="D469">
        <v>400</v>
      </c>
      <c r="E469" t="s">
        <v>108</v>
      </c>
    </row>
    <row r="470" spans="1:5" x14ac:dyDescent="0.25">
      <c r="A470" s="6">
        <v>11604852</v>
      </c>
      <c r="B470">
        <v>106.94</v>
      </c>
      <c r="C470" t="s">
        <v>569</v>
      </c>
      <c r="D470">
        <v>550</v>
      </c>
      <c r="E470" t="s">
        <v>108</v>
      </c>
    </row>
    <row r="471" spans="1:5" x14ac:dyDescent="0.25">
      <c r="A471" s="6" t="s">
        <v>707</v>
      </c>
      <c r="B471">
        <v>106.94</v>
      </c>
      <c r="C471" t="s">
        <v>755</v>
      </c>
      <c r="D471">
        <v>1900</v>
      </c>
      <c r="E471" t="s">
        <v>108</v>
      </c>
    </row>
    <row r="472" spans="1:5" x14ac:dyDescent="0.25">
      <c r="A472" s="6" t="s">
        <v>716</v>
      </c>
      <c r="B472">
        <v>106.94</v>
      </c>
      <c r="C472" t="s">
        <v>569</v>
      </c>
      <c r="D472">
        <v>4800</v>
      </c>
      <c r="E472" t="s">
        <v>108</v>
      </c>
    </row>
    <row r="473" spans="1:5" x14ac:dyDescent="0.25">
      <c r="A473" s="6" t="s">
        <v>758</v>
      </c>
      <c r="B473">
        <f>+(106.94)*2+10</f>
        <v>223.88</v>
      </c>
      <c r="C473" t="s">
        <v>759</v>
      </c>
      <c r="D473">
        <v>1100</v>
      </c>
      <c r="E473" t="s">
        <v>108</v>
      </c>
    </row>
    <row r="474" spans="1:5" x14ac:dyDescent="0.25">
      <c r="A474" s="6" t="s">
        <v>762</v>
      </c>
      <c r="B474">
        <v>135.08000000000001</v>
      </c>
      <c r="C474" t="s">
        <v>727</v>
      </c>
      <c r="D474">
        <v>670</v>
      </c>
      <c r="E474" t="s">
        <v>108</v>
      </c>
    </row>
    <row r="475" spans="1:5" x14ac:dyDescent="0.25">
      <c r="A475" s="6" t="s">
        <v>760</v>
      </c>
      <c r="B475">
        <v>106.94</v>
      </c>
      <c r="C475" t="s">
        <v>569</v>
      </c>
      <c r="D475">
        <v>220</v>
      </c>
      <c r="E475" t="s">
        <v>108</v>
      </c>
    </row>
    <row r="476" spans="1:5" x14ac:dyDescent="0.25">
      <c r="A476" s="6" t="s">
        <v>694</v>
      </c>
      <c r="B476">
        <v>106.94</v>
      </c>
      <c r="C476" t="s">
        <v>569</v>
      </c>
      <c r="D476">
        <v>4000</v>
      </c>
      <c r="E476" t="s">
        <v>108</v>
      </c>
    </row>
    <row r="477" spans="1:5" x14ac:dyDescent="0.25">
      <c r="A477" s="6" t="s">
        <v>683</v>
      </c>
      <c r="B477">
        <v>135.08000000000001</v>
      </c>
      <c r="C477" t="s">
        <v>569</v>
      </c>
      <c r="D477">
        <v>525</v>
      </c>
      <c r="E477" t="s">
        <v>108</v>
      </c>
    </row>
    <row r="478" spans="1:5" x14ac:dyDescent="0.25">
      <c r="A478" s="6" t="s">
        <v>712</v>
      </c>
      <c r="B478">
        <v>135.08000000000001</v>
      </c>
      <c r="C478" t="s">
        <v>569</v>
      </c>
      <c r="D478">
        <v>1050</v>
      </c>
      <c r="E478" t="s">
        <v>108</v>
      </c>
    </row>
    <row r="479" spans="1:5" x14ac:dyDescent="0.25">
      <c r="A479" s="6" t="s">
        <v>813</v>
      </c>
      <c r="B479">
        <v>106.94</v>
      </c>
      <c r="C479" t="s">
        <v>569</v>
      </c>
      <c r="D479">
        <v>960</v>
      </c>
      <c r="E479" t="s">
        <v>108</v>
      </c>
    </row>
    <row r="480" spans="1:5" x14ac:dyDescent="0.25">
      <c r="A480" s="6" t="s">
        <v>763</v>
      </c>
      <c r="B480">
        <v>106.94</v>
      </c>
      <c r="C480" t="s">
        <v>569</v>
      </c>
      <c r="D480">
        <v>430</v>
      </c>
      <c r="E480" t="s">
        <v>108</v>
      </c>
    </row>
    <row r="481" spans="1:5" x14ac:dyDescent="0.25">
      <c r="A481" s="6" t="s">
        <v>656</v>
      </c>
      <c r="B481">
        <f>+(135.08*2)+10</f>
        <v>280.16000000000003</v>
      </c>
      <c r="C481" t="s">
        <v>745</v>
      </c>
      <c r="D481">
        <f>16500/20</f>
        <v>825</v>
      </c>
      <c r="E481" t="s">
        <v>108</v>
      </c>
    </row>
    <row r="482" spans="1:5" x14ac:dyDescent="0.25">
      <c r="A482" s="6" t="s">
        <v>830</v>
      </c>
      <c r="B482">
        <v>106.94</v>
      </c>
      <c r="C482" t="s">
        <v>569</v>
      </c>
      <c r="D482">
        <v>1150</v>
      </c>
      <c r="E482" t="s">
        <v>108</v>
      </c>
    </row>
    <row r="483" spans="1:5" x14ac:dyDescent="0.25">
      <c r="A483" s="6" t="s">
        <v>692</v>
      </c>
      <c r="B483">
        <v>106.94</v>
      </c>
      <c r="C483" t="s">
        <v>569</v>
      </c>
      <c r="D483">
        <v>1050</v>
      </c>
      <c r="E483" t="s">
        <v>108</v>
      </c>
    </row>
    <row r="484" spans="1:5" x14ac:dyDescent="0.25">
      <c r="A484" s="6" t="s">
        <v>764</v>
      </c>
      <c r="B484">
        <f>106.94*2</f>
        <v>213.88</v>
      </c>
      <c r="C484" t="s">
        <v>569</v>
      </c>
      <c r="D484">
        <v>450</v>
      </c>
      <c r="E484" t="s">
        <v>108</v>
      </c>
    </row>
    <row r="485" spans="1:5" x14ac:dyDescent="0.25">
      <c r="A485" s="6" t="s">
        <v>682</v>
      </c>
      <c r="B485">
        <f>+(135.08*2)+10</f>
        <v>280.16000000000003</v>
      </c>
      <c r="C485" t="s">
        <v>766</v>
      </c>
      <c r="D485">
        <v>330</v>
      </c>
      <c r="E485" t="s">
        <v>108</v>
      </c>
    </row>
    <row r="486" spans="1:5" x14ac:dyDescent="0.25">
      <c r="A486" s="6">
        <v>7151127803</v>
      </c>
      <c r="B486">
        <v>106.94</v>
      </c>
      <c r="C486" t="s">
        <v>569</v>
      </c>
      <c r="D486">
        <v>3800</v>
      </c>
      <c r="E486" t="s">
        <v>108</v>
      </c>
    </row>
    <row r="487" spans="1:5" x14ac:dyDescent="0.25">
      <c r="A487" s="6" t="s">
        <v>695</v>
      </c>
      <c r="B487">
        <v>106.94</v>
      </c>
      <c r="C487" t="s">
        <v>569</v>
      </c>
      <c r="D487">
        <v>600</v>
      </c>
      <c r="E487" t="s">
        <v>108</v>
      </c>
    </row>
    <row r="488" spans="1:5" x14ac:dyDescent="0.25">
      <c r="A488" s="6" t="s">
        <v>691</v>
      </c>
      <c r="B488">
        <v>106.94</v>
      </c>
      <c r="C488" t="s">
        <v>569</v>
      </c>
      <c r="D488">
        <v>1800</v>
      </c>
      <c r="E488" t="s">
        <v>108</v>
      </c>
    </row>
    <row r="489" spans="1:5" x14ac:dyDescent="0.25">
      <c r="A489" s="6" t="s">
        <v>832</v>
      </c>
      <c r="B489">
        <v>106.94</v>
      </c>
      <c r="C489" t="s">
        <v>569</v>
      </c>
      <c r="D489">
        <v>400</v>
      </c>
      <c r="E489" t="s">
        <v>108</v>
      </c>
    </row>
    <row r="490" spans="1:5" x14ac:dyDescent="0.25">
      <c r="A490" s="6" t="s">
        <v>767</v>
      </c>
      <c r="B490">
        <v>106.94</v>
      </c>
      <c r="C490" t="s">
        <v>569</v>
      </c>
      <c r="D490">
        <v>600</v>
      </c>
      <c r="E490" t="s">
        <v>108</v>
      </c>
    </row>
    <row r="491" spans="1:5" x14ac:dyDescent="0.25">
      <c r="A491" s="6" t="s">
        <v>718</v>
      </c>
      <c r="B491">
        <v>106.94</v>
      </c>
      <c r="C491" t="s">
        <v>569</v>
      </c>
      <c r="D491">
        <v>3500</v>
      </c>
      <c r="E491" t="s">
        <v>108</v>
      </c>
    </row>
    <row r="492" spans="1:5" x14ac:dyDescent="0.25">
      <c r="A492" s="6" t="s">
        <v>768</v>
      </c>
      <c r="B492">
        <v>135.08000000000001</v>
      </c>
      <c r="C492" t="s">
        <v>766</v>
      </c>
      <c r="D492">
        <v>520</v>
      </c>
      <c r="E492" t="s">
        <v>108</v>
      </c>
    </row>
    <row r="493" spans="1:5" x14ac:dyDescent="0.25">
      <c r="A493" s="6" t="s">
        <v>822</v>
      </c>
      <c r="B493">
        <v>135.08000000000001</v>
      </c>
      <c r="C493" t="s">
        <v>766</v>
      </c>
      <c r="D493">
        <v>750</v>
      </c>
      <c r="E493" t="s">
        <v>108</v>
      </c>
    </row>
    <row r="494" spans="1:5" x14ac:dyDescent="0.25">
      <c r="A494" s="6" t="s">
        <v>880</v>
      </c>
      <c r="B494">
        <v>106.94</v>
      </c>
      <c r="C494" t="s">
        <v>569</v>
      </c>
      <c r="D494">
        <v>120</v>
      </c>
      <c r="E494" t="s">
        <v>108</v>
      </c>
    </row>
    <row r="495" spans="1:5" x14ac:dyDescent="0.25">
      <c r="A495" s="6" t="s">
        <v>765</v>
      </c>
      <c r="B495">
        <v>106.94</v>
      </c>
      <c r="C495" t="s">
        <v>569</v>
      </c>
      <c r="D495">
        <v>1150</v>
      </c>
      <c r="E495" t="s">
        <v>108</v>
      </c>
    </row>
    <row r="496" spans="1:5" x14ac:dyDescent="0.25">
      <c r="A496" s="6" t="s">
        <v>769</v>
      </c>
      <c r="B496">
        <v>106.94</v>
      </c>
      <c r="C496" t="s">
        <v>569</v>
      </c>
      <c r="D496">
        <v>3900</v>
      </c>
      <c r="E496" t="s">
        <v>108</v>
      </c>
    </row>
    <row r="497" spans="1:5" x14ac:dyDescent="0.25">
      <c r="A497" s="6" t="s">
        <v>721</v>
      </c>
      <c r="B497">
        <v>106.94</v>
      </c>
      <c r="C497" t="s">
        <v>569</v>
      </c>
      <c r="D497">
        <v>3900</v>
      </c>
      <c r="E497" t="s">
        <v>84</v>
      </c>
    </row>
    <row r="498" spans="1:5" x14ac:dyDescent="0.25">
      <c r="A498" s="6" t="s">
        <v>770</v>
      </c>
      <c r="B498">
        <v>135.08000000000001</v>
      </c>
      <c r="C498" t="s">
        <v>569</v>
      </c>
      <c r="D498">
        <v>6000</v>
      </c>
      <c r="E498" t="s">
        <v>108</v>
      </c>
    </row>
    <row r="499" spans="1:5" x14ac:dyDescent="0.25">
      <c r="A499" s="6" t="s">
        <v>771</v>
      </c>
      <c r="B499">
        <v>106.94</v>
      </c>
      <c r="C499" t="s">
        <v>569</v>
      </c>
      <c r="D499">
        <v>450</v>
      </c>
      <c r="E499" t="s">
        <v>108</v>
      </c>
    </row>
    <row r="500" spans="1:5" x14ac:dyDescent="0.25">
      <c r="A500" s="6" t="s">
        <v>772</v>
      </c>
      <c r="B500">
        <v>129.44999999999999</v>
      </c>
      <c r="C500" t="s">
        <v>569</v>
      </c>
      <c r="D500">
        <v>15000</v>
      </c>
      <c r="E500" t="s">
        <v>108</v>
      </c>
    </row>
    <row r="501" spans="1:5" x14ac:dyDescent="0.25">
      <c r="A501" s="6" t="s">
        <v>709</v>
      </c>
      <c r="B501">
        <v>106.94</v>
      </c>
      <c r="C501" t="s">
        <v>773</v>
      </c>
      <c r="D501">
        <v>1800</v>
      </c>
      <c r="E501" t="s">
        <v>108</v>
      </c>
    </row>
    <row r="502" spans="1:5" x14ac:dyDescent="0.25">
      <c r="A502" s="6" t="s">
        <v>686</v>
      </c>
      <c r="B502">
        <v>106.94</v>
      </c>
      <c r="C502" t="s">
        <v>773</v>
      </c>
      <c r="D502">
        <v>3200</v>
      </c>
      <c r="E502" t="s">
        <v>108</v>
      </c>
    </row>
    <row r="503" spans="1:5" x14ac:dyDescent="0.25">
      <c r="A503" s="6" t="s">
        <v>775</v>
      </c>
      <c r="B503">
        <v>135.08000000000001</v>
      </c>
      <c r="C503" t="s">
        <v>766</v>
      </c>
      <c r="D503">
        <v>240</v>
      </c>
      <c r="E503" t="s">
        <v>108</v>
      </c>
    </row>
    <row r="504" spans="1:5" x14ac:dyDescent="0.25">
      <c r="A504" s="6" t="s">
        <v>776</v>
      </c>
      <c r="B504">
        <f>+(46.15*2)+10</f>
        <v>102.3</v>
      </c>
      <c r="C504" t="s">
        <v>777</v>
      </c>
      <c r="D504">
        <v>1900</v>
      </c>
      <c r="E504" t="s">
        <v>108</v>
      </c>
    </row>
    <row r="505" spans="1:5" x14ac:dyDescent="0.25">
      <c r="A505" s="6">
        <v>11604183</v>
      </c>
      <c r="B505">
        <v>106.94</v>
      </c>
      <c r="C505" t="s">
        <v>569</v>
      </c>
      <c r="D505">
        <v>370</v>
      </c>
      <c r="E505" t="s">
        <v>108</v>
      </c>
    </row>
    <row r="506" spans="1:5" x14ac:dyDescent="0.25">
      <c r="A506" s="6" t="s">
        <v>719</v>
      </c>
      <c r="B506">
        <v>106.94</v>
      </c>
      <c r="C506" t="s">
        <v>569</v>
      </c>
      <c r="D506">
        <v>2150</v>
      </c>
      <c r="E506" t="s">
        <v>108</v>
      </c>
    </row>
    <row r="507" spans="1:5" x14ac:dyDescent="0.25">
      <c r="A507" s="6" t="s">
        <v>774</v>
      </c>
      <c r="B507">
        <f>106.94*2</f>
        <v>213.88</v>
      </c>
      <c r="C507" t="s">
        <v>569</v>
      </c>
      <c r="D507">
        <v>500</v>
      </c>
      <c r="E507" t="s">
        <v>108</v>
      </c>
    </row>
    <row r="508" spans="1:5" x14ac:dyDescent="0.25">
      <c r="A508" s="6" t="s">
        <v>778</v>
      </c>
      <c r="B508">
        <v>135.08000000000001</v>
      </c>
      <c r="C508" t="s">
        <v>727</v>
      </c>
      <c r="D508">
        <v>4900</v>
      </c>
      <c r="E508" t="s">
        <v>108</v>
      </c>
    </row>
    <row r="509" spans="1:5" x14ac:dyDescent="0.25">
      <c r="A509" s="6" t="s">
        <v>779</v>
      </c>
      <c r="B509">
        <v>106.94</v>
      </c>
      <c r="C509" t="s">
        <v>569</v>
      </c>
      <c r="D509">
        <v>400</v>
      </c>
      <c r="E509" t="s">
        <v>108</v>
      </c>
    </row>
    <row r="510" spans="1:5" x14ac:dyDescent="0.25">
      <c r="A510" s="6" t="s">
        <v>780</v>
      </c>
      <c r="B510">
        <v>106.94</v>
      </c>
      <c r="C510" t="s">
        <v>569</v>
      </c>
      <c r="D510">
        <v>820</v>
      </c>
      <c r="E510" t="s">
        <v>108</v>
      </c>
    </row>
    <row r="511" spans="1:5" x14ac:dyDescent="0.25">
      <c r="A511" s="6" t="s">
        <v>782</v>
      </c>
      <c r="B511">
        <v>135.08000000000001</v>
      </c>
      <c r="C511" t="s">
        <v>569</v>
      </c>
      <c r="D511">
        <v>4900</v>
      </c>
      <c r="E511" t="s">
        <v>108</v>
      </c>
    </row>
    <row r="512" spans="1:5" x14ac:dyDescent="0.25">
      <c r="A512" s="6">
        <v>54041001</v>
      </c>
      <c r="B512">
        <v>106.94</v>
      </c>
      <c r="C512" t="s">
        <v>569</v>
      </c>
      <c r="D512">
        <v>225</v>
      </c>
      <c r="E512" t="s">
        <v>108</v>
      </c>
    </row>
    <row r="513" spans="1:6" x14ac:dyDescent="0.25">
      <c r="A513" s="6" t="s">
        <v>783</v>
      </c>
      <c r="B513">
        <v>106.94</v>
      </c>
      <c r="C513" t="s">
        <v>569</v>
      </c>
      <c r="D513">
        <v>870</v>
      </c>
      <c r="E513" t="s">
        <v>108</v>
      </c>
    </row>
    <row r="514" spans="1:6" x14ac:dyDescent="0.25">
      <c r="A514" s="6" t="s">
        <v>784</v>
      </c>
      <c r="B514">
        <v>106.94</v>
      </c>
      <c r="C514" t="s">
        <v>569</v>
      </c>
      <c r="D514">
        <v>3000</v>
      </c>
      <c r="E514" t="s">
        <v>108</v>
      </c>
    </row>
    <row r="515" spans="1:6" x14ac:dyDescent="0.25">
      <c r="A515" s="6" t="s">
        <v>689</v>
      </c>
      <c r="B515">
        <v>106.94</v>
      </c>
      <c r="C515" t="s">
        <v>569</v>
      </c>
      <c r="D515">
        <v>300</v>
      </c>
      <c r="E515" t="s">
        <v>108</v>
      </c>
    </row>
    <row r="516" spans="1:6" x14ac:dyDescent="0.25">
      <c r="A516" s="6" t="s">
        <v>738</v>
      </c>
      <c r="B516">
        <f>+((77.67+74.29)*2)+10</f>
        <v>313.92</v>
      </c>
      <c r="C516" t="s">
        <v>786</v>
      </c>
      <c r="D516">
        <v>2800</v>
      </c>
      <c r="E516" t="s">
        <v>108</v>
      </c>
    </row>
    <row r="517" spans="1:6" x14ac:dyDescent="0.25">
      <c r="A517" s="6" t="s">
        <v>787</v>
      </c>
      <c r="B517">
        <f>77.67+46.51</f>
        <v>124.18</v>
      </c>
      <c r="C517" t="s">
        <v>628</v>
      </c>
      <c r="D517">
        <v>1300</v>
      </c>
      <c r="E517" t="s">
        <v>108</v>
      </c>
    </row>
    <row r="518" spans="1:6" x14ac:dyDescent="0.25">
      <c r="A518" s="6" t="s">
        <v>785</v>
      </c>
      <c r="B518">
        <v>106.94</v>
      </c>
      <c r="C518" t="s">
        <v>569</v>
      </c>
      <c r="D518">
        <v>3500</v>
      </c>
      <c r="E518" t="s">
        <v>108</v>
      </c>
    </row>
    <row r="519" spans="1:6" x14ac:dyDescent="0.25">
      <c r="A519" s="6" t="s">
        <v>781</v>
      </c>
      <c r="B519">
        <v>106.94</v>
      </c>
      <c r="C519" t="s">
        <v>569</v>
      </c>
      <c r="D519">
        <v>220</v>
      </c>
      <c r="E519" t="s">
        <v>108</v>
      </c>
    </row>
    <row r="520" spans="1:6" x14ac:dyDescent="0.25">
      <c r="A520" s="6" t="s">
        <v>788</v>
      </c>
      <c r="B520">
        <v>135.08000000000001</v>
      </c>
      <c r="C520" t="s">
        <v>727</v>
      </c>
      <c r="D520">
        <v>700</v>
      </c>
      <c r="E520" t="s">
        <v>108</v>
      </c>
    </row>
    <row r="521" spans="1:6" x14ac:dyDescent="0.25">
      <c r="A521" s="6" t="s">
        <v>696</v>
      </c>
      <c r="B521">
        <v>135.08000000000001</v>
      </c>
      <c r="C521" t="s">
        <v>727</v>
      </c>
      <c r="D521">
        <v>350</v>
      </c>
      <c r="E521" t="s">
        <v>108</v>
      </c>
    </row>
    <row r="522" spans="1:6" x14ac:dyDescent="0.25">
      <c r="A522" s="6" t="s">
        <v>789</v>
      </c>
      <c r="B522">
        <v>106.94</v>
      </c>
      <c r="C522" t="s">
        <v>569</v>
      </c>
      <c r="D522">
        <v>1000</v>
      </c>
      <c r="E522" t="s">
        <v>108</v>
      </c>
    </row>
    <row r="523" spans="1:6" x14ac:dyDescent="0.25">
      <c r="A523" s="6" t="s">
        <v>790</v>
      </c>
      <c r="B523">
        <v>129.44999999999999</v>
      </c>
      <c r="C523" t="s">
        <v>569</v>
      </c>
      <c r="E523" t="s">
        <v>108</v>
      </c>
    </row>
    <row r="524" spans="1:6" x14ac:dyDescent="0.25">
      <c r="A524" s="6" t="s">
        <v>717</v>
      </c>
      <c r="B524">
        <v>135.08000000000001</v>
      </c>
      <c r="C524" t="s">
        <v>569</v>
      </c>
      <c r="D524">
        <v>460</v>
      </c>
      <c r="E524" t="s">
        <v>108</v>
      </c>
    </row>
    <row r="525" spans="1:6" x14ac:dyDescent="0.25">
      <c r="A525" s="6">
        <v>82250</v>
      </c>
      <c r="B525">
        <f>+(106.94*2)+10</f>
        <v>223.88</v>
      </c>
      <c r="C525" t="s">
        <v>569</v>
      </c>
      <c r="D525">
        <v>625</v>
      </c>
      <c r="E525" t="s">
        <v>108</v>
      </c>
    </row>
    <row r="526" spans="1:6" x14ac:dyDescent="0.25">
      <c r="A526" s="6" t="s">
        <v>792</v>
      </c>
      <c r="B526">
        <v>106.94</v>
      </c>
      <c r="C526" t="s">
        <v>569</v>
      </c>
      <c r="D526">
        <v>450</v>
      </c>
      <c r="E526" t="s">
        <v>108</v>
      </c>
    </row>
    <row r="527" spans="1:6" x14ac:dyDescent="0.25">
      <c r="A527" s="6" t="s">
        <v>791</v>
      </c>
      <c r="B527">
        <v>223.88</v>
      </c>
      <c r="C527" t="s">
        <v>569</v>
      </c>
      <c r="D527">
        <v>960</v>
      </c>
      <c r="E527" t="s">
        <v>108</v>
      </c>
    </row>
    <row r="528" spans="1:6" x14ac:dyDescent="0.25">
      <c r="A528" s="109" t="s">
        <v>794</v>
      </c>
      <c r="B528" s="110">
        <v>51.78</v>
      </c>
      <c r="C528" s="110" t="s">
        <v>613</v>
      </c>
      <c r="D528" s="110">
        <v>195</v>
      </c>
      <c r="E528" s="110" t="s">
        <v>108</v>
      </c>
      <c r="F528" s="110"/>
    </row>
    <row r="529" spans="1:5" x14ac:dyDescent="0.25">
      <c r="A529" s="6" t="s">
        <v>795</v>
      </c>
      <c r="B529">
        <f>+(135.08*2)+10</f>
        <v>280.16000000000003</v>
      </c>
      <c r="C529" t="s">
        <v>797</v>
      </c>
      <c r="D529">
        <v>700</v>
      </c>
      <c r="E529" t="s">
        <v>108</v>
      </c>
    </row>
    <row r="530" spans="1:5" x14ac:dyDescent="0.25">
      <c r="A530" s="6" t="s">
        <v>651</v>
      </c>
      <c r="B530">
        <f>+(135.08*2)+10</f>
        <v>280.16000000000003</v>
      </c>
      <c r="C530" t="s">
        <v>797</v>
      </c>
      <c r="D530">
        <v>800</v>
      </c>
      <c r="E530" t="s">
        <v>108</v>
      </c>
    </row>
    <row r="531" spans="1:5" x14ac:dyDescent="0.25">
      <c r="A531" s="6" t="s">
        <v>799</v>
      </c>
      <c r="B531">
        <f>+(74.29*2)+10</f>
        <v>158.58000000000001</v>
      </c>
      <c r="C531" t="s">
        <v>800</v>
      </c>
      <c r="D531">
        <v>27000</v>
      </c>
      <c r="E531" t="s">
        <v>108</v>
      </c>
    </row>
    <row r="532" spans="1:5" x14ac:dyDescent="0.25">
      <c r="A532" s="6" t="s">
        <v>730</v>
      </c>
      <c r="B532">
        <v>106.94</v>
      </c>
      <c r="C532" t="s">
        <v>569</v>
      </c>
      <c r="D532">
        <v>3500</v>
      </c>
      <c r="E532" t="s">
        <v>108</v>
      </c>
    </row>
    <row r="533" spans="1:5" x14ac:dyDescent="0.25">
      <c r="A533" s="6" t="s">
        <v>796</v>
      </c>
      <c r="B533">
        <v>106.94</v>
      </c>
      <c r="C533" t="s">
        <v>569</v>
      </c>
      <c r="D533">
        <v>3500</v>
      </c>
      <c r="E533" t="s">
        <v>108</v>
      </c>
    </row>
    <row r="534" spans="1:5" x14ac:dyDescent="0.25">
      <c r="A534" s="6" t="s">
        <v>747</v>
      </c>
      <c r="B534">
        <v>106.94</v>
      </c>
      <c r="C534" t="s">
        <v>569</v>
      </c>
      <c r="D534">
        <v>1000</v>
      </c>
      <c r="E534" t="s">
        <v>108</v>
      </c>
    </row>
    <row r="535" spans="1:5" x14ac:dyDescent="0.25">
      <c r="A535" s="6" t="s">
        <v>806</v>
      </c>
      <c r="B535">
        <v>106.94</v>
      </c>
      <c r="C535" t="s">
        <v>569</v>
      </c>
      <c r="D535">
        <v>1000</v>
      </c>
      <c r="E535" t="s">
        <v>108</v>
      </c>
    </row>
    <row r="536" spans="1:5" x14ac:dyDescent="0.25">
      <c r="A536" s="6" t="s">
        <v>711</v>
      </c>
      <c r="B536">
        <v>106.94</v>
      </c>
      <c r="C536" t="s">
        <v>569</v>
      </c>
      <c r="D536">
        <v>1200</v>
      </c>
      <c r="E536" t="s">
        <v>108</v>
      </c>
    </row>
    <row r="537" spans="1:5" x14ac:dyDescent="0.25">
      <c r="A537" s="6" t="s">
        <v>803</v>
      </c>
      <c r="B537">
        <v>106.94</v>
      </c>
      <c r="C537" t="s">
        <v>569</v>
      </c>
      <c r="D537">
        <v>1125</v>
      </c>
      <c r="E537" t="s">
        <v>108</v>
      </c>
    </row>
    <row r="538" spans="1:5" x14ac:dyDescent="0.25">
      <c r="A538" t="s">
        <v>793</v>
      </c>
      <c r="B538">
        <f t="shared" ref="B538" si="18">77.67+29.27</f>
        <v>106.94</v>
      </c>
      <c r="C538" t="s">
        <v>147</v>
      </c>
      <c r="D538">
        <v>1200</v>
      </c>
      <c r="E538" t="s">
        <v>108</v>
      </c>
    </row>
    <row r="539" spans="1:5" x14ac:dyDescent="0.25">
      <c r="A539" s="6">
        <v>91054</v>
      </c>
      <c r="B539">
        <v>106.94</v>
      </c>
      <c r="C539" t="s">
        <v>569</v>
      </c>
      <c r="E539" t="s">
        <v>108</v>
      </c>
    </row>
    <row r="540" spans="1:5" x14ac:dyDescent="0.25">
      <c r="A540" s="6" t="s">
        <v>888</v>
      </c>
      <c r="B540">
        <v>106.94</v>
      </c>
      <c r="C540" t="s">
        <v>150</v>
      </c>
      <c r="D540">
        <v>750</v>
      </c>
      <c r="E540" t="s">
        <v>108</v>
      </c>
    </row>
    <row r="541" spans="1:5" x14ac:dyDescent="0.25">
      <c r="A541" s="6" t="s">
        <v>881</v>
      </c>
      <c r="B541">
        <v>106.94</v>
      </c>
      <c r="C541" t="s">
        <v>569</v>
      </c>
      <c r="D541">
        <v>900</v>
      </c>
      <c r="E541" t="s">
        <v>148</v>
      </c>
    </row>
    <row r="542" spans="1:5" x14ac:dyDescent="0.25">
      <c r="A542" s="6" t="s">
        <v>882</v>
      </c>
      <c r="B542">
        <v>106.94</v>
      </c>
      <c r="C542" t="s">
        <v>569</v>
      </c>
      <c r="D542">
        <v>1700</v>
      </c>
      <c r="E542" t="s">
        <v>148</v>
      </c>
    </row>
    <row r="543" spans="1:5" x14ac:dyDescent="0.25">
      <c r="A543" s="6" t="s">
        <v>883</v>
      </c>
      <c r="B543">
        <v>106.94</v>
      </c>
      <c r="C543" t="s">
        <v>569</v>
      </c>
      <c r="D543">
        <v>230</v>
      </c>
      <c r="E543" t="s">
        <v>108</v>
      </c>
    </row>
    <row r="544" spans="1:5" x14ac:dyDescent="0.25">
      <c r="A544" s="6" t="s">
        <v>884</v>
      </c>
      <c r="B544">
        <v>106.94</v>
      </c>
      <c r="C544" t="s">
        <v>569</v>
      </c>
      <c r="D544">
        <v>1350</v>
      </c>
      <c r="E544" t="s">
        <v>108</v>
      </c>
    </row>
    <row r="545" spans="1:5" x14ac:dyDescent="0.25">
      <c r="A545" s="6" t="s">
        <v>872</v>
      </c>
      <c r="B545">
        <v>106.94</v>
      </c>
      <c r="C545" t="s">
        <v>569</v>
      </c>
      <c r="D545">
        <v>215</v>
      </c>
      <c r="E545" t="s">
        <v>108</v>
      </c>
    </row>
    <row r="546" spans="1:5" x14ac:dyDescent="0.25">
      <c r="A546" s="6" t="s">
        <v>886</v>
      </c>
      <c r="B546">
        <v>106.94</v>
      </c>
      <c r="C546" t="s">
        <v>569</v>
      </c>
      <c r="D546">
        <v>2500</v>
      </c>
      <c r="E546" t="s">
        <v>108</v>
      </c>
    </row>
    <row r="547" spans="1:5" x14ac:dyDescent="0.25">
      <c r="A547" s="6" t="s">
        <v>885</v>
      </c>
      <c r="B547">
        <v>106.94</v>
      </c>
      <c r="C547" t="s">
        <v>569</v>
      </c>
      <c r="D547">
        <v>250</v>
      </c>
      <c r="E547" t="s">
        <v>108</v>
      </c>
    </row>
    <row r="548" spans="1:5" x14ac:dyDescent="0.25">
      <c r="A548" s="6" t="s">
        <v>889</v>
      </c>
      <c r="B548">
        <v>106.94</v>
      </c>
      <c r="C548" t="s">
        <v>569</v>
      </c>
      <c r="D548">
        <v>450</v>
      </c>
      <c r="E548" t="s">
        <v>84</v>
      </c>
    </row>
    <row r="549" spans="1:5" x14ac:dyDescent="0.25">
      <c r="A549" s="6" t="s">
        <v>890</v>
      </c>
      <c r="B549">
        <v>106.94</v>
      </c>
      <c r="C549" t="s">
        <v>569</v>
      </c>
      <c r="D549">
        <v>145</v>
      </c>
      <c r="E549" t="s">
        <v>108</v>
      </c>
    </row>
    <row r="550" spans="1:5" x14ac:dyDescent="0.25">
      <c r="A550" s="6">
        <v>500009196</v>
      </c>
      <c r="B550">
        <v>106.94</v>
      </c>
      <c r="C550" t="s">
        <v>569</v>
      </c>
      <c r="D550">
        <v>1200</v>
      </c>
      <c r="E550" t="s">
        <v>108</v>
      </c>
    </row>
    <row r="551" spans="1:5" x14ac:dyDescent="0.25">
      <c r="A551" s="6">
        <v>7151143403</v>
      </c>
      <c r="B551">
        <v>106.94</v>
      </c>
      <c r="C551" t="s">
        <v>569</v>
      </c>
      <c r="D551">
        <v>1750</v>
      </c>
      <c r="E551" t="s">
        <v>108</v>
      </c>
    </row>
    <row r="552" spans="1:5" x14ac:dyDescent="0.25">
      <c r="A552" s="6">
        <v>42068967</v>
      </c>
      <c r="B552">
        <f>77.67+46.15</f>
        <v>123.82</v>
      </c>
      <c r="C552" t="s">
        <v>628</v>
      </c>
      <c r="D552">
        <v>320</v>
      </c>
      <c r="E552" t="s">
        <v>108</v>
      </c>
    </row>
    <row r="553" spans="1:5" x14ac:dyDescent="0.25">
      <c r="A553" s="6" t="s">
        <v>897</v>
      </c>
      <c r="B553">
        <v>106.94</v>
      </c>
      <c r="C553" t="s">
        <v>569</v>
      </c>
      <c r="D553">
        <v>2500</v>
      </c>
      <c r="E553" t="s">
        <v>108</v>
      </c>
    </row>
    <row r="554" spans="1:5" x14ac:dyDescent="0.25">
      <c r="A554" s="6" t="s">
        <v>903</v>
      </c>
      <c r="B554">
        <v>135.08000000000001</v>
      </c>
      <c r="C554" t="s">
        <v>904</v>
      </c>
      <c r="D554">
        <v>1300</v>
      </c>
      <c r="E554" t="s">
        <v>108</v>
      </c>
    </row>
    <row r="555" spans="1:5" x14ac:dyDescent="0.25">
      <c r="A555" s="6">
        <v>11604820</v>
      </c>
      <c r="B555">
        <v>135.08000000000001</v>
      </c>
      <c r="C555" t="s">
        <v>904</v>
      </c>
      <c r="D555">
        <v>330</v>
      </c>
      <c r="E555" t="s">
        <v>108</v>
      </c>
    </row>
    <row r="556" spans="1:5" x14ac:dyDescent="0.25">
      <c r="A556" s="6" t="s">
        <v>905</v>
      </c>
      <c r="B556">
        <v>135.08000000000001</v>
      </c>
      <c r="C556" t="s">
        <v>904</v>
      </c>
      <c r="D556">
        <v>830</v>
      </c>
      <c r="E556" t="s">
        <v>108</v>
      </c>
    </row>
    <row r="557" spans="1:5" x14ac:dyDescent="0.25">
      <c r="A557" s="6" t="s">
        <v>911</v>
      </c>
      <c r="B557">
        <v>129.44999999999999</v>
      </c>
      <c r="C557" t="s">
        <v>912</v>
      </c>
      <c r="E557" t="s">
        <v>108</v>
      </c>
    </row>
    <row r="558" spans="1:5" x14ac:dyDescent="0.25">
      <c r="A558" s="6" t="s">
        <v>907</v>
      </c>
      <c r="B558">
        <v>135.08000000000001</v>
      </c>
      <c r="C558" t="s">
        <v>904</v>
      </c>
      <c r="D558">
        <v>450</v>
      </c>
      <c r="E558" t="s">
        <v>108</v>
      </c>
    </row>
    <row r="559" spans="1:5" x14ac:dyDescent="0.25">
      <c r="A559" s="6" t="s">
        <v>908</v>
      </c>
      <c r="B559">
        <f>135.08*2</f>
        <v>270.16000000000003</v>
      </c>
      <c r="C559" t="s">
        <v>913</v>
      </c>
      <c r="D559">
        <v>180</v>
      </c>
      <c r="E559" t="s">
        <v>108</v>
      </c>
    </row>
    <row r="560" spans="1:5" x14ac:dyDescent="0.25">
      <c r="A560" s="6" t="s">
        <v>876</v>
      </c>
      <c r="B560">
        <v>106.94</v>
      </c>
      <c r="C560" t="s">
        <v>569</v>
      </c>
      <c r="D560">
        <v>3000</v>
      </c>
      <c r="E560" t="s">
        <v>108</v>
      </c>
    </row>
    <row r="561" spans="1:5" x14ac:dyDescent="0.25">
      <c r="A561" s="6" t="s">
        <v>909</v>
      </c>
      <c r="B561">
        <v>224.49</v>
      </c>
      <c r="C561" t="s">
        <v>914</v>
      </c>
      <c r="D561">
        <v>960</v>
      </c>
      <c r="E561" t="s">
        <v>108</v>
      </c>
    </row>
    <row r="562" spans="1:5" x14ac:dyDescent="0.25">
      <c r="A562" s="6" t="s">
        <v>916</v>
      </c>
      <c r="B562">
        <v>106.94</v>
      </c>
      <c r="C562" t="s">
        <v>569</v>
      </c>
      <c r="D562">
        <v>300</v>
      </c>
      <c r="E562" t="s">
        <v>108</v>
      </c>
    </row>
    <row r="563" spans="1:5" x14ac:dyDescent="0.25">
      <c r="A563" s="6" t="s">
        <v>921</v>
      </c>
      <c r="B563">
        <v>106.94</v>
      </c>
      <c r="C563" t="s">
        <v>569</v>
      </c>
      <c r="D563">
        <v>220</v>
      </c>
      <c r="E563" t="s">
        <v>108</v>
      </c>
    </row>
    <row r="564" spans="1:5" x14ac:dyDescent="0.25">
      <c r="A564" s="6" t="s">
        <v>922</v>
      </c>
      <c r="B564">
        <f>135.08*2</f>
        <v>270.16000000000003</v>
      </c>
      <c r="C564" t="s">
        <v>923</v>
      </c>
      <c r="D564">
        <v>1125</v>
      </c>
      <c r="E564" t="s">
        <v>108</v>
      </c>
    </row>
  </sheetData>
  <phoneticPr fontId="34"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Wrong Input" error="Sorry! This client is not existing. Please check Client List sheet!" xr:uid="{00000000-0002-0000-0800-000000000000}">
          <x14:formula1>
            <xm:f>ClientList!$A$2:$A$53</xm:f>
          </x14:formula1>
          <xm:sqref>E538 E2:E236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192"/>
  <sheetViews>
    <sheetView topLeftCell="E27" workbookViewId="0">
      <selection activeCell="O44" sqref="O44"/>
    </sheetView>
  </sheetViews>
  <sheetFormatPr defaultRowHeight="15" x14ac:dyDescent="0.25"/>
  <cols>
    <col min="1" max="1" width="21.7109375" bestFit="1" customWidth="1"/>
    <col min="2" max="2" width="19.85546875" bestFit="1" customWidth="1"/>
    <col min="3" max="3" width="18.140625" bestFit="1" customWidth="1"/>
  </cols>
  <sheetData>
    <row r="1" spans="1:3" ht="18.75" x14ac:dyDescent="0.3">
      <c r="A1" s="9" t="s">
        <v>283</v>
      </c>
    </row>
    <row r="2" spans="1:3" x14ac:dyDescent="0.25">
      <c r="A2" s="8" t="s">
        <v>352</v>
      </c>
    </row>
    <row r="4" spans="1:3" x14ac:dyDescent="0.25">
      <c r="A4" s="16" t="s">
        <v>351</v>
      </c>
      <c r="B4" s="14" t="s">
        <v>282</v>
      </c>
      <c r="C4" s="48" t="s">
        <v>403</v>
      </c>
    </row>
    <row r="5" spans="1:3" x14ac:dyDescent="0.25">
      <c r="A5" s="6" t="s">
        <v>622</v>
      </c>
      <c r="B5" s="13">
        <v>9908615</v>
      </c>
      <c r="C5" s="49">
        <v>29006.889999999974</v>
      </c>
    </row>
    <row r="6" spans="1:3" x14ac:dyDescent="0.25">
      <c r="A6" s="96" t="s">
        <v>614</v>
      </c>
      <c r="B6" s="13"/>
      <c r="C6" s="49"/>
    </row>
    <row r="7" spans="1:3" x14ac:dyDescent="0.25">
      <c r="A7" s="12" t="s">
        <v>342</v>
      </c>
      <c r="B7" s="13">
        <v>177540</v>
      </c>
      <c r="C7" s="49">
        <v>1060.9000000000001</v>
      </c>
    </row>
    <row r="8" spans="1:3" x14ac:dyDescent="0.25">
      <c r="A8" s="12" t="s">
        <v>344</v>
      </c>
      <c r="B8" s="13">
        <v>83090</v>
      </c>
      <c r="C8" s="49">
        <v>860.05000000000007</v>
      </c>
    </row>
    <row r="9" spans="1:3" x14ac:dyDescent="0.25">
      <c r="A9" s="12" t="s">
        <v>551</v>
      </c>
      <c r="B9" s="13">
        <v>90000</v>
      </c>
      <c r="C9" s="49">
        <v>97.85</v>
      </c>
    </row>
    <row r="10" spans="1:3" x14ac:dyDescent="0.25">
      <c r="A10" s="95">
        <v>11546449</v>
      </c>
      <c r="B10" s="13">
        <v>90000</v>
      </c>
      <c r="C10" s="49">
        <v>97.85</v>
      </c>
    </row>
    <row r="11" spans="1:3" x14ac:dyDescent="0.25">
      <c r="A11" s="12" t="s">
        <v>550</v>
      </c>
      <c r="B11" s="13">
        <v>196200</v>
      </c>
      <c r="C11" s="49">
        <v>293.54999999999995</v>
      </c>
    </row>
    <row r="12" spans="1:3" x14ac:dyDescent="0.25">
      <c r="A12" s="12" t="s">
        <v>549</v>
      </c>
      <c r="B12" s="13">
        <v>381800</v>
      </c>
      <c r="C12" s="49">
        <v>489.25</v>
      </c>
    </row>
    <row r="13" spans="1:3" x14ac:dyDescent="0.25">
      <c r="A13" s="12" t="s">
        <v>552</v>
      </c>
      <c r="B13" s="13">
        <v>92400</v>
      </c>
      <c r="C13" s="49">
        <v>293.54999999999995</v>
      </c>
    </row>
    <row r="14" spans="1:3" x14ac:dyDescent="0.25">
      <c r="A14" s="95">
        <v>11546366</v>
      </c>
      <c r="B14" s="13">
        <v>78000</v>
      </c>
      <c r="C14" s="49">
        <v>195.7</v>
      </c>
    </row>
    <row r="15" spans="1:3" x14ac:dyDescent="0.25">
      <c r="A15" s="95">
        <v>11549170</v>
      </c>
      <c r="B15" s="13">
        <v>14400</v>
      </c>
      <c r="C15" s="49">
        <v>97.85</v>
      </c>
    </row>
    <row r="16" spans="1:3" x14ac:dyDescent="0.25">
      <c r="A16" s="12" t="s">
        <v>553</v>
      </c>
      <c r="B16" s="13">
        <v>265000</v>
      </c>
      <c r="C16" s="49">
        <v>293.54999999999995</v>
      </c>
    </row>
    <row r="17" spans="1:3" x14ac:dyDescent="0.25">
      <c r="A17" s="95">
        <v>11546449</v>
      </c>
      <c r="B17" s="13">
        <v>85000</v>
      </c>
      <c r="C17" s="49">
        <v>97.85</v>
      </c>
    </row>
    <row r="18" spans="1:3" x14ac:dyDescent="0.25">
      <c r="A18" s="95">
        <v>11610091</v>
      </c>
      <c r="B18" s="13">
        <v>180000</v>
      </c>
      <c r="C18" s="49">
        <v>195.7</v>
      </c>
    </row>
    <row r="19" spans="1:3" x14ac:dyDescent="0.25">
      <c r="A19" s="12" t="s">
        <v>554</v>
      </c>
      <c r="B19" s="13">
        <v>41250</v>
      </c>
      <c r="C19" s="49">
        <v>97.85</v>
      </c>
    </row>
    <row r="20" spans="1:3" x14ac:dyDescent="0.25">
      <c r="A20" s="95">
        <v>11546378</v>
      </c>
      <c r="B20" s="13">
        <v>41250</v>
      </c>
      <c r="C20" s="49">
        <v>97.85</v>
      </c>
    </row>
    <row r="21" spans="1:3" x14ac:dyDescent="0.25">
      <c r="A21" s="12" t="s">
        <v>555</v>
      </c>
      <c r="B21" s="13">
        <v>180000</v>
      </c>
      <c r="C21" s="49">
        <v>195.7</v>
      </c>
    </row>
    <row r="22" spans="1:3" x14ac:dyDescent="0.25">
      <c r="A22" s="12" t="s">
        <v>556</v>
      </c>
      <c r="B22" s="13">
        <v>90000</v>
      </c>
      <c r="C22" s="49">
        <v>97.85</v>
      </c>
    </row>
    <row r="23" spans="1:3" x14ac:dyDescent="0.25">
      <c r="A23" s="12" t="s">
        <v>559</v>
      </c>
      <c r="B23" s="13">
        <v>23800</v>
      </c>
      <c r="C23" s="49">
        <v>97.85</v>
      </c>
    </row>
    <row r="24" spans="1:3" x14ac:dyDescent="0.25">
      <c r="A24" s="95">
        <v>11546367</v>
      </c>
      <c r="B24" s="13">
        <v>23800</v>
      </c>
      <c r="C24" s="49">
        <v>97.85</v>
      </c>
    </row>
    <row r="25" spans="1:3" x14ac:dyDescent="0.25">
      <c r="A25" s="12" t="s">
        <v>560</v>
      </c>
      <c r="B25" s="13">
        <v>51300</v>
      </c>
      <c r="C25" s="49">
        <v>293.54999999999995</v>
      </c>
    </row>
    <row r="26" spans="1:3" x14ac:dyDescent="0.25">
      <c r="A26" s="12" t="s">
        <v>561</v>
      </c>
      <c r="B26" s="13">
        <v>62500</v>
      </c>
      <c r="C26" s="49">
        <v>97.85</v>
      </c>
    </row>
    <row r="27" spans="1:3" x14ac:dyDescent="0.25">
      <c r="A27" s="12" t="s">
        <v>573</v>
      </c>
      <c r="B27" s="13">
        <v>80000</v>
      </c>
      <c r="C27" s="49">
        <v>97.85</v>
      </c>
    </row>
    <row r="28" spans="1:3" x14ac:dyDescent="0.25">
      <c r="A28" s="95">
        <v>11514596</v>
      </c>
      <c r="B28" s="13">
        <v>80000</v>
      </c>
      <c r="C28" s="49">
        <v>97.85</v>
      </c>
    </row>
    <row r="29" spans="1:3" x14ac:dyDescent="0.25">
      <c r="A29" s="12" t="s">
        <v>599</v>
      </c>
      <c r="B29" s="13">
        <v>116250</v>
      </c>
      <c r="C29" s="49">
        <v>195.7</v>
      </c>
    </row>
    <row r="30" spans="1:3" x14ac:dyDescent="0.25">
      <c r="A30" s="95">
        <v>11546378</v>
      </c>
      <c r="B30" s="13">
        <v>41250</v>
      </c>
      <c r="C30" s="49">
        <v>97.85</v>
      </c>
    </row>
    <row r="31" spans="1:3" x14ac:dyDescent="0.25">
      <c r="A31" s="95">
        <v>11610091</v>
      </c>
      <c r="B31" s="13">
        <v>75000</v>
      </c>
      <c r="C31" s="49">
        <v>97.85</v>
      </c>
    </row>
    <row r="32" spans="1:3" x14ac:dyDescent="0.25">
      <c r="A32" s="12" t="s">
        <v>610</v>
      </c>
      <c r="B32" s="13">
        <v>37760</v>
      </c>
      <c r="C32" s="49">
        <v>293.54999999999995</v>
      </c>
    </row>
    <row r="33" spans="1:3" x14ac:dyDescent="0.25">
      <c r="A33" s="95">
        <v>11549170</v>
      </c>
      <c r="B33" s="13">
        <v>28800</v>
      </c>
      <c r="C33" s="49">
        <v>195.7</v>
      </c>
    </row>
    <row r="34" spans="1:3" x14ac:dyDescent="0.25">
      <c r="A34" s="95">
        <v>11549171</v>
      </c>
      <c r="B34" s="13">
        <v>8960</v>
      </c>
      <c r="C34" s="49">
        <v>97.85</v>
      </c>
    </row>
    <row r="35" spans="1:3" x14ac:dyDescent="0.25">
      <c r="A35" s="96" t="s">
        <v>617</v>
      </c>
      <c r="B35" s="13"/>
      <c r="C35" s="49"/>
    </row>
    <row r="36" spans="1:3" x14ac:dyDescent="0.25">
      <c r="A36" s="12" t="s">
        <v>343</v>
      </c>
      <c r="B36" s="13">
        <v>61200</v>
      </c>
      <c r="C36" s="49">
        <v>860.05</v>
      </c>
    </row>
    <row r="37" spans="1:3" x14ac:dyDescent="0.25">
      <c r="A37" s="95">
        <v>11602326</v>
      </c>
      <c r="B37" s="13">
        <v>21600</v>
      </c>
      <c r="C37" s="49">
        <v>489.25</v>
      </c>
    </row>
    <row r="38" spans="1:3" x14ac:dyDescent="0.25">
      <c r="A38" s="95">
        <v>11611883</v>
      </c>
      <c r="B38" s="13">
        <v>39600</v>
      </c>
      <c r="C38" s="49">
        <v>370.79999999999995</v>
      </c>
    </row>
    <row r="39" spans="1:3" x14ac:dyDescent="0.25">
      <c r="A39" s="95">
        <v>11612078</v>
      </c>
      <c r="B39" s="13">
        <v>0</v>
      </c>
      <c r="C39" s="49">
        <v>0</v>
      </c>
    </row>
    <row r="40" spans="1:3" x14ac:dyDescent="0.25">
      <c r="A40" s="12" t="s">
        <v>342</v>
      </c>
      <c r="B40" s="13">
        <v>162185</v>
      </c>
      <c r="C40" s="49">
        <v>843.6</v>
      </c>
    </row>
    <row r="41" spans="1:3" x14ac:dyDescent="0.25">
      <c r="A41" s="12" t="s">
        <v>550</v>
      </c>
      <c r="B41" s="13">
        <v>73800</v>
      </c>
      <c r="C41" s="49">
        <v>293.54999999999995</v>
      </c>
    </row>
    <row r="42" spans="1:3" x14ac:dyDescent="0.25">
      <c r="A42" s="12" t="s">
        <v>549</v>
      </c>
      <c r="B42" s="13">
        <v>118800</v>
      </c>
      <c r="C42" s="49">
        <v>293.54999999999995</v>
      </c>
    </row>
    <row r="43" spans="1:3" x14ac:dyDescent="0.25">
      <c r="A43" s="12" t="s">
        <v>552</v>
      </c>
      <c r="B43" s="13">
        <v>16200</v>
      </c>
      <c r="C43" s="49">
        <v>97.85</v>
      </c>
    </row>
    <row r="44" spans="1:3" x14ac:dyDescent="0.25">
      <c r="A44" s="95">
        <v>11516382</v>
      </c>
      <c r="B44" s="13">
        <v>16200</v>
      </c>
      <c r="C44" s="49">
        <v>97.85</v>
      </c>
    </row>
    <row r="45" spans="1:3" x14ac:dyDescent="0.25">
      <c r="A45" s="12" t="s">
        <v>559</v>
      </c>
      <c r="B45" s="13">
        <v>36000</v>
      </c>
      <c r="C45" s="49">
        <v>97.85</v>
      </c>
    </row>
    <row r="46" spans="1:3" x14ac:dyDescent="0.25">
      <c r="A46" s="95">
        <v>11739913</v>
      </c>
      <c r="B46" s="13">
        <v>36000</v>
      </c>
      <c r="C46" s="49">
        <v>97.85</v>
      </c>
    </row>
    <row r="47" spans="1:3" x14ac:dyDescent="0.25">
      <c r="A47" s="12" t="s">
        <v>560</v>
      </c>
      <c r="B47" s="13">
        <v>16200</v>
      </c>
      <c r="C47" s="49">
        <v>97.85</v>
      </c>
    </row>
    <row r="48" spans="1:3" x14ac:dyDescent="0.25">
      <c r="A48" s="12" t="s">
        <v>561</v>
      </c>
      <c r="B48" s="13">
        <v>87500</v>
      </c>
      <c r="C48" s="49">
        <v>97.85</v>
      </c>
    </row>
    <row r="49" spans="1:3" x14ac:dyDescent="0.25">
      <c r="A49" s="12" t="s">
        <v>599</v>
      </c>
      <c r="B49" s="13">
        <v>72000</v>
      </c>
      <c r="C49" s="49">
        <v>97.85</v>
      </c>
    </row>
    <row r="50" spans="1:3" x14ac:dyDescent="0.25">
      <c r="A50" s="95" t="s">
        <v>318</v>
      </c>
      <c r="B50" s="13">
        <v>72000</v>
      </c>
      <c r="C50" s="49">
        <v>97.85</v>
      </c>
    </row>
    <row r="51" spans="1:3" x14ac:dyDescent="0.25">
      <c r="A51" s="12" t="s">
        <v>610</v>
      </c>
      <c r="B51" s="13">
        <v>44000</v>
      </c>
      <c r="C51" s="49">
        <v>195.7</v>
      </c>
    </row>
    <row r="52" spans="1:3" x14ac:dyDescent="0.25">
      <c r="A52" s="95">
        <v>11546593</v>
      </c>
      <c r="B52" s="13">
        <v>25200</v>
      </c>
      <c r="C52" s="49">
        <v>97.85</v>
      </c>
    </row>
    <row r="53" spans="1:3" x14ac:dyDescent="0.25">
      <c r="A53" s="95">
        <v>11549170</v>
      </c>
      <c r="B53" s="13">
        <v>18800</v>
      </c>
      <c r="C53" s="49">
        <v>97.85</v>
      </c>
    </row>
    <row r="54" spans="1:3" x14ac:dyDescent="0.25">
      <c r="A54" s="96" t="s">
        <v>618</v>
      </c>
      <c r="B54" s="13"/>
      <c r="C54" s="49"/>
    </row>
    <row r="55" spans="1:3" x14ac:dyDescent="0.25">
      <c r="A55" s="12" t="s">
        <v>346</v>
      </c>
      <c r="B55" s="13">
        <v>66600</v>
      </c>
      <c r="C55" s="49">
        <v>370.79999999999995</v>
      </c>
    </row>
    <row r="56" spans="1:3" x14ac:dyDescent="0.25">
      <c r="A56" s="95">
        <v>11602659</v>
      </c>
      <c r="B56" s="13">
        <v>39600</v>
      </c>
      <c r="C56" s="49">
        <v>247.2</v>
      </c>
    </row>
    <row r="57" spans="1:3" x14ac:dyDescent="0.25">
      <c r="A57" s="95" t="s">
        <v>312</v>
      </c>
      <c r="B57" s="13">
        <v>27000</v>
      </c>
      <c r="C57" s="49">
        <v>123.6</v>
      </c>
    </row>
    <row r="58" spans="1:3" x14ac:dyDescent="0.25">
      <c r="A58" s="12" t="s">
        <v>342</v>
      </c>
      <c r="B58" s="13">
        <v>63940</v>
      </c>
      <c r="C58" s="49">
        <v>787.95</v>
      </c>
    </row>
    <row r="59" spans="1:3" x14ac:dyDescent="0.25">
      <c r="A59" s="12" t="s">
        <v>344</v>
      </c>
      <c r="B59" s="13">
        <v>7480</v>
      </c>
      <c r="C59" s="49">
        <v>195.7</v>
      </c>
    </row>
    <row r="60" spans="1:3" x14ac:dyDescent="0.25">
      <c r="A60" s="12" t="s">
        <v>551</v>
      </c>
      <c r="B60" s="13">
        <v>144000</v>
      </c>
      <c r="C60" s="49">
        <v>97.85</v>
      </c>
    </row>
    <row r="61" spans="1:3" x14ac:dyDescent="0.25">
      <c r="A61" s="95">
        <v>11561645</v>
      </c>
      <c r="B61" s="13">
        <v>144000</v>
      </c>
      <c r="C61" s="49">
        <v>97.85</v>
      </c>
    </row>
    <row r="62" spans="1:3" x14ac:dyDescent="0.25">
      <c r="A62" s="12" t="s">
        <v>550</v>
      </c>
      <c r="B62" s="13">
        <v>109200</v>
      </c>
      <c r="C62" s="49">
        <v>293.54999999999995</v>
      </c>
    </row>
    <row r="63" spans="1:3" x14ac:dyDescent="0.25">
      <c r="A63" s="12" t="s">
        <v>549</v>
      </c>
      <c r="B63" s="13">
        <v>53600</v>
      </c>
      <c r="C63" s="49">
        <v>391.4</v>
      </c>
    </row>
    <row r="64" spans="1:3" x14ac:dyDescent="0.25">
      <c r="A64" s="12" t="s">
        <v>552</v>
      </c>
      <c r="B64" s="13">
        <v>16200</v>
      </c>
      <c r="C64" s="49">
        <v>97.85</v>
      </c>
    </row>
    <row r="65" spans="1:3" x14ac:dyDescent="0.25">
      <c r="A65" s="95">
        <v>11516382</v>
      </c>
      <c r="B65" s="13">
        <v>16200</v>
      </c>
      <c r="C65" s="49">
        <v>97.85</v>
      </c>
    </row>
    <row r="66" spans="1:3" x14ac:dyDescent="0.25">
      <c r="A66" s="12" t="s">
        <v>553</v>
      </c>
      <c r="B66" s="13">
        <v>73800</v>
      </c>
      <c r="C66" s="49">
        <v>195.7</v>
      </c>
    </row>
    <row r="67" spans="1:3" x14ac:dyDescent="0.25">
      <c r="A67" s="95">
        <v>11549169</v>
      </c>
      <c r="B67" s="13">
        <v>36000</v>
      </c>
      <c r="C67" s="49">
        <v>97.85</v>
      </c>
    </row>
    <row r="68" spans="1:3" x14ac:dyDescent="0.25">
      <c r="A68" s="95" t="s">
        <v>22</v>
      </c>
      <c r="B68" s="13">
        <v>37800</v>
      </c>
      <c r="C68" s="49">
        <v>97.85</v>
      </c>
    </row>
    <row r="69" spans="1:3" x14ac:dyDescent="0.25">
      <c r="A69" s="12" t="s">
        <v>554</v>
      </c>
      <c r="B69" s="13">
        <v>43200</v>
      </c>
      <c r="C69" s="49">
        <v>97.85</v>
      </c>
    </row>
    <row r="70" spans="1:3" x14ac:dyDescent="0.25">
      <c r="A70" s="95">
        <v>11739913</v>
      </c>
      <c r="B70" s="13">
        <v>43200</v>
      </c>
      <c r="C70" s="49">
        <v>97.85</v>
      </c>
    </row>
    <row r="71" spans="1:3" x14ac:dyDescent="0.25">
      <c r="A71" s="12" t="s">
        <v>555</v>
      </c>
      <c r="B71" s="13">
        <v>273000</v>
      </c>
      <c r="C71" s="49">
        <v>293.54999999999995</v>
      </c>
    </row>
    <row r="72" spans="1:3" x14ac:dyDescent="0.25">
      <c r="A72" s="12" t="s">
        <v>556</v>
      </c>
      <c r="B72" s="13">
        <v>86400</v>
      </c>
      <c r="C72" s="49">
        <v>195.7</v>
      </c>
    </row>
    <row r="73" spans="1:3" x14ac:dyDescent="0.25">
      <c r="A73" s="12" t="s">
        <v>560</v>
      </c>
      <c r="B73" s="13">
        <v>23600</v>
      </c>
      <c r="C73" s="49">
        <v>195.7</v>
      </c>
    </row>
    <row r="74" spans="1:3" x14ac:dyDescent="0.25">
      <c r="A74" s="12" t="s">
        <v>573</v>
      </c>
      <c r="B74" s="13">
        <v>90000</v>
      </c>
      <c r="C74" s="49">
        <v>97.85</v>
      </c>
    </row>
    <row r="75" spans="1:3" x14ac:dyDescent="0.25">
      <c r="A75" s="95">
        <v>11546449</v>
      </c>
      <c r="B75" s="13">
        <v>90000</v>
      </c>
      <c r="C75" s="49">
        <v>97.85</v>
      </c>
    </row>
    <row r="76" spans="1:3" x14ac:dyDescent="0.25">
      <c r="A76" s="12" t="s">
        <v>615</v>
      </c>
      <c r="B76" s="13">
        <v>15170</v>
      </c>
      <c r="C76" s="49">
        <v>221.45</v>
      </c>
    </row>
    <row r="77" spans="1:3" x14ac:dyDescent="0.25">
      <c r="A77" s="95">
        <v>82246</v>
      </c>
      <c r="B77" s="13">
        <v>7250</v>
      </c>
      <c r="C77" s="49">
        <v>123.6</v>
      </c>
    </row>
    <row r="78" spans="1:3" x14ac:dyDescent="0.25">
      <c r="A78" s="95">
        <v>11546370</v>
      </c>
      <c r="B78" s="13">
        <v>7920</v>
      </c>
      <c r="C78" s="49">
        <v>97.85</v>
      </c>
    </row>
    <row r="79" spans="1:3" x14ac:dyDescent="0.25">
      <c r="A79" s="12" t="s">
        <v>616</v>
      </c>
      <c r="B79" s="13">
        <v>120180</v>
      </c>
      <c r="C79" s="49">
        <v>690.1</v>
      </c>
    </row>
    <row r="80" spans="1:3" x14ac:dyDescent="0.25">
      <c r="A80" s="95">
        <v>82246</v>
      </c>
      <c r="B80" s="13">
        <v>22500</v>
      </c>
      <c r="C80" s="49">
        <v>370.79999999999995</v>
      </c>
    </row>
    <row r="81" spans="1:3" x14ac:dyDescent="0.25">
      <c r="A81" s="95">
        <v>11546370</v>
      </c>
      <c r="B81" s="13">
        <v>15180</v>
      </c>
      <c r="C81" s="49">
        <v>195.7</v>
      </c>
    </row>
    <row r="82" spans="1:3" x14ac:dyDescent="0.25">
      <c r="A82" s="95">
        <v>11611883</v>
      </c>
      <c r="B82" s="13">
        <v>82500</v>
      </c>
      <c r="C82" s="49">
        <v>123.6</v>
      </c>
    </row>
    <row r="83" spans="1:3" x14ac:dyDescent="0.25">
      <c r="A83" s="96" t="s">
        <v>619</v>
      </c>
      <c r="B83" s="13"/>
      <c r="C83" s="49"/>
    </row>
    <row r="84" spans="1:3" x14ac:dyDescent="0.25">
      <c r="A84" s="12" t="s">
        <v>346</v>
      </c>
      <c r="B84" s="13">
        <v>88350</v>
      </c>
      <c r="C84" s="49">
        <v>978.49999999999989</v>
      </c>
    </row>
    <row r="85" spans="1:3" x14ac:dyDescent="0.25">
      <c r="A85" s="95">
        <v>11546774</v>
      </c>
      <c r="B85" s="13">
        <v>47700</v>
      </c>
      <c r="C85" s="49">
        <v>391.4</v>
      </c>
    </row>
    <row r="86" spans="1:3" x14ac:dyDescent="0.25">
      <c r="A86" s="95">
        <v>40073474</v>
      </c>
      <c r="B86" s="13">
        <v>9300</v>
      </c>
      <c r="C86" s="49">
        <v>195.7</v>
      </c>
    </row>
    <row r="87" spans="1:3" x14ac:dyDescent="0.25">
      <c r="A87" s="95">
        <v>11548535</v>
      </c>
      <c r="B87" s="13">
        <v>5250</v>
      </c>
      <c r="C87" s="49">
        <v>97.85</v>
      </c>
    </row>
    <row r="88" spans="1:3" x14ac:dyDescent="0.25">
      <c r="A88" s="95" t="s">
        <v>577</v>
      </c>
      <c r="B88" s="13">
        <v>26100</v>
      </c>
      <c r="C88" s="49">
        <v>293.54999999999995</v>
      </c>
    </row>
    <row r="89" spans="1:3" x14ac:dyDescent="0.25">
      <c r="A89" s="12" t="s">
        <v>343</v>
      </c>
      <c r="B89" s="13">
        <v>209700</v>
      </c>
      <c r="C89" s="49">
        <v>1138.1499999999999</v>
      </c>
    </row>
    <row r="90" spans="1:3" x14ac:dyDescent="0.25">
      <c r="A90" s="95">
        <v>11546774</v>
      </c>
      <c r="B90" s="13">
        <v>46800</v>
      </c>
      <c r="C90" s="49">
        <v>391.4</v>
      </c>
    </row>
    <row r="91" spans="1:3" x14ac:dyDescent="0.25">
      <c r="A91" s="95">
        <v>11612078</v>
      </c>
      <c r="B91" s="13">
        <v>133200</v>
      </c>
      <c r="C91" s="49">
        <v>453.2</v>
      </c>
    </row>
    <row r="92" spans="1:3" x14ac:dyDescent="0.25">
      <c r="A92" s="95" t="s">
        <v>577</v>
      </c>
      <c r="B92" s="13">
        <v>29700</v>
      </c>
      <c r="C92" s="49">
        <v>293.54999999999995</v>
      </c>
    </row>
    <row r="93" spans="1:3" x14ac:dyDescent="0.25">
      <c r="A93" s="12" t="s">
        <v>342</v>
      </c>
      <c r="B93" s="13">
        <v>162250</v>
      </c>
      <c r="C93" s="49">
        <v>1030</v>
      </c>
    </row>
    <row r="94" spans="1:3" x14ac:dyDescent="0.25">
      <c r="A94" s="12" t="s">
        <v>551</v>
      </c>
      <c r="B94" s="13">
        <v>144000</v>
      </c>
      <c r="C94" s="49">
        <v>97.85</v>
      </c>
    </row>
    <row r="95" spans="1:3" x14ac:dyDescent="0.25">
      <c r="A95" s="95">
        <v>11561645</v>
      </c>
      <c r="B95" s="13">
        <v>144000</v>
      </c>
      <c r="C95" s="49">
        <v>97.85</v>
      </c>
    </row>
    <row r="96" spans="1:3" x14ac:dyDescent="0.25">
      <c r="A96" s="12" t="s">
        <v>550</v>
      </c>
      <c r="B96" s="13">
        <v>86400</v>
      </c>
      <c r="C96" s="49">
        <v>195.7</v>
      </c>
    </row>
    <row r="97" spans="1:3" x14ac:dyDescent="0.25">
      <c r="A97" s="12" t="s">
        <v>549</v>
      </c>
      <c r="B97" s="13">
        <v>46800</v>
      </c>
      <c r="C97" s="49">
        <v>293.54999999999995</v>
      </c>
    </row>
    <row r="98" spans="1:3" x14ac:dyDescent="0.25">
      <c r="A98" s="12" t="s">
        <v>552</v>
      </c>
      <c r="B98" s="13">
        <v>79200</v>
      </c>
      <c r="C98" s="49">
        <v>319.29999999999995</v>
      </c>
    </row>
    <row r="99" spans="1:3" x14ac:dyDescent="0.25">
      <c r="A99" s="95">
        <v>11516382</v>
      </c>
      <c r="B99" s="13">
        <v>32400</v>
      </c>
      <c r="C99" s="49">
        <v>195.7</v>
      </c>
    </row>
    <row r="100" spans="1:3" x14ac:dyDescent="0.25">
      <c r="A100" s="95">
        <v>11546566</v>
      </c>
      <c r="B100" s="13">
        <v>46800</v>
      </c>
      <c r="C100" s="49">
        <v>123.6</v>
      </c>
    </row>
    <row r="101" spans="1:3" x14ac:dyDescent="0.25">
      <c r="A101" s="12" t="s">
        <v>553</v>
      </c>
      <c r="B101" s="13">
        <v>72000</v>
      </c>
      <c r="C101" s="49">
        <v>195.7</v>
      </c>
    </row>
    <row r="102" spans="1:3" x14ac:dyDescent="0.25">
      <c r="A102" s="95">
        <v>11549168</v>
      </c>
      <c r="B102" s="13">
        <v>72000</v>
      </c>
      <c r="C102" s="49">
        <v>195.7</v>
      </c>
    </row>
    <row r="103" spans="1:3" x14ac:dyDescent="0.25">
      <c r="A103" s="12" t="s">
        <v>557</v>
      </c>
      <c r="B103" s="13">
        <v>144000</v>
      </c>
      <c r="C103" s="49">
        <v>97.85</v>
      </c>
    </row>
    <row r="104" spans="1:3" x14ac:dyDescent="0.25">
      <c r="A104" s="95">
        <v>11561645</v>
      </c>
      <c r="B104" s="13">
        <v>144000</v>
      </c>
      <c r="C104" s="49">
        <v>97.85</v>
      </c>
    </row>
    <row r="105" spans="1:3" x14ac:dyDescent="0.25">
      <c r="A105" s="12" t="s">
        <v>558</v>
      </c>
      <c r="B105" s="13">
        <v>36000</v>
      </c>
      <c r="C105" s="49">
        <v>97.85</v>
      </c>
    </row>
    <row r="106" spans="1:3" x14ac:dyDescent="0.25">
      <c r="A106" s="95">
        <v>11549168</v>
      </c>
      <c r="B106" s="13">
        <v>36000</v>
      </c>
      <c r="C106" s="49">
        <v>97.85</v>
      </c>
    </row>
    <row r="107" spans="1:3" x14ac:dyDescent="0.25">
      <c r="A107" s="12" t="s">
        <v>559</v>
      </c>
      <c r="B107" s="13">
        <v>30000</v>
      </c>
      <c r="C107" s="49">
        <v>97.85</v>
      </c>
    </row>
    <row r="108" spans="1:3" x14ac:dyDescent="0.25">
      <c r="A108" s="95">
        <v>11739913</v>
      </c>
      <c r="B108" s="13">
        <v>30000</v>
      </c>
      <c r="C108" s="49">
        <v>97.85</v>
      </c>
    </row>
    <row r="109" spans="1:3" x14ac:dyDescent="0.25">
      <c r="A109" s="12" t="s">
        <v>561</v>
      </c>
      <c r="B109" s="13">
        <v>36000</v>
      </c>
      <c r="C109" s="49">
        <v>97.85</v>
      </c>
    </row>
    <row r="110" spans="1:3" x14ac:dyDescent="0.25">
      <c r="A110" s="12" t="s">
        <v>599</v>
      </c>
      <c r="B110" s="13">
        <v>72000</v>
      </c>
      <c r="C110" s="49">
        <v>195.7</v>
      </c>
    </row>
    <row r="111" spans="1:3" x14ac:dyDescent="0.25">
      <c r="A111" s="95">
        <v>11549168</v>
      </c>
      <c r="B111" s="13">
        <v>72000</v>
      </c>
      <c r="C111" s="49">
        <v>195.7</v>
      </c>
    </row>
    <row r="112" spans="1:3" x14ac:dyDescent="0.25">
      <c r="A112" s="12" t="s">
        <v>610</v>
      </c>
      <c r="B112" s="13">
        <v>79200</v>
      </c>
      <c r="C112" s="49">
        <v>195.7</v>
      </c>
    </row>
    <row r="113" spans="1:3" x14ac:dyDescent="0.25">
      <c r="A113" s="95">
        <v>11546366</v>
      </c>
      <c r="B113" s="13">
        <v>79200</v>
      </c>
      <c r="C113" s="49">
        <v>195.7</v>
      </c>
    </row>
    <row r="114" spans="1:3" x14ac:dyDescent="0.25">
      <c r="A114" s="96" t="s">
        <v>620</v>
      </c>
      <c r="B114" s="13"/>
      <c r="C114" s="49"/>
    </row>
    <row r="115" spans="1:3" x14ac:dyDescent="0.25">
      <c r="A115" s="12" t="s">
        <v>346</v>
      </c>
      <c r="B115" s="13">
        <v>373700</v>
      </c>
      <c r="C115" s="49">
        <v>1184.4999999999998</v>
      </c>
    </row>
    <row r="116" spans="1:3" x14ac:dyDescent="0.25">
      <c r="A116" s="95">
        <v>92468</v>
      </c>
      <c r="B116" s="13">
        <v>49000</v>
      </c>
      <c r="C116" s="49">
        <v>247.2</v>
      </c>
    </row>
    <row r="117" spans="1:3" x14ac:dyDescent="0.25">
      <c r="A117" s="95">
        <v>11546571</v>
      </c>
      <c r="B117" s="13">
        <v>310000</v>
      </c>
      <c r="C117" s="49">
        <v>741.6</v>
      </c>
    </row>
    <row r="118" spans="1:3" x14ac:dyDescent="0.25">
      <c r="A118" s="95">
        <v>40161567</v>
      </c>
      <c r="B118" s="13">
        <v>6300</v>
      </c>
      <c r="C118" s="49">
        <v>97.85</v>
      </c>
    </row>
    <row r="119" spans="1:3" x14ac:dyDescent="0.25">
      <c r="A119" s="95" t="s">
        <v>577</v>
      </c>
      <c r="B119" s="13">
        <v>8400</v>
      </c>
      <c r="C119" s="49">
        <v>97.85</v>
      </c>
    </row>
    <row r="120" spans="1:3" x14ac:dyDescent="0.25">
      <c r="A120" s="12" t="s">
        <v>343</v>
      </c>
      <c r="B120" s="13">
        <v>388200</v>
      </c>
      <c r="C120" s="49">
        <v>1086.6500000000001</v>
      </c>
    </row>
    <row r="121" spans="1:3" x14ac:dyDescent="0.25">
      <c r="A121" s="95">
        <v>11546368</v>
      </c>
      <c r="B121" s="13">
        <v>16200</v>
      </c>
      <c r="C121" s="49">
        <v>97.85</v>
      </c>
    </row>
    <row r="122" spans="1:3" x14ac:dyDescent="0.25">
      <c r="A122" s="95">
        <v>11546571</v>
      </c>
      <c r="B122" s="13">
        <v>372000</v>
      </c>
      <c r="C122" s="49">
        <v>988.80000000000007</v>
      </c>
    </row>
    <row r="123" spans="1:3" x14ac:dyDescent="0.25">
      <c r="A123" s="12" t="s">
        <v>342</v>
      </c>
      <c r="B123" s="13">
        <v>342900</v>
      </c>
      <c r="C123" s="49">
        <v>1035.1500000000001</v>
      </c>
    </row>
    <row r="124" spans="1:3" x14ac:dyDescent="0.25">
      <c r="A124" s="12" t="s">
        <v>344</v>
      </c>
      <c r="B124" s="13">
        <v>265500</v>
      </c>
      <c r="C124" s="49">
        <v>195.7</v>
      </c>
    </row>
    <row r="125" spans="1:3" x14ac:dyDescent="0.25">
      <c r="A125" s="12" t="s">
        <v>551</v>
      </c>
      <c r="B125" s="13">
        <v>90000</v>
      </c>
      <c r="C125" s="49">
        <v>97.85</v>
      </c>
    </row>
    <row r="126" spans="1:3" x14ac:dyDescent="0.25">
      <c r="A126" s="95">
        <v>11546545</v>
      </c>
      <c r="B126" s="13">
        <v>90000</v>
      </c>
      <c r="C126" s="49">
        <v>97.85</v>
      </c>
    </row>
    <row r="127" spans="1:3" x14ac:dyDescent="0.25">
      <c r="A127" s="12" t="s">
        <v>549</v>
      </c>
      <c r="B127" s="13">
        <v>48600</v>
      </c>
      <c r="C127" s="49">
        <v>293.54999999999995</v>
      </c>
    </row>
    <row r="128" spans="1:3" x14ac:dyDescent="0.25">
      <c r="A128" s="12" t="s">
        <v>552</v>
      </c>
      <c r="B128" s="13">
        <v>16200</v>
      </c>
      <c r="C128" s="49">
        <v>97.85</v>
      </c>
    </row>
    <row r="129" spans="1:3" x14ac:dyDescent="0.25">
      <c r="A129" s="95">
        <v>11546368</v>
      </c>
      <c r="B129" s="13">
        <v>16200</v>
      </c>
      <c r="C129" s="49">
        <v>97.85</v>
      </c>
    </row>
    <row r="130" spans="1:3" x14ac:dyDescent="0.25">
      <c r="A130" s="12" t="s">
        <v>553</v>
      </c>
      <c r="B130" s="13">
        <v>72000</v>
      </c>
      <c r="C130" s="49">
        <v>195.7</v>
      </c>
    </row>
    <row r="131" spans="1:3" x14ac:dyDescent="0.25">
      <c r="A131" s="95">
        <v>11549168</v>
      </c>
      <c r="B131" s="13">
        <v>72000</v>
      </c>
      <c r="C131" s="49">
        <v>195.7</v>
      </c>
    </row>
    <row r="132" spans="1:3" x14ac:dyDescent="0.25">
      <c r="A132" s="12" t="s">
        <v>554</v>
      </c>
      <c r="B132" s="13">
        <v>43200</v>
      </c>
      <c r="C132" s="49">
        <v>97.85</v>
      </c>
    </row>
    <row r="133" spans="1:3" x14ac:dyDescent="0.25">
      <c r="A133" s="95">
        <v>11546366</v>
      </c>
      <c r="B133" s="13">
        <v>43200</v>
      </c>
      <c r="C133" s="49">
        <v>97.85</v>
      </c>
    </row>
    <row r="134" spans="1:3" x14ac:dyDescent="0.25">
      <c r="A134" s="12" t="s">
        <v>555</v>
      </c>
      <c r="B134" s="13">
        <v>99000</v>
      </c>
      <c r="C134" s="49">
        <v>97.85</v>
      </c>
    </row>
    <row r="135" spans="1:3" x14ac:dyDescent="0.25">
      <c r="A135" s="12" t="s">
        <v>556</v>
      </c>
      <c r="B135" s="13">
        <v>107200</v>
      </c>
      <c r="C135" s="49">
        <v>216.3</v>
      </c>
    </row>
    <row r="136" spans="1:3" x14ac:dyDescent="0.25">
      <c r="A136" s="12" t="s">
        <v>558</v>
      </c>
      <c r="B136" s="13">
        <v>36000</v>
      </c>
      <c r="C136" s="49">
        <v>97.85</v>
      </c>
    </row>
    <row r="137" spans="1:3" x14ac:dyDescent="0.25">
      <c r="A137" s="95">
        <v>11549168</v>
      </c>
      <c r="B137" s="13">
        <v>36000</v>
      </c>
      <c r="C137" s="49">
        <v>97.85</v>
      </c>
    </row>
    <row r="138" spans="1:3" x14ac:dyDescent="0.25">
      <c r="A138" s="12" t="s">
        <v>559</v>
      </c>
      <c r="B138" s="13">
        <v>40800</v>
      </c>
      <c r="C138" s="49">
        <v>97.85</v>
      </c>
    </row>
    <row r="139" spans="1:3" x14ac:dyDescent="0.25">
      <c r="A139" s="95">
        <v>11739913</v>
      </c>
      <c r="B139" s="13">
        <v>40800</v>
      </c>
      <c r="C139" s="49">
        <v>97.85</v>
      </c>
    </row>
    <row r="140" spans="1:3" x14ac:dyDescent="0.25">
      <c r="A140" s="12" t="s">
        <v>560</v>
      </c>
      <c r="B140" s="13">
        <v>16200</v>
      </c>
      <c r="C140" s="49">
        <v>97.85</v>
      </c>
    </row>
    <row r="141" spans="1:3" x14ac:dyDescent="0.25">
      <c r="A141" s="12" t="s">
        <v>561</v>
      </c>
      <c r="B141" s="13">
        <v>36000</v>
      </c>
      <c r="C141" s="49">
        <v>97.85</v>
      </c>
    </row>
    <row r="142" spans="1:3" x14ac:dyDescent="0.25">
      <c r="A142" s="12" t="s">
        <v>572</v>
      </c>
      <c r="B142" s="13">
        <v>36000</v>
      </c>
      <c r="C142" s="49">
        <v>123.6</v>
      </c>
    </row>
    <row r="143" spans="1:3" x14ac:dyDescent="0.25">
      <c r="A143" s="95">
        <v>11546566</v>
      </c>
      <c r="B143" s="13">
        <v>36000</v>
      </c>
      <c r="C143" s="49">
        <v>123.6</v>
      </c>
    </row>
    <row r="144" spans="1:3" x14ac:dyDescent="0.25">
      <c r="A144" s="12" t="s">
        <v>599</v>
      </c>
      <c r="B144" s="13">
        <v>58000</v>
      </c>
      <c r="C144" s="49">
        <v>195.7</v>
      </c>
    </row>
    <row r="145" spans="1:3" x14ac:dyDescent="0.25">
      <c r="A145" s="95">
        <v>11549168</v>
      </c>
      <c r="B145" s="13">
        <v>58000</v>
      </c>
      <c r="C145" s="49">
        <v>195.7</v>
      </c>
    </row>
    <row r="146" spans="1:3" x14ac:dyDescent="0.25">
      <c r="A146" s="12" t="s">
        <v>610</v>
      </c>
      <c r="B146" s="13">
        <v>109200</v>
      </c>
      <c r="C146" s="49">
        <v>293.54999999999995</v>
      </c>
    </row>
    <row r="147" spans="1:3" x14ac:dyDescent="0.25">
      <c r="A147" s="95">
        <v>11546366</v>
      </c>
      <c r="B147" s="13">
        <v>109200</v>
      </c>
      <c r="C147" s="49">
        <v>293.54999999999995</v>
      </c>
    </row>
    <row r="148" spans="1:3" x14ac:dyDescent="0.25">
      <c r="A148" s="96" t="s">
        <v>621</v>
      </c>
      <c r="B148" s="13"/>
      <c r="C148" s="49"/>
    </row>
    <row r="149" spans="1:3" x14ac:dyDescent="0.25">
      <c r="A149" s="12" t="s">
        <v>346</v>
      </c>
      <c r="B149" s="13">
        <v>382450</v>
      </c>
      <c r="C149" s="49">
        <v>1174.2</v>
      </c>
    </row>
    <row r="150" spans="1:3" x14ac:dyDescent="0.25">
      <c r="A150" s="95">
        <v>11546566</v>
      </c>
      <c r="B150" s="13">
        <v>64800</v>
      </c>
      <c r="C150" s="49">
        <v>123.6</v>
      </c>
    </row>
    <row r="151" spans="1:3" x14ac:dyDescent="0.25">
      <c r="A151" s="95">
        <v>11546571</v>
      </c>
      <c r="B151" s="13">
        <v>44950</v>
      </c>
      <c r="C151" s="49">
        <v>123.6</v>
      </c>
    </row>
    <row r="152" spans="1:3" x14ac:dyDescent="0.25">
      <c r="A152" s="95">
        <v>11546703</v>
      </c>
      <c r="B152" s="13">
        <v>112000</v>
      </c>
      <c r="C152" s="49">
        <v>123.6</v>
      </c>
    </row>
    <row r="153" spans="1:3" x14ac:dyDescent="0.25">
      <c r="A153" s="95">
        <v>11547349</v>
      </c>
      <c r="B153" s="13">
        <v>60900</v>
      </c>
      <c r="C153" s="49">
        <v>489.25</v>
      </c>
    </row>
    <row r="154" spans="1:3" x14ac:dyDescent="0.25">
      <c r="A154" s="95" t="s">
        <v>306</v>
      </c>
      <c r="B154" s="13">
        <v>35000</v>
      </c>
      <c r="C154" s="49">
        <v>118.45</v>
      </c>
    </row>
    <row r="155" spans="1:3" x14ac:dyDescent="0.25">
      <c r="A155" s="95">
        <v>11610376</v>
      </c>
      <c r="B155" s="13">
        <v>64800</v>
      </c>
      <c r="C155" s="49">
        <v>195.7</v>
      </c>
    </row>
    <row r="156" spans="1:3" x14ac:dyDescent="0.25">
      <c r="A156" s="12" t="s">
        <v>343</v>
      </c>
      <c r="B156" s="13">
        <v>421620</v>
      </c>
      <c r="C156" s="49">
        <v>1081.4999999999998</v>
      </c>
    </row>
    <row r="157" spans="1:3" x14ac:dyDescent="0.25">
      <c r="A157" s="95">
        <v>11546370</v>
      </c>
      <c r="B157" s="13">
        <v>7920</v>
      </c>
      <c r="C157" s="49">
        <v>97.85</v>
      </c>
    </row>
    <row r="158" spans="1:3" x14ac:dyDescent="0.25">
      <c r="A158" s="95">
        <v>11546703</v>
      </c>
      <c r="B158" s="13">
        <v>260000</v>
      </c>
      <c r="C158" s="49">
        <v>247.2</v>
      </c>
    </row>
    <row r="159" spans="1:3" x14ac:dyDescent="0.25">
      <c r="A159" s="95">
        <v>11547349</v>
      </c>
      <c r="B159" s="13">
        <v>44800</v>
      </c>
      <c r="C159" s="49">
        <v>391.4</v>
      </c>
    </row>
    <row r="160" spans="1:3" x14ac:dyDescent="0.25">
      <c r="A160" s="95" t="s">
        <v>294</v>
      </c>
      <c r="B160" s="13">
        <v>84600</v>
      </c>
      <c r="C160" s="49">
        <v>247.2</v>
      </c>
    </row>
    <row r="161" spans="1:3" x14ac:dyDescent="0.25">
      <c r="A161" s="95" t="s">
        <v>309</v>
      </c>
      <c r="B161" s="13">
        <v>24300</v>
      </c>
      <c r="C161" s="49">
        <v>97.85</v>
      </c>
    </row>
    <row r="162" spans="1:3" x14ac:dyDescent="0.25">
      <c r="A162" s="12" t="s">
        <v>342</v>
      </c>
      <c r="B162" s="13">
        <v>531820</v>
      </c>
      <c r="C162" s="49">
        <v>930.08999999999992</v>
      </c>
    </row>
    <row r="163" spans="1:3" x14ac:dyDescent="0.25">
      <c r="A163" s="12" t="s">
        <v>344</v>
      </c>
      <c r="B163" s="13">
        <v>60150</v>
      </c>
      <c r="C163" s="49">
        <v>324.45</v>
      </c>
    </row>
    <row r="164" spans="1:3" x14ac:dyDescent="0.25">
      <c r="A164" s="12" t="s">
        <v>551</v>
      </c>
      <c r="B164" s="13">
        <v>176400</v>
      </c>
      <c r="C164" s="49">
        <v>293.54999999999995</v>
      </c>
    </row>
    <row r="165" spans="1:3" x14ac:dyDescent="0.25">
      <c r="A165" s="95">
        <v>11546545</v>
      </c>
      <c r="B165" s="13">
        <v>90000</v>
      </c>
      <c r="C165" s="49">
        <v>97.85</v>
      </c>
    </row>
    <row r="166" spans="1:3" x14ac:dyDescent="0.25">
      <c r="A166" s="95" t="s">
        <v>15</v>
      </c>
      <c r="B166" s="13">
        <v>86400</v>
      </c>
      <c r="C166" s="49">
        <v>195.7</v>
      </c>
    </row>
    <row r="167" spans="1:3" x14ac:dyDescent="0.25">
      <c r="A167" s="12" t="s">
        <v>550</v>
      </c>
      <c r="B167" s="13">
        <v>83530</v>
      </c>
      <c r="C167" s="49">
        <v>411.99999999999994</v>
      </c>
    </row>
    <row r="168" spans="1:3" x14ac:dyDescent="0.25">
      <c r="A168" s="12" t="s">
        <v>549</v>
      </c>
      <c r="B168" s="13">
        <v>48600</v>
      </c>
      <c r="C168" s="49">
        <v>293.54999999999995</v>
      </c>
    </row>
    <row r="169" spans="1:3" x14ac:dyDescent="0.25">
      <c r="A169" s="12" t="s">
        <v>552</v>
      </c>
      <c r="B169" s="13">
        <v>16200</v>
      </c>
      <c r="C169" s="49">
        <v>97.85</v>
      </c>
    </row>
    <row r="170" spans="1:3" x14ac:dyDescent="0.25">
      <c r="A170" s="95">
        <v>11516382</v>
      </c>
      <c r="B170" s="13">
        <v>16200</v>
      </c>
      <c r="C170" s="49">
        <v>97.85</v>
      </c>
    </row>
    <row r="171" spans="1:3" x14ac:dyDescent="0.25">
      <c r="A171" s="12" t="s">
        <v>553</v>
      </c>
      <c r="B171" s="13">
        <v>186000</v>
      </c>
      <c r="C171" s="49">
        <v>293.54999999999995</v>
      </c>
    </row>
    <row r="172" spans="1:3" x14ac:dyDescent="0.25">
      <c r="A172" s="95">
        <v>11549168</v>
      </c>
      <c r="B172" s="13">
        <v>6000</v>
      </c>
      <c r="C172" s="49">
        <v>97.85</v>
      </c>
    </row>
    <row r="173" spans="1:3" x14ac:dyDescent="0.25">
      <c r="A173" s="95">
        <v>11610091</v>
      </c>
      <c r="B173" s="13">
        <v>180000</v>
      </c>
      <c r="C173" s="49">
        <v>195.7</v>
      </c>
    </row>
    <row r="174" spans="1:3" x14ac:dyDescent="0.25">
      <c r="A174" s="12" t="s">
        <v>554</v>
      </c>
      <c r="B174" s="13">
        <v>43200</v>
      </c>
      <c r="C174" s="49">
        <v>97.85</v>
      </c>
    </row>
    <row r="175" spans="1:3" x14ac:dyDescent="0.25">
      <c r="A175" s="95">
        <v>11546366</v>
      </c>
      <c r="B175" s="13">
        <v>43200</v>
      </c>
      <c r="C175" s="49">
        <v>97.85</v>
      </c>
    </row>
    <row r="176" spans="1:3" x14ac:dyDescent="0.25">
      <c r="A176" s="12" t="s">
        <v>555</v>
      </c>
      <c r="B176" s="13">
        <v>121500</v>
      </c>
      <c r="C176" s="49">
        <v>97.85</v>
      </c>
    </row>
    <row r="177" spans="1:3" x14ac:dyDescent="0.25">
      <c r="A177" s="12" t="s">
        <v>556</v>
      </c>
      <c r="B177" s="13">
        <v>148200</v>
      </c>
      <c r="C177" s="49">
        <v>195.7</v>
      </c>
    </row>
    <row r="178" spans="1:3" x14ac:dyDescent="0.25">
      <c r="A178" s="12" t="s">
        <v>557</v>
      </c>
      <c r="B178" s="13">
        <v>144000</v>
      </c>
      <c r="C178" s="49">
        <v>97.85</v>
      </c>
    </row>
    <row r="179" spans="1:3" x14ac:dyDescent="0.25">
      <c r="A179" s="95">
        <v>11561645</v>
      </c>
      <c r="B179" s="13">
        <v>144000</v>
      </c>
      <c r="C179" s="49">
        <v>97.85</v>
      </c>
    </row>
    <row r="180" spans="1:3" x14ac:dyDescent="0.25">
      <c r="A180" s="12" t="s">
        <v>558</v>
      </c>
      <c r="B180" s="13">
        <v>36000</v>
      </c>
      <c r="C180" s="49">
        <v>97.85</v>
      </c>
    </row>
    <row r="181" spans="1:3" x14ac:dyDescent="0.25">
      <c r="A181" s="95">
        <v>11549168</v>
      </c>
      <c r="B181" s="13">
        <v>36000</v>
      </c>
      <c r="C181" s="49">
        <v>97.85</v>
      </c>
    </row>
    <row r="182" spans="1:3" x14ac:dyDescent="0.25">
      <c r="A182" s="12" t="s">
        <v>559</v>
      </c>
      <c r="B182" s="13">
        <v>36000</v>
      </c>
      <c r="C182" s="49">
        <v>97.85</v>
      </c>
    </row>
    <row r="183" spans="1:3" x14ac:dyDescent="0.25">
      <c r="A183" s="95">
        <v>11549168</v>
      </c>
      <c r="B183" s="13">
        <v>36000</v>
      </c>
      <c r="C183" s="49">
        <v>97.85</v>
      </c>
    </row>
    <row r="184" spans="1:3" x14ac:dyDescent="0.25">
      <c r="A184" s="12" t="s">
        <v>561</v>
      </c>
      <c r="B184" s="13">
        <v>36000</v>
      </c>
      <c r="C184" s="49">
        <v>97.85</v>
      </c>
    </row>
    <row r="185" spans="1:3" x14ac:dyDescent="0.25">
      <c r="A185" s="12" t="s">
        <v>572</v>
      </c>
      <c r="B185" s="13">
        <v>34200</v>
      </c>
      <c r="C185" s="49">
        <v>123.6</v>
      </c>
    </row>
    <row r="186" spans="1:3" x14ac:dyDescent="0.25">
      <c r="A186" s="95">
        <v>11546566</v>
      </c>
      <c r="B186" s="13">
        <v>34200</v>
      </c>
      <c r="C186" s="49">
        <v>123.6</v>
      </c>
    </row>
    <row r="187" spans="1:3" x14ac:dyDescent="0.25">
      <c r="A187" s="12" t="s">
        <v>599</v>
      </c>
      <c r="B187" s="13">
        <v>46400</v>
      </c>
      <c r="C187" s="49">
        <v>216.3</v>
      </c>
    </row>
    <row r="188" spans="1:3" x14ac:dyDescent="0.25">
      <c r="A188" s="95">
        <v>11549170</v>
      </c>
      <c r="B188" s="13">
        <v>14400</v>
      </c>
      <c r="C188" s="49">
        <v>97.85</v>
      </c>
    </row>
    <row r="189" spans="1:3" x14ac:dyDescent="0.25">
      <c r="A189" s="95" t="s">
        <v>306</v>
      </c>
      <c r="B189" s="13">
        <v>32000</v>
      </c>
      <c r="C189" s="49">
        <v>118.45</v>
      </c>
    </row>
    <row r="190" spans="1:3" x14ac:dyDescent="0.25">
      <c r="A190" s="12" t="s">
        <v>610</v>
      </c>
      <c r="B190" s="13">
        <v>48600</v>
      </c>
      <c r="C190" s="49">
        <v>293.54999999999995</v>
      </c>
    </row>
    <row r="191" spans="1:3" x14ac:dyDescent="0.25">
      <c r="A191" s="95">
        <v>11546368</v>
      </c>
      <c r="B191" s="13">
        <v>48600</v>
      </c>
      <c r="C191" s="49">
        <v>293.54999999999995</v>
      </c>
    </row>
    <row r="192" spans="1:3" x14ac:dyDescent="0.25">
      <c r="A192" s="6" t="s">
        <v>280</v>
      </c>
      <c r="B192" s="13">
        <v>9908615</v>
      </c>
      <c r="C192" s="49">
        <v>29006.889999999974</v>
      </c>
    </row>
  </sheetData>
  <printOptions horizontalCentered="1"/>
  <pageMargins left="0.70866141732283472" right="0.70866141732283472" top="0.74803149606299213" bottom="0.74803149606299213" header="0.31496062992125984" footer="0.31496062992125984"/>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H9"/>
  <sheetViews>
    <sheetView zoomScale="130" zoomScaleNormal="130" workbookViewId="0">
      <selection activeCell="E23" sqref="E23"/>
    </sheetView>
  </sheetViews>
  <sheetFormatPr defaultColWidth="9.28515625" defaultRowHeight="15" x14ac:dyDescent="0.25"/>
  <cols>
    <col min="1" max="3" width="10.42578125" customWidth="1"/>
    <col min="4" max="4" width="12" customWidth="1"/>
    <col min="5" max="5" width="9.42578125" customWidth="1"/>
  </cols>
  <sheetData>
    <row r="1" spans="1:8" x14ac:dyDescent="0.25">
      <c r="A1" s="85" t="s">
        <v>433</v>
      </c>
      <c r="B1" s="81">
        <v>3035</v>
      </c>
      <c r="C1" s="78"/>
      <c r="D1" s="78" t="s">
        <v>437</v>
      </c>
      <c r="E1" s="75"/>
    </row>
    <row r="2" spans="1:8" x14ac:dyDescent="0.25">
      <c r="A2" s="85" t="s">
        <v>436</v>
      </c>
      <c r="B2" s="82" t="s">
        <v>597</v>
      </c>
      <c r="C2" s="79"/>
      <c r="D2" s="82" t="s">
        <v>598</v>
      </c>
      <c r="E2" s="74"/>
    </row>
    <row r="3" spans="1:8" x14ac:dyDescent="0.25">
      <c r="A3" s="72" t="s">
        <v>429</v>
      </c>
      <c r="B3" s="72" t="s">
        <v>434</v>
      </c>
      <c r="C3" s="72" t="s">
        <v>261</v>
      </c>
      <c r="D3" s="72" t="s">
        <v>92</v>
      </c>
      <c r="E3" s="73" t="s">
        <v>94</v>
      </c>
    </row>
    <row r="4" spans="1:8" ht="17.25" x14ac:dyDescent="0.25">
      <c r="A4" s="80">
        <v>7</v>
      </c>
      <c r="B4" s="80">
        <v>121</v>
      </c>
      <c r="C4" s="80">
        <v>128</v>
      </c>
      <c r="D4" s="83">
        <v>44576.601620370369</v>
      </c>
      <c r="E4" s="84">
        <v>1</v>
      </c>
      <c r="F4" s="51"/>
      <c r="H4" s="52"/>
    </row>
    <row r="5" spans="1:8" ht="16.5" x14ac:dyDescent="0.25">
      <c r="A5" s="74" t="s">
        <v>435</v>
      </c>
      <c r="B5" s="136" t="s">
        <v>441</v>
      </c>
      <c r="C5" s="136"/>
      <c r="D5" s="136"/>
      <c r="E5" s="136"/>
      <c r="F5" s="53"/>
    </row>
    <row r="6" spans="1:8" ht="16.5" x14ac:dyDescent="0.25">
      <c r="A6" s="53"/>
      <c r="B6" s="54"/>
      <c r="C6" s="55"/>
      <c r="D6" s="53"/>
      <c r="E6" s="53"/>
      <c r="F6" s="53"/>
    </row>
    <row r="7" spans="1:8" ht="17.25" x14ac:dyDescent="0.25">
      <c r="A7" s="137"/>
      <c r="B7" s="137"/>
      <c r="C7" s="137"/>
      <c r="D7" s="137"/>
      <c r="E7" s="137"/>
      <c r="F7" s="137"/>
    </row>
    <row r="8" spans="1:8" ht="16.5" x14ac:dyDescent="0.25">
      <c r="A8" s="53"/>
      <c r="B8" s="54"/>
      <c r="C8" s="56"/>
      <c r="D8" s="57"/>
      <c r="E8" s="53"/>
      <c r="F8" s="53"/>
    </row>
    <row r="9" spans="1:8" ht="16.5" x14ac:dyDescent="0.25">
      <c r="A9" s="53"/>
      <c r="B9" s="54"/>
      <c r="C9" s="56"/>
      <c r="D9" s="57"/>
      <c r="E9" s="53"/>
      <c r="F9" s="53"/>
    </row>
  </sheetData>
  <sheetProtection sheet="1" objects="1" scenarios="1"/>
  <mergeCells count="2">
    <mergeCell ref="B5:E5"/>
    <mergeCell ref="A7:F7"/>
  </mergeCells>
  <printOptions horizontalCentered="1" verticalCentered="1"/>
  <pageMargins left="3.937007874015748E-2" right="3.937007874015748E-2" top="3.937007874015748E-2" bottom="3.937007874015748E-2" header="3.9370078740157485E-5" footer="3.9370078740157485E-5"/>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L101"/>
  <sheetViews>
    <sheetView workbookViewId="0">
      <selection activeCell="C25" sqref="C25"/>
    </sheetView>
  </sheetViews>
  <sheetFormatPr defaultRowHeight="15" x14ac:dyDescent="0.25"/>
  <cols>
    <col min="1" max="1" width="27.28515625" bestFit="1" customWidth="1"/>
    <col min="5" max="5" width="12.7109375" customWidth="1"/>
    <col min="9" max="9" width="36.28515625" bestFit="1" customWidth="1"/>
    <col min="12" max="12" width="20" customWidth="1"/>
  </cols>
  <sheetData>
    <row r="1" spans="1:12" x14ac:dyDescent="0.25">
      <c r="A1" t="s">
        <v>100</v>
      </c>
      <c r="E1" t="s">
        <v>102</v>
      </c>
      <c r="I1" t="s">
        <v>93</v>
      </c>
      <c r="L1" t="s">
        <v>440</v>
      </c>
    </row>
    <row r="2" spans="1:12" x14ac:dyDescent="0.25">
      <c r="A2" t="s">
        <v>36</v>
      </c>
      <c r="E2" s="7" t="s">
        <v>157</v>
      </c>
      <c r="I2" t="s">
        <v>421</v>
      </c>
      <c r="L2" t="s">
        <v>441</v>
      </c>
    </row>
    <row r="3" spans="1:12" x14ac:dyDescent="0.25">
      <c r="A3" t="s">
        <v>86</v>
      </c>
      <c r="E3" s="7" t="s">
        <v>158</v>
      </c>
      <c r="I3" t="s">
        <v>422</v>
      </c>
      <c r="L3" t="s">
        <v>442</v>
      </c>
    </row>
    <row r="4" spans="1:12" x14ac:dyDescent="0.25">
      <c r="A4" t="s">
        <v>44</v>
      </c>
      <c r="E4" s="7" t="s">
        <v>159</v>
      </c>
      <c r="I4" t="s">
        <v>423</v>
      </c>
      <c r="L4" t="s">
        <v>443</v>
      </c>
    </row>
    <row r="5" spans="1:12" x14ac:dyDescent="0.25">
      <c r="A5" t="s">
        <v>73</v>
      </c>
      <c r="E5" s="7" t="s">
        <v>160</v>
      </c>
      <c r="I5" t="s">
        <v>424</v>
      </c>
      <c r="L5" t="s">
        <v>444</v>
      </c>
    </row>
    <row r="6" spans="1:12" x14ac:dyDescent="0.25">
      <c r="A6" t="s">
        <v>48</v>
      </c>
      <c r="E6" s="7" t="s">
        <v>161</v>
      </c>
      <c r="I6" t="s">
        <v>232</v>
      </c>
      <c r="L6" t="s">
        <v>445</v>
      </c>
    </row>
    <row r="7" spans="1:12" x14ac:dyDescent="0.25">
      <c r="A7" t="s">
        <v>95</v>
      </c>
      <c r="E7" s="7" t="s">
        <v>162</v>
      </c>
      <c r="I7" t="s">
        <v>233</v>
      </c>
      <c r="L7" t="s">
        <v>446</v>
      </c>
    </row>
    <row r="8" spans="1:12" x14ac:dyDescent="0.25">
      <c r="A8" t="s">
        <v>31</v>
      </c>
      <c r="E8" s="7" t="s">
        <v>163</v>
      </c>
      <c r="I8" t="s">
        <v>234</v>
      </c>
      <c r="L8" t="s">
        <v>447</v>
      </c>
    </row>
    <row r="9" spans="1:12" x14ac:dyDescent="0.25">
      <c r="A9" t="s">
        <v>46</v>
      </c>
      <c r="E9" s="7" t="s">
        <v>164</v>
      </c>
      <c r="I9" t="s">
        <v>235</v>
      </c>
      <c r="L9" t="s">
        <v>448</v>
      </c>
    </row>
    <row r="10" spans="1:12" x14ac:dyDescent="0.25">
      <c r="A10" t="s">
        <v>1</v>
      </c>
      <c r="E10" s="7" t="s">
        <v>165</v>
      </c>
      <c r="I10" t="s">
        <v>236</v>
      </c>
      <c r="L10" t="s">
        <v>449</v>
      </c>
    </row>
    <row r="11" spans="1:12" x14ac:dyDescent="0.25">
      <c r="A11" t="s">
        <v>4</v>
      </c>
      <c r="E11" s="7" t="s">
        <v>166</v>
      </c>
      <c r="I11" t="s">
        <v>237</v>
      </c>
      <c r="L11" t="s">
        <v>450</v>
      </c>
    </row>
    <row r="12" spans="1:12" x14ac:dyDescent="0.25">
      <c r="A12" t="s">
        <v>96</v>
      </c>
      <c r="E12" s="7" t="s">
        <v>167</v>
      </c>
      <c r="I12" t="s">
        <v>238</v>
      </c>
      <c r="L12" t="s">
        <v>451</v>
      </c>
    </row>
    <row r="13" spans="1:12" x14ac:dyDescent="0.25">
      <c r="A13" t="s">
        <v>29</v>
      </c>
      <c r="E13" s="7" t="s">
        <v>168</v>
      </c>
      <c r="I13" t="s">
        <v>239</v>
      </c>
      <c r="L13" t="s">
        <v>452</v>
      </c>
    </row>
    <row r="14" spans="1:12" x14ac:dyDescent="0.25">
      <c r="A14" t="s">
        <v>26</v>
      </c>
      <c r="E14" s="7" t="s">
        <v>169</v>
      </c>
      <c r="I14" t="s">
        <v>240</v>
      </c>
      <c r="L14" t="s">
        <v>453</v>
      </c>
    </row>
    <row r="15" spans="1:12" x14ac:dyDescent="0.25">
      <c r="A15" t="s">
        <v>97</v>
      </c>
      <c r="E15" s="7" t="s">
        <v>170</v>
      </c>
      <c r="I15" t="s">
        <v>241</v>
      </c>
      <c r="L15" t="s">
        <v>454</v>
      </c>
    </row>
    <row r="16" spans="1:12" x14ac:dyDescent="0.25">
      <c r="A16" t="s">
        <v>34</v>
      </c>
      <c r="E16" s="7" t="s">
        <v>171</v>
      </c>
      <c r="I16" t="s">
        <v>242</v>
      </c>
      <c r="L16" t="s">
        <v>455</v>
      </c>
    </row>
    <row r="17" spans="1:12" x14ac:dyDescent="0.25">
      <c r="A17" t="s">
        <v>84</v>
      </c>
      <c r="E17" s="7" t="s">
        <v>172</v>
      </c>
      <c r="I17" t="s">
        <v>243</v>
      </c>
      <c r="L17" t="s">
        <v>456</v>
      </c>
    </row>
    <row r="18" spans="1:12" x14ac:dyDescent="0.25">
      <c r="A18" t="s">
        <v>90</v>
      </c>
      <c r="E18" s="7" t="s">
        <v>173</v>
      </c>
      <c r="I18" t="s">
        <v>336</v>
      </c>
      <c r="L18" t="s">
        <v>457</v>
      </c>
    </row>
    <row r="19" spans="1:12" x14ac:dyDescent="0.25">
      <c r="A19" t="s">
        <v>89</v>
      </c>
      <c r="E19" s="7" t="s">
        <v>174</v>
      </c>
      <c r="I19" t="s">
        <v>337</v>
      </c>
      <c r="L19" t="s">
        <v>458</v>
      </c>
    </row>
    <row r="20" spans="1:12" x14ac:dyDescent="0.25">
      <c r="A20" t="s">
        <v>98</v>
      </c>
      <c r="E20" s="7" t="s">
        <v>175</v>
      </c>
      <c r="I20" t="s">
        <v>338</v>
      </c>
      <c r="L20" t="s">
        <v>459</v>
      </c>
    </row>
    <row r="21" spans="1:12" x14ac:dyDescent="0.25">
      <c r="A21" t="s">
        <v>5</v>
      </c>
      <c r="E21" s="7" t="s">
        <v>176</v>
      </c>
      <c r="I21" t="s">
        <v>251</v>
      </c>
      <c r="L21" t="s">
        <v>460</v>
      </c>
    </row>
    <row r="22" spans="1:12" x14ac:dyDescent="0.25">
      <c r="A22" t="s">
        <v>41</v>
      </c>
      <c r="E22" s="7" t="s">
        <v>177</v>
      </c>
      <c r="I22" t="s">
        <v>252</v>
      </c>
      <c r="L22" t="s">
        <v>461</v>
      </c>
    </row>
    <row r="23" spans="1:12" x14ac:dyDescent="0.25">
      <c r="A23" t="s">
        <v>6</v>
      </c>
      <c r="E23" s="7" t="s">
        <v>178</v>
      </c>
      <c r="I23" t="s">
        <v>339</v>
      </c>
      <c r="L23" t="s">
        <v>462</v>
      </c>
    </row>
    <row r="24" spans="1:12" x14ac:dyDescent="0.25">
      <c r="A24" t="s">
        <v>60</v>
      </c>
      <c r="E24" s="7" t="s">
        <v>179</v>
      </c>
      <c r="I24" t="s">
        <v>244</v>
      </c>
      <c r="L24" t="s">
        <v>463</v>
      </c>
    </row>
    <row r="25" spans="1:12" x14ac:dyDescent="0.25">
      <c r="A25" t="s">
        <v>88</v>
      </c>
      <c r="E25" s="7" t="s">
        <v>180</v>
      </c>
      <c r="I25" t="s">
        <v>245</v>
      </c>
      <c r="L25" t="s">
        <v>464</v>
      </c>
    </row>
    <row r="26" spans="1:12" x14ac:dyDescent="0.25">
      <c r="A26" t="s">
        <v>78</v>
      </c>
      <c r="E26" s="7" t="s">
        <v>181</v>
      </c>
      <c r="I26" t="s">
        <v>246</v>
      </c>
      <c r="L26" t="s">
        <v>465</v>
      </c>
    </row>
    <row r="27" spans="1:12" x14ac:dyDescent="0.25">
      <c r="A27" t="s">
        <v>53</v>
      </c>
      <c r="E27" s="7" t="s">
        <v>182</v>
      </c>
      <c r="I27" t="s">
        <v>247</v>
      </c>
      <c r="L27" t="s">
        <v>466</v>
      </c>
    </row>
    <row r="28" spans="1:12" x14ac:dyDescent="0.25">
      <c r="A28" t="s">
        <v>99</v>
      </c>
      <c r="E28" s="7" t="s">
        <v>183</v>
      </c>
      <c r="I28" t="s">
        <v>340</v>
      </c>
      <c r="L28" t="s">
        <v>467</v>
      </c>
    </row>
    <row r="29" spans="1:12" x14ac:dyDescent="0.25">
      <c r="A29" t="s">
        <v>33</v>
      </c>
      <c r="E29" s="7" t="s">
        <v>184</v>
      </c>
      <c r="I29" t="s">
        <v>248</v>
      </c>
      <c r="L29" t="s">
        <v>468</v>
      </c>
    </row>
    <row r="30" spans="1:12" x14ac:dyDescent="0.25">
      <c r="A30" t="s">
        <v>9</v>
      </c>
      <c r="E30" s="7" t="s">
        <v>185</v>
      </c>
      <c r="I30" t="s">
        <v>249</v>
      </c>
      <c r="L30" t="s">
        <v>469</v>
      </c>
    </row>
    <row r="31" spans="1:12" x14ac:dyDescent="0.25">
      <c r="A31" t="s">
        <v>7</v>
      </c>
      <c r="E31" s="7" t="s">
        <v>186</v>
      </c>
      <c r="I31" t="s">
        <v>341</v>
      </c>
      <c r="L31" t="s">
        <v>470</v>
      </c>
    </row>
    <row r="32" spans="1:12" x14ac:dyDescent="0.25">
      <c r="A32" t="s">
        <v>85</v>
      </c>
      <c r="E32" s="7" t="s">
        <v>187</v>
      </c>
      <c r="I32" t="s">
        <v>250</v>
      </c>
      <c r="L32" t="s">
        <v>471</v>
      </c>
    </row>
    <row r="33" spans="1:12" x14ac:dyDescent="0.25">
      <c r="A33" t="s">
        <v>58</v>
      </c>
      <c r="E33" s="7" t="s">
        <v>188</v>
      </c>
      <c r="I33" t="s">
        <v>342</v>
      </c>
      <c r="L33" t="s">
        <v>472</v>
      </c>
    </row>
    <row r="34" spans="1:12" x14ac:dyDescent="0.25">
      <c r="A34" t="s">
        <v>8</v>
      </c>
      <c r="E34" s="7" t="s">
        <v>189</v>
      </c>
      <c r="I34" t="s">
        <v>343</v>
      </c>
      <c r="L34" t="s">
        <v>473</v>
      </c>
    </row>
    <row r="35" spans="1:12" x14ac:dyDescent="0.25">
      <c r="A35" t="s">
        <v>30</v>
      </c>
      <c r="E35" s="7" t="s">
        <v>190</v>
      </c>
      <c r="I35" t="s">
        <v>344</v>
      </c>
      <c r="L35" t="s">
        <v>474</v>
      </c>
    </row>
    <row r="36" spans="1:12" x14ac:dyDescent="0.25">
      <c r="A36" t="s">
        <v>47</v>
      </c>
      <c r="E36" s="7" t="s">
        <v>191</v>
      </c>
      <c r="I36" t="s">
        <v>345</v>
      </c>
      <c r="L36" t="s">
        <v>475</v>
      </c>
    </row>
    <row r="37" spans="1:12" x14ac:dyDescent="0.25">
      <c r="A37" t="s">
        <v>40</v>
      </c>
      <c r="E37" s="7" t="s">
        <v>192</v>
      </c>
      <c r="I37" t="s">
        <v>346</v>
      </c>
      <c r="L37" t="s">
        <v>476</v>
      </c>
    </row>
    <row r="38" spans="1:12" x14ac:dyDescent="0.25">
      <c r="A38" t="s">
        <v>67</v>
      </c>
      <c r="E38" s="7" t="s">
        <v>193</v>
      </c>
      <c r="I38" t="s">
        <v>347</v>
      </c>
      <c r="L38" t="s">
        <v>477</v>
      </c>
    </row>
    <row r="39" spans="1:12" x14ac:dyDescent="0.25">
      <c r="A39" t="s">
        <v>0</v>
      </c>
      <c r="E39" s="7" t="s">
        <v>194</v>
      </c>
      <c r="I39" t="s">
        <v>348</v>
      </c>
      <c r="L39" t="s">
        <v>478</v>
      </c>
    </row>
    <row r="40" spans="1:12" x14ac:dyDescent="0.25">
      <c r="A40" t="s">
        <v>28</v>
      </c>
      <c r="E40" s="7" t="s">
        <v>195</v>
      </c>
      <c r="I40" t="s">
        <v>257</v>
      </c>
      <c r="L40" t="s">
        <v>479</v>
      </c>
    </row>
    <row r="41" spans="1:12" x14ac:dyDescent="0.25">
      <c r="A41" t="s">
        <v>50</v>
      </c>
      <c r="E41" s="7" t="s">
        <v>196</v>
      </c>
      <c r="I41" t="s">
        <v>256</v>
      </c>
      <c r="L41" t="s">
        <v>480</v>
      </c>
    </row>
    <row r="42" spans="1:12" x14ac:dyDescent="0.25">
      <c r="A42" t="s">
        <v>65</v>
      </c>
      <c r="E42" s="7" t="s">
        <v>197</v>
      </c>
      <c r="I42" t="s">
        <v>255</v>
      </c>
      <c r="L42" t="s">
        <v>481</v>
      </c>
    </row>
    <row r="43" spans="1:12" x14ac:dyDescent="0.25">
      <c r="A43" t="s">
        <v>87</v>
      </c>
      <c r="E43" s="7" t="s">
        <v>198</v>
      </c>
      <c r="I43" t="s">
        <v>254</v>
      </c>
      <c r="L43" t="s">
        <v>482</v>
      </c>
    </row>
    <row r="44" spans="1:12" x14ac:dyDescent="0.25">
      <c r="A44" t="s">
        <v>2</v>
      </c>
      <c r="E44" s="7" t="s">
        <v>199</v>
      </c>
      <c r="I44" t="s">
        <v>253</v>
      </c>
      <c r="L44" t="s">
        <v>483</v>
      </c>
    </row>
    <row r="45" spans="1:12" x14ac:dyDescent="0.25">
      <c r="A45" t="s">
        <v>25</v>
      </c>
      <c r="E45" s="7" t="s">
        <v>200</v>
      </c>
      <c r="I45" t="s">
        <v>624</v>
      </c>
      <c r="L45" t="s">
        <v>484</v>
      </c>
    </row>
    <row r="46" spans="1:12" x14ac:dyDescent="0.25">
      <c r="A46" t="s">
        <v>3</v>
      </c>
      <c r="E46" s="7" t="s">
        <v>201</v>
      </c>
      <c r="I46" t="s">
        <v>623</v>
      </c>
      <c r="L46" t="s">
        <v>485</v>
      </c>
    </row>
    <row r="47" spans="1:12" x14ac:dyDescent="0.25">
      <c r="A47" t="s">
        <v>23</v>
      </c>
      <c r="E47" s="7" t="s">
        <v>202</v>
      </c>
      <c r="I47" t="s">
        <v>634</v>
      </c>
      <c r="L47" t="s">
        <v>486</v>
      </c>
    </row>
    <row r="48" spans="1:12" x14ac:dyDescent="0.25">
      <c r="A48" t="s">
        <v>76</v>
      </c>
      <c r="E48" s="7" t="s">
        <v>203</v>
      </c>
      <c r="I48" t="s">
        <v>635</v>
      </c>
      <c r="L48" t="s">
        <v>487</v>
      </c>
    </row>
    <row r="49" spans="1:12" x14ac:dyDescent="0.25">
      <c r="A49" t="s">
        <v>75</v>
      </c>
      <c r="E49" s="7" t="s">
        <v>204</v>
      </c>
      <c r="I49" t="s">
        <v>636</v>
      </c>
      <c r="L49" t="s">
        <v>488</v>
      </c>
    </row>
    <row r="50" spans="1:12" x14ac:dyDescent="0.25">
      <c r="A50" t="s">
        <v>45</v>
      </c>
      <c r="E50" s="7" t="s">
        <v>205</v>
      </c>
      <c r="I50" t="s">
        <v>637</v>
      </c>
      <c r="L50" t="s">
        <v>489</v>
      </c>
    </row>
    <row r="51" spans="1:12" x14ac:dyDescent="0.25">
      <c r="A51" t="s">
        <v>101</v>
      </c>
      <c r="E51" s="7" t="s">
        <v>206</v>
      </c>
      <c r="I51" t="s">
        <v>638</v>
      </c>
      <c r="L51" t="s">
        <v>490</v>
      </c>
    </row>
    <row r="52" spans="1:12" x14ac:dyDescent="0.25">
      <c r="A52" t="s">
        <v>258</v>
      </c>
      <c r="E52" s="7" t="s">
        <v>207</v>
      </c>
      <c r="I52" t="s">
        <v>639</v>
      </c>
      <c r="L52" t="s">
        <v>491</v>
      </c>
    </row>
    <row r="53" spans="1:12" x14ac:dyDescent="0.25">
      <c r="A53" t="s">
        <v>259</v>
      </c>
      <c r="E53" s="7" t="s">
        <v>208</v>
      </c>
      <c r="I53" t="s">
        <v>640</v>
      </c>
      <c r="L53" t="s">
        <v>492</v>
      </c>
    </row>
    <row r="54" spans="1:12" x14ac:dyDescent="0.25">
      <c r="E54" s="7" t="s">
        <v>209</v>
      </c>
      <c r="L54" t="s">
        <v>493</v>
      </c>
    </row>
    <row r="55" spans="1:12" x14ac:dyDescent="0.25">
      <c r="E55" s="7" t="s">
        <v>210</v>
      </c>
      <c r="L55" t="s">
        <v>494</v>
      </c>
    </row>
    <row r="56" spans="1:12" x14ac:dyDescent="0.25">
      <c r="E56" s="7" t="s">
        <v>211</v>
      </c>
      <c r="L56" t="s">
        <v>495</v>
      </c>
    </row>
    <row r="57" spans="1:12" x14ac:dyDescent="0.25">
      <c r="E57" s="7" t="s">
        <v>212</v>
      </c>
      <c r="L57" t="s">
        <v>496</v>
      </c>
    </row>
    <row r="58" spans="1:12" x14ac:dyDescent="0.25">
      <c r="E58" s="7" t="s">
        <v>213</v>
      </c>
      <c r="L58" t="s">
        <v>497</v>
      </c>
    </row>
    <row r="59" spans="1:12" x14ac:dyDescent="0.25">
      <c r="E59" s="7" t="s">
        <v>214</v>
      </c>
      <c r="L59" t="s">
        <v>498</v>
      </c>
    </row>
    <row r="60" spans="1:12" x14ac:dyDescent="0.25">
      <c r="E60" s="7" t="s">
        <v>215</v>
      </c>
      <c r="L60" t="s">
        <v>499</v>
      </c>
    </row>
    <row r="61" spans="1:12" x14ac:dyDescent="0.25">
      <c r="E61" s="7" t="s">
        <v>216</v>
      </c>
      <c r="L61" t="s">
        <v>500</v>
      </c>
    </row>
    <row r="62" spans="1:12" x14ac:dyDescent="0.25">
      <c r="E62" s="7" t="s">
        <v>217</v>
      </c>
      <c r="L62" t="s">
        <v>501</v>
      </c>
    </row>
    <row r="63" spans="1:12" x14ac:dyDescent="0.25">
      <c r="E63" s="7" t="s">
        <v>218</v>
      </c>
      <c r="L63" t="s">
        <v>502</v>
      </c>
    </row>
    <row r="64" spans="1:12" x14ac:dyDescent="0.25">
      <c r="E64" s="7" t="s">
        <v>219</v>
      </c>
      <c r="L64" t="s">
        <v>503</v>
      </c>
    </row>
    <row r="65" spans="5:12" x14ac:dyDescent="0.25">
      <c r="E65" s="7" t="s">
        <v>220</v>
      </c>
      <c r="L65" t="s">
        <v>504</v>
      </c>
    </row>
    <row r="66" spans="5:12" x14ac:dyDescent="0.25">
      <c r="E66" s="7" t="s">
        <v>221</v>
      </c>
      <c r="L66" t="s">
        <v>505</v>
      </c>
    </row>
    <row r="67" spans="5:12" x14ac:dyDescent="0.25">
      <c r="E67" s="7" t="s">
        <v>222</v>
      </c>
      <c r="L67" t="s">
        <v>506</v>
      </c>
    </row>
    <row r="68" spans="5:12" x14ac:dyDescent="0.25">
      <c r="E68" s="7" t="s">
        <v>223</v>
      </c>
      <c r="L68" t="s">
        <v>507</v>
      </c>
    </row>
    <row r="69" spans="5:12" x14ac:dyDescent="0.25">
      <c r="E69" s="7" t="s">
        <v>224</v>
      </c>
      <c r="L69" t="s">
        <v>508</v>
      </c>
    </row>
    <row r="70" spans="5:12" x14ac:dyDescent="0.25">
      <c r="E70" s="7" t="s">
        <v>225</v>
      </c>
      <c r="L70" t="s">
        <v>509</v>
      </c>
    </row>
    <row r="71" spans="5:12" x14ac:dyDescent="0.25">
      <c r="E71" s="7" t="s">
        <v>226</v>
      </c>
      <c r="L71" t="s">
        <v>510</v>
      </c>
    </row>
    <row r="72" spans="5:12" x14ac:dyDescent="0.25">
      <c r="E72" s="7" t="s">
        <v>227</v>
      </c>
      <c r="L72" t="s">
        <v>511</v>
      </c>
    </row>
    <row r="73" spans="5:12" x14ac:dyDescent="0.25">
      <c r="E73" s="7" t="s">
        <v>228</v>
      </c>
      <c r="L73" t="s">
        <v>512</v>
      </c>
    </row>
    <row r="74" spans="5:12" x14ac:dyDescent="0.25">
      <c r="E74" s="7" t="s">
        <v>229</v>
      </c>
      <c r="L74" t="s">
        <v>513</v>
      </c>
    </row>
    <row r="75" spans="5:12" x14ac:dyDescent="0.25">
      <c r="E75" s="7" t="s">
        <v>230</v>
      </c>
      <c r="L75" t="s">
        <v>514</v>
      </c>
    </row>
    <row r="76" spans="5:12" x14ac:dyDescent="0.25">
      <c r="E76" s="7" t="s">
        <v>231</v>
      </c>
      <c r="L76" t="s">
        <v>515</v>
      </c>
    </row>
    <row r="77" spans="5:12" x14ac:dyDescent="0.25">
      <c r="L77" t="s">
        <v>516</v>
      </c>
    </row>
    <row r="78" spans="5:12" x14ac:dyDescent="0.25">
      <c r="L78" t="s">
        <v>517</v>
      </c>
    </row>
    <row r="79" spans="5:12" x14ac:dyDescent="0.25">
      <c r="L79" t="s">
        <v>518</v>
      </c>
    </row>
    <row r="80" spans="5:12" x14ac:dyDescent="0.25">
      <c r="L80" t="s">
        <v>519</v>
      </c>
    </row>
    <row r="81" spans="12:12" x14ac:dyDescent="0.25">
      <c r="L81" t="s">
        <v>520</v>
      </c>
    </row>
    <row r="82" spans="12:12" x14ac:dyDescent="0.25">
      <c r="L82" t="s">
        <v>521</v>
      </c>
    </row>
    <row r="83" spans="12:12" x14ac:dyDescent="0.25">
      <c r="L83" t="s">
        <v>522</v>
      </c>
    </row>
    <row r="84" spans="12:12" x14ac:dyDescent="0.25">
      <c r="L84" t="s">
        <v>523</v>
      </c>
    </row>
    <row r="85" spans="12:12" x14ac:dyDescent="0.25">
      <c r="L85" t="s">
        <v>524</v>
      </c>
    </row>
    <row r="86" spans="12:12" x14ac:dyDescent="0.25">
      <c r="L86" t="s">
        <v>525</v>
      </c>
    </row>
    <row r="87" spans="12:12" x14ac:dyDescent="0.25">
      <c r="L87" t="s">
        <v>526</v>
      </c>
    </row>
    <row r="88" spans="12:12" x14ac:dyDescent="0.25">
      <c r="L88" t="s">
        <v>527</v>
      </c>
    </row>
    <row r="89" spans="12:12" x14ac:dyDescent="0.25">
      <c r="L89" t="s">
        <v>528</v>
      </c>
    </row>
    <row r="90" spans="12:12" x14ac:dyDescent="0.25">
      <c r="L90" t="s">
        <v>529</v>
      </c>
    </row>
    <row r="91" spans="12:12" x14ac:dyDescent="0.25">
      <c r="L91" t="s">
        <v>530</v>
      </c>
    </row>
    <row r="92" spans="12:12" x14ac:dyDescent="0.25">
      <c r="L92" t="s">
        <v>531</v>
      </c>
    </row>
    <row r="93" spans="12:12" x14ac:dyDescent="0.25">
      <c r="L93" t="s">
        <v>532</v>
      </c>
    </row>
    <row r="94" spans="12:12" x14ac:dyDescent="0.25">
      <c r="L94" t="s">
        <v>533</v>
      </c>
    </row>
    <row r="95" spans="12:12" x14ac:dyDescent="0.25">
      <c r="L95" t="s">
        <v>534</v>
      </c>
    </row>
    <row r="96" spans="12:12" x14ac:dyDescent="0.25">
      <c r="L96" t="s">
        <v>535</v>
      </c>
    </row>
    <row r="97" spans="12:12" x14ac:dyDescent="0.25">
      <c r="L97" t="s">
        <v>536</v>
      </c>
    </row>
    <row r="98" spans="12:12" x14ac:dyDescent="0.25">
      <c r="L98" t="s">
        <v>537</v>
      </c>
    </row>
    <row r="99" spans="12:12" x14ac:dyDescent="0.25">
      <c r="L99" t="s">
        <v>538</v>
      </c>
    </row>
    <row r="100" spans="12:12" x14ac:dyDescent="0.25">
      <c r="L100" t="s">
        <v>539</v>
      </c>
    </row>
    <row r="101" spans="12:12" x14ac:dyDescent="0.25">
      <c r="L101" t="s">
        <v>540</v>
      </c>
    </row>
  </sheetData>
  <conditionalFormatting sqref="E2:E76">
    <cfRule type="duplicateValues" dxfId="8" priority="8"/>
    <cfRule type="duplicateValues" dxfId="7" priority="9"/>
  </conditionalFormatting>
  <conditionalFormatting sqref="I38">
    <cfRule type="duplicateValues" dxfId="6" priority="5"/>
  </conditionalFormatting>
  <conditionalFormatting sqref="I38">
    <cfRule type="duplicateValues" dxfId="5" priority="4"/>
  </conditionalFormatting>
  <conditionalFormatting sqref="I39">
    <cfRule type="duplicateValues" dxfId="4" priority="3"/>
  </conditionalFormatting>
  <conditionalFormatting sqref="I39">
    <cfRule type="duplicateValues" dxfId="3" priority="2"/>
  </conditionalFormatting>
  <conditionalFormatting sqref="I37">
    <cfRule type="duplicateValues" dxfId="2" priority="29"/>
  </conditionalFormatting>
  <conditionalFormatting sqref="I6:I39">
    <cfRule type="duplicateValues" dxfId="1" priority="30"/>
  </conditionalFormatting>
  <conditionalFormatting sqref="I2:I53">
    <cfRule type="duplicateValues" dxfId="0" priority="32"/>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M70"/>
  <sheetViews>
    <sheetView zoomScaleNormal="100" workbookViewId="0">
      <selection activeCell="T22" sqref="T22"/>
    </sheetView>
  </sheetViews>
  <sheetFormatPr defaultColWidth="8.7109375" defaultRowHeight="15" x14ac:dyDescent="0.25"/>
  <cols>
    <col min="1" max="1" width="22.7109375" customWidth="1"/>
    <col min="2" max="2" width="8.5703125" hidden="1" customWidth="1"/>
    <col min="3" max="3" width="9.28515625" hidden="1" customWidth="1"/>
    <col min="4" max="4" width="8.7109375" hidden="1" customWidth="1"/>
    <col min="5" max="5" width="8.5703125" hidden="1" customWidth="1"/>
    <col min="6" max="9" width="0" hidden="1" customWidth="1"/>
    <col min="10" max="11" width="11.5703125" style="97" bestFit="1" customWidth="1"/>
    <col min="12" max="12" width="10.7109375" style="25" bestFit="1" customWidth="1"/>
  </cols>
  <sheetData>
    <row r="1" spans="1:13" ht="21" x14ac:dyDescent="0.35">
      <c r="A1" s="18" t="s">
        <v>355</v>
      </c>
    </row>
    <row r="3" spans="1:13" ht="15.75" thickBot="1" x14ac:dyDescent="0.3">
      <c r="A3" s="8"/>
    </row>
    <row r="4" spans="1:13" ht="15.75" thickBot="1" x14ac:dyDescent="0.3">
      <c r="A4" s="8" t="s">
        <v>356</v>
      </c>
      <c r="B4" s="138" t="s">
        <v>394</v>
      </c>
      <c r="C4" s="139"/>
      <c r="D4" s="139"/>
      <c r="E4" s="140"/>
      <c r="F4" s="138" t="s">
        <v>399</v>
      </c>
      <c r="G4" s="139"/>
      <c r="H4" s="139"/>
      <c r="I4" s="140"/>
      <c r="J4" s="141" t="s">
        <v>626</v>
      </c>
      <c r="K4" s="142"/>
      <c r="L4" s="142"/>
      <c r="M4" s="140"/>
    </row>
    <row r="5" spans="1:13" x14ac:dyDescent="0.25">
      <c r="B5" s="19" t="s">
        <v>398</v>
      </c>
      <c r="C5" s="20" t="s">
        <v>395</v>
      </c>
      <c r="D5" s="20" t="s">
        <v>396</v>
      </c>
      <c r="E5" s="21" t="s">
        <v>397</v>
      </c>
      <c r="F5" s="19" t="s">
        <v>398</v>
      </c>
      <c r="G5" s="20" t="s">
        <v>395</v>
      </c>
      <c r="H5" s="20" t="s">
        <v>396</v>
      </c>
      <c r="I5" s="20" t="s">
        <v>397</v>
      </c>
      <c r="J5" s="98" t="s">
        <v>398</v>
      </c>
      <c r="K5" s="98" t="s">
        <v>395</v>
      </c>
      <c r="L5" s="28" t="s">
        <v>396</v>
      </c>
      <c r="M5" s="21" t="s">
        <v>397</v>
      </c>
    </row>
    <row r="6" spans="1:13" x14ac:dyDescent="0.25">
      <c r="A6" s="8" t="s">
        <v>400</v>
      </c>
      <c r="B6" s="19"/>
      <c r="C6" s="20"/>
      <c r="D6" s="20"/>
      <c r="E6" s="20"/>
      <c r="F6" s="19"/>
      <c r="G6" s="20"/>
      <c r="H6" s="20"/>
      <c r="I6" s="20"/>
      <c r="J6" s="99"/>
      <c r="L6" s="26"/>
      <c r="M6" s="23"/>
    </row>
    <row r="7" spans="1:13" x14ac:dyDescent="0.25">
      <c r="A7" t="s">
        <v>364</v>
      </c>
      <c r="B7" s="22"/>
      <c r="C7" s="22"/>
      <c r="D7" s="22"/>
      <c r="E7" s="22"/>
      <c r="F7" s="22"/>
      <c r="G7" s="22"/>
      <c r="H7" s="22"/>
      <c r="I7" s="22"/>
      <c r="J7" s="100">
        <f>105+98+98+98+91</f>
        <v>490</v>
      </c>
      <c r="K7" s="100">
        <f>(140+126+126.75+133+133+133)/8</f>
        <v>98.96875</v>
      </c>
      <c r="L7" s="27">
        <f t="shared" ref="L7:L14" si="0">J7-K7</f>
        <v>391.03125</v>
      </c>
      <c r="M7" s="24">
        <f t="shared" ref="M7:M14" si="1">L7/J7</f>
        <v>0.7980229591836735</v>
      </c>
    </row>
    <row r="8" spans="1:13" x14ac:dyDescent="0.25">
      <c r="A8" t="s">
        <v>360</v>
      </c>
      <c r="B8" s="22"/>
      <c r="C8" s="22"/>
      <c r="D8" s="22"/>
      <c r="E8" s="22"/>
      <c r="F8" s="22"/>
      <c r="G8" s="22"/>
      <c r="H8" s="22"/>
      <c r="I8" s="22"/>
      <c r="J8" s="100">
        <f>192.5+175+52.5+91+98+154</f>
        <v>763</v>
      </c>
      <c r="K8" s="100">
        <f t="shared" ref="K8:K15" si="2">(140+126+126.75+133+133+133)/8</f>
        <v>98.96875</v>
      </c>
      <c r="L8" s="27">
        <f t="shared" si="0"/>
        <v>664.03125</v>
      </c>
      <c r="M8" s="24">
        <f t="shared" si="1"/>
        <v>0.87028997378768025</v>
      </c>
    </row>
    <row r="9" spans="1:13" x14ac:dyDescent="0.25">
      <c r="A9" t="s">
        <v>362</v>
      </c>
      <c r="B9" s="22"/>
      <c r="C9" s="22"/>
      <c r="D9" s="22"/>
      <c r="E9" s="22"/>
      <c r="F9" s="22"/>
      <c r="G9" s="22"/>
      <c r="H9" s="22"/>
      <c r="I9" s="22"/>
      <c r="J9" s="100"/>
      <c r="K9" s="100"/>
      <c r="L9" s="27"/>
      <c r="M9" s="24"/>
    </row>
    <row r="10" spans="1:13" x14ac:dyDescent="0.25">
      <c r="A10" t="s">
        <v>324</v>
      </c>
      <c r="B10" s="22"/>
      <c r="C10" s="22"/>
      <c r="D10" s="22"/>
      <c r="E10" s="22"/>
      <c r="F10" s="22"/>
      <c r="G10" s="22"/>
      <c r="H10" s="22"/>
      <c r="I10" s="22"/>
      <c r="J10" s="100">
        <f>GETPIVOTDATA("Total Sales by WS",WeeklySales!$A$4,"Date ",174,"Station","MC 26","Months",6)+GETPIVOTDATA("Total Sales by WS",WeeklySales!$A$4,"Date ",175,"Station","MC 26","Months",6)</f>
        <v>195.7</v>
      </c>
      <c r="K10" s="100">
        <f t="shared" si="2"/>
        <v>98.96875</v>
      </c>
      <c r="L10" s="27">
        <f t="shared" si="0"/>
        <v>96.731249999999989</v>
      </c>
      <c r="M10" s="24">
        <f t="shared" si="1"/>
        <v>0.49428334184977002</v>
      </c>
    </row>
    <row r="11" spans="1:13" x14ac:dyDescent="0.25">
      <c r="A11" t="s">
        <v>361</v>
      </c>
      <c r="B11" s="22" t="e">
        <f>GETPIVOTDATA("Total Sales",WeeklySales!$A$4,"Date ",DATE(2021,1,29),"Station","MC024")</f>
        <v>#REF!</v>
      </c>
      <c r="C11" s="22"/>
      <c r="D11" s="22"/>
      <c r="E11" s="22"/>
      <c r="F11" s="22"/>
      <c r="G11" s="22"/>
      <c r="H11" s="22"/>
      <c r="I11" s="22"/>
      <c r="J11" s="100">
        <f>GETPIVOTDATA("Total Sales by WS",WeeklySales!$A$4,"Date ",169,"Station","MC 24","Months",6)+GETPIVOTDATA("Total Sales by WS",WeeklySales!$A$4,"Date ",173,"Station","MC 24","Months",6)+GETPIVOTDATA("Total Sales by WS",WeeklySales!$A$4,"Date ",174,"Station","MC 24","Months",6)+GETPIVOTDATA("Total Sales by WS",WeeklySales!$A$4,"Date ",175,"Station","MC 24","Months",6)</f>
        <v>391.4</v>
      </c>
      <c r="K11" s="100">
        <f t="shared" si="2"/>
        <v>98.96875</v>
      </c>
      <c r="L11" s="27">
        <f t="shared" si="0"/>
        <v>292.43124999999998</v>
      </c>
      <c r="M11" s="24">
        <f t="shared" si="1"/>
        <v>0.74714167092488504</v>
      </c>
    </row>
    <row r="12" spans="1:13" x14ac:dyDescent="0.25">
      <c r="A12" t="s">
        <v>251</v>
      </c>
      <c r="B12" s="22" t="e">
        <f>GETPIVOTDATA("Total Sales",WeeklySales!$A$4,"Date ",DATE(2021,1,29),"Station","MC110")</f>
        <v>#REF!</v>
      </c>
      <c r="C12" s="22"/>
      <c r="D12" s="22"/>
      <c r="E12" s="22"/>
      <c r="F12" s="22"/>
      <c r="G12" s="22"/>
      <c r="H12" s="22"/>
      <c r="I12" s="22"/>
      <c r="J12" s="100">
        <f>+GETPIVOTDATA("Total Sales by WS",WeeklySales!$A$4,"Date ",169,"Station","MC 110","Months",6)+GETPIVOTDATA("Total Sales by WS",WeeklySales!$A$4,"Date ",170,"Station","MC 110","Months",6)+GETPIVOTDATA("Total Sales by WS",WeeklySales!$A$4,"Date ",173,"Station","MC 110","Months",6)+GETPIVOTDATA("Total Sales by WS",WeeklySales!$A$4,"Date ",174,"Station","MC 110","Months",6)+GETPIVOTDATA("Total Sales by WS",WeeklySales!$A$4,"Date ",175,"Station","MC 110","Months",6)</f>
        <v>489.25</v>
      </c>
      <c r="K12" s="100">
        <f t="shared" si="2"/>
        <v>98.96875</v>
      </c>
      <c r="L12" s="27">
        <f t="shared" si="0"/>
        <v>390.28125</v>
      </c>
      <c r="M12" s="24">
        <f t="shared" si="1"/>
        <v>0.79771333673990807</v>
      </c>
    </row>
    <row r="13" spans="1:13" x14ac:dyDescent="0.25">
      <c r="A13" t="s">
        <v>623</v>
      </c>
      <c r="B13" s="22"/>
      <c r="C13" s="22"/>
      <c r="D13" s="22"/>
      <c r="E13" s="22"/>
      <c r="F13" s="22"/>
      <c r="G13" s="22"/>
      <c r="H13" s="22"/>
      <c r="I13" s="22"/>
      <c r="J13" s="100">
        <f>GETPIVOTDATA("Total Sales by WS",WeeklySales!$A$4,"Date ",169,"Station","BF 116","Months",6)+GETPIVOTDATA("Total Sales by WS",WeeklySales!$A$4,"Date ",170,"Station","BF 116","Months",6)+GETPIVOTDATA("Total Sales by WS",WeeklySales!$A$4,"Date ",173,"Station","BF 116","Months",6)+GETPIVOTDATA("Total Sales by WS",WeeklySales!$A$4,"Date ",174,"Station","BF 116","Months",6)+GETPIVOTDATA("Total Sales by WS",WeeklySales!$A$4,"Date ",175,"Station","BF 116","Months",6)</f>
        <v>901.25</v>
      </c>
      <c r="K13" s="100">
        <f t="shared" si="2"/>
        <v>98.96875</v>
      </c>
      <c r="L13" s="27">
        <f t="shared" si="0"/>
        <v>802.28125</v>
      </c>
      <c r="M13" s="24">
        <f t="shared" si="1"/>
        <v>0.89018723994452154</v>
      </c>
    </row>
    <row r="14" spans="1:13" x14ac:dyDescent="0.25">
      <c r="A14" t="s">
        <v>624</v>
      </c>
      <c r="B14" s="22"/>
      <c r="C14" s="22"/>
      <c r="D14" s="22"/>
      <c r="E14" s="22"/>
      <c r="F14" s="22"/>
      <c r="G14" s="22"/>
      <c r="H14" s="22"/>
      <c r="I14" s="22"/>
      <c r="J14" s="100">
        <f>+GETPIVOTDATA("Total Sales by WS",WeeklySales!$A$4,"Date ",175,"Station","BF 117","Months",6)+GETPIVOTDATA("Total Sales by WS",WeeklySales!$A$4,"Date ",174,"Station","BF 117","Months",6)+GETPIVOTDATA("Total Sales by WS",WeeklySales!$A$4,"Date ",173,"Station","BF 117","Months",6)+GETPIVOTDATA("Total Sales by WS",WeeklySales!$A$4,"Date ",170,"Station","BF 117","Months",6)+GETPIVOTDATA("Total Sales by WS",WeeklySales!$A$4,"Date ",169,"Station","BF 117","Months",6)</f>
        <v>1272.05</v>
      </c>
      <c r="K14" s="100">
        <f t="shared" si="2"/>
        <v>98.96875</v>
      </c>
      <c r="L14" s="27">
        <f t="shared" si="0"/>
        <v>1173.08125</v>
      </c>
      <c r="M14" s="24">
        <f t="shared" si="1"/>
        <v>0.9221974372076569</v>
      </c>
    </row>
    <row r="15" spans="1:13" x14ac:dyDescent="0.25">
      <c r="A15" t="s">
        <v>363</v>
      </c>
      <c r="B15" s="22"/>
      <c r="C15" s="22"/>
      <c r="D15" s="22"/>
      <c r="E15" s="22"/>
      <c r="F15" s="22"/>
      <c r="G15" s="22"/>
      <c r="H15" s="22"/>
      <c r="I15" s="22"/>
      <c r="J15" s="100">
        <f>86.4+38.4+115.2+57.6+48</f>
        <v>345.6</v>
      </c>
      <c r="K15" s="100">
        <f t="shared" si="2"/>
        <v>98.96875</v>
      </c>
      <c r="L15" s="27">
        <f>J15-K15</f>
        <v>246.63125000000002</v>
      </c>
      <c r="M15" s="24">
        <f>L15/J15</f>
        <v>0.71363208912037035</v>
      </c>
    </row>
    <row r="16" spans="1:13" x14ac:dyDescent="0.25">
      <c r="B16" s="22"/>
      <c r="C16" s="22"/>
      <c r="D16" s="22"/>
      <c r="E16" s="22"/>
      <c r="F16" s="22"/>
      <c r="G16" s="22"/>
      <c r="H16" s="22"/>
      <c r="I16" s="22"/>
      <c r="J16" s="100">
        <f>SUM(J6:J12)</f>
        <v>2329.35</v>
      </c>
      <c r="K16" s="98">
        <f>SUM(K7:K15)</f>
        <v>791.75</v>
      </c>
      <c r="L16" s="27">
        <f>J16-K16</f>
        <v>1537.6</v>
      </c>
      <c r="M16" s="24">
        <f>L16/J16</f>
        <v>0.66009831068753089</v>
      </c>
    </row>
    <row r="17" spans="1:13" x14ac:dyDescent="0.25">
      <c r="A17" s="8" t="s">
        <v>401</v>
      </c>
      <c r="B17" s="22"/>
      <c r="C17" s="22"/>
      <c r="D17" s="22"/>
      <c r="E17" s="22"/>
      <c r="F17" s="22"/>
      <c r="G17" s="22"/>
      <c r="H17" s="22"/>
      <c r="I17" s="22"/>
      <c r="J17" s="100"/>
      <c r="K17" s="100"/>
      <c r="L17" s="27"/>
      <c r="M17" s="22"/>
    </row>
    <row r="18" spans="1:13" x14ac:dyDescent="0.25">
      <c r="A18" t="s">
        <v>232</v>
      </c>
      <c r="B18" s="22" t="e">
        <f>GETPIVOTDATA("Total Sales",WeeklySales!$A$4,"Date ",DATE(2021,1,29),"Station","BF102")</f>
        <v>#REF!</v>
      </c>
      <c r="C18" s="22"/>
      <c r="D18" s="22"/>
      <c r="E18" s="22"/>
      <c r="F18" s="22"/>
      <c r="G18" s="22"/>
      <c r="H18" s="22"/>
      <c r="I18" s="22"/>
      <c r="J18" s="100">
        <f>+GETPIVOTDATA("Total Sales by WS",WeeklySales!$A$4,"Date ",173,"Station","BF 102","Months",6)+GETPIVOTDATA("Total Sales by WS",WeeklySales!$A$4,"Date ",175,"Station","BF 102","Months",6)</f>
        <v>195.7</v>
      </c>
      <c r="K18" s="100">
        <f>+(111.38+135+135+135+111.75+135)/8</f>
        <v>95.391249999999999</v>
      </c>
      <c r="L18" s="27">
        <f t="shared" ref="L18:L25" si="3">J18-K18</f>
        <v>100.30874999999999</v>
      </c>
      <c r="M18" s="24">
        <f t="shared" ref="M18:M25" si="4">L18/J18</f>
        <v>0.51256387327542152</v>
      </c>
    </row>
    <row r="19" spans="1:13" x14ac:dyDescent="0.25">
      <c r="A19" t="s">
        <v>252</v>
      </c>
      <c r="B19" s="22" t="e">
        <f>GETPIVOTDATA("Total Sales",WeeklySales!$A$4,"Date ",DATE(2021,1,29),"Station","MC112")</f>
        <v>#REF!</v>
      </c>
      <c r="C19" s="22"/>
      <c r="D19" s="22"/>
      <c r="E19" s="22"/>
      <c r="F19" s="22"/>
      <c r="G19" s="22"/>
      <c r="H19" s="22"/>
      <c r="I19" s="22"/>
      <c r="J19" s="100">
        <f>GETPIVOTDATA("Total Sales by WS",WeeklySales!$A$4,"Date ",169,"Station","MC 112","Months",6)+GETPIVOTDATA("Total Sales by WS",WeeklySales!$A$4,"Date ",172,"Station","MC 112","Months",6)</f>
        <v>195.7</v>
      </c>
      <c r="K19" s="100">
        <f t="shared" ref="K19:K25" si="5">+(111.38+135+135+135+111.75+135)/8</f>
        <v>95.391249999999999</v>
      </c>
      <c r="L19" s="27">
        <f t="shared" si="3"/>
        <v>100.30874999999999</v>
      </c>
      <c r="M19" s="24">
        <f t="shared" si="4"/>
        <v>0.51256387327542152</v>
      </c>
    </row>
    <row r="20" spans="1:13" x14ac:dyDescent="0.25">
      <c r="A20" t="s">
        <v>323</v>
      </c>
      <c r="B20" s="22"/>
      <c r="C20" s="22"/>
      <c r="D20" s="22"/>
      <c r="E20" s="22"/>
      <c r="F20" s="22"/>
      <c r="G20" s="22"/>
      <c r="H20" s="22"/>
      <c r="I20" s="22"/>
      <c r="J20" s="100"/>
      <c r="K20" s="100">
        <f t="shared" si="5"/>
        <v>95.391249999999999</v>
      </c>
      <c r="L20" s="27">
        <f t="shared" si="3"/>
        <v>-95.391249999999999</v>
      </c>
      <c r="M20" s="24" t="e">
        <f t="shared" si="4"/>
        <v>#DIV/0!</v>
      </c>
    </row>
    <row r="21" spans="1:13" x14ac:dyDescent="0.25">
      <c r="A21" t="s">
        <v>242</v>
      </c>
      <c r="B21" s="22" t="e">
        <f>GETPIVOTDATA("Total Sales",WeeklySales!$A$4,"Date ",DATE(2021,1,29),"Station","BF112")</f>
        <v>#REF!</v>
      </c>
      <c r="C21" s="22"/>
      <c r="D21" s="22"/>
      <c r="E21" s="22"/>
      <c r="F21" s="22"/>
      <c r="G21" s="22"/>
      <c r="H21" s="22"/>
      <c r="I21" s="22"/>
      <c r="J21" s="100">
        <f>+GETPIVOTDATA("Total Sales by WS",WeeklySales!$A$4,"Date ",169,"Station","BF 112","Months",6)+GETPIVOTDATA("Total Sales by WS",WeeklySales!$A$4,"Date ",172,"Station","BF 112","Months",6)+GETPIVOTDATA("Total Sales by WS",WeeklySales!$A$4,"Date ",174,"Station","BF 112","Months",6)+GETPIVOTDATA("Total Sales by WS",WeeklySales!$A$4,"Date ",175,"Station","BF 112","Months",6)</f>
        <v>705.55</v>
      </c>
      <c r="K21" s="100">
        <f t="shared" si="5"/>
        <v>95.391249999999999</v>
      </c>
      <c r="L21" s="27">
        <f t="shared" si="3"/>
        <v>610.15874999999994</v>
      </c>
      <c r="M21" s="24">
        <f t="shared" si="4"/>
        <v>0.86479873857274459</v>
      </c>
    </row>
    <row r="22" spans="1:13" x14ac:dyDescent="0.25">
      <c r="A22" t="s">
        <v>337</v>
      </c>
      <c r="B22" s="22"/>
      <c r="C22" s="22"/>
      <c r="D22" s="22"/>
      <c r="E22" s="22"/>
      <c r="F22" s="22"/>
      <c r="G22" s="22"/>
      <c r="H22" s="22"/>
      <c r="I22" s="22"/>
      <c r="J22" s="100">
        <f>63+63+84+77+70</f>
        <v>357</v>
      </c>
      <c r="K22" s="100">
        <f t="shared" si="5"/>
        <v>95.391249999999999</v>
      </c>
      <c r="L22" s="27">
        <f t="shared" si="3"/>
        <v>261.60874999999999</v>
      </c>
      <c r="M22" s="24">
        <f t="shared" si="4"/>
        <v>0.73279761904761898</v>
      </c>
    </row>
    <row r="23" spans="1:13" x14ac:dyDescent="0.25">
      <c r="A23" t="s">
        <v>234</v>
      </c>
      <c r="B23" s="22" t="e">
        <f>GETPIVOTDATA("Total Sales",WeeklySales!$A$4,"Date ",DATE(2021,1,29),"Station","BF104")</f>
        <v>#REF!</v>
      </c>
      <c r="C23" s="22"/>
      <c r="D23" s="22"/>
      <c r="E23" s="22"/>
      <c r="F23" s="22"/>
      <c r="G23" s="22"/>
      <c r="H23" s="22"/>
      <c r="I23" s="22"/>
      <c r="J23" s="100">
        <f>+GETPIVOTDATA("Total Sales by WS",WeeklySales!$A$4,"Date ",169,"Station","BF 104","Months",6)+GETPIVOTDATA("Total Sales by WS",WeeklySales!$A$4,"Date ",172,"Station","BF 104","Months",6)++GETPIVOTDATA("Total Sales by WS",WeeklySales!$A$4,"Date ",174,"Station","BF 104","Months",6)+GETPIVOTDATA("Total Sales by WS",WeeklySales!$A$4,"Date ",175,"Station","BF 104","Months",6)</f>
        <v>684.94999999999993</v>
      </c>
      <c r="K23" s="100">
        <f t="shared" si="5"/>
        <v>95.391249999999999</v>
      </c>
      <c r="L23" s="27">
        <f t="shared" si="3"/>
        <v>589.55874999999992</v>
      </c>
      <c r="M23" s="24">
        <f t="shared" si="4"/>
        <v>0.86073253522154902</v>
      </c>
    </row>
    <row r="24" spans="1:13" x14ac:dyDescent="0.25">
      <c r="A24" t="s">
        <v>233</v>
      </c>
      <c r="B24" s="22" t="e">
        <f>GETPIVOTDATA("Total Sales",WeeklySales!$A$4,"Date ",DATE(2021,1,29),"Station","BF103")</f>
        <v>#REF!</v>
      </c>
      <c r="C24" s="22"/>
      <c r="D24" s="22"/>
      <c r="E24" s="22"/>
      <c r="F24" s="22"/>
      <c r="G24" s="22"/>
      <c r="H24" s="22"/>
      <c r="I24" s="22"/>
      <c r="J24" s="100">
        <f>+GETPIVOTDATA("Total Sales by WS",WeeklySales!$A$4,"Date ",169,"Station","BF 103","Months",6)+GETPIVOTDATA("Total Sales by WS",WeeklySales!$A$4,"Date ",172,"Station","BF 103","Months",6)+GETPIVOTDATA("Total Sales by WS",WeeklySales!$A$4,"Date ",174,"Station","BF 103","Months",6)+GETPIVOTDATA("Total Sales by WS",WeeklySales!$A$4,"Date ",175,"Station","BF 103","Months",6)</f>
        <v>391.4</v>
      </c>
      <c r="K24" s="100">
        <f t="shared" si="5"/>
        <v>95.391249999999999</v>
      </c>
      <c r="L24" s="27">
        <f t="shared" si="3"/>
        <v>296.00874999999996</v>
      </c>
      <c r="M24" s="24">
        <f t="shared" si="4"/>
        <v>0.75628193663771071</v>
      </c>
    </row>
    <row r="25" spans="1:13" x14ac:dyDescent="0.25">
      <c r="A25" t="s">
        <v>238</v>
      </c>
      <c r="B25" s="22" t="e">
        <f>GETPIVOTDATA("Total Sales",WeeklySales!$A$4,"Date ",DATE(2021,1,29),"Station","BF108")</f>
        <v>#REF!</v>
      </c>
      <c r="C25" s="22"/>
      <c r="D25" s="22"/>
      <c r="E25" s="22"/>
      <c r="F25" s="22"/>
      <c r="G25" s="22"/>
      <c r="H25" s="22"/>
      <c r="I25" s="22"/>
      <c r="J25" s="100">
        <f>+GETPIVOTDATA("Total Sales by WS",WeeklySales!$A$4,"Date ",169,"Station","BF 108","Months",6)+GETPIVOTDATA("Total Sales by WS",WeeklySales!$A$4,"Date ",172,"Station","BF 108","Months",6)+GETPIVOTDATA("Total Sales by WS",WeeklySales!$A$4,"Date ",173,"Station","BF 108","Months",6)+GETPIVOTDATA("Total Sales by WS",WeeklySales!$A$4,"Date ",174,"Station","BF 108","Months",6)+GETPIVOTDATA("Total Sales by WS",WeeklySales!$A$4,"Date ",175,"Station","BF 108","Months",6)</f>
        <v>1174.1999999999998</v>
      </c>
      <c r="K25" s="100">
        <f t="shared" si="5"/>
        <v>95.391249999999999</v>
      </c>
      <c r="L25" s="27">
        <f t="shared" si="3"/>
        <v>1078.8087499999999</v>
      </c>
      <c r="M25" s="24">
        <f t="shared" si="4"/>
        <v>0.91876064554590364</v>
      </c>
    </row>
    <row r="26" spans="1:13" x14ac:dyDescent="0.25">
      <c r="B26" s="22"/>
      <c r="C26" s="22"/>
      <c r="D26" s="22"/>
      <c r="E26" s="22"/>
      <c r="F26" s="22"/>
      <c r="G26" s="22"/>
      <c r="H26" s="22"/>
      <c r="I26" s="22"/>
      <c r="J26" s="100">
        <f>SUM(J18:J25)</f>
        <v>3704.4999999999995</v>
      </c>
      <c r="K26" s="100">
        <f>SUM(K18:K25)</f>
        <v>763.13</v>
      </c>
      <c r="L26" s="27">
        <f>J26-K26</f>
        <v>2941.3699999999994</v>
      </c>
      <c r="M26" s="24">
        <f>L26/J26</f>
        <v>0.79399919017411247</v>
      </c>
    </row>
    <row r="27" spans="1:13" x14ac:dyDescent="0.25">
      <c r="A27" s="8" t="s">
        <v>402</v>
      </c>
      <c r="B27" s="22"/>
      <c r="C27" s="22"/>
      <c r="D27" s="22"/>
      <c r="E27" s="22"/>
      <c r="F27" s="22"/>
      <c r="G27" s="22"/>
      <c r="H27" s="22"/>
      <c r="I27" s="22"/>
      <c r="J27" s="100"/>
      <c r="L27" s="27"/>
      <c r="M27" s="22"/>
    </row>
    <row r="28" spans="1:13" x14ac:dyDescent="0.25">
      <c r="A28" t="s">
        <v>236</v>
      </c>
      <c r="B28" s="22" t="e">
        <f>GETPIVOTDATA("Total Sales",WeeklySales!$A$4,"Date ",DATE(2021,1,29),"Station","BF106")</f>
        <v>#REF!</v>
      </c>
      <c r="C28" s="22"/>
      <c r="D28" s="22"/>
      <c r="E28" s="22"/>
      <c r="F28" s="22"/>
      <c r="G28" s="22"/>
      <c r="H28" s="22"/>
      <c r="I28" s="22"/>
      <c r="J28" s="100">
        <f>GETPIVOTDATA("Total Sales by WS",WeeklySales!$A$4,"Date ",169,"Station","BF 106","Months",6)+GETPIVOTDATA("Total Sales by WS",WeeklySales!$A$4,"Date ",172,"Station","BF 106","Months",6)+GETPIVOTDATA("Total Sales by WS",WeeklySales!$A$4,"Date ",174,"Station","BF 106","Months",6)+GETPIVOTDATA("Total Sales by WS",WeeklySales!$A$4,"Date ",175,"Station","BF 106","Months",6)</f>
        <v>587.09999999999991</v>
      </c>
      <c r="K28" s="100">
        <f>(155+139.5+155+155+108.5+155)/6</f>
        <v>144.66666666666666</v>
      </c>
      <c r="L28" s="27">
        <f t="shared" ref="L28:L33" si="6">J28-K28</f>
        <v>442.43333333333328</v>
      </c>
      <c r="M28" s="24">
        <f t="shared" ref="M28:M33" si="7">L28/J28</f>
        <v>0.75359109748481234</v>
      </c>
    </row>
    <row r="29" spans="1:13" x14ac:dyDescent="0.25">
      <c r="A29" t="s">
        <v>239</v>
      </c>
      <c r="B29" s="22" t="e">
        <f>GETPIVOTDATA("Total Sales",WeeklySales!$A$4,"Date ",DATE(2021,1,29),"Station","BF109")</f>
        <v>#REF!</v>
      </c>
      <c r="C29" s="22"/>
      <c r="D29" s="22"/>
      <c r="E29" s="22"/>
      <c r="F29" s="22"/>
      <c r="G29" s="22"/>
      <c r="H29" s="22"/>
      <c r="I29" s="22"/>
      <c r="J29" s="100">
        <f>+GETPIVOTDATA("Total Sales by WS",WeeklySales!$A$4,"Date ",169,"Station","BF 109","Months",6)+GETPIVOTDATA("Total Sales by WS",WeeklySales!$A$4,"Date ",172,"Station","BF 109","Months",6)+GETPIVOTDATA("Total Sales by WS",WeeklySales!$A$4,"Date ",173,"Station","BF 109","Months",6)+GETPIVOTDATA("Total Sales by WS",WeeklySales!$A$4,"Date ",175,"Station","BF 109","Months",6)</f>
        <v>1194.8</v>
      </c>
      <c r="K29" s="100">
        <f t="shared" ref="K29:K33" si="8">(155+139.5+155+155+108.5+155)/6</f>
        <v>144.66666666666666</v>
      </c>
      <c r="L29" s="27">
        <f t="shared" si="6"/>
        <v>1050.1333333333332</v>
      </c>
      <c r="M29" s="24">
        <f t="shared" si="7"/>
        <v>0.87891976341926115</v>
      </c>
    </row>
    <row r="30" spans="1:13" x14ac:dyDescent="0.25">
      <c r="A30" t="s">
        <v>240</v>
      </c>
      <c r="B30" s="22" t="e">
        <f>GETPIVOTDATA("Total Sales",WeeklySales!$A$4,"Date ",DATE(2021,1,29),"Station","BF110")</f>
        <v>#REF!</v>
      </c>
      <c r="C30" s="22"/>
      <c r="D30" s="22"/>
      <c r="E30" s="22"/>
      <c r="F30" s="22"/>
      <c r="G30" s="22"/>
      <c r="H30" s="22"/>
      <c r="I30" s="22"/>
      <c r="J30" s="100">
        <f>+GETPIVOTDATA("Total Sales by WS",WeeklySales!$A$4,"Date ",169,"Station","BF 110","Months",6)+GETPIVOTDATA("Total Sales by WS",WeeklySales!$A$4,"Date ",170,"Station","BF 110","Months",6)+GETPIVOTDATA("Total Sales by WS",WeeklySales!$A$4,"Date ",172,"Station","BF 110","Months",6)+GETPIVOTDATA("Total Sales by WS",WeeklySales!$A$4,"Date ",173,"Station","BF 110","Months",6)+GETPIVOTDATA("Total Sales by WS",WeeklySales!$A$4,"Date ",174,"Station","BF 110","Months",6)+GETPIVOTDATA("Total Sales by WS",WeeklySales!$A$4,"Date ",175,"Station","BF 110","Months",6)</f>
        <v>1004.25</v>
      </c>
      <c r="K30" s="100">
        <f t="shared" si="8"/>
        <v>144.66666666666666</v>
      </c>
      <c r="L30" s="27">
        <f t="shared" si="6"/>
        <v>859.58333333333337</v>
      </c>
      <c r="M30" s="24">
        <f t="shared" si="7"/>
        <v>0.85594556468342875</v>
      </c>
    </row>
    <row r="31" spans="1:13" x14ac:dyDescent="0.25">
      <c r="A31" t="s">
        <v>237</v>
      </c>
      <c r="B31" s="22" t="e">
        <f>GETPIVOTDATA("Total Sales",WeeklySales!$A$4,"Date ",DATE(2021,1,29),"Station","BF107")</f>
        <v>#REF!</v>
      </c>
      <c r="C31" s="22"/>
      <c r="D31" s="22"/>
      <c r="E31" s="22"/>
      <c r="F31" s="22"/>
      <c r="G31" s="22"/>
      <c r="H31" s="22"/>
      <c r="I31" s="22"/>
      <c r="J31" s="100">
        <f>+GETPIVOTDATA("Total Sales by WS",WeeklySales!$A$4,"Date ",169,"Station","BF 107","Months",6)+GETPIVOTDATA("Total Sales by WS",WeeklySales!$A$4,"Date ",170,"Station","BF 107","Months",6)+GETPIVOTDATA("Total Sales by WS",WeeklySales!$A$4,"Date ",172,"Station","BF 107","Months",6)+GETPIVOTDATA("Total Sales by WS",WeeklySales!$A$4,"Date ",173,"Station","BF 107","Months",6)+GETPIVOTDATA("Total Sales by WS",WeeklySales!$A$4,"Date ",174,"Station","BF 107","Months",6)+GETPIVOTDATA("Total Sales by WS",WeeklySales!$A$4,"Date ",175,"Station","BF 107","Months",6)</f>
        <v>2054.8499999999995</v>
      </c>
      <c r="K31" s="100">
        <f>(155+139.5+155+155+108.5+155)/6</f>
        <v>144.66666666666666</v>
      </c>
      <c r="L31" s="27">
        <f t="shared" si="6"/>
        <v>1910.1833333333327</v>
      </c>
      <c r="M31" s="24">
        <f t="shared" si="7"/>
        <v>0.92959745642423208</v>
      </c>
    </row>
    <row r="32" spans="1:13" x14ac:dyDescent="0.25">
      <c r="A32" t="s">
        <v>317</v>
      </c>
      <c r="B32" s="22" t="e">
        <f>GETPIVOTDATA("Total Sales",WeeklySales!$A$4,"Date ",DATE(2021,1,29),"Station","MC78")</f>
        <v>#REF!</v>
      </c>
      <c r="C32" s="22"/>
      <c r="D32" s="22"/>
      <c r="E32" s="22"/>
      <c r="F32" s="22"/>
      <c r="G32" s="22"/>
      <c r="H32" s="22"/>
      <c r="I32" s="22"/>
      <c r="J32" s="100">
        <f>+GETPIVOTDATA("Total Sales by WS",WeeklySales!$A$4,"Date ",174,"Station","MC 78","Months",6)+GETPIVOTDATA("Total Sales by WS",WeeklySales!$A$4,"Date ",172,"Station","MC 78","Months",6)+GETPIVOTDATA("Total Sales by WS",WeeklySales!$A$4,"Date ",170,"Station","MC 78","Months",6)+GETPIVOTDATA("Total Sales by WS",WeeklySales!$A$4,"Date ",169,"Station","MC 78","Months",6)</f>
        <v>684.94999999999993</v>
      </c>
      <c r="K32" s="100">
        <f t="shared" si="8"/>
        <v>144.66666666666666</v>
      </c>
      <c r="L32" s="27">
        <f t="shared" si="6"/>
        <v>540.2833333333333</v>
      </c>
      <c r="M32" s="24">
        <f t="shared" si="7"/>
        <v>0.78879236927269636</v>
      </c>
    </row>
    <row r="33" spans="1:13" x14ac:dyDescent="0.25">
      <c r="A33" t="s">
        <v>235</v>
      </c>
      <c r="B33" s="22"/>
      <c r="C33" s="22"/>
      <c r="D33" s="22"/>
      <c r="E33" s="22"/>
      <c r="F33" s="22"/>
      <c r="G33" s="22"/>
      <c r="H33" s="22"/>
      <c r="I33" s="22"/>
      <c r="J33" s="100">
        <f>GETPIVOTDATA("Total Sales by WS",WeeklySales!$A$4,"Date ",174,"Station","BF 105","Months",6)+GETPIVOTDATA("Total Sales by WS",WeeklySales!$A$4,"Date ",175,"Station","BF 105","Months",6)</f>
        <v>247.2</v>
      </c>
      <c r="K33" s="100">
        <f t="shared" si="8"/>
        <v>144.66666666666666</v>
      </c>
      <c r="L33" s="27">
        <f t="shared" si="6"/>
        <v>102.53333333333333</v>
      </c>
      <c r="M33" s="24">
        <f t="shared" si="7"/>
        <v>0.41477885652642937</v>
      </c>
    </row>
    <row r="34" spans="1:13" x14ac:dyDescent="0.25">
      <c r="B34" s="22"/>
      <c r="C34" s="22"/>
      <c r="D34" s="22"/>
      <c r="E34" s="22"/>
      <c r="F34" s="22"/>
      <c r="G34" s="22"/>
      <c r="H34" s="22"/>
      <c r="I34" s="22"/>
      <c r="J34" s="100">
        <f>SUM(J28:J32)</f>
        <v>5525.9499999999989</v>
      </c>
      <c r="K34" s="100">
        <f>SUM(K28:K33)</f>
        <v>867.99999999999989</v>
      </c>
      <c r="L34" s="27">
        <f>J34-K34</f>
        <v>4657.9499999999989</v>
      </c>
      <c r="M34" s="24">
        <f>L34/J34</f>
        <v>0.84292293632769022</v>
      </c>
    </row>
    <row r="35" spans="1:13" x14ac:dyDescent="0.25">
      <c r="A35" t="s">
        <v>243</v>
      </c>
      <c r="B35" s="22"/>
      <c r="C35" s="22"/>
      <c r="D35" s="22"/>
      <c r="E35" s="22"/>
      <c r="F35" s="22"/>
      <c r="G35" s="22"/>
      <c r="H35" s="22"/>
      <c r="I35" s="22"/>
      <c r="J35" s="100"/>
      <c r="K35" s="100"/>
      <c r="L35" s="27">
        <f t="shared" ref="L35:L68" si="9">J35-K35</f>
        <v>0</v>
      </c>
      <c r="M35" s="24"/>
    </row>
    <row r="36" spans="1:13" x14ac:dyDescent="0.25">
      <c r="A36" t="s">
        <v>357</v>
      </c>
      <c r="B36" s="22"/>
      <c r="C36" s="22"/>
      <c r="D36" s="22"/>
      <c r="E36" s="22"/>
      <c r="F36" s="22"/>
      <c r="G36" s="22"/>
      <c r="H36" s="22"/>
      <c r="I36" s="22"/>
      <c r="J36" s="100"/>
      <c r="K36" s="100"/>
      <c r="L36" s="27"/>
      <c r="M36" s="24"/>
    </row>
    <row r="37" spans="1:13" x14ac:dyDescent="0.25">
      <c r="A37" t="s">
        <v>336</v>
      </c>
      <c r="B37" s="22"/>
      <c r="C37" s="22"/>
      <c r="D37" s="22"/>
      <c r="E37" s="22"/>
      <c r="F37" s="22"/>
      <c r="G37" s="22"/>
      <c r="H37" s="22"/>
      <c r="I37" s="22"/>
      <c r="J37" s="100"/>
      <c r="K37" s="100"/>
      <c r="L37" s="27"/>
      <c r="M37" s="24"/>
    </row>
    <row r="38" spans="1:13" x14ac:dyDescent="0.25">
      <c r="A38" t="s">
        <v>371</v>
      </c>
      <c r="B38" s="22" t="e">
        <f>GETPIVOTDATA("Total Sales",WeeklySales!$A$4,"Date ",DATE(2021,1,29),"Station","TB1-INFASCO")</f>
        <v>#REF!</v>
      </c>
      <c r="C38" s="22"/>
      <c r="D38" s="22"/>
      <c r="E38" s="22"/>
      <c r="F38" s="22"/>
      <c r="G38" s="22"/>
      <c r="H38" s="22"/>
      <c r="I38" s="22"/>
      <c r="J38" s="100">
        <f>GETPIVOTDATA("Total Sales by WS",WeeklySales!$A$4,"Date ",169,"Station","TABLE1-INFASCO","Months",6)+GETPIVOTDATA("Total Sales by WS",WeeklySales!$A$4,"Date ",170,"Station","TABLE1-INFASCO","Months",6)+GETPIVOTDATA("Total Sales by WS",WeeklySales!$A$4,"Date ",172,"Station","TABLE1-INFASCO","Months",6)+GETPIVOTDATA("Total Sales by WS",WeeklySales!$A$4,"Date ",173,"Station","TABLE1-INFASCO","Months",6)+GETPIVOTDATA("Total Sales by WS",WeeklySales!$A$4,"Date ",174,"Station","TABLE1-INFASCO","Months",6)+GETPIVOTDATA("Total Sales by WS",WeeklySales!$A$4,"Date ",175,"Station","TABLE1-INFASCO","Months",6)</f>
        <v>5687.6900000000005</v>
      </c>
      <c r="K38" s="100">
        <f>118*13.5</f>
        <v>1593</v>
      </c>
      <c r="L38" s="27">
        <f t="shared" si="9"/>
        <v>4094.6900000000005</v>
      </c>
      <c r="M38" s="24">
        <f t="shared" ref="M38:M60" si="10">L38/J38</f>
        <v>0.71992144438251737</v>
      </c>
    </row>
    <row r="39" spans="1:13" x14ac:dyDescent="0.25">
      <c r="A39" t="s">
        <v>372</v>
      </c>
      <c r="B39" s="22" t="e">
        <f>GETPIVOTDATA("Total Sales",WeeklySales!$A$4,"Date ",DATE(2021,1,29),"Station","TB2-INFASCO")</f>
        <v>#REF!</v>
      </c>
      <c r="C39" s="22"/>
      <c r="D39" s="22"/>
      <c r="E39" s="22"/>
      <c r="F39" s="22"/>
      <c r="G39" s="22"/>
      <c r="H39" s="22"/>
      <c r="I39" s="22"/>
      <c r="J39" s="100">
        <f>GETPIVOTDATA("Total Sales by WS",WeeklySales!$A$4,"Date ",170,"Station","TABLE2-INFASCO","Months",6)+GETPIVOTDATA("Total Sales by WS",WeeklySales!$A$4,"Date ",172,"Station","TABLE2-INFACSO","Months",6)+GETPIVOTDATA("Total Sales by WS",WeeklySales!$A$4,"Date ",172,"Station","TABLE-INFACSO","Months",6)+GETPIVOTDATA("Total Sales by WS",WeeklySales!$A$4,"Date ",173,"Station","TABLE2-INFASCO","Months",6)+GETPIVOTDATA("Total Sales by WS",WeeklySales!$A$4,"Date ",174,"Station","TABLE2-INFASCO","Months",6)+GETPIVOTDATA("Total Sales by WS",WeeklySales!$A$4,"Date ",175,"Station","TABLE2-INFASCO","Months",6)</f>
        <v>5077.8999999999996</v>
      </c>
      <c r="K39" s="100">
        <f>275+140+135+140+135+275+238+140+135</f>
        <v>1613</v>
      </c>
      <c r="L39" s="27">
        <f t="shared" si="9"/>
        <v>3464.8999999999996</v>
      </c>
      <c r="M39" s="24">
        <f t="shared" si="10"/>
        <v>0.68234900254042019</v>
      </c>
    </row>
    <row r="40" spans="1:13" x14ac:dyDescent="0.25">
      <c r="A40" t="s">
        <v>373</v>
      </c>
      <c r="B40" s="22" t="e">
        <f>GETPIVOTDATA("Total Sales",WeeklySales!$A$4,"Date ",DATE(2021,1,29),"Station","TB3-INFASCO")</f>
        <v>#REF!</v>
      </c>
      <c r="C40" s="22"/>
      <c r="D40" s="22"/>
      <c r="E40" s="22"/>
      <c r="F40" s="22"/>
      <c r="G40" s="22"/>
      <c r="H40" s="22"/>
      <c r="I40" s="22"/>
      <c r="J40" s="100">
        <f>+GETPIVOTDATA("Total Sales by WS",WeeklySales!$A$4,"Date ",169,"Station","TABLE3-INFASCO","Months",6)+GETPIVOTDATA("Total Sales by WS",WeeklySales!$A$4,"Date ",174,"Station","TABLE3-INFASCO","Months",6)+GETPIVOTDATA("Total Sales by WS",WeeklySales!$A$4,"Date ",175,"Station","TABLE3-INFASCO","Months",6)</f>
        <v>1380.2</v>
      </c>
      <c r="K40" s="100">
        <f>59*13.5</f>
        <v>796.5</v>
      </c>
      <c r="L40" s="27">
        <f t="shared" si="9"/>
        <v>583.70000000000005</v>
      </c>
      <c r="M40" s="24">
        <f t="shared" si="10"/>
        <v>0.42290972322851761</v>
      </c>
    </row>
    <row r="41" spans="1:13" x14ac:dyDescent="0.25">
      <c r="A41" t="s">
        <v>374</v>
      </c>
      <c r="B41" s="22" t="e">
        <f>GETPIVOTDATA("Total Sales",WeeklySales!$A$4,"Date ",DATE(2021,1,29),"Station","TB4-INFASCO")</f>
        <v>#REF!</v>
      </c>
      <c r="C41" s="22"/>
      <c r="D41" s="22"/>
      <c r="E41" s="22"/>
      <c r="F41" s="22"/>
      <c r="G41" s="22"/>
      <c r="H41" s="22"/>
      <c r="I41" s="22"/>
      <c r="J41" s="100"/>
      <c r="K41" s="100"/>
      <c r="L41" s="27">
        <f t="shared" si="9"/>
        <v>0</v>
      </c>
      <c r="M41" s="24" t="e">
        <f t="shared" si="10"/>
        <v>#DIV/0!</v>
      </c>
    </row>
    <row r="42" spans="1:13" x14ac:dyDescent="0.25">
      <c r="A42" t="s">
        <v>375</v>
      </c>
      <c r="B42" s="22" t="e">
        <f>GETPIVOTDATA("Total Sales",WeeklySales!$A$4,"Date ",DATE(2021,1,29),"Station","TB5-INFASCO")</f>
        <v>#REF!</v>
      </c>
      <c r="C42" s="22"/>
      <c r="D42" s="22"/>
      <c r="E42" s="22"/>
      <c r="F42" s="22"/>
      <c r="G42" s="22"/>
      <c r="H42" s="22"/>
      <c r="I42" s="22"/>
      <c r="J42" s="100">
        <f>+GETPIVOTDATA("Total Sales by WS",WeeklySales!$A$4,"Date ",172,"Station","TABLE5-INFASCO","Months",6)+GETPIVOTDATA("Total Sales by WS",WeeklySales!$A$4,"Date ",173,"Station","TABLE5-INFASCO","Months",6)+GETPIVOTDATA("Total Sales by WS",WeeklySales!$A$4,"Date ",174,"Station","TABLE5-INFASCO","Months",6)+GETPIVOTDATA("Total Sales by WS",WeeklySales!$A$4,"Date ",175,"Station","TABLE5-INFASCO","Months",6)</f>
        <v>3707.9999999999991</v>
      </c>
      <c r="K42" s="100">
        <f>118*13.5</f>
        <v>1593</v>
      </c>
      <c r="L42" s="27">
        <f t="shared" si="9"/>
        <v>2114.9999999999991</v>
      </c>
      <c r="M42" s="24">
        <f t="shared" si="10"/>
        <v>0.57038834951456296</v>
      </c>
    </row>
    <row r="43" spans="1:13" x14ac:dyDescent="0.25">
      <c r="A43" t="s">
        <v>376</v>
      </c>
      <c r="B43" s="22"/>
      <c r="C43" s="22"/>
      <c r="D43" s="22"/>
      <c r="E43" s="22"/>
      <c r="F43" s="22"/>
      <c r="G43" s="22"/>
      <c r="H43" s="22"/>
      <c r="I43" s="22"/>
      <c r="J43" s="100"/>
      <c r="K43" s="100"/>
      <c r="L43" s="27">
        <f t="shared" si="9"/>
        <v>0</v>
      </c>
      <c r="M43" s="24"/>
    </row>
    <row r="44" spans="1:13" x14ac:dyDescent="0.25">
      <c r="A44" t="s">
        <v>377</v>
      </c>
      <c r="B44" s="22"/>
      <c r="C44" s="22"/>
      <c r="D44" s="22"/>
      <c r="E44" s="22"/>
      <c r="F44" s="22"/>
      <c r="G44" s="22"/>
      <c r="H44" s="22"/>
      <c r="I44" s="22"/>
      <c r="J44" s="100"/>
      <c r="K44" s="100"/>
      <c r="L44" s="27"/>
      <c r="M44" s="24"/>
    </row>
    <row r="45" spans="1:13" x14ac:dyDescent="0.25">
      <c r="A45" t="s">
        <v>365</v>
      </c>
      <c r="B45" s="22"/>
      <c r="C45" s="22"/>
      <c r="D45" s="22"/>
      <c r="E45" s="22"/>
      <c r="F45" s="22"/>
      <c r="G45" s="22"/>
      <c r="H45" s="22"/>
      <c r="I45" s="22"/>
      <c r="J45" s="100">
        <f>23+126.5+69+82.8+96.6+34.5</f>
        <v>432.4</v>
      </c>
      <c r="K45" s="100">
        <f>130+126.75+130</f>
        <v>386.75</v>
      </c>
      <c r="L45" s="27">
        <f t="shared" si="9"/>
        <v>45.649999999999977</v>
      </c>
      <c r="M45" s="24">
        <f t="shared" si="10"/>
        <v>0.10557354301572613</v>
      </c>
    </row>
    <row r="46" spans="1:13" x14ac:dyDescent="0.25">
      <c r="A46" t="s">
        <v>359</v>
      </c>
      <c r="B46" s="22"/>
      <c r="C46" s="22"/>
      <c r="D46" s="22"/>
      <c r="E46" s="22"/>
      <c r="F46" s="22"/>
      <c r="G46" s="22"/>
      <c r="H46" s="22"/>
      <c r="I46" s="22"/>
      <c r="J46" s="100">
        <f>182+196+182+210+145+154</f>
        <v>1069</v>
      </c>
      <c r="K46" s="100">
        <f>141.38+145+145+145+130.5+145</f>
        <v>851.88</v>
      </c>
      <c r="L46" s="27">
        <f t="shared" si="9"/>
        <v>217.12</v>
      </c>
      <c r="M46" s="24">
        <f t="shared" si="10"/>
        <v>0.20310570626753977</v>
      </c>
    </row>
    <row r="47" spans="1:13" x14ac:dyDescent="0.25">
      <c r="A47" t="s">
        <v>625</v>
      </c>
      <c r="B47" s="22"/>
      <c r="C47" s="22"/>
      <c r="D47" s="22"/>
      <c r="E47" s="22"/>
      <c r="F47" s="22"/>
      <c r="G47" s="22"/>
      <c r="H47" s="22"/>
      <c r="I47" s="22"/>
      <c r="J47" s="100">
        <f>140+140+148.75</f>
        <v>428.75</v>
      </c>
      <c r="K47" s="101">
        <f>125+112.5+125+125+125+125</f>
        <v>737.5</v>
      </c>
      <c r="L47" s="27">
        <f t="shared" si="9"/>
        <v>-308.75</v>
      </c>
      <c r="M47" s="24">
        <f t="shared" si="10"/>
        <v>-0.72011661807580174</v>
      </c>
    </row>
    <row r="48" spans="1:13" x14ac:dyDescent="0.25">
      <c r="A48" t="s">
        <v>367</v>
      </c>
      <c r="B48" s="22"/>
      <c r="C48" s="22"/>
      <c r="D48" s="22"/>
      <c r="E48" s="22"/>
      <c r="F48" s="22"/>
      <c r="G48" s="22"/>
      <c r="H48" s="22"/>
      <c r="I48" s="22"/>
      <c r="J48" s="100">
        <f>162+180+180+216+198+36</f>
        <v>972</v>
      </c>
      <c r="K48" s="97">
        <f>59*13</f>
        <v>767</v>
      </c>
      <c r="L48" s="27">
        <f t="shared" si="9"/>
        <v>205</v>
      </c>
      <c r="M48" s="24">
        <f t="shared" si="10"/>
        <v>0.21090534979423869</v>
      </c>
    </row>
    <row r="49" spans="1:13" x14ac:dyDescent="0.25">
      <c r="A49" t="s">
        <v>368</v>
      </c>
      <c r="B49" s="22"/>
      <c r="C49" s="22"/>
      <c r="D49" s="22"/>
      <c r="E49" s="22"/>
      <c r="F49" s="22"/>
      <c r="G49" s="22"/>
      <c r="H49" s="22"/>
      <c r="I49" s="22"/>
      <c r="J49" s="100">
        <f>161+23+138+138+161+92+69</f>
        <v>782</v>
      </c>
      <c r="K49" s="100">
        <f>60*21</f>
        <v>1260</v>
      </c>
      <c r="L49" s="27">
        <f t="shared" si="9"/>
        <v>-478</v>
      </c>
      <c r="M49" s="24">
        <f t="shared" si="10"/>
        <v>-0.61125319693094626</v>
      </c>
    </row>
    <row r="50" spans="1:13" x14ac:dyDescent="0.25">
      <c r="A50" t="s">
        <v>369</v>
      </c>
      <c r="B50" s="22"/>
      <c r="C50" s="22"/>
      <c r="D50" s="22"/>
      <c r="E50" s="22"/>
      <c r="F50" s="22"/>
      <c r="G50" s="22"/>
      <c r="H50" s="22"/>
      <c r="I50" s="22"/>
      <c r="J50" s="100"/>
      <c r="K50" s="100"/>
      <c r="L50" s="27">
        <f t="shared" si="9"/>
        <v>0</v>
      </c>
      <c r="M50" s="24" t="e">
        <f t="shared" si="10"/>
        <v>#DIV/0!</v>
      </c>
    </row>
    <row r="51" spans="1:13" x14ac:dyDescent="0.25">
      <c r="A51" t="s">
        <v>370</v>
      </c>
      <c r="B51" s="22"/>
      <c r="C51" s="22"/>
      <c r="D51" s="22"/>
      <c r="E51" s="22"/>
      <c r="F51" s="22"/>
      <c r="G51" s="22"/>
      <c r="H51" s="22"/>
      <c r="I51" s="22"/>
      <c r="J51" s="100"/>
      <c r="K51" s="100"/>
      <c r="L51" s="27">
        <f t="shared" si="9"/>
        <v>0</v>
      </c>
      <c r="M51" s="24" t="e">
        <f t="shared" si="10"/>
        <v>#DIV/0!</v>
      </c>
    </row>
    <row r="52" spans="1:13" hidden="1" x14ac:dyDescent="0.25">
      <c r="A52" t="s">
        <v>358</v>
      </c>
      <c r="B52" s="22"/>
      <c r="C52" s="22"/>
      <c r="D52" s="22"/>
      <c r="E52" s="22"/>
      <c r="F52" s="22"/>
      <c r="G52" s="22"/>
      <c r="H52" s="22"/>
      <c r="I52" s="22"/>
      <c r="J52" s="100"/>
      <c r="K52" s="100"/>
      <c r="L52" s="27"/>
      <c r="M52" s="24"/>
    </row>
    <row r="53" spans="1:13" hidden="1" x14ac:dyDescent="0.25">
      <c r="A53" t="s">
        <v>366</v>
      </c>
      <c r="B53" s="22"/>
      <c r="C53" s="22"/>
      <c r="D53" s="22"/>
      <c r="E53" s="22"/>
      <c r="F53" s="22"/>
      <c r="G53" s="22"/>
      <c r="H53" s="22"/>
      <c r="I53" s="22"/>
      <c r="J53" s="100"/>
      <c r="K53" s="100"/>
      <c r="L53" s="27"/>
      <c r="M53" s="24"/>
    </row>
    <row r="54" spans="1:13" hidden="1" x14ac:dyDescent="0.25">
      <c r="A54" t="s">
        <v>378</v>
      </c>
      <c r="B54" s="22"/>
      <c r="C54" s="22"/>
      <c r="D54" s="22"/>
      <c r="E54" s="22"/>
      <c r="F54" s="22"/>
      <c r="G54" s="22"/>
      <c r="H54" s="22"/>
      <c r="I54" s="22"/>
      <c r="J54" s="100"/>
      <c r="K54" s="100"/>
      <c r="L54" s="27"/>
      <c r="M54" s="24"/>
    </row>
    <row r="55" spans="1:13" hidden="1" x14ac:dyDescent="0.25">
      <c r="A55" t="s">
        <v>379</v>
      </c>
      <c r="B55" s="22"/>
      <c r="C55" s="22"/>
      <c r="D55" s="22"/>
      <c r="E55" s="22"/>
      <c r="F55" s="22"/>
      <c r="G55" s="22"/>
      <c r="H55" s="22"/>
      <c r="I55" s="22"/>
      <c r="J55" s="100"/>
      <c r="K55" s="100"/>
      <c r="L55" s="27"/>
      <c r="M55" s="24"/>
    </row>
    <row r="56" spans="1:13" hidden="1" x14ac:dyDescent="0.25">
      <c r="A56" t="s">
        <v>380</v>
      </c>
      <c r="B56" s="22"/>
      <c r="C56" s="22"/>
      <c r="D56" s="22"/>
      <c r="E56" s="22"/>
      <c r="F56" s="22"/>
      <c r="G56" s="22"/>
      <c r="H56" s="22"/>
      <c r="I56" s="22"/>
      <c r="J56" s="100"/>
      <c r="K56" s="100"/>
      <c r="L56" s="27"/>
      <c r="M56" s="24"/>
    </row>
    <row r="57" spans="1:13" hidden="1" x14ac:dyDescent="0.25">
      <c r="A57" t="s">
        <v>381</v>
      </c>
      <c r="B57" s="22"/>
      <c r="C57" s="22"/>
      <c r="D57" s="22"/>
      <c r="E57" s="22"/>
      <c r="F57" s="22"/>
      <c r="G57" s="22"/>
      <c r="H57" s="22"/>
      <c r="I57" s="22"/>
      <c r="J57" s="100"/>
      <c r="K57" s="100"/>
      <c r="L57" s="27"/>
      <c r="M57" s="24"/>
    </row>
    <row r="58" spans="1:13" hidden="1" x14ac:dyDescent="0.25">
      <c r="A58" t="s">
        <v>382</v>
      </c>
      <c r="B58" s="22"/>
      <c r="C58" s="22"/>
      <c r="D58" s="22"/>
      <c r="E58" s="22"/>
      <c r="F58" s="22"/>
      <c r="G58" s="22"/>
      <c r="H58" s="22"/>
      <c r="I58" s="22"/>
      <c r="J58" s="100"/>
      <c r="K58" s="100"/>
      <c r="L58" s="27"/>
      <c r="M58" s="24"/>
    </row>
    <row r="59" spans="1:13" hidden="1" x14ac:dyDescent="0.25">
      <c r="A59" t="s">
        <v>383</v>
      </c>
      <c r="B59" s="22"/>
      <c r="C59" s="22"/>
      <c r="D59" s="22"/>
      <c r="E59" s="22"/>
      <c r="F59" s="22"/>
      <c r="G59" s="22"/>
      <c r="H59" s="22"/>
      <c r="I59" s="22"/>
      <c r="J59" s="100"/>
      <c r="K59" s="100"/>
      <c r="L59" s="27"/>
      <c r="M59" s="24"/>
    </row>
    <row r="60" spans="1:13" hidden="1" x14ac:dyDescent="0.25">
      <c r="A60" t="s">
        <v>384</v>
      </c>
      <c r="B60" s="22"/>
      <c r="C60" s="22"/>
      <c r="D60" s="22"/>
      <c r="E60" s="22"/>
      <c r="F60" s="22"/>
      <c r="G60" s="22"/>
      <c r="H60" s="22"/>
      <c r="I60" s="22"/>
      <c r="J60" s="100"/>
      <c r="K60" s="100" t="e">
        <f>GETPIVOTDATA("Labour Expenses",[1]Sheet1!$A$4,"Time In",DATE(2021,2,12),"Work Station","VISQUE")+GETPIVOTDATA("Labour Expenses",[1]Sheet1!$A$4,"Time In",DATE(2021,2,12),"Work Station","VISQUE-BF 115")</f>
        <v>#REF!</v>
      </c>
      <c r="L60" s="27" t="e">
        <f t="shared" si="9"/>
        <v>#REF!</v>
      </c>
      <c r="M60" s="24" t="e">
        <f t="shared" si="10"/>
        <v>#REF!</v>
      </c>
    </row>
    <row r="61" spans="1:13" hidden="1" x14ac:dyDescent="0.25">
      <c r="A61" t="s">
        <v>385</v>
      </c>
      <c r="B61" s="22"/>
      <c r="C61" s="22"/>
      <c r="D61" s="22"/>
      <c r="E61" s="22"/>
      <c r="F61" s="22"/>
      <c r="G61" s="22"/>
      <c r="H61" s="22"/>
      <c r="I61" s="22"/>
      <c r="J61" s="100"/>
      <c r="K61" s="100"/>
      <c r="L61" s="27"/>
      <c r="M61" s="24"/>
    </row>
    <row r="62" spans="1:13" hidden="1" x14ac:dyDescent="0.25">
      <c r="A62" t="s">
        <v>386</v>
      </c>
      <c r="B62" s="22"/>
      <c r="C62" s="22"/>
      <c r="D62" s="22"/>
      <c r="E62" s="22"/>
      <c r="F62" s="22"/>
      <c r="G62" s="22"/>
      <c r="H62" s="22"/>
      <c r="I62" s="22"/>
      <c r="J62" s="100"/>
      <c r="K62" s="100" t="e">
        <f>GETPIVOTDATA("Labour Expenses",[1]Sheet1!$A$4,"Time In",DATE(2021,2,12),"Work Station","MC-GROOVE SHAFT")</f>
        <v>#REF!</v>
      </c>
      <c r="L62" s="27" t="e">
        <f t="shared" si="9"/>
        <v>#REF!</v>
      </c>
      <c r="M62" s="24"/>
    </row>
    <row r="63" spans="1:13" hidden="1" x14ac:dyDescent="0.25">
      <c r="A63" t="s">
        <v>387</v>
      </c>
      <c r="B63" s="22"/>
      <c r="C63" s="22"/>
      <c r="D63" s="22"/>
      <c r="E63" s="22"/>
      <c r="F63" s="22"/>
      <c r="G63" s="22"/>
      <c r="H63" s="22"/>
      <c r="I63" s="22"/>
      <c r="J63" s="100"/>
      <c r="K63" s="100"/>
      <c r="L63" s="27"/>
      <c r="M63" s="24"/>
    </row>
    <row r="64" spans="1:13" hidden="1" x14ac:dyDescent="0.25">
      <c r="A64" t="s">
        <v>388</v>
      </c>
      <c r="B64" s="22"/>
      <c r="C64" s="22"/>
      <c r="D64" s="22"/>
      <c r="E64" s="22"/>
      <c r="F64" s="22"/>
      <c r="G64" s="22"/>
      <c r="H64" s="22"/>
      <c r="I64" s="22"/>
      <c r="J64" s="100"/>
      <c r="K64" s="100" t="e">
        <f>GETPIVOTDATA("Labour Expenses",[1]Sheet1!$A$4,"Time In",DATE(2021,2,12),"Work Station","REPAIR &amp; MAINTENANCE")+GETPIVOTDATA("Labour Expenses",[1]Sheet1!$A$4,"Time In",DATE(2021,2,12),"Work Station","MACHINE UPGRADE")</f>
        <v>#REF!</v>
      </c>
      <c r="L64" s="27" t="e">
        <f t="shared" si="9"/>
        <v>#REF!</v>
      </c>
      <c r="M64" s="24"/>
    </row>
    <row r="65" spans="1:13" x14ac:dyDescent="0.25">
      <c r="A65" t="s">
        <v>389</v>
      </c>
      <c r="B65" s="22"/>
      <c r="C65" s="22"/>
      <c r="D65" s="22"/>
      <c r="E65" s="22"/>
      <c r="F65" s="22"/>
      <c r="G65" s="22"/>
      <c r="H65" s="22"/>
      <c r="I65" s="22"/>
      <c r="J65" s="100"/>
      <c r="K65" s="100"/>
      <c r="L65" s="27">
        <f t="shared" si="9"/>
        <v>0</v>
      </c>
      <c r="M65" s="24"/>
    </row>
    <row r="66" spans="1:13" x14ac:dyDescent="0.25">
      <c r="A66" t="s">
        <v>390</v>
      </c>
      <c r="B66" s="22"/>
      <c r="C66" s="22"/>
      <c r="D66" s="22"/>
      <c r="E66" s="22"/>
      <c r="F66" s="22"/>
      <c r="G66" s="22"/>
      <c r="H66" s="22"/>
      <c r="I66" s="22"/>
      <c r="J66" s="100"/>
      <c r="K66" s="100">
        <f>(59*13)*2</f>
        <v>1534</v>
      </c>
      <c r="L66" s="27">
        <f t="shared" si="9"/>
        <v>-1534</v>
      </c>
      <c r="M66" s="24"/>
    </row>
    <row r="67" spans="1:13" x14ac:dyDescent="0.25">
      <c r="A67" t="s">
        <v>391</v>
      </c>
      <c r="B67" s="22"/>
      <c r="C67" s="22"/>
      <c r="D67" s="22"/>
      <c r="E67" s="22"/>
      <c r="F67" s="22"/>
      <c r="G67" s="22"/>
      <c r="H67" s="22"/>
      <c r="I67" s="22"/>
      <c r="J67" s="100"/>
      <c r="K67" s="100"/>
      <c r="L67" s="27">
        <f t="shared" si="9"/>
        <v>0</v>
      </c>
      <c r="M67" s="24"/>
    </row>
    <row r="68" spans="1:13" x14ac:dyDescent="0.25">
      <c r="A68" t="s">
        <v>392</v>
      </c>
      <c r="B68" s="22"/>
      <c r="C68" s="22"/>
      <c r="D68" s="22"/>
      <c r="E68" s="22"/>
      <c r="F68" s="22"/>
      <c r="G68" s="22"/>
      <c r="H68" s="22"/>
      <c r="I68" s="22"/>
      <c r="J68" s="100"/>
      <c r="K68" s="100">
        <f>117*19</f>
        <v>2223</v>
      </c>
      <c r="L68" s="27">
        <f t="shared" si="9"/>
        <v>-2223</v>
      </c>
      <c r="M68" s="24"/>
    </row>
    <row r="69" spans="1:13" x14ac:dyDescent="0.25">
      <c r="B69" s="22"/>
      <c r="C69" s="22"/>
      <c r="D69" s="22"/>
      <c r="E69" s="22"/>
      <c r="F69" s="22"/>
      <c r="G69" s="22"/>
      <c r="H69" s="22"/>
      <c r="I69" s="22"/>
      <c r="J69" s="100"/>
      <c r="K69" s="100"/>
      <c r="L69" s="27"/>
      <c r="M69" s="22"/>
    </row>
    <row r="70" spans="1:13" x14ac:dyDescent="0.25">
      <c r="A70" t="s">
        <v>393</v>
      </c>
      <c r="B70" s="23" t="e">
        <f>SUM(B18:B69)</f>
        <v>#REF!</v>
      </c>
      <c r="C70" s="22"/>
      <c r="D70" s="22"/>
      <c r="E70" s="22"/>
      <c r="F70" s="22"/>
      <c r="G70" s="22"/>
      <c r="H70" s="22"/>
      <c r="I70" s="22"/>
      <c r="J70" s="98">
        <f>SUM(J35:J69)+J34+J26+J16</f>
        <v>31097.739999999998</v>
      </c>
      <c r="K70" s="98">
        <f>K16+K26+K34+K38+K39+K40+K41+K42+K45+K46+K47+K48+K49+K66+K68</f>
        <v>15778.51</v>
      </c>
      <c r="L70" s="27">
        <f>J70-K70</f>
        <v>15319.229999999998</v>
      </c>
      <c r="M70" s="22"/>
    </row>
  </sheetData>
  <mergeCells count="3">
    <mergeCell ref="B4:E4"/>
    <mergeCell ref="F4:I4"/>
    <mergeCell ref="J4:M4"/>
  </mergeCells>
  <pageMargins left="0.7" right="0.7" top="0.75" bottom="0.75" header="0.3" footer="0.3"/>
  <pageSetup scale="8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C4"/>
  <sheetViews>
    <sheetView workbookViewId="0">
      <selection activeCell="G25" sqref="G25"/>
    </sheetView>
  </sheetViews>
  <sheetFormatPr defaultRowHeight="15" x14ac:dyDescent="0.25"/>
  <cols>
    <col min="1" max="1" width="23.28515625" customWidth="1"/>
    <col min="2" max="2" width="18" customWidth="1"/>
  </cols>
  <sheetData>
    <row r="1" spans="1:3" x14ac:dyDescent="0.25">
      <c r="A1" s="1" t="s">
        <v>81</v>
      </c>
      <c r="B1" s="2" t="s">
        <v>80</v>
      </c>
      <c r="C1" t="s">
        <v>279</v>
      </c>
    </row>
    <row r="2" spans="1:3" x14ac:dyDescent="0.25">
      <c r="A2" s="3" t="s">
        <v>79</v>
      </c>
      <c r="B2" s="4" t="e">
        <f>+VLOOKUP(Crosscheckk[[#This Row],[Part'#]],PartControl!$A$2:$E$368,4,FALSE)</f>
        <v>#N/A</v>
      </c>
      <c r="C2" t="e">
        <f>+VLOOKUP(Crosscheckk[[#This Row],[Part'#]],PartControl!$A$2:$E$368,2,FALSE)</f>
        <v>#N/A</v>
      </c>
    </row>
    <row r="3" spans="1:3" x14ac:dyDescent="0.25">
      <c r="A3" s="10">
        <v>11546367</v>
      </c>
      <c r="B3" s="11">
        <f>+VLOOKUP(Crosscheckk[[#This Row],[Part'#]],PartControl!$A$2:$E$368,4,FALSE)</f>
        <v>700</v>
      </c>
      <c r="C3">
        <f>+VLOOKUP(Crosscheckk[[#This Row],[Part'#]],PartControl!$A$2:$E$368,2,FALSE)</f>
        <v>106.94</v>
      </c>
    </row>
    <row r="4" spans="1:3" x14ac:dyDescent="0.25">
      <c r="A4" s="29" t="s">
        <v>732</v>
      </c>
      <c r="B4" s="30">
        <f>+VLOOKUP(Crosscheckk[[#This Row],[Part'#]],PartControl!$A$2:$E$368,4,FALSE)</f>
        <v>1000</v>
      </c>
      <c r="C4">
        <f>+VLOOKUP(Crosscheckk[[#This Row],[Part'#]],PartControl!$A$2:$E$368,2,FALSE)</f>
        <v>213.88</v>
      </c>
    </row>
  </sheetData>
  <pageMargins left="0.7" right="0.7" top="0.75" bottom="0.75" header="0.3" footer="0.3"/>
  <pageSetup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Screen</vt:lpstr>
      <vt:lpstr>clientlist</vt:lpstr>
      <vt:lpstr>employeelist</vt:lpstr>
      <vt:lpstr>machinelist</vt:lpstr>
      <vt:lpstr>partlist</vt:lpstr>
      <vt:lpstr>Daily!Print_Area</vt:lpstr>
      <vt:lpstr>DailySales!Print_Area</vt:lpstr>
      <vt:lpstr>Marieville!Print_Area</vt:lpstr>
      <vt:lpstr>Printout!Print_Area</vt:lpstr>
      <vt:lpstr>WeeklySales!Print_Area</vt:lpstr>
      <vt:lpstr>Daily!Print_Titles</vt:lpstr>
      <vt:lpstr>DailySales!Print_Titles</vt:lpstr>
      <vt:lpstr>Marieville!Print_Titles</vt:lpstr>
      <vt:lpstr>WeeklySales!Print_Titles</vt:lpstr>
      <vt:lpstr>shipmarieville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Khoa</dc:creator>
  <cp:lastModifiedBy>Charlie Thai</cp:lastModifiedBy>
  <cp:lastPrinted>2026-05-26T14:02:47Z</cp:lastPrinted>
  <dcterms:created xsi:type="dcterms:W3CDTF">2019-12-16T18:02:23Z</dcterms:created>
  <dcterms:modified xsi:type="dcterms:W3CDTF">2026-09-14T18:15:34Z</dcterms:modified>
</cp:coreProperties>
</file>